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olors1.xml" ContentType="application/vnd.ms-office.chartcolorstyle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charts/style1.xml" ContentType="application/vnd.ms-office.chartstyle+xml"/>
  <Override PartName="/xl/charts/chart1.xml" ContentType="application/vnd.openxmlformats-officedocument.drawingml.chart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sharedStrings.xml" ContentType="application/vnd.openxmlformats-officedocument.spreadsheetml.sharedStrings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8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ustomProperty1.bin" ContentType="application/vnd.openxmlformats-officedocument.spreadsheetml.customProperty"/>
  <Override PartName="/xl/comments2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pivotCache/pivotCacheRecords1.xml" ContentType="application/vnd.openxmlformats-officedocument.spreadsheetml.pivotCacheRecords+xml"/>
  <Override PartName="/xl/customProperty2.bin" ContentType="application/vnd.openxmlformats-officedocument.spreadsheetml.customProperty"/>
  <Override PartName="/xl/comments3.xml" ContentType="application/vnd.openxmlformats-officedocument.spreadsheetml.comments+xml"/>
  <Override PartName="/xl/comments1.xml" ContentType="application/vnd.openxmlformats-officedocument.spreadsheetml.comments+xml"/>
  <Override PartName="/xl/customProperty6.bin" ContentType="application/vnd.openxmlformats-officedocument.spreadsheetml.customProperty"/>
  <Override PartName="/xl/customProperty5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3.bin" ContentType="application/vnd.openxmlformats-officedocument.spreadsheetml.customProperty"/>
  <Override PartName="/xl/customProperty10.bin" ContentType="application/vnd.openxmlformats-officedocument.spreadsheetml.customProperty"/>
  <Override PartName="/xl/customProperty9.bin" ContentType="application/vnd.openxmlformats-officedocument.spreadsheetml.customProperty"/>
  <Override PartName="/xl/comments4.xml" ContentType="application/vnd.openxmlformats-officedocument.spreadsheetml.comments+xml"/>
  <Override PartName="/xl/customProperty4.bin" ContentType="application/vnd.openxmlformats-officedocument.spreadsheetml.customProperty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Q:\Revenue Reset 2018\23. Revenue Proposal\c.  Proposal\Master Proposal Document\Final\Supporting Information\Models\"/>
    </mc:Choice>
  </mc:AlternateContent>
  <bookViews>
    <workbookView xWindow="0" yWindow="0" windowWidth="20610" windowHeight="8820"/>
  </bookViews>
  <sheets>
    <sheet name="Table of Contents" sheetId="59" r:id="rId1"/>
    <sheet name="PTRM" sheetId="11" r:id="rId2"/>
    <sheet name="RFM" sheetId="10" r:id="rId3"/>
    <sheet name="For RFM &amp; PTRM" sheetId="8" r:id="rId4"/>
    <sheet name="Incurred" sheetId="1" r:id="rId5"/>
    <sheet name="Incurred 2.5% cpi" sheetId="29" r:id="rId6"/>
    <sheet name="Commissioned" sheetId="6" r:id="rId7"/>
    <sheet name="Commissioned Extra" sheetId="21" r:id="rId8"/>
    <sheet name="Success Asset Classes" sheetId="53" r:id="rId9"/>
    <sheet name="Project splits" sheetId="55" r:id="rId10"/>
    <sheet name="Project labour content" sheetId="40" r:id="rId11"/>
    <sheet name="Capex 15yr View" sheetId="58" r:id="rId12"/>
  </sheets>
  <externalReferences>
    <externalReference r:id="rId13"/>
  </externalReferences>
  <definedNames>
    <definedName name="_xlnm._FilterDatabase" localSheetId="6" hidden="1">Commissioned!$A$18:$AP$349</definedName>
    <definedName name="_xlnm._FilterDatabase" localSheetId="7" hidden="1">'Commissioned Extra'!$A$18:$AJ$45</definedName>
    <definedName name="_xlnm._FilterDatabase" localSheetId="4" hidden="1">Incurred!$A$22:$BP$359</definedName>
    <definedName name="_xlnm._FilterDatabase" localSheetId="5" hidden="1">'Incurred 2.5% cpi'!$A$22:$AM$508</definedName>
    <definedName name="_xlnm._FilterDatabase" localSheetId="10" hidden="1">'Project labour content'!$A$6:$E$176</definedName>
    <definedName name="_xlnm._FilterDatabase" localSheetId="9" hidden="1">'Project splits'!$A$5:$AD$831</definedName>
    <definedName name="_xlnm._FilterDatabase" localSheetId="8" hidden="1">'Success Asset Classes'!$A$21:$CM$329</definedName>
    <definedName name="CatLabEsc">'Project labour content'!$I$6:$L$19</definedName>
    <definedName name="Classes">#REF!</definedName>
    <definedName name="Commissioned_Extra">'Commissioned Extra'!$N$4:$AH$14</definedName>
    <definedName name="CommissionedByClass">Commissioned!$N$4:$AF$14</definedName>
    <definedName name="ContractorRate">Incurred!$A$15</definedName>
    <definedName name="data" localSheetId="9">EPK XML [1]Export!$A$2:$K$300</definedName>
    <definedName name="data">EPK XML [1]Export!$A$2:$K$300</definedName>
    <definedName name="Estimates">'Success Asset Classes'!$A$21:$CM$405</definedName>
    <definedName name="IncurredByClass">Incurred!$AL$3:$BD$11</definedName>
    <definedName name="Labesc18">Incurred!$R$15</definedName>
    <definedName name="LabEsc19">Incurred!$S$15</definedName>
    <definedName name="LabEsc20">Incurred!$T$15</definedName>
    <definedName name="LabEsc21">Incurred!$U$15</definedName>
    <definedName name="LabEsc22">Incurred!$V$15</definedName>
    <definedName name="LabEsc23">Incurred!$W$15</definedName>
    <definedName name="LabEsc24">Incurred!$X$15</definedName>
    <definedName name="LabIn">Incurred!$A$16</definedName>
    <definedName name="_xlnm.Print_Area" localSheetId="6">Commissioned!$A$18:$AF$350</definedName>
    <definedName name="_xlnm.Print_Area" localSheetId="7">'Commissioned Extra'!$A$18:$J$45</definedName>
    <definedName name="_xlnm.Print_Area" localSheetId="4">Incurred!$A$22:$S$293</definedName>
    <definedName name="_xlnm.Print_Area" localSheetId="10">'Project labour content'!$N$19:$X$22</definedName>
    <definedName name="_xlnm.Print_Area" localSheetId="9">'Project splits'!$A$5:$X$832</definedName>
    <definedName name="_xlnm.Print_Area" localSheetId="1">PTRM!$A$6:$U$65</definedName>
    <definedName name="ProjectSplits">'Project splits'!$C$5:$AD$838</definedName>
    <definedName name="ProjLabEsc">'Project labour content'!$A$6:$G$176</definedName>
    <definedName name="RCP_1to5">"2015-16 to 2019-20"</definedName>
    <definedName name="SplitHeaders" localSheetId="9">'Project splits'!$C$5:$X$5</definedName>
  </definedNames>
  <calcPr calcId="152511"/>
  <pivotCaches>
    <pivotCache cacheId="1" r:id="rId14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" i="8" l="1"/>
  <c r="B1" i="10"/>
  <c r="B2" i="11"/>
  <c r="P40" i="1"/>
  <c r="Q47" i="1" l="1"/>
  <c r="R47" i="1"/>
  <c r="S47" i="1"/>
  <c r="T47" i="1"/>
  <c r="U47" i="1"/>
  <c r="V47" i="1"/>
  <c r="W47" i="1"/>
  <c r="X47" i="1"/>
  <c r="AK47" i="1"/>
  <c r="AL47" i="1" s="1"/>
  <c r="BM47" i="1"/>
  <c r="Z47" i="29" a="1"/>
  <c r="Z47" i="29" s="1"/>
  <c r="Y47" i="29"/>
  <c r="Y47" i="1" l="1"/>
  <c r="Z47" i="1"/>
  <c r="AI47" i="1" s="1"/>
  <c r="AD47" i="1" s="1"/>
  <c r="Q76" i="1" l="1"/>
  <c r="R76" i="1"/>
  <c r="S76" i="1"/>
  <c r="T76" i="1"/>
  <c r="U76" i="1"/>
  <c r="V76" i="1"/>
  <c r="W76" i="1"/>
  <c r="X76" i="1"/>
  <c r="AK76" i="1"/>
  <c r="AL76" i="1" s="1"/>
  <c r="BM76" i="1"/>
  <c r="Y76" i="29"/>
  <c r="Z76" i="29" a="1"/>
  <c r="Z76" i="29" s="1"/>
  <c r="Q103" i="1"/>
  <c r="R103" i="1"/>
  <c r="S103" i="1"/>
  <c r="T103" i="1"/>
  <c r="U103" i="1"/>
  <c r="V103" i="1"/>
  <c r="W103" i="1"/>
  <c r="X103" i="1"/>
  <c r="AK103" i="1"/>
  <c r="BM103" i="1"/>
  <c r="Y103" i="29"/>
  <c r="Z103" i="29" a="1"/>
  <c r="Z103" i="29" s="1"/>
  <c r="Y76" i="1" l="1"/>
  <c r="Z76" i="1"/>
  <c r="AI76" i="1" s="1"/>
  <c r="AD76" i="1" s="1"/>
  <c r="Y103" i="1"/>
  <c r="AL103" i="1"/>
  <c r="Z103" i="1"/>
  <c r="AI103" i="1" s="1"/>
  <c r="AD103" i="1" s="1"/>
  <c r="D22" i="58"/>
  <c r="E22" i="58"/>
  <c r="F22" i="58"/>
  <c r="G22" i="58"/>
  <c r="H22" i="58"/>
  <c r="I22" i="58"/>
  <c r="J22" i="58"/>
  <c r="K22" i="58"/>
  <c r="L22" i="58"/>
  <c r="M22" i="58"/>
  <c r="N22" i="58"/>
  <c r="O22" i="58"/>
  <c r="P22" i="58"/>
  <c r="Q22" i="58"/>
  <c r="C22" i="58"/>
  <c r="D16" i="58"/>
  <c r="E16" i="58"/>
  <c r="F16" i="58"/>
  <c r="G16" i="58"/>
  <c r="H16" i="58"/>
  <c r="I16" i="58"/>
  <c r="C16" i="58"/>
  <c r="B31" i="58"/>
  <c r="B24" i="58"/>
  <c r="B25" i="58"/>
  <c r="B26" i="58"/>
  <c r="B27" i="58"/>
  <c r="B28" i="58"/>
  <c r="B29" i="58"/>
  <c r="B30" i="58"/>
  <c r="B23" i="58"/>
  <c r="M20" i="58"/>
  <c r="N20" i="58" s="1"/>
  <c r="O20" i="58" s="1"/>
  <c r="P20" i="58" s="1"/>
  <c r="Q20" i="58" s="1"/>
  <c r="K20" i="58"/>
  <c r="J20" i="58"/>
  <c r="I20" i="58" s="1"/>
  <c r="H20" i="58" s="1"/>
  <c r="G20" i="58" s="1"/>
  <c r="F20" i="58" l="1"/>
  <c r="G24" i="58"/>
  <c r="G31" i="58"/>
  <c r="G23" i="58"/>
  <c r="G26" i="58"/>
  <c r="G28" i="58"/>
  <c r="G30" i="58"/>
  <c r="G27" i="58"/>
  <c r="G29" i="58"/>
  <c r="G25" i="58"/>
  <c r="G34" i="58" l="1"/>
  <c r="E20" i="58"/>
  <c r="F23" i="58"/>
  <c r="F27" i="58"/>
  <c r="F31" i="58"/>
  <c r="F26" i="58"/>
  <c r="F30" i="58"/>
  <c r="F25" i="58"/>
  <c r="F29" i="58"/>
  <c r="F24" i="58"/>
  <c r="F28" i="58"/>
  <c r="F34" i="58" l="1"/>
  <c r="D20" i="58"/>
  <c r="E26" i="58"/>
  <c r="E30" i="58"/>
  <c r="E27" i="58"/>
  <c r="E25" i="58"/>
  <c r="E29" i="58"/>
  <c r="E24" i="58"/>
  <c r="E28" i="58"/>
  <c r="E23" i="58"/>
  <c r="E31" i="58"/>
  <c r="E34" i="58" l="1"/>
  <c r="C20" i="58"/>
  <c r="D25" i="58"/>
  <c r="D29" i="58"/>
  <c r="D30" i="58"/>
  <c r="D24" i="58"/>
  <c r="D28" i="58"/>
  <c r="D26" i="58"/>
  <c r="D23" i="58"/>
  <c r="D27" i="58"/>
  <c r="D31" i="58"/>
  <c r="C27" i="58" l="1"/>
  <c r="C31" i="58"/>
  <c r="C24" i="58"/>
  <c r="C28" i="58"/>
  <c r="C23" i="58"/>
  <c r="C26" i="58"/>
  <c r="C30" i="58"/>
  <c r="C25" i="58"/>
  <c r="C29" i="58"/>
  <c r="D34" i="58"/>
  <c r="C34" i="58" l="1"/>
  <c r="K20" i="6" l="1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K61" i="6"/>
  <c r="K62" i="6"/>
  <c r="K63" i="6"/>
  <c r="K64" i="6"/>
  <c r="K65" i="6"/>
  <c r="K66" i="6"/>
  <c r="K67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K110" i="6"/>
  <c r="K111" i="6"/>
  <c r="K112" i="6"/>
  <c r="K113" i="6"/>
  <c r="K114" i="6"/>
  <c r="K115" i="6"/>
  <c r="K116" i="6"/>
  <c r="K117" i="6"/>
  <c r="K118" i="6"/>
  <c r="K119" i="6"/>
  <c r="K120" i="6"/>
  <c r="K121" i="6"/>
  <c r="K122" i="6"/>
  <c r="K123" i="6"/>
  <c r="K124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K137" i="6"/>
  <c r="K138" i="6"/>
  <c r="K139" i="6"/>
  <c r="K140" i="6"/>
  <c r="K141" i="6"/>
  <c r="K142" i="6"/>
  <c r="K143" i="6"/>
  <c r="K144" i="6"/>
  <c r="K145" i="6"/>
  <c r="K146" i="6"/>
  <c r="K147" i="6"/>
  <c r="K148" i="6"/>
  <c r="K149" i="6"/>
  <c r="K150" i="6"/>
  <c r="K151" i="6"/>
  <c r="K152" i="6"/>
  <c r="K153" i="6"/>
  <c r="K154" i="6"/>
  <c r="K155" i="6"/>
  <c r="K156" i="6"/>
  <c r="K157" i="6"/>
  <c r="K158" i="6"/>
  <c r="K159" i="6"/>
  <c r="K160" i="6"/>
  <c r="K161" i="6"/>
  <c r="K162" i="6"/>
  <c r="K163" i="6"/>
  <c r="K164" i="6"/>
  <c r="K165" i="6"/>
  <c r="K166" i="6"/>
  <c r="K167" i="6"/>
  <c r="K168" i="6"/>
  <c r="K169" i="6"/>
  <c r="K170" i="6"/>
  <c r="K171" i="6"/>
  <c r="K172" i="6"/>
  <c r="K173" i="6"/>
  <c r="K174" i="6"/>
  <c r="K175" i="6"/>
  <c r="K176" i="6"/>
  <c r="K177" i="6"/>
  <c r="K178" i="6"/>
  <c r="K179" i="6"/>
  <c r="K180" i="6"/>
  <c r="K181" i="6"/>
  <c r="K182" i="6"/>
  <c r="K183" i="6"/>
  <c r="K184" i="6"/>
  <c r="K185" i="6"/>
  <c r="K186" i="6"/>
  <c r="K187" i="6"/>
  <c r="K188" i="6"/>
  <c r="K189" i="6"/>
  <c r="K190" i="6"/>
  <c r="K191" i="6"/>
  <c r="K192" i="6"/>
  <c r="K193" i="6"/>
  <c r="K194" i="6"/>
  <c r="K195" i="6"/>
  <c r="K196" i="6"/>
  <c r="K197" i="6"/>
  <c r="K198" i="6"/>
  <c r="K199" i="6"/>
  <c r="K200" i="6"/>
  <c r="K201" i="6"/>
  <c r="K202" i="6"/>
  <c r="K203" i="6"/>
  <c r="K204" i="6"/>
  <c r="K205" i="6"/>
  <c r="K206" i="6"/>
  <c r="K207" i="6"/>
  <c r="K208" i="6"/>
  <c r="K209" i="6"/>
  <c r="K210" i="6"/>
  <c r="K211" i="6"/>
  <c r="K212" i="6"/>
  <c r="K213" i="6"/>
  <c r="K214" i="6"/>
  <c r="K215" i="6"/>
  <c r="K216" i="6"/>
  <c r="K217" i="6"/>
  <c r="K218" i="6"/>
  <c r="K219" i="6"/>
  <c r="K220" i="6"/>
  <c r="K221" i="6"/>
  <c r="K222" i="6"/>
  <c r="K223" i="6"/>
  <c r="K224" i="6"/>
  <c r="K225" i="6"/>
  <c r="K226" i="6"/>
  <c r="K227" i="6"/>
  <c r="K228" i="6"/>
  <c r="K229" i="6"/>
  <c r="K230" i="6"/>
  <c r="K231" i="6"/>
  <c r="K232" i="6"/>
  <c r="K233" i="6"/>
  <c r="K234" i="6"/>
  <c r="K235" i="6"/>
  <c r="K236" i="6"/>
  <c r="K237" i="6"/>
  <c r="K238" i="6"/>
  <c r="K239" i="6"/>
  <c r="K240" i="6"/>
  <c r="K241" i="6"/>
  <c r="K242" i="6"/>
  <c r="K243" i="6"/>
  <c r="K244" i="6"/>
  <c r="K245" i="6"/>
  <c r="K246" i="6"/>
  <c r="K247" i="6"/>
  <c r="K248" i="6"/>
  <c r="K249" i="6"/>
  <c r="K250" i="6"/>
  <c r="K251" i="6"/>
  <c r="K252" i="6"/>
  <c r="K253" i="6"/>
  <c r="K254" i="6"/>
  <c r="K255" i="6"/>
  <c r="K256" i="6"/>
  <c r="K257" i="6"/>
  <c r="K258" i="6"/>
  <c r="K259" i="6"/>
  <c r="K260" i="6"/>
  <c r="K261" i="6"/>
  <c r="K262" i="6"/>
  <c r="K263" i="6"/>
  <c r="K264" i="6"/>
  <c r="K265" i="6"/>
  <c r="K266" i="6"/>
  <c r="K267" i="6"/>
  <c r="K268" i="6"/>
  <c r="K269" i="6"/>
  <c r="K270" i="6"/>
  <c r="K271" i="6"/>
  <c r="K272" i="6"/>
  <c r="K273" i="6"/>
  <c r="K274" i="6"/>
  <c r="K275" i="6"/>
  <c r="K276" i="6"/>
  <c r="K277" i="6"/>
  <c r="K278" i="6"/>
  <c r="K279" i="6"/>
  <c r="K280" i="6"/>
  <c r="K281" i="6"/>
  <c r="K282" i="6"/>
  <c r="K283" i="6"/>
  <c r="K284" i="6"/>
  <c r="K285" i="6"/>
  <c r="K286" i="6"/>
  <c r="K19" i="6"/>
  <c r="B12" i="1"/>
  <c r="Y60" i="1"/>
  <c r="AC4" i="55"/>
  <c r="D29" i="10" l="1"/>
  <c r="D30" i="10"/>
  <c r="Z24" i="29" l="1" a="1"/>
  <c r="Z24" i="29" s="1"/>
  <c r="Z25" i="29" a="1"/>
  <c r="Z25" i="29" s="1"/>
  <c r="Z26" i="29" a="1"/>
  <c r="Z26" i="29" s="1"/>
  <c r="Z27" i="29" a="1"/>
  <c r="Z27" i="29" s="1"/>
  <c r="Z28" i="29" a="1"/>
  <c r="Z28" i="29" s="1"/>
  <c r="Z29" i="29" a="1"/>
  <c r="Z29" i="29" s="1"/>
  <c r="Z30" i="29" a="1"/>
  <c r="Z30" i="29" s="1"/>
  <c r="Z31" i="29" a="1"/>
  <c r="Z31" i="29" s="1"/>
  <c r="Z32" i="29" a="1"/>
  <c r="Z32" i="29" s="1"/>
  <c r="Z33" i="29" a="1"/>
  <c r="Z33" i="29" s="1"/>
  <c r="Z34" i="29" a="1"/>
  <c r="Z34" i="29" s="1"/>
  <c r="Z35" i="29" a="1"/>
  <c r="Z35" i="29" s="1"/>
  <c r="Z36" i="29" a="1"/>
  <c r="Z36" i="29" s="1"/>
  <c r="Z37" i="29" a="1"/>
  <c r="Z37" i="29" s="1"/>
  <c r="Z38" i="29" a="1"/>
  <c r="Z38" i="29" s="1"/>
  <c r="Z39" i="29" a="1"/>
  <c r="Z39" i="29" s="1"/>
  <c r="Z40" i="29" a="1"/>
  <c r="Z40" i="29" s="1"/>
  <c r="Z41" i="29" a="1"/>
  <c r="Z41" i="29" s="1"/>
  <c r="Z42" i="29" a="1"/>
  <c r="Z42" i="29" s="1"/>
  <c r="Z43" i="29" a="1"/>
  <c r="Z43" i="29" s="1"/>
  <c r="Z44" i="29" a="1"/>
  <c r="Z44" i="29" s="1"/>
  <c r="Z45" i="29" a="1"/>
  <c r="Z45" i="29" s="1"/>
  <c r="Z46" i="29" a="1"/>
  <c r="Z46" i="29" s="1"/>
  <c r="Z48" i="29" a="1"/>
  <c r="Z48" i="29" s="1"/>
  <c r="Z49" i="29" a="1"/>
  <c r="Z49" i="29" s="1"/>
  <c r="Z50" i="29" a="1"/>
  <c r="Z50" i="29" s="1"/>
  <c r="Z51" i="29" a="1"/>
  <c r="Z51" i="29" s="1"/>
  <c r="Z52" i="29" a="1"/>
  <c r="Z52" i="29" s="1"/>
  <c r="Z53" i="29" a="1"/>
  <c r="Z53" i="29" s="1"/>
  <c r="Z54" i="29" a="1"/>
  <c r="Z54" i="29" s="1"/>
  <c r="Z55" i="29" a="1"/>
  <c r="Z55" i="29" s="1"/>
  <c r="Z56" i="29" a="1"/>
  <c r="Z56" i="29" s="1"/>
  <c r="Z57" i="29" a="1"/>
  <c r="Z57" i="29" s="1"/>
  <c r="Z58" i="29" a="1"/>
  <c r="Z58" i="29" s="1"/>
  <c r="Z59" i="29" a="1"/>
  <c r="Z59" i="29" s="1"/>
  <c r="Z60" i="29" a="1"/>
  <c r="Z60" i="29" s="1"/>
  <c r="Z61" i="29" a="1"/>
  <c r="Z61" i="29" s="1"/>
  <c r="Z62" i="29" a="1"/>
  <c r="Z62" i="29" s="1"/>
  <c r="Z63" i="29" a="1"/>
  <c r="Z63" i="29" s="1"/>
  <c r="Z64" i="29" a="1"/>
  <c r="Z64" i="29" s="1"/>
  <c r="Z65" i="29" a="1"/>
  <c r="Z65" i="29" s="1"/>
  <c r="Z66" i="29" a="1"/>
  <c r="Z66" i="29" s="1"/>
  <c r="Z67" i="29" a="1"/>
  <c r="Z67" i="29" s="1"/>
  <c r="Z68" i="29" a="1"/>
  <c r="Z68" i="29" s="1"/>
  <c r="Z69" i="29" a="1"/>
  <c r="Z69" i="29" s="1"/>
  <c r="Z70" i="29" a="1"/>
  <c r="Z70" i="29" s="1"/>
  <c r="Z71" i="29" a="1"/>
  <c r="Z71" i="29" s="1"/>
  <c r="Z72" i="29" a="1"/>
  <c r="Z72" i="29" s="1"/>
  <c r="Z73" i="29" a="1"/>
  <c r="Z73" i="29" s="1"/>
  <c r="Z74" i="29" a="1"/>
  <c r="Z74" i="29" s="1"/>
  <c r="Z75" i="29" a="1"/>
  <c r="Z75" i="29" s="1"/>
  <c r="Z77" i="29" a="1"/>
  <c r="Z77" i="29" s="1"/>
  <c r="Z78" i="29" a="1"/>
  <c r="Z78" i="29" s="1"/>
  <c r="Z79" i="29" a="1"/>
  <c r="Z79" i="29" s="1"/>
  <c r="Z80" i="29" a="1"/>
  <c r="Z80" i="29" s="1"/>
  <c r="Z81" i="29" a="1"/>
  <c r="Z81" i="29" s="1"/>
  <c r="Z82" i="29" a="1"/>
  <c r="Z82" i="29" s="1"/>
  <c r="Z83" i="29" a="1"/>
  <c r="Z83" i="29" s="1"/>
  <c r="Z84" i="29" a="1"/>
  <c r="Z84" i="29" s="1"/>
  <c r="Z85" i="29" a="1"/>
  <c r="Z85" i="29" s="1"/>
  <c r="Z86" i="29" a="1"/>
  <c r="Z86" i="29" s="1"/>
  <c r="Z87" i="29" a="1"/>
  <c r="Z87" i="29" s="1"/>
  <c r="Z88" i="29" a="1"/>
  <c r="Z88" i="29" s="1"/>
  <c r="Z89" i="29" a="1"/>
  <c r="Z89" i="29" s="1"/>
  <c r="Z90" i="29" a="1"/>
  <c r="Z90" i="29" s="1"/>
  <c r="Z91" i="29" a="1"/>
  <c r="Z91" i="29" s="1"/>
  <c r="Z92" i="29" a="1"/>
  <c r="Z92" i="29" s="1"/>
  <c r="Z93" i="29" a="1"/>
  <c r="Z93" i="29" s="1"/>
  <c r="Z94" i="29" a="1"/>
  <c r="Z94" i="29" s="1"/>
  <c r="Z95" i="29" a="1"/>
  <c r="Z95" i="29" s="1"/>
  <c r="Z96" i="29" a="1"/>
  <c r="Z96" i="29" s="1"/>
  <c r="Z97" i="29" a="1"/>
  <c r="Z97" i="29" s="1"/>
  <c r="Z98" i="29" a="1"/>
  <c r="Z98" i="29" s="1"/>
  <c r="Z99" i="29" a="1"/>
  <c r="Z99" i="29" s="1"/>
  <c r="Z100" i="29" a="1"/>
  <c r="Z100" i="29" s="1"/>
  <c r="Z101" i="29" a="1"/>
  <c r="Z101" i="29" s="1"/>
  <c r="Z102" i="29" a="1"/>
  <c r="Z102" i="29" s="1"/>
  <c r="Z104" i="29" a="1"/>
  <c r="Z104" i="29" s="1"/>
  <c r="Z105" i="29" a="1"/>
  <c r="Z105" i="29" s="1"/>
  <c r="Z106" i="29" a="1"/>
  <c r="Z106" i="29" s="1"/>
  <c r="Z107" i="29" a="1"/>
  <c r="Z107" i="29" s="1"/>
  <c r="Z108" i="29" a="1"/>
  <c r="Z108" i="29" s="1"/>
  <c r="Z109" i="29" a="1"/>
  <c r="Z109" i="29" s="1"/>
  <c r="Z110" i="29" a="1"/>
  <c r="Z110" i="29" s="1"/>
  <c r="Z111" i="29" a="1"/>
  <c r="Z111" i="29" s="1"/>
  <c r="Z112" i="29" a="1"/>
  <c r="Z112" i="29" s="1"/>
  <c r="Z113" i="29" a="1"/>
  <c r="Z113" i="29" s="1"/>
  <c r="Z114" i="29" a="1"/>
  <c r="Z114" i="29" s="1"/>
  <c r="Z115" i="29" a="1"/>
  <c r="Z115" i="29" s="1"/>
  <c r="Z116" i="29" a="1"/>
  <c r="Z116" i="29" s="1"/>
  <c r="Z117" i="29" a="1"/>
  <c r="Z117" i="29" s="1"/>
  <c r="Z118" i="29" a="1"/>
  <c r="Z118" i="29" s="1"/>
  <c r="Z119" i="29" a="1"/>
  <c r="Z119" i="29" s="1"/>
  <c r="Z120" i="29" a="1"/>
  <c r="Z120" i="29" s="1"/>
  <c r="Z121" i="29" a="1"/>
  <c r="Z121" i="29" s="1"/>
  <c r="Z122" i="29" a="1"/>
  <c r="Z122" i="29" s="1"/>
  <c r="Z123" i="29" a="1"/>
  <c r="Z123" i="29" s="1"/>
  <c r="Z124" i="29" a="1"/>
  <c r="Z124" i="29" s="1"/>
  <c r="Z125" i="29" a="1"/>
  <c r="Z125" i="29" s="1"/>
  <c r="Z126" i="29" a="1"/>
  <c r="Z126" i="29" s="1"/>
  <c r="Z127" i="29" a="1"/>
  <c r="Z127" i="29" s="1"/>
  <c r="Z128" i="29" a="1"/>
  <c r="Z128" i="29" s="1"/>
  <c r="Z129" i="29" a="1"/>
  <c r="Z129" i="29" s="1"/>
  <c r="Z130" i="29" a="1"/>
  <c r="Z130" i="29" s="1"/>
  <c r="Z131" i="29" a="1"/>
  <c r="Z131" i="29" s="1"/>
  <c r="Z132" i="29" a="1"/>
  <c r="Z132" i="29" s="1"/>
  <c r="Z133" i="29" a="1"/>
  <c r="Z133" i="29" s="1"/>
  <c r="Z134" i="29" a="1"/>
  <c r="Z134" i="29" s="1"/>
  <c r="Z135" i="29" a="1"/>
  <c r="Z135" i="29" s="1"/>
  <c r="Z136" i="29" a="1"/>
  <c r="Z136" i="29" s="1"/>
  <c r="Z137" i="29" a="1"/>
  <c r="Z137" i="29" s="1"/>
  <c r="Z138" i="29" a="1"/>
  <c r="Z138" i="29" s="1"/>
  <c r="Z139" i="29" a="1"/>
  <c r="Z139" i="29" s="1"/>
  <c r="Z140" i="29" a="1"/>
  <c r="Z140" i="29" s="1"/>
  <c r="Z141" i="29" a="1"/>
  <c r="Z141" i="29" s="1"/>
  <c r="Z142" i="29" a="1"/>
  <c r="Z142" i="29" s="1"/>
  <c r="Z143" i="29" a="1"/>
  <c r="Z143" i="29" s="1"/>
  <c r="Z144" i="29" a="1"/>
  <c r="Z144" i="29" s="1"/>
  <c r="Z145" i="29" a="1"/>
  <c r="Z145" i="29" s="1"/>
  <c r="Z146" i="29" a="1"/>
  <c r="Z146" i="29" s="1"/>
  <c r="Z147" i="29" a="1"/>
  <c r="Z147" i="29" s="1"/>
  <c r="Z148" i="29" a="1"/>
  <c r="Z148" i="29" s="1"/>
  <c r="Z149" i="29" a="1"/>
  <c r="Z149" i="29" s="1"/>
  <c r="Z150" i="29" a="1"/>
  <c r="Z150" i="29" s="1"/>
  <c r="Z151" i="29" a="1"/>
  <c r="Z151" i="29" s="1"/>
  <c r="Z152" i="29" a="1"/>
  <c r="Z152" i="29" s="1"/>
  <c r="Z153" i="29" a="1"/>
  <c r="Z153" i="29" s="1"/>
  <c r="Z154" i="29" a="1"/>
  <c r="Z154" i="29" s="1"/>
  <c r="Z155" i="29" a="1"/>
  <c r="Z155" i="29" s="1"/>
  <c r="Z156" i="29" a="1"/>
  <c r="Z156" i="29" s="1"/>
  <c r="Z157" i="29" a="1"/>
  <c r="Z157" i="29" s="1"/>
  <c r="Z158" i="29" a="1"/>
  <c r="Z158" i="29" s="1"/>
  <c r="Z159" i="29" a="1"/>
  <c r="Z159" i="29" s="1"/>
  <c r="Z160" i="29" a="1"/>
  <c r="Z160" i="29" s="1"/>
  <c r="Z161" i="29" a="1"/>
  <c r="Z161" i="29" s="1"/>
  <c r="Z162" i="29" a="1"/>
  <c r="Z162" i="29" s="1"/>
  <c r="Z163" i="29" a="1"/>
  <c r="Z163" i="29" s="1"/>
  <c r="Z164" i="29" a="1"/>
  <c r="Z164" i="29" s="1"/>
  <c r="Z165" i="29" a="1"/>
  <c r="Z165" i="29" s="1"/>
  <c r="Z166" i="29" a="1"/>
  <c r="Z166" i="29" s="1"/>
  <c r="Z167" i="29" a="1"/>
  <c r="Z167" i="29" s="1"/>
  <c r="Z168" i="29" a="1"/>
  <c r="Z168" i="29" s="1"/>
  <c r="Z169" i="29" a="1"/>
  <c r="Z169" i="29" s="1"/>
  <c r="Z170" i="29" a="1"/>
  <c r="Z170" i="29" s="1"/>
  <c r="Z171" i="29" a="1"/>
  <c r="Z171" i="29" s="1"/>
  <c r="Z172" i="29" a="1"/>
  <c r="Z172" i="29" s="1"/>
  <c r="Z173" i="29" a="1"/>
  <c r="Z173" i="29" s="1"/>
  <c r="Z174" i="29" a="1"/>
  <c r="Z174" i="29" s="1"/>
  <c r="Z175" i="29" a="1"/>
  <c r="Z175" i="29" s="1"/>
  <c r="Z176" i="29" a="1"/>
  <c r="Z176" i="29" s="1"/>
  <c r="Z177" i="29" a="1"/>
  <c r="Z177" i="29" s="1"/>
  <c r="Z178" i="29" a="1"/>
  <c r="Z178" i="29" s="1"/>
  <c r="Z179" i="29" a="1"/>
  <c r="Z179" i="29" s="1"/>
  <c r="Z180" i="29" a="1"/>
  <c r="Z180" i="29" s="1"/>
  <c r="Z181" i="29" a="1"/>
  <c r="Z181" i="29" s="1"/>
  <c r="Z182" i="29" a="1"/>
  <c r="Z182" i="29" s="1"/>
  <c r="Z183" i="29" a="1"/>
  <c r="Z183" i="29" s="1"/>
  <c r="Z184" i="29" a="1"/>
  <c r="Z184" i="29" s="1"/>
  <c r="Z185" i="29" a="1"/>
  <c r="Z185" i="29" s="1"/>
  <c r="Z186" i="29" a="1"/>
  <c r="Z186" i="29" s="1"/>
  <c r="Z187" i="29" a="1"/>
  <c r="Z187" i="29" s="1"/>
  <c r="Z188" i="29" a="1"/>
  <c r="Z188" i="29" s="1"/>
  <c r="Z189" i="29" a="1"/>
  <c r="Z189" i="29" s="1"/>
  <c r="Z190" i="29" a="1"/>
  <c r="Z190" i="29" s="1"/>
  <c r="Z191" i="29" a="1"/>
  <c r="Z191" i="29" s="1"/>
  <c r="Z192" i="29" a="1"/>
  <c r="Z192" i="29" s="1"/>
  <c r="Z193" i="29" a="1"/>
  <c r="Z193" i="29" s="1"/>
  <c r="Z194" i="29" a="1"/>
  <c r="Z194" i="29" s="1"/>
  <c r="Z195" i="29" a="1"/>
  <c r="Z195" i="29" s="1"/>
  <c r="Z196" i="29" a="1"/>
  <c r="Z196" i="29" s="1"/>
  <c r="Z197" i="29" a="1"/>
  <c r="Z197" i="29" s="1"/>
  <c r="Z198" i="29" a="1"/>
  <c r="Z198" i="29" s="1"/>
  <c r="Z199" i="29" a="1"/>
  <c r="Z199" i="29" s="1"/>
  <c r="Z200" i="29" a="1"/>
  <c r="Z200" i="29" s="1"/>
  <c r="Z201" i="29" a="1"/>
  <c r="Z201" i="29" s="1"/>
  <c r="Z202" i="29" a="1"/>
  <c r="Z202" i="29" s="1"/>
  <c r="Z203" i="29" a="1"/>
  <c r="Z203" i="29" s="1"/>
  <c r="Z204" i="29" a="1"/>
  <c r="Z204" i="29" s="1"/>
  <c r="Z205" i="29" a="1"/>
  <c r="Z205" i="29" s="1"/>
  <c r="Z206" i="29" a="1"/>
  <c r="Z206" i="29" s="1"/>
  <c r="Z207" i="29" a="1"/>
  <c r="Z207" i="29" s="1"/>
  <c r="Z208" i="29" a="1"/>
  <c r="Z208" i="29" s="1"/>
  <c r="Z209" i="29" a="1"/>
  <c r="Z209" i="29" s="1"/>
  <c r="Z210" i="29" a="1"/>
  <c r="Z210" i="29" s="1"/>
  <c r="Z211" i="29" a="1"/>
  <c r="Z211" i="29" s="1"/>
  <c r="Z212" i="29" a="1"/>
  <c r="Z212" i="29" s="1"/>
  <c r="Z213" i="29" a="1"/>
  <c r="Z213" i="29" s="1"/>
  <c r="Z214" i="29" a="1"/>
  <c r="Z214" i="29" s="1"/>
  <c r="Z215" i="29" a="1"/>
  <c r="Z215" i="29" s="1"/>
  <c r="Z216" i="29" a="1"/>
  <c r="Z216" i="29" s="1"/>
  <c r="Z217" i="29" a="1"/>
  <c r="Z217" i="29" s="1"/>
  <c r="Z218" i="29" a="1"/>
  <c r="Z218" i="29" s="1"/>
  <c r="Z219" i="29" a="1"/>
  <c r="Z219" i="29" s="1"/>
  <c r="Z220" i="29" a="1"/>
  <c r="Z220" i="29" s="1"/>
  <c r="Z221" i="29" a="1"/>
  <c r="Z221" i="29" s="1"/>
  <c r="Z222" i="29" a="1"/>
  <c r="Z222" i="29" s="1"/>
  <c r="Z223" i="29" a="1"/>
  <c r="Z223" i="29" s="1"/>
  <c r="Z224" i="29" a="1"/>
  <c r="Z224" i="29" s="1"/>
  <c r="Z225" i="29" a="1"/>
  <c r="Z225" i="29" s="1"/>
  <c r="Z226" i="29" a="1"/>
  <c r="Z226" i="29" s="1"/>
  <c r="Z227" i="29" a="1"/>
  <c r="Z227" i="29" s="1"/>
  <c r="Z228" i="29" a="1"/>
  <c r="Z228" i="29" s="1"/>
  <c r="Z229" i="29" a="1"/>
  <c r="Z229" i="29" s="1"/>
  <c r="Z230" i="29" a="1"/>
  <c r="Z230" i="29" s="1"/>
  <c r="Z231" i="29" a="1"/>
  <c r="Z231" i="29" s="1"/>
  <c r="Z232" i="29" a="1"/>
  <c r="Z232" i="29" s="1"/>
  <c r="Z233" i="29" a="1"/>
  <c r="Z233" i="29" s="1"/>
  <c r="Z234" i="29" a="1"/>
  <c r="Z234" i="29" s="1"/>
  <c r="Z235" i="29" a="1"/>
  <c r="Z235" i="29" s="1"/>
  <c r="Z236" i="29" a="1"/>
  <c r="Z236" i="29" s="1"/>
  <c r="Z237" i="29" a="1"/>
  <c r="Z237" i="29" s="1"/>
  <c r="Z238" i="29" a="1"/>
  <c r="Z238" i="29" s="1"/>
  <c r="Z239" i="29" a="1"/>
  <c r="Z239" i="29" s="1"/>
  <c r="Z240" i="29" a="1"/>
  <c r="Z240" i="29" s="1"/>
  <c r="Z241" i="29" a="1"/>
  <c r="Z241" i="29" s="1"/>
  <c r="Z242" i="29" a="1"/>
  <c r="Z242" i="29" s="1"/>
  <c r="Z243" i="29" a="1"/>
  <c r="Z243" i="29" s="1"/>
  <c r="Z244" i="29" a="1"/>
  <c r="Z244" i="29" s="1"/>
  <c r="Z245" i="29" a="1"/>
  <c r="Z245" i="29" s="1"/>
  <c r="Z246" i="29" a="1"/>
  <c r="Z246" i="29" s="1"/>
  <c r="Z247" i="29" a="1"/>
  <c r="Z247" i="29" s="1"/>
  <c r="Z248" i="29" a="1"/>
  <c r="Z248" i="29" s="1"/>
  <c r="Z249" i="29" a="1"/>
  <c r="Z249" i="29" s="1"/>
  <c r="Z250" i="29" a="1"/>
  <c r="Z250" i="29" s="1"/>
  <c r="Z251" i="29" a="1"/>
  <c r="Z251" i="29" s="1"/>
  <c r="Z252" i="29" a="1"/>
  <c r="Z252" i="29" s="1"/>
  <c r="Z253" i="29" a="1"/>
  <c r="Z253" i="29" s="1"/>
  <c r="Z254" i="29" a="1"/>
  <c r="Z254" i="29" s="1"/>
  <c r="Z255" i="29" a="1"/>
  <c r="Z255" i="29" s="1"/>
  <c r="Z256" i="29" a="1"/>
  <c r="Z256" i="29" s="1"/>
  <c r="Z257" i="29" a="1"/>
  <c r="Z257" i="29" s="1"/>
  <c r="Z258" i="29" a="1"/>
  <c r="Z258" i="29" s="1"/>
  <c r="Z259" i="29" a="1"/>
  <c r="Z259" i="29" s="1"/>
  <c r="Z260" i="29" a="1"/>
  <c r="Z260" i="29" s="1"/>
  <c r="Z261" i="29" a="1"/>
  <c r="Z261" i="29" s="1"/>
  <c r="Z262" i="29" a="1"/>
  <c r="Z262" i="29" s="1"/>
  <c r="Z263" i="29" a="1"/>
  <c r="Z263" i="29" s="1"/>
  <c r="Z264" i="29" a="1"/>
  <c r="Z264" i="29" s="1"/>
  <c r="Z265" i="29" a="1"/>
  <c r="Z265" i="29" s="1"/>
  <c r="Z266" i="29" a="1"/>
  <c r="Z266" i="29" s="1"/>
  <c r="Z267" i="29" a="1"/>
  <c r="Z267" i="29" s="1"/>
  <c r="Z268" i="29" a="1"/>
  <c r="Z268" i="29" s="1"/>
  <c r="Z269" i="29" a="1"/>
  <c r="Z269" i="29" s="1"/>
  <c r="Z270" i="29" a="1"/>
  <c r="Z270" i="29" s="1"/>
  <c r="Z271" i="29" a="1"/>
  <c r="Z271" i="29" s="1"/>
  <c r="Z272" i="29" a="1"/>
  <c r="Z272" i="29" s="1"/>
  <c r="Z273" i="29" a="1"/>
  <c r="Z273" i="29" s="1"/>
  <c r="Z274" i="29" a="1"/>
  <c r="Z274" i="29" s="1"/>
  <c r="Z275" i="29" a="1"/>
  <c r="Z275" i="29" s="1"/>
  <c r="Z276" i="29" a="1"/>
  <c r="Z276" i="29" s="1"/>
  <c r="Z277" i="29" a="1"/>
  <c r="Z277" i="29" s="1"/>
  <c r="Z278" i="29" a="1"/>
  <c r="Z278" i="29" s="1"/>
  <c r="Z279" i="29" a="1"/>
  <c r="Z279" i="29" s="1"/>
  <c r="Z280" i="29" a="1"/>
  <c r="Z280" i="29" s="1"/>
  <c r="Z281" i="29" a="1"/>
  <c r="Z281" i="29" s="1"/>
  <c r="Z282" i="29" a="1"/>
  <c r="Z282" i="29" s="1"/>
  <c r="Z283" i="29" a="1"/>
  <c r="Z283" i="29" s="1"/>
  <c r="Z284" i="29" a="1"/>
  <c r="Z284" i="29" s="1"/>
  <c r="Z285" i="29" a="1"/>
  <c r="Z285" i="29" s="1"/>
  <c r="Z286" i="29" a="1"/>
  <c r="Z286" i="29" s="1"/>
  <c r="Z287" i="29" a="1"/>
  <c r="Z287" i="29" s="1"/>
  <c r="Z288" i="29" a="1"/>
  <c r="Z288" i="29" s="1"/>
  <c r="Z289" i="29" a="1"/>
  <c r="Z289" i="29" s="1"/>
  <c r="Z290" i="29" a="1"/>
  <c r="Z290" i="29" s="1"/>
  <c r="Z291" i="29" a="1"/>
  <c r="Z291" i="29" s="1"/>
  <c r="Z292" i="29" a="1"/>
  <c r="Z292" i="29" s="1"/>
  <c r="Z293" i="29" a="1"/>
  <c r="Z293" i="29" s="1"/>
  <c r="Z294" i="29" a="1"/>
  <c r="Z294" i="29" s="1"/>
  <c r="Z295" i="29" a="1"/>
  <c r="Z295" i="29" s="1"/>
  <c r="Z296" i="29" a="1"/>
  <c r="Z296" i="29" s="1"/>
  <c r="Z297" i="29" a="1"/>
  <c r="Z297" i="29" s="1"/>
  <c r="Z298" i="29" a="1"/>
  <c r="Z298" i="29" s="1"/>
  <c r="Z299" i="29" a="1"/>
  <c r="Z299" i="29" s="1"/>
  <c r="Z300" i="29" a="1"/>
  <c r="Z300" i="29" s="1"/>
  <c r="Z301" i="29" a="1"/>
  <c r="Z301" i="29" s="1"/>
  <c r="Z302" i="29" a="1"/>
  <c r="Z302" i="29" s="1"/>
  <c r="Z303" i="29" a="1"/>
  <c r="Z303" i="29" s="1"/>
  <c r="Z304" i="29" a="1"/>
  <c r="Z304" i="29" s="1"/>
  <c r="Z305" i="29" a="1"/>
  <c r="Z305" i="29" s="1"/>
  <c r="Z306" i="29" a="1"/>
  <c r="Z306" i="29" s="1"/>
  <c r="Z307" i="29" a="1"/>
  <c r="Z307" i="29" s="1"/>
  <c r="Z308" i="29" a="1"/>
  <c r="Z308" i="29" s="1"/>
  <c r="Z309" i="29" a="1"/>
  <c r="Z309" i="29" s="1"/>
  <c r="Z310" i="29" a="1"/>
  <c r="Z310" i="29" s="1"/>
  <c r="Z311" i="29" a="1"/>
  <c r="Z311" i="29" s="1"/>
  <c r="Z312" i="29" a="1"/>
  <c r="Z312" i="29" s="1"/>
  <c r="Z313" i="29" a="1"/>
  <c r="Z313" i="29" s="1"/>
  <c r="Z314" i="29" a="1"/>
  <c r="Z314" i="29" s="1"/>
  <c r="Z315" i="29" a="1"/>
  <c r="Z315" i="29" s="1"/>
  <c r="Z316" i="29" a="1"/>
  <c r="Z316" i="29" s="1"/>
  <c r="Z317" i="29" a="1"/>
  <c r="Z317" i="29" s="1"/>
  <c r="Z318" i="29" a="1"/>
  <c r="Z318" i="29" s="1"/>
  <c r="Z319" i="29" a="1"/>
  <c r="Z319" i="29" s="1"/>
  <c r="Z320" i="29" a="1"/>
  <c r="Z320" i="29" s="1"/>
  <c r="Z321" i="29" a="1"/>
  <c r="Z321" i="29" s="1"/>
  <c r="Z322" i="29" a="1"/>
  <c r="Z322" i="29" s="1"/>
  <c r="Z323" i="29" a="1"/>
  <c r="Z323" i="29" s="1"/>
  <c r="Z324" i="29" a="1"/>
  <c r="Z324" i="29" s="1"/>
  <c r="Z325" i="29" a="1"/>
  <c r="Z325" i="29" s="1"/>
  <c r="Z326" i="29" a="1"/>
  <c r="Z326" i="29" s="1"/>
  <c r="Z327" i="29" a="1"/>
  <c r="Z327" i="29" s="1"/>
  <c r="Z328" i="29" a="1"/>
  <c r="Z329" i="29" a="1"/>
  <c r="Z330" i="29" a="1"/>
  <c r="Z331" i="29" a="1"/>
  <c r="Z332" i="29" a="1"/>
  <c r="Z333" i="29" a="1"/>
  <c r="Z334" i="29" a="1"/>
  <c r="Z335" i="29" a="1"/>
  <c r="Z336" i="29" a="1"/>
  <c r="Z337" i="29" a="1"/>
  <c r="Z338" i="29" a="1"/>
  <c r="Z339" i="29" a="1"/>
  <c r="Z340" i="29" a="1"/>
  <c r="Z341" i="29" a="1"/>
  <c r="Z342" i="29" a="1"/>
  <c r="Z343" i="29" a="1"/>
  <c r="Z344" i="29" a="1"/>
  <c r="Z345" i="29" a="1"/>
  <c r="Z346" i="29" a="1"/>
  <c r="Z347" i="29" a="1"/>
  <c r="Z347" i="29" s="1"/>
  <c r="Z348" i="29" a="1"/>
  <c r="Z348" i="29" s="1"/>
  <c r="Z349" i="29" a="1"/>
  <c r="Z349" i="29" s="1"/>
  <c r="Z350" i="29" a="1"/>
  <c r="Z350" i="29" s="1"/>
  <c r="Z351" i="29" a="1"/>
  <c r="Z352" i="29" a="1"/>
  <c r="Z353" i="29" a="1"/>
  <c r="Z354" i="29" a="1"/>
  <c r="Z355" i="29" a="1"/>
  <c r="Z356" i="29" a="1"/>
  <c r="Z357" i="29" a="1"/>
  <c r="Z357" i="29" s="1"/>
  <c r="Z358" i="29" a="1"/>
  <c r="Z359" i="29" a="1"/>
  <c r="Z23" i="29" a="1"/>
  <c r="Z23" i="29" s="1"/>
  <c r="Y23" i="29"/>
  <c r="Y24" i="29"/>
  <c r="Y25" i="29"/>
  <c r="Y26" i="29"/>
  <c r="Y27" i="29"/>
  <c r="Y28" i="29"/>
  <c r="Y29" i="29"/>
  <c r="Y30" i="29"/>
  <c r="Y31" i="29"/>
  <c r="Y32" i="29"/>
  <c r="Y33" i="29"/>
  <c r="Y34" i="29"/>
  <c r="Y35" i="29"/>
  <c r="Y36" i="29"/>
  <c r="Y37" i="29"/>
  <c r="Y38" i="29"/>
  <c r="Y39" i="29"/>
  <c r="Y40" i="29"/>
  <c r="Y41" i="29"/>
  <c r="Y42" i="29"/>
  <c r="Y43" i="29"/>
  <c r="Y44" i="29"/>
  <c r="Y45" i="29"/>
  <c r="Y46" i="29"/>
  <c r="Y48" i="29"/>
  <c r="Y49" i="29"/>
  <c r="Y50" i="29"/>
  <c r="Y51" i="29"/>
  <c r="Y52" i="29"/>
  <c r="Y53" i="29"/>
  <c r="Y54" i="29"/>
  <c r="Y55" i="29"/>
  <c r="Y56" i="29"/>
  <c r="Y57" i="29"/>
  <c r="Y58" i="29"/>
  <c r="Y59" i="29"/>
  <c r="Y60" i="29"/>
  <c r="Y61" i="29"/>
  <c r="Y62" i="29"/>
  <c r="Y63" i="29"/>
  <c r="Y64" i="29"/>
  <c r="Y65" i="29"/>
  <c r="Y66" i="29"/>
  <c r="Y67" i="29"/>
  <c r="Y68" i="29"/>
  <c r="Y69" i="29"/>
  <c r="Y70" i="29"/>
  <c r="Y71" i="29"/>
  <c r="Y72" i="29"/>
  <c r="Y73" i="29"/>
  <c r="Y74" i="29"/>
  <c r="Y75" i="29"/>
  <c r="Y77" i="29"/>
  <c r="Y78" i="29"/>
  <c r="Y79" i="29"/>
  <c r="Y80" i="29"/>
  <c r="Y81" i="29"/>
  <c r="Y82" i="29"/>
  <c r="Y83" i="29"/>
  <c r="Y84" i="29"/>
  <c r="Y85" i="29"/>
  <c r="Y86" i="29"/>
  <c r="Y87" i="29"/>
  <c r="Y88" i="29"/>
  <c r="Y89" i="29"/>
  <c r="Y90" i="29"/>
  <c r="Y91" i="29"/>
  <c r="Y92" i="29"/>
  <c r="Y93" i="29"/>
  <c r="Y94" i="29"/>
  <c r="Y95" i="29"/>
  <c r="Y96" i="29"/>
  <c r="Y97" i="29"/>
  <c r="Y98" i="29"/>
  <c r="Y99" i="29"/>
  <c r="Y100" i="29"/>
  <c r="Y101" i="29"/>
  <c r="Y102" i="29"/>
  <c r="Y104" i="29"/>
  <c r="Y105" i="29"/>
  <c r="Y106" i="29"/>
  <c r="Y107" i="29"/>
  <c r="Y108" i="29"/>
  <c r="Y109" i="29"/>
  <c r="Y110" i="29"/>
  <c r="Y111" i="29"/>
  <c r="Y112" i="29"/>
  <c r="Y113" i="29"/>
  <c r="Y114" i="29"/>
  <c r="Y115" i="29"/>
  <c r="Y116" i="29"/>
  <c r="Y117" i="29"/>
  <c r="Y118" i="29"/>
  <c r="Y119" i="29"/>
  <c r="Y120" i="29"/>
  <c r="Y121" i="29"/>
  <c r="Y122" i="29"/>
  <c r="Y123" i="29"/>
  <c r="Y124" i="29"/>
  <c r="Y125" i="29"/>
  <c r="Y126" i="29"/>
  <c r="Y127" i="29"/>
  <c r="Y128" i="29"/>
  <c r="Y129" i="29"/>
  <c r="Y130" i="29"/>
  <c r="Y131" i="29"/>
  <c r="Y132" i="29"/>
  <c r="Y133" i="29"/>
  <c r="Y134" i="29"/>
  <c r="Y135" i="29"/>
  <c r="Y136" i="29"/>
  <c r="Y137" i="29"/>
  <c r="Y138" i="29"/>
  <c r="Y139" i="29"/>
  <c r="Y140" i="29"/>
  <c r="Y141" i="29"/>
  <c r="Y142" i="29"/>
  <c r="Y143" i="29"/>
  <c r="Y144" i="29"/>
  <c r="Y145" i="29"/>
  <c r="Y146" i="29"/>
  <c r="Y147" i="29"/>
  <c r="Y148" i="29"/>
  <c r="Y149" i="29"/>
  <c r="Y150" i="29"/>
  <c r="Y151" i="29"/>
  <c r="Y152" i="29"/>
  <c r="Y153" i="29"/>
  <c r="Y154" i="29"/>
  <c r="Y155" i="29"/>
  <c r="Y156" i="29"/>
  <c r="Y157" i="29"/>
  <c r="Y158" i="29"/>
  <c r="Y159" i="29"/>
  <c r="Y160" i="29"/>
  <c r="Y161" i="29"/>
  <c r="Y162" i="29"/>
  <c r="Y163" i="29"/>
  <c r="Y164" i="29"/>
  <c r="Y165" i="29"/>
  <c r="Y166" i="29"/>
  <c r="Y167" i="29"/>
  <c r="Y168" i="29"/>
  <c r="Y169" i="29"/>
  <c r="Y170" i="29"/>
  <c r="Y171" i="29"/>
  <c r="Y172" i="29"/>
  <c r="Y173" i="29"/>
  <c r="Y174" i="29"/>
  <c r="Y175" i="29"/>
  <c r="Y176" i="29"/>
  <c r="Y177" i="29"/>
  <c r="Y178" i="29"/>
  <c r="Y179" i="29"/>
  <c r="Y180" i="29"/>
  <c r="Y181" i="29"/>
  <c r="Y182" i="29"/>
  <c r="Y183" i="29"/>
  <c r="Y184" i="29"/>
  <c r="Y185" i="29"/>
  <c r="Y186" i="29"/>
  <c r="Y187" i="29"/>
  <c r="Y188" i="29"/>
  <c r="Y189" i="29"/>
  <c r="Y190" i="29"/>
  <c r="Y191" i="29"/>
  <c r="Y192" i="29"/>
  <c r="Y193" i="29"/>
  <c r="Y194" i="29"/>
  <c r="Y195" i="29"/>
  <c r="Y196" i="29"/>
  <c r="Y197" i="29"/>
  <c r="Y198" i="29"/>
  <c r="Y199" i="29"/>
  <c r="Y200" i="29"/>
  <c r="Y201" i="29"/>
  <c r="Y202" i="29"/>
  <c r="Y203" i="29"/>
  <c r="Y204" i="29"/>
  <c r="Y205" i="29"/>
  <c r="Y206" i="29"/>
  <c r="Y207" i="29"/>
  <c r="Y208" i="29"/>
  <c r="Y209" i="29"/>
  <c r="Y210" i="29"/>
  <c r="Y211" i="29"/>
  <c r="Y212" i="29"/>
  <c r="Y213" i="29"/>
  <c r="Y214" i="29"/>
  <c r="Y215" i="29"/>
  <c r="Y216" i="29"/>
  <c r="Y217" i="29"/>
  <c r="Y218" i="29"/>
  <c r="Y219" i="29"/>
  <c r="Y220" i="29"/>
  <c r="Y221" i="29"/>
  <c r="Y222" i="29"/>
  <c r="Y223" i="29"/>
  <c r="Y224" i="29"/>
  <c r="Y225" i="29"/>
  <c r="Y226" i="29"/>
  <c r="Y227" i="29"/>
  <c r="Y228" i="29"/>
  <c r="Y229" i="29"/>
  <c r="Y230" i="29"/>
  <c r="Y231" i="29"/>
  <c r="Y232" i="29"/>
  <c r="Y233" i="29"/>
  <c r="Y234" i="29"/>
  <c r="Y235" i="29"/>
  <c r="Y236" i="29"/>
  <c r="Y237" i="29"/>
  <c r="Y238" i="29"/>
  <c r="Y239" i="29"/>
  <c r="Y240" i="29"/>
  <c r="Y241" i="29"/>
  <c r="Y242" i="29"/>
  <c r="Y243" i="29"/>
  <c r="Y244" i="29"/>
  <c r="Y245" i="29"/>
  <c r="Y246" i="29"/>
  <c r="Y247" i="29"/>
  <c r="Y248" i="29"/>
  <c r="Y249" i="29"/>
  <c r="Y250" i="29"/>
  <c r="Y251" i="29"/>
  <c r="Y252" i="29"/>
  <c r="Y253" i="29"/>
  <c r="Y254" i="29"/>
  <c r="Y255" i="29"/>
  <c r="Y256" i="29"/>
  <c r="Y257" i="29"/>
  <c r="Y258" i="29"/>
  <c r="Y259" i="29"/>
  <c r="Y260" i="29"/>
  <c r="Y261" i="29"/>
  <c r="Y262" i="29"/>
  <c r="Y263" i="29"/>
  <c r="Y264" i="29"/>
  <c r="Y265" i="29"/>
  <c r="Y266" i="29"/>
  <c r="Y267" i="29"/>
  <c r="Y268" i="29"/>
  <c r="Y269" i="29"/>
  <c r="Y270" i="29"/>
  <c r="Y271" i="29"/>
  <c r="Y272" i="29"/>
  <c r="Y273" i="29"/>
  <c r="Y274" i="29"/>
  <c r="Y275" i="29"/>
  <c r="Y276" i="29"/>
  <c r="Y277" i="29"/>
  <c r="Y278" i="29"/>
  <c r="Y279" i="29"/>
  <c r="Y280" i="29"/>
  <c r="Y281" i="29"/>
  <c r="Y282" i="29"/>
  <c r="Y283" i="29"/>
  <c r="Y284" i="29"/>
  <c r="Y285" i="29"/>
  <c r="Y286" i="29"/>
  <c r="Y287" i="29"/>
  <c r="Y288" i="29"/>
  <c r="Y289" i="29"/>
  <c r="Y290" i="29"/>
  <c r="Y291" i="29"/>
  <c r="Y292" i="29"/>
  <c r="Y293" i="29"/>
  <c r="Y294" i="29"/>
  <c r="Y295" i="29"/>
  <c r="Y296" i="29"/>
  <c r="Y297" i="29"/>
  <c r="Y298" i="29"/>
  <c r="Y299" i="29"/>
  <c r="Y300" i="29"/>
  <c r="Y301" i="29"/>
  <c r="Y302" i="29"/>
  <c r="Y303" i="29"/>
  <c r="Y304" i="29"/>
  <c r="Y305" i="29"/>
  <c r="Y306" i="29"/>
  <c r="Y307" i="29"/>
  <c r="Y308" i="29"/>
  <c r="Y309" i="29"/>
  <c r="Y310" i="29"/>
  <c r="Y311" i="29"/>
  <c r="Y312" i="29"/>
  <c r="Y313" i="29"/>
  <c r="Y314" i="29"/>
  <c r="Y315" i="29"/>
  <c r="Y316" i="29"/>
  <c r="Y317" i="29"/>
  <c r="Y318" i="29"/>
  <c r="Y319" i="29"/>
  <c r="Y320" i="29"/>
  <c r="Y321" i="29"/>
  <c r="Y322" i="29"/>
  <c r="Y323" i="29"/>
  <c r="Y324" i="29"/>
  <c r="Y325" i="29"/>
  <c r="Y326" i="29"/>
  <c r="Y327" i="29"/>
  <c r="Y347" i="29"/>
  <c r="Y348" i="29"/>
  <c r="Y349" i="29"/>
  <c r="Y350" i="29"/>
  <c r="Y357" i="29"/>
  <c r="X22" i="40" l="1"/>
  <c r="W22" i="40"/>
  <c r="X21" i="40" l="1"/>
  <c r="W21" i="40"/>
  <c r="X20" i="40"/>
  <c r="W20" i="40"/>
  <c r="AO169" i="53" l="1"/>
  <c r="AP169" i="53"/>
  <c r="AG100" i="53"/>
  <c r="AO100" i="53"/>
  <c r="AP100" i="53"/>
  <c r="AR127" i="53"/>
  <c r="AR119" i="53"/>
  <c r="AO170" i="53"/>
  <c r="AO127" i="53"/>
  <c r="AO119" i="53"/>
  <c r="AI127" i="53"/>
  <c r="AI119" i="53"/>
  <c r="AP170" i="53"/>
  <c r="AP127" i="53"/>
  <c r="AP119" i="53"/>
  <c r="AK294" i="53" l="1"/>
  <c r="AI294" i="53"/>
  <c r="AO294" i="53"/>
  <c r="AP294" i="53"/>
  <c r="W618" i="55"/>
  <c r="T618" i="55"/>
  <c r="Q618" i="55"/>
  <c r="P618" i="55"/>
  <c r="T619" i="55"/>
  <c r="T617" i="55"/>
  <c r="H418" i="55" l="1"/>
  <c r="M37" i="21" l="1"/>
  <c r="L131" i="55" l="1"/>
  <c r="H400" i="55" l="1"/>
  <c r="H360" i="55"/>
  <c r="H683" i="55"/>
  <c r="AV260" i="53"/>
  <c r="AV152" i="53"/>
  <c r="M44" i="21"/>
  <c r="N44" i="21" s="1"/>
  <c r="M40" i="21"/>
  <c r="N40" i="21" s="1"/>
  <c r="M32" i="21"/>
  <c r="M33" i="21"/>
  <c r="M31" i="21"/>
  <c r="M27" i="21"/>
  <c r="N27" i="21" s="1"/>
  <c r="M26" i="21"/>
  <c r="N26" i="21" s="1"/>
  <c r="N31" i="21" l="1"/>
  <c r="BM357" i="1" l="1"/>
  <c r="T357" i="1"/>
  <c r="U357" i="1"/>
  <c r="V357" i="1"/>
  <c r="W357" i="1"/>
  <c r="X357" i="1"/>
  <c r="M41" i="21" l="1"/>
  <c r="E3" i="21" l="1"/>
  <c r="F3" i="21" s="1"/>
  <c r="G3" i="21" s="1"/>
  <c r="H3" i="21" s="1"/>
  <c r="I3" i="21" s="1"/>
  <c r="AF21" i="1" l="1"/>
  <c r="M39" i="21"/>
  <c r="M22" i="21"/>
  <c r="M29" i="21"/>
  <c r="M30" i="21"/>
  <c r="M38" i="21"/>
  <c r="M35" i="21"/>
  <c r="M36" i="21"/>
  <c r="M42" i="21"/>
  <c r="M25" i="21"/>
  <c r="BM359" i="1" l="1"/>
  <c r="BM358" i="1"/>
  <c r="Z358" i="29" l="1"/>
  <c r="Y358" i="29"/>
  <c r="Y359" i="29"/>
  <c r="Z359" i="29"/>
  <c r="X359" i="1"/>
  <c r="S359" i="1"/>
  <c r="R359" i="1"/>
  <c r="T359" i="1"/>
  <c r="Q359" i="1"/>
  <c r="U358" i="1"/>
  <c r="V358" i="1"/>
  <c r="Q358" i="1"/>
  <c r="W358" i="1"/>
  <c r="T358" i="1"/>
  <c r="X358" i="1"/>
  <c r="X729" i="55" l="1"/>
  <c r="W729" i="55"/>
  <c r="T729" i="55"/>
  <c r="X827" i="55"/>
  <c r="X831" i="55"/>
  <c r="X830" i="55"/>
  <c r="X829" i="55"/>
  <c r="S828" i="55"/>
  <c r="X828" i="55" s="1"/>
  <c r="X783" i="55"/>
  <c r="X781" i="55"/>
  <c r="X780" i="55"/>
  <c r="X779" i="55"/>
  <c r="X777" i="55"/>
  <c r="X772" i="55"/>
  <c r="X770" i="55"/>
  <c r="X769" i="55"/>
  <c r="X767" i="55"/>
  <c r="X766" i="55"/>
  <c r="X765" i="55"/>
  <c r="X764" i="55"/>
  <c r="X763" i="55"/>
  <c r="X759" i="55"/>
  <c r="X758" i="55"/>
  <c r="X753" i="55"/>
  <c r="X749" i="55"/>
  <c r="X747" i="55"/>
  <c r="X746" i="55"/>
  <c r="X744" i="55"/>
  <c r="X743" i="55"/>
  <c r="X738" i="55"/>
  <c r="X736" i="55"/>
  <c r="X735" i="55"/>
  <c r="X732" i="55"/>
  <c r="X728" i="55"/>
  <c r="X725" i="55"/>
  <c r="X715" i="55"/>
  <c r="X708" i="55"/>
  <c r="X703" i="55"/>
  <c r="X701" i="55"/>
  <c r="X700" i="55"/>
  <c r="X699" i="55"/>
  <c r="X691" i="55"/>
  <c r="X689" i="55"/>
  <c r="X679" i="55"/>
  <c r="X678" i="55"/>
  <c r="X677" i="55"/>
  <c r="X676" i="55"/>
  <c r="X674" i="55"/>
  <c r="X672" i="55"/>
  <c r="X668" i="55"/>
  <c r="X666" i="55"/>
  <c r="X665" i="55"/>
  <c r="X639" i="55"/>
  <c r="X638" i="55"/>
  <c r="X637" i="55"/>
  <c r="X636" i="55"/>
  <c r="X632" i="55"/>
  <c r="X628" i="55"/>
  <c r="X627" i="55"/>
  <c r="X626" i="55"/>
  <c r="X625" i="55"/>
  <c r="X623" i="55"/>
  <c r="X620" i="55"/>
  <c r="X619" i="55"/>
  <c r="X617" i="55"/>
  <c r="X616" i="55"/>
  <c r="X615" i="55"/>
  <c r="X614" i="55"/>
  <c r="X613" i="55"/>
  <c r="X612" i="55"/>
  <c r="X611" i="55"/>
  <c r="X610" i="55"/>
  <c r="X609" i="55"/>
  <c r="X608" i="55"/>
  <c r="X607" i="55"/>
  <c r="X606" i="55"/>
  <c r="X605" i="55"/>
  <c r="X604" i="55"/>
  <c r="X603" i="55"/>
  <c r="X602" i="55"/>
  <c r="X601" i="55"/>
  <c r="X600" i="55"/>
  <c r="X599" i="55"/>
  <c r="X598" i="55"/>
  <c r="X596" i="55"/>
  <c r="X590" i="55"/>
  <c r="X588" i="55"/>
  <c r="X585" i="55"/>
  <c r="X584" i="55"/>
  <c r="X578" i="55"/>
  <c r="X575" i="55"/>
  <c r="X569" i="55"/>
  <c r="X565" i="55"/>
  <c r="X564" i="55"/>
  <c r="X563" i="55"/>
  <c r="X562" i="55"/>
  <c r="X561" i="55"/>
  <c r="X560" i="55"/>
  <c r="X558" i="55"/>
  <c r="X554" i="55"/>
  <c r="X553" i="55"/>
  <c r="X552" i="55"/>
  <c r="X549" i="55"/>
  <c r="X545" i="55"/>
  <c r="X540" i="55"/>
  <c r="X539" i="55"/>
  <c r="X537" i="55"/>
  <c r="X536" i="55"/>
  <c r="X524" i="55"/>
  <c r="X523" i="55"/>
  <c r="X522" i="55"/>
  <c r="X521" i="55"/>
  <c r="X520" i="55"/>
  <c r="X519" i="55"/>
  <c r="X518" i="55"/>
  <c r="X517" i="55"/>
  <c r="X515" i="55"/>
  <c r="X514" i="55"/>
  <c r="X510" i="55"/>
  <c r="X508" i="55"/>
  <c r="X499" i="55"/>
  <c r="X492" i="55"/>
  <c r="X491" i="55"/>
  <c r="X488" i="55"/>
  <c r="X487" i="55"/>
  <c r="X482" i="55"/>
  <c r="X481" i="55"/>
  <c r="X480" i="55"/>
  <c r="X479" i="55"/>
  <c r="X478" i="55"/>
  <c r="X477" i="55"/>
  <c r="X476" i="55"/>
  <c r="X475" i="55"/>
  <c r="X474" i="55"/>
  <c r="X473" i="55"/>
  <c r="X472" i="55"/>
  <c r="X471" i="55"/>
  <c r="X466" i="55"/>
  <c r="X461" i="55"/>
  <c r="X456" i="55"/>
  <c r="X450" i="55"/>
  <c r="X449" i="55"/>
  <c r="X448" i="55"/>
  <c r="X446" i="55"/>
  <c r="X445" i="55"/>
  <c r="X444" i="55"/>
  <c r="X443" i="55"/>
  <c r="X441" i="55"/>
  <c r="X440" i="55"/>
  <c r="X439" i="55"/>
  <c r="X438" i="55"/>
  <c r="X437" i="55"/>
  <c r="X436" i="55"/>
  <c r="X435" i="55"/>
  <c r="X433" i="55"/>
  <c r="X430" i="55"/>
  <c r="X429" i="55"/>
  <c r="X427" i="55"/>
  <c r="X426" i="55"/>
  <c r="X419" i="55"/>
  <c r="X416" i="55"/>
  <c r="X415" i="55"/>
  <c r="X411" i="55"/>
  <c r="X409" i="55"/>
  <c r="X405" i="55"/>
  <c r="X404" i="55"/>
  <c r="X403" i="55"/>
  <c r="X402" i="55"/>
  <c r="X401" i="55"/>
  <c r="X395" i="55"/>
  <c r="X394" i="55"/>
  <c r="X392" i="55"/>
  <c r="X391" i="55"/>
  <c r="X390" i="55"/>
  <c r="X389" i="55"/>
  <c r="X388" i="55"/>
  <c r="X387" i="55"/>
  <c r="X386" i="55"/>
  <c r="X385" i="55"/>
  <c r="X384" i="55"/>
  <c r="X383" i="55"/>
  <c r="X382" i="55"/>
  <c r="X381" i="55"/>
  <c r="X380" i="55"/>
  <c r="X379" i="55"/>
  <c r="X378" i="55"/>
  <c r="X376" i="55"/>
  <c r="X375" i="55"/>
  <c r="X374" i="55"/>
  <c r="X373" i="55"/>
  <c r="X372" i="55"/>
  <c r="X371" i="55"/>
  <c r="X370" i="55"/>
  <c r="X369" i="55"/>
  <c r="X368" i="55"/>
  <c r="X367" i="55"/>
  <c r="X366" i="55"/>
  <c r="X365" i="55"/>
  <c r="X364" i="55"/>
  <c r="X363" i="55"/>
  <c r="X362" i="55"/>
  <c r="X361" i="55"/>
  <c r="X360" i="55"/>
  <c r="X359" i="55"/>
  <c r="X358" i="55"/>
  <c r="X357" i="55"/>
  <c r="X356" i="55"/>
  <c r="X355" i="55"/>
  <c r="X354" i="55"/>
  <c r="X353" i="55"/>
  <c r="X352" i="55"/>
  <c r="X351" i="55"/>
  <c r="X349" i="55"/>
  <c r="X348" i="55"/>
  <c r="X347" i="55"/>
  <c r="X346" i="55"/>
  <c r="X345" i="55"/>
  <c r="X344" i="55"/>
  <c r="X343" i="55"/>
  <c r="X342" i="55"/>
  <c r="X341" i="55"/>
  <c r="X340" i="55"/>
  <c r="X339" i="55"/>
  <c r="X338" i="55"/>
  <c r="X337" i="55"/>
  <c r="X336" i="55"/>
  <c r="X335" i="55"/>
  <c r="X334" i="55"/>
  <c r="X333" i="55"/>
  <c r="X332" i="55"/>
  <c r="X331" i="55"/>
  <c r="X330" i="55"/>
  <c r="X329" i="55"/>
  <c r="X328" i="55"/>
  <c r="X327" i="55"/>
  <c r="X326" i="55"/>
  <c r="X324" i="55"/>
  <c r="X323" i="55"/>
  <c r="X322" i="55"/>
  <c r="X321" i="55"/>
  <c r="X320" i="55"/>
  <c r="X319" i="55"/>
  <c r="X318" i="55"/>
  <c r="X316" i="55"/>
  <c r="X315" i="55"/>
  <c r="X314" i="55"/>
  <c r="X313" i="55"/>
  <c r="X312" i="55"/>
  <c r="X311" i="55"/>
  <c r="X310" i="55"/>
  <c r="X309" i="55"/>
  <c r="X308" i="55"/>
  <c r="X307" i="55"/>
  <c r="X306" i="55"/>
  <c r="X305" i="55"/>
  <c r="X304" i="55"/>
  <c r="X303" i="55"/>
  <c r="X302" i="55"/>
  <c r="X301" i="55"/>
  <c r="X300" i="55"/>
  <c r="X299" i="55"/>
  <c r="X298" i="55"/>
  <c r="X297" i="55"/>
  <c r="X296" i="55"/>
  <c r="X295" i="55"/>
  <c r="X294" i="55"/>
  <c r="X293" i="55"/>
  <c r="X291" i="55"/>
  <c r="X290" i="55"/>
  <c r="X289" i="55"/>
  <c r="X288" i="55"/>
  <c r="X287" i="55"/>
  <c r="X286" i="55"/>
  <c r="X285" i="55"/>
  <c r="X284" i="55"/>
  <c r="X283" i="55"/>
  <c r="X282" i="55"/>
  <c r="X281" i="55"/>
  <c r="X280" i="55"/>
  <c r="X279" i="55"/>
  <c r="X278" i="55"/>
  <c r="X277" i="55"/>
  <c r="X276" i="55"/>
  <c r="X275" i="55"/>
  <c r="X274" i="55"/>
  <c r="X273" i="55"/>
  <c r="X272" i="55"/>
  <c r="X271" i="55"/>
  <c r="X270" i="55"/>
  <c r="X269" i="55"/>
  <c r="X268" i="55"/>
  <c r="X267" i="55"/>
  <c r="X266" i="55"/>
  <c r="X265" i="55"/>
  <c r="X264" i="55"/>
  <c r="X263" i="55"/>
  <c r="X262" i="55"/>
  <c r="X261" i="55"/>
  <c r="X260" i="55"/>
  <c r="X259" i="55"/>
  <c r="X258" i="55"/>
  <c r="X257" i="55"/>
  <c r="X256" i="55"/>
  <c r="X255" i="55"/>
  <c r="X254" i="55"/>
  <c r="X253" i="55"/>
  <c r="X252" i="55"/>
  <c r="X251" i="55"/>
  <c r="X250" i="55"/>
  <c r="X249" i="55"/>
  <c r="X248" i="55"/>
  <c r="X247" i="55"/>
  <c r="X245" i="55"/>
  <c r="X244" i="55"/>
  <c r="X243" i="55"/>
  <c r="X242" i="55"/>
  <c r="X241" i="55"/>
  <c r="X240" i="55"/>
  <c r="X239" i="55"/>
  <c r="X238" i="55"/>
  <c r="X237" i="55"/>
  <c r="X236" i="55"/>
  <c r="X235" i="55"/>
  <c r="X234" i="55"/>
  <c r="X233" i="55"/>
  <c r="X232" i="55"/>
  <c r="X231" i="55"/>
  <c r="X230" i="55"/>
  <c r="X229" i="55"/>
  <c r="X228" i="55"/>
  <c r="X227" i="55"/>
  <c r="X226" i="55"/>
  <c r="X225" i="55"/>
  <c r="X224" i="55"/>
  <c r="X223" i="55"/>
  <c r="X222" i="55"/>
  <c r="X221" i="55"/>
  <c r="X220" i="55"/>
  <c r="X219" i="55"/>
  <c r="X218" i="55"/>
  <c r="X217" i="55"/>
  <c r="X216" i="55"/>
  <c r="X215" i="55"/>
  <c r="X214" i="55"/>
  <c r="X213" i="55"/>
  <c r="X212" i="55"/>
  <c r="X211" i="55"/>
  <c r="X210" i="55"/>
  <c r="X209" i="55"/>
  <c r="X207" i="55"/>
  <c r="X206" i="55"/>
  <c r="X205" i="55"/>
  <c r="X204" i="55"/>
  <c r="X203" i="55"/>
  <c r="X202" i="55"/>
  <c r="X201" i="55"/>
  <c r="X200" i="55"/>
  <c r="X199" i="55"/>
  <c r="X198" i="55"/>
  <c r="X197" i="55"/>
  <c r="X196" i="55"/>
  <c r="X195" i="55"/>
  <c r="X194" i="55"/>
  <c r="X193" i="55"/>
  <c r="N30" i="21"/>
  <c r="N29" i="21"/>
  <c r="N25" i="21"/>
  <c r="F4" i="55"/>
  <c r="G4" i="55" s="1"/>
  <c r="H4" i="55" s="1"/>
  <c r="I4" i="55" s="1"/>
  <c r="J4" i="55" s="1"/>
  <c r="K4" i="55" s="1"/>
  <c r="L4" i="55" s="1"/>
  <c r="M4" i="55" s="1"/>
  <c r="N4" i="55" s="1"/>
  <c r="O4" i="55" s="1"/>
  <c r="P4" i="55" s="1"/>
  <c r="Q4" i="55" s="1"/>
  <c r="R4" i="55" s="1"/>
  <c r="S4" i="55" s="1"/>
  <c r="T4" i="55" s="1"/>
  <c r="U4" i="55" s="1"/>
  <c r="V4" i="55" s="1"/>
  <c r="W4" i="55" s="1"/>
  <c r="F2" i="55"/>
  <c r="G2" i="55" s="1"/>
  <c r="AB1" i="55"/>
  <c r="F1" i="55"/>
  <c r="G1" i="55" l="1"/>
  <c r="H2" i="55"/>
  <c r="H1" i="55" l="1"/>
  <c r="I2" i="55"/>
  <c r="J2" i="55" l="1"/>
  <c r="I1" i="55"/>
  <c r="K2" i="55" l="1"/>
  <c r="J1" i="55"/>
  <c r="L2" i="55" l="1"/>
  <c r="K1" i="55"/>
  <c r="M2" i="55" l="1"/>
  <c r="L1" i="55"/>
  <c r="M1" i="55" l="1"/>
  <c r="N2" i="55"/>
  <c r="O2" i="55" l="1"/>
  <c r="N1" i="55"/>
  <c r="P2" i="55" l="1"/>
  <c r="O1" i="55"/>
  <c r="P1" i="55" l="1"/>
  <c r="Q2" i="55"/>
  <c r="Q1" i="55" l="1"/>
  <c r="R2" i="55"/>
  <c r="S2" i="55" l="1"/>
  <c r="R1" i="55"/>
  <c r="T2" i="55" l="1"/>
  <c r="S1" i="55"/>
  <c r="U2" i="55" l="1"/>
  <c r="T1" i="55"/>
  <c r="U1" i="55" l="1"/>
  <c r="V2" i="55"/>
  <c r="W2" i="55" l="1"/>
  <c r="V1" i="55"/>
  <c r="X192" i="55" l="1"/>
  <c r="X191" i="55"/>
  <c r="X190" i="55"/>
  <c r="X189" i="55"/>
  <c r="X188" i="55"/>
  <c r="X187" i="55"/>
  <c r="X186" i="55"/>
  <c r="X185" i="55"/>
  <c r="X184" i="55"/>
  <c r="X183" i="55"/>
  <c r="X182" i="55"/>
  <c r="X181" i="55"/>
  <c r="X180" i="55"/>
  <c r="X179" i="55"/>
  <c r="X178" i="55"/>
  <c r="X177" i="55"/>
  <c r="X176" i="55"/>
  <c r="X175" i="55"/>
  <c r="X174" i="55"/>
  <c r="X173" i="55"/>
  <c r="X172" i="55"/>
  <c r="X171" i="55"/>
  <c r="X170" i="55"/>
  <c r="X169" i="55"/>
  <c r="X168" i="55"/>
  <c r="X167" i="55"/>
  <c r="X166" i="55"/>
  <c r="X165" i="55"/>
  <c r="X164" i="55"/>
  <c r="X163" i="55"/>
  <c r="X162" i="55"/>
  <c r="X152" i="55"/>
  <c r="X150" i="55"/>
  <c r="X148" i="55"/>
  <c r="X146" i="55"/>
  <c r="X144" i="55"/>
  <c r="X141" i="55"/>
  <c r="X137" i="55"/>
  <c r="X133" i="55"/>
  <c r="X160" i="55"/>
  <c r="X158" i="55"/>
  <c r="X156" i="55"/>
  <c r="X154" i="55"/>
  <c r="X142" i="55"/>
  <c r="X138" i="55"/>
  <c r="X134" i="55"/>
  <c r="X151" i="55"/>
  <c r="X149" i="55"/>
  <c r="X147" i="55"/>
  <c r="X145" i="55"/>
  <c r="X143" i="55"/>
  <c r="X139" i="55"/>
  <c r="X135" i="55"/>
  <c r="X161" i="55"/>
  <c r="X159" i="55"/>
  <c r="X157" i="55"/>
  <c r="X155" i="55"/>
  <c r="X153" i="55"/>
  <c r="X140" i="55"/>
  <c r="X136" i="55"/>
  <c r="X132" i="55"/>
  <c r="X131" i="55"/>
  <c r="X130" i="55"/>
  <c r="X129" i="55"/>
  <c r="X128" i="55"/>
  <c r="X127" i="55"/>
  <c r="X126" i="55"/>
  <c r="X125" i="55"/>
  <c r="X124" i="55"/>
  <c r="X123" i="55"/>
  <c r="X122" i="55"/>
  <c r="X121" i="55"/>
  <c r="X120" i="55"/>
  <c r="X119" i="55"/>
  <c r="X118" i="55"/>
  <c r="X117" i="55"/>
  <c r="X116" i="55"/>
  <c r="X115" i="55"/>
  <c r="X114" i="55"/>
  <c r="X113" i="55"/>
  <c r="X112" i="55"/>
  <c r="X111" i="55"/>
  <c r="X110" i="55"/>
  <c r="X109" i="55"/>
  <c r="X108" i="55"/>
  <c r="X107" i="55"/>
  <c r="X105" i="55"/>
  <c r="X103" i="55"/>
  <c r="X101" i="55"/>
  <c r="X99" i="55"/>
  <c r="X97" i="55"/>
  <c r="X95" i="55"/>
  <c r="X93" i="55"/>
  <c r="X88" i="55"/>
  <c r="X84" i="55"/>
  <c r="X40" i="55"/>
  <c r="X36" i="55"/>
  <c r="X28" i="55"/>
  <c r="X27" i="55"/>
  <c r="X20" i="55"/>
  <c r="X15" i="55"/>
  <c r="X89" i="55"/>
  <c r="X85" i="55"/>
  <c r="X81" i="55"/>
  <c r="X35" i="55"/>
  <c r="X34" i="55"/>
  <c r="X29" i="55"/>
  <c r="X21" i="55"/>
  <c r="X16" i="55"/>
  <c r="X106" i="55"/>
  <c r="X104" i="55"/>
  <c r="X102" i="55"/>
  <c r="X100" i="55"/>
  <c r="X98" i="55"/>
  <c r="X96" i="55"/>
  <c r="X94" i="55"/>
  <c r="X91" i="55"/>
  <c r="X90" i="55"/>
  <c r="X86" i="55"/>
  <c r="X82" i="55"/>
  <c r="X37" i="55"/>
  <c r="X33" i="55"/>
  <c r="X32" i="55"/>
  <c r="X31" i="55"/>
  <c r="X26" i="55"/>
  <c r="X25" i="55"/>
  <c r="X22" i="55"/>
  <c r="X14" i="55"/>
  <c r="X92" i="55"/>
  <c r="X87" i="55"/>
  <c r="X83" i="55"/>
  <c r="X80" i="55"/>
  <c r="X79" i="55"/>
  <c r="X78" i="55"/>
  <c r="X77" i="55"/>
  <c r="X76" i="55"/>
  <c r="X75" i="55"/>
  <c r="X74" i="55"/>
  <c r="X73" i="55"/>
  <c r="X72" i="55"/>
  <c r="X71" i="55"/>
  <c r="X70" i="55"/>
  <c r="X69" i="55"/>
  <c r="X68" i="55"/>
  <c r="X67" i="55"/>
  <c r="X66" i="55"/>
  <c r="X65" i="55"/>
  <c r="X64" i="55"/>
  <c r="X63" i="55"/>
  <c r="X62" i="55"/>
  <c r="X61" i="55"/>
  <c r="X60" i="55"/>
  <c r="X59" i="55"/>
  <c r="X58" i="55"/>
  <c r="X57" i="55"/>
  <c r="X56" i="55"/>
  <c r="X55" i="55"/>
  <c r="X54" i="55"/>
  <c r="X53" i="55"/>
  <c r="X52" i="55"/>
  <c r="X51" i="55"/>
  <c r="X50" i="55"/>
  <c r="X49" i="55"/>
  <c r="X48" i="55"/>
  <c r="X47" i="55"/>
  <c r="X46" i="55"/>
  <c r="X45" i="55"/>
  <c r="X44" i="55"/>
  <c r="X43" i="55"/>
  <c r="X42" i="55"/>
  <c r="X41" i="55"/>
  <c r="X39" i="55"/>
  <c r="X38" i="55"/>
  <c r="X30" i="55"/>
  <c r="X24" i="55"/>
  <c r="X23" i="55"/>
  <c r="X19" i="55"/>
  <c r="X18" i="55"/>
  <c r="X17" i="55"/>
  <c r="X13" i="55"/>
  <c r="X11" i="55"/>
  <c r="X9" i="55"/>
  <c r="X7" i="55"/>
  <c r="X12" i="55"/>
  <c r="X10" i="55"/>
  <c r="X8" i="55"/>
  <c r="X6" i="55"/>
  <c r="W1" i="55"/>
  <c r="X778" i="55" l="1"/>
  <c r="X782" i="55"/>
  <c r="X776" i="55"/>
  <c r="X775" i="55"/>
  <c r="X774" i="55"/>
  <c r="X773" i="55"/>
  <c r="X771" i="55"/>
  <c r="X737" i="55"/>
  <c r="X757" i="55"/>
  <c r="X756" i="55"/>
  <c r="X755" i="55"/>
  <c r="X754" i="55"/>
  <c r="X745" i="55"/>
  <c r="X768" i="55"/>
  <c r="X752" i="55"/>
  <c r="X751" i="55"/>
  <c r="X750" i="55"/>
  <c r="X762" i="55"/>
  <c r="X761" i="55"/>
  <c r="X760" i="55"/>
  <c r="X748" i="55"/>
  <c r="X742" i="55"/>
  <c r="X741" i="55"/>
  <c r="X740" i="55"/>
  <c r="X739" i="55"/>
  <c r="X707" i="55"/>
  <c r="X706" i="55"/>
  <c r="X705" i="55"/>
  <c r="X704" i="55"/>
  <c r="X698" i="55"/>
  <c r="X697" i="55"/>
  <c r="X696" i="55"/>
  <c r="X695" i="55"/>
  <c r="X694" i="55"/>
  <c r="X693" i="55"/>
  <c r="X692" i="55"/>
  <c r="X727" i="55"/>
  <c r="X726" i="55"/>
  <c r="X702" i="55"/>
  <c r="X690" i="55"/>
  <c r="X734" i="55"/>
  <c r="X733" i="55"/>
  <c r="X724" i="55"/>
  <c r="X723" i="55"/>
  <c r="X722" i="55"/>
  <c r="X721" i="55"/>
  <c r="X720" i="55"/>
  <c r="X719" i="55"/>
  <c r="X718" i="55"/>
  <c r="X717" i="55"/>
  <c r="X716" i="55"/>
  <c r="X731" i="55"/>
  <c r="X730" i="55"/>
  <c r="X714" i="55"/>
  <c r="X713" i="55"/>
  <c r="X712" i="55"/>
  <c r="X711" i="55"/>
  <c r="X710" i="55"/>
  <c r="X709" i="55"/>
  <c r="X688" i="55"/>
  <c r="X687" i="55"/>
  <c r="X686" i="55"/>
  <c r="X685" i="55"/>
  <c r="X684" i="55"/>
  <c r="X683" i="55"/>
  <c r="X682" i="55"/>
  <c r="X681" i="55"/>
  <c r="X680" i="55"/>
  <c r="X675" i="55"/>
  <c r="X673" i="55"/>
  <c r="X664" i="55"/>
  <c r="X663" i="55"/>
  <c r="X662" i="55"/>
  <c r="X661" i="55"/>
  <c r="X660" i="55"/>
  <c r="X659" i="55"/>
  <c r="X658" i="55"/>
  <c r="X657" i="55"/>
  <c r="X656" i="55"/>
  <c r="X655" i="55"/>
  <c r="X671" i="55"/>
  <c r="X670" i="55"/>
  <c r="X669" i="55"/>
  <c r="X667" i="55"/>
  <c r="X652" i="55"/>
  <c r="X648" i="55"/>
  <c r="X646" i="55"/>
  <c r="X645" i="55"/>
  <c r="X644" i="55"/>
  <c r="X643" i="55"/>
  <c r="X642" i="55"/>
  <c r="X641" i="55"/>
  <c r="X640" i="55"/>
  <c r="X635" i="55"/>
  <c r="X634" i="55"/>
  <c r="X633" i="55"/>
  <c r="X618" i="55"/>
  <c r="X597" i="55"/>
  <c r="X653" i="55"/>
  <c r="X649" i="55"/>
  <c r="X631" i="55"/>
  <c r="X630" i="55"/>
  <c r="X629" i="55"/>
  <c r="X624" i="55"/>
  <c r="X595" i="55"/>
  <c r="X594" i="55"/>
  <c r="X654" i="55"/>
  <c r="X650" i="55"/>
  <c r="X622" i="55"/>
  <c r="X621" i="55"/>
  <c r="X589" i="55"/>
  <c r="X577" i="55"/>
  <c r="X576" i="55"/>
  <c r="X651" i="55"/>
  <c r="X647" i="55"/>
  <c r="X593" i="55"/>
  <c r="X591" i="55"/>
  <c r="X580" i="55"/>
  <c r="X586" i="55"/>
  <c r="X581" i="55"/>
  <c r="X574" i="55"/>
  <c r="X559" i="55"/>
  <c r="X551" i="55"/>
  <c r="X550" i="55"/>
  <c r="X538" i="55"/>
  <c r="X592" i="55"/>
  <c r="X582" i="55"/>
  <c r="X573" i="55"/>
  <c r="X572" i="55"/>
  <c r="X571" i="55"/>
  <c r="X570" i="55"/>
  <c r="X557" i="55"/>
  <c r="X556" i="55"/>
  <c r="X555" i="55"/>
  <c r="X548" i="55"/>
  <c r="X547" i="55"/>
  <c r="X546" i="55"/>
  <c r="X587" i="55"/>
  <c r="X583" i="55"/>
  <c r="X579" i="55"/>
  <c r="X568" i="55"/>
  <c r="X567" i="55"/>
  <c r="X566" i="55"/>
  <c r="X544" i="55"/>
  <c r="X543" i="55"/>
  <c r="X542" i="55"/>
  <c r="X541" i="55"/>
  <c r="X535" i="55"/>
  <c r="X534" i="55"/>
  <c r="X533" i="55"/>
  <c r="X532" i="55"/>
  <c r="X531" i="55"/>
  <c r="X526" i="55"/>
  <c r="X525" i="55"/>
  <c r="X516" i="55"/>
  <c r="X507" i="55"/>
  <c r="X506" i="55"/>
  <c r="X505" i="55"/>
  <c r="X504" i="55"/>
  <c r="X503" i="55"/>
  <c r="X502" i="55"/>
  <c r="X501" i="55"/>
  <c r="X500" i="55"/>
  <c r="X455" i="55"/>
  <c r="X454" i="55"/>
  <c r="X453" i="55"/>
  <c r="X452" i="55"/>
  <c r="X451" i="55"/>
  <c r="X418" i="55"/>
  <c r="X417" i="55"/>
  <c r="X529" i="55"/>
  <c r="X528" i="55"/>
  <c r="X527" i="55"/>
  <c r="X498" i="55"/>
  <c r="X497" i="55"/>
  <c r="X496" i="55"/>
  <c r="X495" i="55"/>
  <c r="X494" i="55"/>
  <c r="X493" i="55"/>
  <c r="X486" i="55"/>
  <c r="X485" i="55"/>
  <c r="X484" i="55"/>
  <c r="X483" i="55"/>
  <c r="X470" i="55"/>
  <c r="X469" i="55"/>
  <c r="X468" i="55"/>
  <c r="X467" i="55"/>
  <c r="X428" i="55"/>
  <c r="X530" i="55"/>
  <c r="X513" i="55"/>
  <c r="X512" i="55"/>
  <c r="X511" i="55"/>
  <c r="X465" i="55"/>
  <c r="X464" i="55"/>
  <c r="X463" i="55"/>
  <c r="X462" i="55"/>
  <c r="X509" i="55"/>
  <c r="X490" i="55"/>
  <c r="X489" i="55"/>
  <c r="X460" i="55"/>
  <c r="X459" i="55"/>
  <c r="X458" i="55"/>
  <c r="X457" i="55"/>
  <c r="X447" i="55"/>
  <c r="X442" i="55"/>
  <c r="X432" i="55"/>
  <c r="X431" i="55"/>
  <c r="X425" i="55"/>
  <c r="X424" i="55"/>
  <c r="X423" i="55"/>
  <c r="X422" i="55"/>
  <c r="X421" i="55"/>
  <c r="X420" i="55"/>
  <c r="X410" i="55"/>
  <c r="X406" i="55"/>
  <c r="X377" i="55"/>
  <c r="X434" i="55"/>
  <c r="X413" i="55"/>
  <c r="X407" i="55"/>
  <c r="X400" i="55"/>
  <c r="X399" i="55"/>
  <c r="X398" i="55"/>
  <c r="X397" i="55"/>
  <c r="X396" i="55"/>
  <c r="X393" i="55"/>
  <c r="X317" i="55"/>
  <c r="X292" i="55"/>
  <c r="X408" i="55"/>
  <c r="X350" i="55"/>
  <c r="X325" i="55"/>
  <c r="X246" i="55"/>
  <c r="X414" i="55"/>
  <c r="X412" i="55"/>
  <c r="X208" i="55"/>
  <c r="BS325" i="53" l="1"/>
  <c r="CK325" i="53" s="1"/>
  <c r="BS324" i="53"/>
  <c r="CI324" i="53" s="1"/>
  <c r="BS323" i="53"/>
  <c r="CI323" i="53" s="1"/>
  <c r="BS322" i="53"/>
  <c r="BX322" i="53" s="1"/>
  <c r="BS321" i="53"/>
  <c r="CH321" i="53" s="1"/>
  <c r="BS320" i="53"/>
  <c r="CI320" i="53" s="1"/>
  <c r="BS319" i="53"/>
  <c r="CB319" i="53" s="1"/>
  <c r="BS318" i="53"/>
  <c r="BS317" i="53"/>
  <c r="CH317" i="53" s="1"/>
  <c r="BS316" i="53"/>
  <c r="BS315" i="53"/>
  <c r="BS314" i="53"/>
  <c r="CH314" i="53" s="1"/>
  <c r="BS313" i="53"/>
  <c r="CH313" i="53" s="1"/>
  <c r="BS312" i="53"/>
  <c r="CI312" i="53" s="1"/>
  <c r="CM311" i="53"/>
  <c r="BS311" i="53"/>
  <c r="CM310" i="53"/>
  <c r="BS310" i="53"/>
  <c r="BS309" i="53"/>
  <c r="CH309" i="53" s="1"/>
  <c r="BS308" i="53"/>
  <c r="CI308" i="53" s="1"/>
  <c r="BS307" i="53"/>
  <c r="CJ307" i="53" s="1"/>
  <c r="BS306" i="53"/>
  <c r="CC306" i="53" s="1"/>
  <c r="BS305" i="53"/>
  <c r="CH305" i="53" s="1"/>
  <c r="CM304" i="53"/>
  <c r="BS304" i="53"/>
  <c r="BS303" i="53"/>
  <c r="CG303" i="53" s="1"/>
  <c r="BS302" i="53"/>
  <c r="CI302" i="53" s="1"/>
  <c r="BS301" i="53"/>
  <c r="CF301" i="53" s="1"/>
  <c r="BS300" i="53"/>
  <c r="CK300" i="53" s="1"/>
  <c r="BS299" i="53"/>
  <c r="CI299" i="53" s="1"/>
  <c r="BS298" i="53"/>
  <c r="BS297" i="53"/>
  <c r="CI297" i="53" s="1"/>
  <c r="BS296" i="53"/>
  <c r="CK296" i="53" s="1"/>
  <c r="BS295" i="53"/>
  <c r="BS294" i="53"/>
  <c r="CH294" i="53" s="1"/>
  <c r="CM293" i="53"/>
  <c r="BS293" i="53"/>
  <c r="CM292" i="53"/>
  <c r="BS292" i="53"/>
  <c r="BS291" i="53"/>
  <c r="CM290" i="53"/>
  <c r="BS290" i="53"/>
  <c r="CM289" i="53"/>
  <c r="BS289" i="53"/>
  <c r="CM288" i="53"/>
  <c r="BS288" i="53"/>
  <c r="BS287" i="53"/>
  <c r="CJ287" i="53" s="1"/>
  <c r="BS286" i="53"/>
  <c r="BS285" i="53"/>
  <c r="BS284" i="53"/>
  <c r="BS283" i="53"/>
  <c r="CJ283" i="53" s="1"/>
  <c r="BS282" i="53"/>
  <c r="BS281" i="53"/>
  <c r="CG281" i="53" s="1"/>
  <c r="BS280" i="53"/>
  <c r="CB280" i="53" s="1"/>
  <c r="BS279" i="53"/>
  <c r="BS278" i="53"/>
  <c r="BS277" i="53"/>
  <c r="BS276" i="53"/>
  <c r="BS275" i="53"/>
  <c r="CJ275" i="53" s="1"/>
  <c r="BS274" i="53"/>
  <c r="BS273" i="53"/>
  <c r="CJ273" i="53" s="1"/>
  <c r="BS272" i="53"/>
  <c r="CB272" i="53" s="1"/>
  <c r="BS271" i="53"/>
  <c r="CH271" i="53" s="1"/>
  <c r="BS270" i="53"/>
  <c r="CB270" i="53" s="1"/>
  <c r="BS269" i="53"/>
  <c r="CD269" i="53" s="1"/>
  <c r="CM268" i="53"/>
  <c r="BS268" i="53"/>
  <c r="BS267" i="53"/>
  <c r="CI267" i="53" s="1"/>
  <c r="BS266" i="53"/>
  <c r="CH266" i="53" s="1"/>
  <c r="BS265" i="53"/>
  <c r="CH265" i="53" s="1"/>
  <c r="BS264" i="53"/>
  <c r="CF264" i="53" s="1"/>
  <c r="BS263" i="53"/>
  <c r="BS262" i="53"/>
  <c r="CK262" i="53" s="1"/>
  <c r="BS261" i="53"/>
  <c r="CL261" i="53" s="1"/>
  <c r="BS260" i="53"/>
  <c r="BS259" i="53"/>
  <c r="BS258" i="53"/>
  <c r="CD258" i="53" s="1"/>
  <c r="CM257" i="53"/>
  <c r="BS257" i="53"/>
  <c r="CM256" i="53"/>
  <c r="BS256" i="53"/>
  <c r="BS255" i="53"/>
  <c r="CB255" i="53" s="1"/>
  <c r="BS254" i="53"/>
  <c r="CJ254" i="53" s="1"/>
  <c r="BS253" i="53"/>
  <c r="BS252" i="53"/>
  <c r="BX252" i="53" s="1"/>
  <c r="BS251" i="53"/>
  <c r="BZ251" i="53" s="1"/>
  <c r="BS250" i="53"/>
  <c r="CF250" i="53" s="1"/>
  <c r="BS249" i="53"/>
  <c r="CD249" i="53" s="1"/>
  <c r="BS248" i="53"/>
  <c r="CF248" i="53" s="1"/>
  <c r="BS247" i="53"/>
  <c r="BW247" i="53" s="1"/>
  <c r="BS246" i="53"/>
  <c r="CJ246" i="53" s="1"/>
  <c r="BS245" i="53"/>
  <c r="BS244" i="53"/>
  <c r="BU244" i="53" s="1"/>
  <c r="BS243" i="53"/>
  <c r="CH243" i="53" s="1"/>
  <c r="BS242" i="53"/>
  <c r="CG242" i="53" s="1"/>
  <c r="BS241" i="53"/>
  <c r="BV241" i="53" s="1"/>
  <c r="BS240" i="53"/>
  <c r="CI240" i="53" s="1"/>
  <c r="BS239" i="53"/>
  <c r="CH239" i="53" s="1"/>
  <c r="BS238" i="53"/>
  <c r="CI238" i="53" s="1"/>
  <c r="BS237" i="53"/>
  <c r="CH237" i="53" s="1"/>
  <c r="BS236" i="53"/>
  <c r="CI236" i="53" s="1"/>
  <c r="BS235" i="53"/>
  <c r="CH235" i="53" s="1"/>
  <c r="BS234" i="53"/>
  <c r="CI234" i="53" s="1"/>
  <c r="BS233" i="53"/>
  <c r="BS232" i="53"/>
  <c r="CB232" i="53" s="1"/>
  <c r="BS231" i="53"/>
  <c r="CH231" i="53" s="1"/>
  <c r="BS230" i="53"/>
  <c r="CJ230" i="53" s="1"/>
  <c r="BS229" i="53"/>
  <c r="CH229" i="53" s="1"/>
  <c r="BS228" i="53"/>
  <c r="CI228" i="53" s="1"/>
  <c r="BS227" i="53"/>
  <c r="CH227" i="53" s="1"/>
  <c r="BS226" i="53"/>
  <c r="CJ226" i="53" s="1"/>
  <c r="BS225" i="53"/>
  <c r="BS224" i="53"/>
  <c r="BS223" i="53"/>
  <c r="CI223" i="53" s="1"/>
  <c r="BS222" i="53"/>
  <c r="CB222" i="53" s="1"/>
  <c r="BS221" i="53"/>
  <c r="CI221" i="53" s="1"/>
  <c r="BS220" i="53"/>
  <c r="CK220" i="53" s="1"/>
  <c r="BS219" i="53"/>
  <c r="CI219" i="53" s="1"/>
  <c r="CM218" i="53"/>
  <c r="BS218" i="53"/>
  <c r="BS217" i="53"/>
  <c r="CA217" i="53" s="1"/>
  <c r="BS216" i="53"/>
  <c r="BY216" i="53" s="1"/>
  <c r="BS215" i="53"/>
  <c r="BW215" i="53" s="1"/>
  <c r="BS214" i="53"/>
  <c r="CI214" i="53" s="1"/>
  <c r="BS213" i="53"/>
  <c r="CA213" i="53" s="1"/>
  <c r="BS212" i="53"/>
  <c r="CI212" i="53" s="1"/>
  <c r="BS211" i="53"/>
  <c r="CE211" i="53" s="1"/>
  <c r="BS210" i="53"/>
  <c r="CI210" i="53" s="1"/>
  <c r="BS209" i="53"/>
  <c r="CA209" i="53" s="1"/>
  <c r="BS208" i="53"/>
  <c r="CK208" i="53" s="1"/>
  <c r="BS207" i="53"/>
  <c r="BW207" i="53" s="1"/>
  <c r="BS206" i="53"/>
  <c r="CK206" i="53" s="1"/>
  <c r="BS205" i="53"/>
  <c r="CE205" i="53" s="1"/>
  <c r="BS204" i="53"/>
  <c r="CC204" i="53" s="1"/>
  <c r="CM203" i="53"/>
  <c r="BS203" i="53"/>
  <c r="BS202" i="53"/>
  <c r="CI202" i="53" s="1"/>
  <c r="BS201" i="53"/>
  <c r="CE201" i="53" s="1"/>
  <c r="CM200" i="53"/>
  <c r="BS200" i="53"/>
  <c r="BS199" i="53"/>
  <c r="CI199" i="53" s="1"/>
  <c r="BS198" i="53"/>
  <c r="CD198" i="53" s="1"/>
  <c r="CM197" i="53"/>
  <c r="BS197" i="53"/>
  <c r="CM196" i="53"/>
  <c r="BS196" i="53"/>
  <c r="BS195" i="53"/>
  <c r="BV195" i="53" s="1"/>
  <c r="BS194" i="53"/>
  <c r="BS193" i="53"/>
  <c r="BS192" i="53"/>
  <c r="CJ192" i="53" s="1"/>
  <c r="BS191" i="53"/>
  <c r="CH191" i="53" s="1"/>
  <c r="BS190" i="53"/>
  <c r="CI190" i="53" s="1"/>
  <c r="BS189" i="53"/>
  <c r="CH189" i="53" s="1"/>
  <c r="BS188" i="53"/>
  <c r="CI188" i="53" s="1"/>
  <c r="BS187" i="53"/>
  <c r="CI187" i="53" s="1"/>
  <c r="CM186" i="53"/>
  <c r="BS186" i="53"/>
  <c r="BS185" i="53"/>
  <c r="BS184" i="53"/>
  <c r="CK184" i="53" s="1"/>
  <c r="BS183" i="53"/>
  <c r="CI183" i="53" s="1"/>
  <c r="BS182" i="53"/>
  <c r="CK182" i="53" s="1"/>
  <c r="BS181" i="53"/>
  <c r="CI181" i="53" s="1"/>
  <c r="BS180" i="53"/>
  <c r="CK180" i="53" s="1"/>
  <c r="BS179" i="53"/>
  <c r="CI179" i="53" s="1"/>
  <c r="BS178" i="53"/>
  <c r="CK178" i="53" s="1"/>
  <c r="CM177" i="53"/>
  <c r="BS177" i="53"/>
  <c r="BS176" i="53"/>
  <c r="CE176" i="53" s="1"/>
  <c r="BS175" i="53"/>
  <c r="CE175" i="53" s="1"/>
  <c r="BS174" i="53"/>
  <c r="CE174" i="53" s="1"/>
  <c r="CM173" i="53"/>
  <c r="BS173" i="53"/>
  <c r="BS172" i="53"/>
  <c r="BS171" i="53"/>
  <c r="CK171" i="53" s="1"/>
  <c r="BS170" i="53"/>
  <c r="CI170" i="53" s="1"/>
  <c r="BS169" i="53"/>
  <c r="CK169" i="53" s="1"/>
  <c r="BS168" i="53"/>
  <c r="CI168" i="53" s="1"/>
  <c r="BS167" i="53"/>
  <c r="CK167" i="53" s="1"/>
  <c r="BS166" i="53"/>
  <c r="CI166" i="53" s="1"/>
  <c r="BS165" i="53"/>
  <c r="CK165" i="53" s="1"/>
  <c r="BS164" i="53"/>
  <c r="CI164" i="53" s="1"/>
  <c r="CM163" i="53"/>
  <c r="BS163" i="53"/>
  <c r="CM162" i="53"/>
  <c r="BS162" i="53"/>
  <c r="BS161" i="53"/>
  <c r="CF161" i="53" s="1"/>
  <c r="CM160" i="53"/>
  <c r="BS160" i="53"/>
  <c r="BS159" i="53"/>
  <c r="BS158" i="53"/>
  <c r="CC158" i="53" s="1"/>
  <c r="BS157" i="53"/>
  <c r="CE157" i="53" s="1"/>
  <c r="BS156" i="53"/>
  <c r="CC156" i="53" s="1"/>
  <c r="CM155" i="53"/>
  <c r="BS155" i="53"/>
  <c r="BS154" i="53"/>
  <c r="CJ154" i="53" s="1"/>
  <c r="BS153" i="53"/>
  <c r="CK153" i="53" s="1"/>
  <c r="BS152" i="53"/>
  <c r="CI152" i="53" s="1"/>
  <c r="BS151" i="53"/>
  <c r="CH151" i="53" s="1"/>
  <c r="BS150" i="53"/>
  <c r="CI150" i="53" s="1"/>
  <c r="BS149" i="53"/>
  <c r="CH149" i="53" s="1"/>
  <c r="BS148" i="53"/>
  <c r="CI148" i="53" s="1"/>
  <c r="BS147" i="53"/>
  <c r="BS146" i="53"/>
  <c r="CI146" i="53" s="1"/>
  <c r="BS145" i="53"/>
  <c r="CH145" i="53" s="1"/>
  <c r="BS144" i="53"/>
  <c r="CI144" i="53" s="1"/>
  <c r="BS143" i="53"/>
  <c r="CH143" i="53" s="1"/>
  <c r="BS142" i="53"/>
  <c r="CI142" i="53" s="1"/>
  <c r="BS141" i="53"/>
  <c r="CH141" i="53" s="1"/>
  <c r="BS140" i="53"/>
  <c r="CI140" i="53" s="1"/>
  <c r="BS139" i="53"/>
  <c r="CH139" i="53" s="1"/>
  <c r="BS138" i="53"/>
  <c r="CI138" i="53" s="1"/>
  <c r="BS137" i="53"/>
  <c r="BW137" i="53" s="1"/>
  <c r="BS136" i="53"/>
  <c r="CI136" i="53" s="1"/>
  <c r="BS135" i="53"/>
  <c r="CH135" i="53" s="1"/>
  <c r="BS134" i="53"/>
  <c r="CI134" i="53" s="1"/>
  <c r="BS133" i="53"/>
  <c r="CH133" i="53" s="1"/>
  <c r="BS132" i="53"/>
  <c r="BS131" i="53"/>
  <c r="CH131" i="53" s="1"/>
  <c r="BS130" i="53"/>
  <c r="CI130" i="53" s="1"/>
  <c r="BS129" i="53"/>
  <c r="BS128" i="53"/>
  <c r="CI128" i="53" s="1"/>
  <c r="BS127" i="53"/>
  <c r="CH127" i="53" s="1"/>
  <c r="BS126" i="53"/>
  <c r="BS125" i="53"/>
  <c r="CH125" i="53" s="1"/>
  <c r="BS124" i="53"/>
  <c r="CI124" i="53" s="1"/>
  <c r="BS123" i="53"/>
  <c r="BS122" i="53"/>
  <c r="CI122" i="53" s="1"/>
  <c r="BS121" i="53"/>
  <c r="CB121" i="53" s="1"/>
  <c r="BS120" i="53"/>
  <c r="CK120" i="53" s="1"/>
  <c r="BS119" i="53"/>
  <c r="CM118" i="53"/>
  <c r="BS118" i="53"/>
  <c r="BS117" i="53"/>
  <c r="CI117" i="53" s="1"/>
  <c r="BS116" i="53"/>
  <c r="CK116" i="53" s="1"/>
  <c r="BS115" i="53"/>
  <c r="CI115" i="53" s="1"/>
  <c r="BS114" i="53"/>
  <c r="CJ114" i="53" s="1"/>
  <c r="BS113" i="53"/>
  <c r="CI113" i="53" s="1"/>
  <c r="CM112" i="53"/>
  <c r="BS112" i="53"/>
  <c r="BS111" i="53"/>
  <c r="CK111" i="53" s="1"/>
  <c r="BS110" i="53"/>
  <c r="CK110" i="53" s="1"/>
  <c r="BS109" i="53"/>
  <c r="CI109" i="53" s="1"/>
  <c r="BS108" i="53"/>
  <c r="CL108" i="53" s="1"/>
  <c r="BS107" i="53"/>
  <c r="BS106" i="53"/>
  <c r="CK106" i="53" s="1"/>
  <c r="BS105" i="53"/>
  <c r="CJ105" i="53" s="1"/>
  <c r="BS104" i="53"/>
  <c r="CK104" i="53" s="1"/>
  <c r="BS103" i="53"/>
  <c r="CD103" i="53" s="1"/>
  <c r="BS102" i="53"/>
  <c r="CF102" i="53" s="1"/>
  <c r="BS101" i="53"/>
  <c r="CI101" i="53" s="1"/>
  <c r="BS100" i="53"/>
  <c r="CK100" i="53" s="1"/>
  <c r="BS99" i="53"/>
  <c r="CI99" i="53" s="1"/>
  <c r="BS98" i="53"/>
  <c r="BS97" i="53"/>
  <c r="BZ97" i="53" s="1"/>
  <c r="BS96" i="53"/>
  <c r="BV96" i="53" s="1"/>
  <c r="BS95" i="53"/>
  <c r="CL95" i="53" s="1"/>
  <c r="BS94" i="53"/>
  <c r="BS93" i="53"/>
  <c r="CI93" i="53" s="1"/>
  <c r="BS92" i="53"/>
  <c r="CK92" i="53" s="1"/>
  <c r="BS91" i="53"/>
  <c r="CI91" i="53" s="1"/>
  <c r="BS90" i="53"/>
  <c r="CJ90" i="53" s="1"/>
  <c r="BS89" i="53"/>
  <c r="CF89" i="53" s="1"/>
  <c r="BS88" i="53"/>
  <c r="BT88" i="53" s="1"/>
  <c r="BS87" i="53"/>
  <c r="CJ87" i="53" s="1"/>
  <c r="BS86" i="53"/>
  <c r="CH86" i="53" s="1"/>
  <c r="BS85" i="53"/>
  <c r="BS84" i="53"/>
  <c r="BS83" i="53"/>
  <c r="CI83" i="53" s="1"/>
  <c r="BS82" i="53"/>
  <c r="CL82" i="53" s="1"/>
  <c r="BS81" i="53"/>
  <c r="CI81" i="53" s="1"/>
  <c r="BS80" i="53"/>
  <c r="CB80" i="53" s="1"/>
  <c r="BS79" i="53"/>
  <c r="CI79" i="53" s="1"/>
  <c r="BS78" i="53"/>
  <c r="CL78" i="53" s="1"/>
  <c r="BS77" i="53"/>
  <c r="CI77" i="53" s="1"/>
  <c r="BS76" i="53"/>
  <c r="CB76" i="53" s="1"/>
  <c r="BS75" i="53"/>
  <c r="CI75" i="53" s="1"/>
  <c r="CM74" i="53"/>
  <c r="BS74" i="53"/>
  <c r="CM73" i="53"/>
  <c r="BS73" i="53"/>
  <c r="CM72" i="53"/>
  <c r="BS72" i="53"/>
  <c r="CM71" i="53"/>
  <c r="BS71" i="53"/>
  <c r="BS70" i="53"/>
  <c r="CL70" i="53" s="1"/>
  <c r="BS69" i="53"/>
  <c r="CI69" i="53" s="1"/>
  <c r="BS68" i="53"/>
  <c r="CB68" i="53" s="1"/>
  <c r="BS67" i="53"/>
  <c r="CD67" i="53" s="1"/>
  <c r="BS66" i="53"/>
  <c r="CL66" i="53" s="1"/>
  <c r="BS65" i="53"/>
  <c r="BS64" i="53"/>
  <c r="BS63" i="53"/>
  <c r="CI63" i="53" s="1"/>
  <c r="BS62" i="53"/>
  <c r="CL62" i="53" s="1"/>
  <c r="BS61" i="53"/>
  <c r="CI61" i="53" s="1"/>
  <c r="CM60" i="53"/>
  <c r="BS60" i="53"/>
  <c r="BS59" i="53"/>
  <c r="CH59" i="53" s="1"/>
  <c r="BS58" i="53"/>
  <c r="CB58" i="53" s="1"/>
  <c r="BS57" i="53"/>
  <c r="BS56" i="53"/>
  <c r="BS55" i="53"/>
  <c r="CI55" i="53" s="1"/>
  <c r="BS54" i="53"/>
  <c r="CK54" i="53" s="1"/>
  <c r="BS53" i="53"/>
  <c r="CI53" i="53" s="1"/>
  <c r="BS52" i="53"/>
  <c r="CK52" i="53" s="1"/>
  <c r="BS51" i="53"/>
  <c r="CI51" i="53" s="1"/>
  <c r="BS50" i="53"/>
  <c r="CK50" i="53" s="1"/>
  <c r="BS49" i="53"/>
  <c r="CI49" i="53" s="1"/>
  <c r="BS48" i="53"/>
  <c r="BS47" i="53"/>
  <c r="CJ47" i="53" s="1"/>
  <c r="BS46" i="53"/>
  <c r="CJ46" i="53" s="1"/>
  <c r="BS45" i="53"/>
  <c r="CI45" i="53" s="1"/>
  <c r="BS44" i="53"/>
  <c r="BS43" i="53"/>
  <c r="CL43" i="53" s="1"/>
  <c r="BS42" i="53"/>
  <c r="BS41" i="53"/>
  <c r="BS40" i="53"/>
  <c r="CF40" i="53" s="1"/>
  <c r="BS39" i="53"/>
  <c r="BS38" i="53"/>
  <c r="CB38" i="53" s="1"/>
  <c r="CM37" i="53"/>
  <c r="BS37" i="53"/>
  <c r="CM36" i="53"/>
  <c r="BS36" i="53"/>
  <c r="BS35" i="53"/>
  <c r="BS34" i="53"/>
  <c r="BS33" i="53"/>
  <c r="BX33" i="53" s="1"/>
  <c r="BS32" i="53"/>
  <c r="CH32" i="53" s="1"/>
  <c r="BS31" i="53"/>
  <c r="CB31" i="53" s="1"/>
  <c r="CM30" i="53"/>
  <c r="BS30" i="53"/>
  <c r="BS29" i="53"/>
  <c r="CL29" i="53" s="1"/>
  <c r="BS28" i="53"/>
  <c r="CG28" i="53" s="1"/>
  <c r="BS27" i="53"/>
  <c r="CL27" i="53" s="1"/>
  <c r="BS26" i="53"/>
  <c r="CM25" i="53"/>
  <c r="BS25" i="53"/>
  <c r="BS24" i="53"/>
  <c r="BZ24" i="53" s="1"/>
  <c r="BS23" i="53"/>
  <c r="BZ23" i="53" s="1"/>
  <c r="BS22" i="53"/>
  <c r="BV22" i="53" s="1"/>
  <c r="CL12" i="53"/>
  <c r="CK12" i="53"/>
  <c r="CJ12" i="53"/>
  <c r="CI12" i="53"/>
  <c r="CH12" i="53"/>
  <c r="CG12" i="53"/>
  <c r="CF12" i="53"/>
  <c r="CE12" i="53"/>
  <c r="CD12" i="53"/>
  <c r="CC12" i="53"/>
  <c r="CB12" i="53"/>
  <c r="CA12" i="53"/>
  <c r="BZ12" i="53"/>
  <c r="BY12" i="53"/>
  <c r="BX12" i="53"/>
  <c r="BW12" i="53"/>
  <c r="BV12" i="53"/>
  <c r="BU12" i="53"/>
  <c r="BT12" i="53"/>
  <c r="CG134" i="53" l="1"/>
  <c r="CB320" i="53"/>
  <c r="CK158" i="53"/>
  <c r="CD302" i="53"/>
  <c r="CD77" i="53"/>
  <c r="CH121" i="53"/>
  <c r="CG124" i="53"/>
  <c r="CK214" i="53"/>
  <c r="CB238" i="53"/>
  <c r="BX50" i="53"/>
  <c r="BT53" i="53"/>
  <c r="CK212" i="53"/>
  <c r="BY55" i="53"/>
  <c r="CJ58" i="53"/>
  <c r="BT68" i="53"/>
  <c r="BT75" i="53"/>
  <c r="BY128" i="53"/>
  <c r="BV275" i="53"/>
  <c r="BV50" i="53"/>
  <c r="BV134" i="53"/>
  <c r="BY148" i="53"/>
  <c r="BY219" i="53"/>
  <c r="BV238" i="53"/>
  <c r="CC252" i="53"/>
  <c r="CF255" i="53"/>
  <c r="BU275" i="53"/>
  <c r="BZ300" i="53"/>
  <c r="CK28" i="53"/>
  <c r="CF202" i="53"/>
  <c r="CL22" i="53"/>
  <c r="BV63" i="53"/>
  <c r="BT50" i="53"/>
  <c r="CG63" i="53"/>
  <c r="CJ88" i="53"/>
  <c r="CJ187" i="53"/>
  <c r="BT190" i="53"/>
  <c r="CK238" i="53"/>
  <c r="CK240" i="53"/>
  <c r="BW307" i="53"/>
  <c r="BY214" i="53"/>
  <c r="BT219" i="53"/>
  <c r="CL307" i="53"/>
  <c r="CJ53" i="53"/>
  <c r="CD61" i="53"/>
  <c r="BZ63" i="53"/>
  <c r="CB164" i="53"/>
  <c r="CF171" i="53"/>
  <c r="BT187" i="53"/>
  <c r="CF192" i="53"/>
  <c r="CD195" i="53"/>
  <c r="BV240" i="53"/>
  <c r="BU214" i="53"/>
  <c r="CD223" i="53"/>
  <c r="CD226" i="53"/>
  <c r="BT248" i="53"/>
  <c r="BZ249" i="53"/>
  <c r="BZ262" i="53"/>
  <c r="CC275" i="53"/>
  <c r="BY281" i="53"/>
  <c r="CC287" i="53"/>
  <c r="BY248" i="53"/>
  <c r="CL249" i="53"/>
  <c r="CK23" i="53"/>
  <c r="BU45" i="53"/>
  <c r="BT52" i="53"/>
  <c r="BT69" i="53"/>
  <c r="BT96" i="53"/>
  <c r="BX153" i="53"/>
  <c r="CF201" i="53"/>
  <c r="CF206" i="53"/>
  <c r="BV320" i="53"/>
  <c r="CJ50" i="53"/>
  <c r="CK79" i="53"/>
  <c r="CL96" i="53"/>
  <c r="BT99" i="53"/>
  <c r="BV164" i="53"/>
  <c r="BU223" i="53"/>
  <c r="BV249" i="53"/>
  <c r="CK250" i="53"/>
  <c r="CL264" i="53"/>
  <c r="CD273" i="53"/>
  <c r="BU281" i="53"/>
  <c r="BU287" i="53"/>
  <c r="CG83" i="53"/>
  <c r="CH24" i="53"/>
  <c r="CF45" i="53"/>
  <c r="BV51" i="53"/>
  <c r="CD69" i="53"/>
  <c r="CK83" i="53"/>
  <c r="BY91" i="53"/>
  <c r="CB137" i="53"/>
  <c r="BV167" i="53"/>
  <c r="BU187" i="53"/>
  <c r="CL198" i="53"/>
  <c r="BT202" i="53"/>
  <c r="CJ202" i="53"/>
  <c r="CE213" i="53"/>
  <c r="CB52" i="53"/>
  <c r="BU53" i="53"/>
  <c r="BW68" i="53"/>
  <c r="BV75" i="53"/>
  <c r="BW76" i="53"/>
  <c r="BT80" i="53"/>
  <c r="BT81" i="53"/>
  <c r="BT83" i="53"/>
  <c r="BY99" i="53"/>
  <c r="CG111" i="53"/>
  <c r="BU116" i="53"/>
  <c r="BT120" i="53"/>
  <c r="BY142" i="53"/>
  <c r="BU144" i="53"/>
  <c r="BZ154" i="53"/>
  <c r="BT317" i="53"/>
  <c r="CH323" i="53"/>
  <c r="BU23" i="53"/>
  <c r="CF50" i="53"/>
  <c r="CK51" i="53"/>
  <c r="CL52" i="53"/>
  <c r="BY53" i="53"/>
  <c r="CJ54" i="53"/>
  <c r="CA59" i="53"/>
  <c r="BT61" i="53"/>
  <c r="BT63" i="53"/>
  <c r="CE68" i="53"/>
  <c r="BZ75" i="53"/>
  <c r="BV79" i="53"/>
  <c r="BW80" i="53"/>
  <c r="CD81" i="53"/>
  <c r="BV83" i="53"/>
  <c r="CD99" i="53"/>
  <c r="BZ106" i="53"/>
  <c r="CB114" i="53"/>
  <c r="BX116" i="53"/>
  <c r="BT135" i="53"/>
  <c r="CH137" i="53"/>
  <c r="CG140" i="53"/>
  <c r="CD142" i="53"/>
  <c r="CF144" i="53"/>
  <c r="CJ150" i="53"/>
  <c r="BT153" i="53"/>
  <c r="CD165" i="53"/>
  <c r="BX167" i="53"/>
  <c r="BX187" i="53"/>
  <c r="BU202" i="53"/>
  <c r="BU212" i="53"/>
  <c r="CD219" i="53"/>
  <c r="BT238" i="53"/>
  <c r="CD238" i="53"/>
  <c r="CF241" i="53"/>
  <c r="CB244" i="53"/>
  <c r="BT252" i="53"/>
  <c r="CC258" i="53"/>
  <c r="BY264" i="53"/>
  <c r="CA265" i="53"/>
  <c r="BT270" i="53"/>
  <c r="BU273" i="53"/>
  <c r="BZ281" i="53"/>
  <c r="BU283" i="53"/>
  <c r="CB301" i="53"/>
  <c r="BV317" i="53"/>
  <c r="BT321" i="53"/>
  <c r="CF53" i="53"/>
  <c r="CG75" i="53"/>
  <c r="CE80" i="53"/>
  <c r="BZ83" i="53"/>
  <c r="CC116" i="53"/>
  <c r="CF167" i="53"/>
  <c r="CF187" i="53"/>
  <c r="BY202" i="53"/>
  <c r="BU238" i="53"/>
  <c r="CG238" i="53"/>
  <c r="BY273" i="53"/>
  <c r="CK281" i="53"/>
  <c r="BY283" i="53"/>
  <c r="CJ317" i="53"/>
  <c r="CB84" i="53"/>
  <c r="CE84" i="53"/>
  <c r="BW84" i="53"/>
  <c r="BT84" i="53"/>
  <c r="CE159" i="53"/>
  <c r="BY159" i="53"/>
  <c r="CK194" i="53"/>
  <c r="CG194" i="53"/>
  <c r="BX194" i="53"/>
  <c r="CE253" i="53"/>
  <c r="CA253" i="53"/>
  <c r="BW253" i="53"/>
  <c r="BW282" i="53"/>
  <c r="CA282" i="53"/>
  <c r="BT282" i="53"/>
  <c r="CK291" i="53"/>
  <c r="CF291" i="53"/>
  <c r="BV291" i="53"/>
  <c r="CH34" i="53"/>
  <c r="CG34" i="53"/>
  <c r="BX34" i="53"/>
  <c r="CI57" i="53"/>
  <c r="BX57" i="53"/>
  <c r="CB64" i="53"/>
  <c r="CE64" i="53"/>
  <c r="BW64" i="53"/>
  <c r="BT64" i="53"/>
  <c r="CI126" i="53"/>
  <c r="CD126" i="53"/>
  <c r="BY126" i="53"/>
  <c r="BT126" i="53"/>
  <c r="CI172" i="53"/>
  <c r="CB172" i="53"/>
  <c r="CD224" i="53"/>
  <c r="CB224" i="53"/>
  <c r="BT224" i="53"/>
  <c r="N38" i="21" s="1"/>
  <c r="CB274" i="53"/>
  <c r="BX274" i="53"/>
  <c r="BW274" i="53"/>
  <c r="CJ274" i="53"/>
  <c r="BT274" i="53"/>
  <c r="CI65" i="53"/>
  <c r="CD65" i="53"/>
  <c r="BT65" i="53"/>
  <c r="BZ105" i="53"/>
  <c r="CI107" i="53"/>
  <c r="CC107" i="53"/>
  <c r="BU107" i="53"/>
  <c r="BT107" i="53"/>
  <c r="CK225" i="53"/>
  <c r="BZ225" i="53"/>
  <c r="CF42" i="53"/>
  <c r="BV42" i="53"/>
  <c r="CF107" i="53"/>
  <c r="CL245" i="53"/>
  <c r="BW245" i="53"/>
  <c r="CI269" i="53"/>
  <c r="BY269" i="53"/>
  <c r="CJ269" i="53"/>
  <c r="BU269" i="53"/>
  <c r="CF269" i="53"/>
  <c r="BT269" i="53"/>
  <c r="CB276" i="53"/>
  <c r="CE276" i="53"/>
  <c r="BW276" i="53"/>
  <c r="BT276" i="53"/>
  <c r="CH295" i="53"/>
  <c r="BX295" i="53"/>
  <c r="CJ315" i="53"/>
  <c r="CE315" i="53"/>
  <c r="BY315" i="53"/>
  <c r="BT315" i="53"/>
  <c r="CH129" i="53"/>
  <c r="BW129" i="53"/>
  <c r="CB35" i="53"/>
  <c r="CL35" i="53"/>
  <c r="BV35" i="53"/>
  <c r="CI85" i="53"/>
  <c r="CD85" i="53"/>
  <c r="BT85" i="53"/>
  <c r="CI103" i="53"/>
  <c r="BY103" i="53"/>
  <c r="CL103" i="53"/>
  <c r="BV103" i="53"/>
  <c r="CG103" i="53"/>
  <c r="BT103" i="53"/>
  <c r="CF274" i="53"/>
  <c r="CG285" i="53"/>
  <c r="BU285" i="53"/>
  <c r="CK298" i="53"/>
  <c r="BZ298" i="53"/>
  <c r="BT22" i="53"/>
  <c r="CD22" i="53"/>
  <c r="BX39" i="53"/>
  <c r="CH39" i="53"/>
  <c r="CI67" i="53"/>
  <c r="BZ67" i="53"/>
  <c r="CK67" i="53"/>
  <c r="BV67" i="53"/>
  <c r="CG67" i="53"/>
  <c r="BT67" i="53"/>
  <c r="CI87" i="53"/>
  <c r="CD87" i="53"/>
  <c r="BY87" i="53"/>
  <c r="BT87" i="53"/>
  <c r="CD94" i="53"/>
  <c r="BX94" i="53"/>
  <c r="CI132" i="53"/>
  <c r="CD132" i="53"/>
  <c r="BY132" i="53"/>
  <c r="BT132" i="53"/>
  <c r="CI154" i="53"/>
  <c r="CG154" i="53"/>
  <c r="BV154" i="53"/>
  <c r="CD154" i="53"/>
  <c r="BU154" i="53"/>
  <c r="CK154" i="53"/>
  <c r="CB154" i="53"/>
  <c r="BT154" i="53"/>
  <c r="CI161" i="53"/>
  <c r="BZ161" i="53"/>
  <c r="CK161" i="53"/>
  <c r="BV161" i="53"/>
  <c r="CG161" i="53"/>
  <c r="BU161" i="53"/>
  <c r="CI185" i="53"/>
  <c r="CJ185" i="53"/>
  <c r="CB185" i="53"/>
  <c r="BU185" i="53"/>
  <c r="CH193" i="53"/>
  <c r="CD193" i="53"/>
  <c r="BZ193" i="53"/>
  <c r="BV193" i="53"/>
  <c r="BZ230" i="53"/>
  <c r="BY230" i="53"/>
  <c r="CK230" i="53"/>
  <c r="BT230" i="53"/>
  <c r="N39" i="21" s="1"/>
  <c r="CH233" i="53"/>
  <c r="CA233" i="53"/>
  <c r="BV233" i="53"/>
  <c r="CJ277" i="53"/>
  <c r="CK277" i="53"/>
  <c r="BU277" i="53"/>
  <c r="CI316" i="53"/>
  <c r="CG316" i="53"/>
  <c r="BV316" i="53"/>
  <c r="BT31" i="53"/>
  <c r="CJ31" i="53"/>
  <c r="CK44" i="53"/>
  <c r="CL44" i="53"/>
  <c r="BV44" i="53"/>
  <c r="CI89" i="53"/>
  <c r="CD89" i="53"/>
  <c r="BU89" i="53"/>
  <c r="BT89" i="53"/>
  <c r="CI105" i="53"/>
  <c r="CG105" i="53"/>
  <c r="BV105" i="53"/>
  <c r="CD105" i="53"/>
  <c r="BU105" i="53"/>
  <c r="CK105" i="53"/>
  <c r="CB105" i="53"/>
  <c r="BT105" i="53"/>
  <c r="CH147" i="53"/>
  <c r="CE147" i="53"/>
  <c r="BZ51" i="53"/>
  <c r="CJ52" i="53"/>
  <c r="CD63" i="53"/>
  <c r="CK75" i="53"/>
  <c r="CE76" i="53"/>
  <c r="BZ79" i="53"/>
  <c r="CD83" i="53"/>
  <c r="CD91" i="53"/>
  <c r="CD96" i="53"/>
  <c r="CD128" i="53"/>
  <c r="BZ134" i="53"/>
  <c r="CJ134" i="53"/>
  <c r="BY190" i="53"/>
  <c r="CL195" i="53"/>
  <c r="BV223" i="53"/>
  <c r="CG223" i="53"/>
  <c r="BZ240" i="53"/>
  <c r="CG248" i="53"/>
  <c r="CJ258" i="53"/>
  <c r="CG301" i="53"/>
  <c r="CD51" i="53"/>
  <c r="CD79" i="53"/>
  <c r="BU111" i="53"/>
  <c r="CJ116" i="53"/>
  <c r="BW121" i="53"/>
  <c r="BU122" i="53"/>
  <c r="BT124" i="53"/>
  <c r="BW125" i="53"/>
  <c r="BT128" i="53"/>
  <c r="CF128" i="53"/>
  <c r="BT134" i="53"/>
  <c r="CB134" i="53"/>
  <c r="CK134" i="53"/>
  <c r="BU138" i="53"/>
  <c r="BT140" i="53"/>
  <c r="CB141" i="53"/>
  <c r="BU150" i="53"/>
  <c r="CD153" i="53"/>
  <c r="CG164" i="53"/>
  <c r="CJ167" i="53"/>
  <c r="CC187" i="53"/>
  <c r="CD190" i="53"/>
  <c r="BU192" i="53"/>
  <c r="CD202" i="53"/>
  <c r="BT206" i="53"/>
  <c r="CE207" i="53"/>
  <c r="BZ223" i="53"/>
  <c r="CJ223" i="53"/>
  <c r="CF240" i="53"/>
  <c r="CJ248" i="53"/>
  <c r="BV255" i="53"/>
  <c r="BV258" i="53"/>
  <c r="CL258" i="53"/>
  <c r="CK275" i="53"/>
  <c r="CH281" i="53"/>
  <c r="CC283" i="53"/>
  <c r="BT301" i="53"/>
  <c r="CK301" i="53"/>
  <c r="BX306" i="53"/>
  <c r="CC313" i="53"/>
  <c r="BZ317" i="53"/>
  <c r="CG320" i="53"/>
  <c r="BZ324" i="53"/>
  <c r="CD50" i="53"/>
  <c r="BT51" i="53"/>
  <c r="CG51" i="53"/>
  <c r="BV52" i="53"/>
  <c r="CD53" i="53"/>
  <c r="BT54" i="53"/>
  <c r="BW58" i="53"/>
  <c r="CK63" i="53"/>
  <c r="CD75" i="53"/>
  <c r="BT76" i="53"/>
  <c r="BT77" i="53"/>
  <c r="BT79" i="53"/>
  <c r="CG79" i="53"/>
  <c r="BT91" i="53"/>
  <c r="BZ122" i="53"/>
  <c r="BZ124" i="53"/>
  <c r="CB125" i="53"/>
  <c r="BU128" i="53"/>
  <c r="CJ128" i="53"/>
  <c r="BU134" i="53"/>
  <c r="CD134" i="53"/>
  <c r="BZ138" i="53"/>
  <c r="BZ140" i="53"/>
  <c r="CB150" i="53"/>
  <c r="CJ153" i="53"/>
  <c r="CJ190" i="53"/>
  <c r="CB206" i="53"/>
  <c r="BW213" i="53"/>
  <c r="CK216" i="53"/>
  <c r="BT223" i="53"/>
  <c r="CB223" i="53"/>
  <c r="CK223" i="53"/>
  <c r="BT226" i="53"/>
  <c r="BZ238" i="53"/>
  <c r="CJ238" i="53"/>
  <c r="BU240" i="53"/>
  <c r="CG240" i="53"/>
  <c r="CF244" i="53"/>
  <c r="BX248" i="53"/>
  <c r="CI252" i="53"/>
  <c r="AK357" i="1"/>
  <c r="CJ252" i="53"/>
  <c r="BX258" i="53"/>
  <c r="CK273" i="53"/>
  <c r="CL275" i="53"/>
  <c r="BW301" i="53"/>
  <c r="CF317" i="53"/>
  <c r="BU28" i="53"/>
  <c r="CF33" i="53"/>
  <c r="BT35" i="53"/>
  <c r="CF35" i="53"/>
  <c r="CK42" i="53"/>
  <c r="CJ42" i="53"/>
  <c r="BX42" i="53"/>
  <c r="CD42" i="53"/>
  <c r="BT42" i="53"/>
  <c r="CL42" i="53"/>
  <c r="CJ26" i="53"/>
  <c r="BU26" i="53"/>
  <c r="CL41" i="53"/>
  <c r="BX41" i="53"/>
  <c r="CI43" i="53"/>
  <c r="CG43" i="53"/>
  <c r="BZ43" i="53"/>
  <c r="BT43" i="53"/>
  <c r="CK43" i="53"/>
  <c r="CD43" i="53"/>
  <c r="BV43" i="53"/>
  <c r="CJ43" i="53"/>
  <c r="CB43" i="53"/>
  <c r="BU43" i="53"/>
  <c r="CK56" i="53"/>
  <c r="BZ56" i="53"/>
  <c r="CH23" i="53"/>
  <c r="CJ23" i="53"/>
  <c r="BY23" i="53"/>
  <c r="CD23" i="53"/>
  <c r="BY26" i="53"/>
  <c r="CL34" i="53"/>
  <c r="BV34" i="53"/>
  <c r="CH41" i="53"/>
  <c r="CB42" i="53"/>
  <c r="BY43" i="53"/>
  <c r="BT46" i="53"/>
  <c r="CB46" i="53"/>
  <c r="BZ46" i="53"/>
  <c r="CK22" i="53"/>
  <c r="CB22" i="53"/>
  <c r="CJ22" i="53"/>
  <c r="BT23" i="53"/>
  <c r="CF23" i="53"/>
  <c r="CB24" i="53"/>
  <c r="CK26" i="53"/>
  <c r="CK35" i="53"/>
  <c r="CJ35" i="53"/>
  <c r="BX35" i="53"/>
  <c r="CD35" i="53"/>
  <c r="CJ39" i="53"/>
  <c r="CD39" i="53"/>
  <c r="BT39" i="53"/>
  <c r="CF43" i="53"/>
  <c r="BX48" i="53"/>
  <c r="CF48" i="53"/>
  <c r="BZ48" i="53"/>
  <c r="CD44" i="53"/>
  <c r="BZ45" i="53"/>
  <c r="CK45" i="53"/>
  <c r="CE58" i="53"/>
  <c r="BT44" i="53"/>
  <c r="CJ44" i="53"/>
  <c r="BT45" i="53"/>
  <c r="CD45" i="53"/>
  <c r="CB50" i="53"/>
  <c r="CL50" i="53"/>
  <c r="BU51" i="53"/>
  <c r="CB51" i="53"/>
  <c r="CJ51" i="53"/>
  <c r="CD52" i="53"/>
  <c r="BZ53" i="53"/>
  <c r="CK53" i="53"/>
  <c r="CB54" i="53"/>
  <c r="BT55" i="53"/>
  <c r="BT58" i="53"/>
  <c r="CG58" i="53"/>
  <c r="BV59" i="53"/>
  <c r="BY61" i="53"/>
  <c r="BU63" i="53"/>
  <c r="CB63" i="53"/>
  <c r="CJ63" i="53"/>
  <c r="CH64" i="53"/>
  <c r="BY65" i="53"/>
  <c r="BU67" i="53"/>
  <c r="CB67" i="53"/>
  <c r="CJ67" i="53"/>
  <c r="CH68" i="53"/>
  <c r="BY69" i="53"/>
  <c r="BU75" i="53"/>
  <c r="CB75" i="53"/>
  <c r="CJ75" i="53"/>
  <c r="CH76" i="53"/>
  <c r="BY77" i="53"/>
  <c r="BU79" i="53"/>
  <c r="CB79" i="53"/>
  <c r="CJ79" i="53"/>
  <c r="CH80" i="53"/>
  <c r="BY81" i="53"/>
  <c r="BU83" i="53"/>
  <c r="CB83" i="53"/>
  <c r="CJ83" i="53"/>
  <c r="CH84" i="53"/>
  <c r="BY85" i="53"/>
  <c r="BU87" i="53"/>
  <c r="CF87" i="53"/>
  <c r="CF88" i="53"/>
  <c r="AK359" i="1"/>
  <c r="AL359" i="1" s="1"/>
  <c r="BZ89" i="53"/>
  <c r="CK89" i="53"/>
  <c r="BT94" i="53"/>
  <c r="BZ95" i="53"/>
  <c r="CB102" i="53"/>
  <c r="BZ104" i="53"/>
  <c r="CI95" i="53"/>
  <c r="CF95" i="53"/>
  <c r="BU95" i="53"/>
  <c r="CB95" i="53"/>
  <c r="CI97" i="53"/>
  <c r="CJ97" i="53"/>
  <c r="BY97" i="53"/>
  <c r="CD97" i="53"/>
  <c r="CK98" i="53"/>
  <c r="BT98" i="53"/>
  <c r="CH123" i="53"/>
  <c r="BT123" i="53"/>
  <c r="CB44" i="53"/>
  <c r="BY45" i="53"/>
  <c r="CJ45" i="53"/>
  <c r="BY51" i="53"/>
  <c r="CF51" i="53"/>
  <c r="CL51" i="53"/>
  <c r="CD55" i="53"/>
  <c r="BY58" i="53"/>
  <c r="CJ61" i="53"/>
  <c r="BY63" i="53"/>
  <c r="CF63" i="53"/>
  <c r="CL63" i="53"/>
  <c r="CJ65" i="53"/>
  <c r="BY67" i="53"/>
  <c r="CF67" i="53"/>
  <c r="CL67" i="53"/>
  <c r="CJ69" i="53"/>
  <c r="BY75" i="53"/>
  <c r="CF75" i="53"/>
  <c r="CL75" i="53"/>
  <c r="CJ77" i="53"/>
  <c r="BY79" i="53"/>
  <c r="CF79" i="53"/>
  <c r="CL79" i="53"/>
  <c r="CJ81" i="53"/>
  <c r="BY83" i="53"/>
  <c r="CF83" i="53"/>
  <c r="CL83" i="53"/>
  <c r="CJ85" i="53"/>
  <c r="BZ87" i="53"/>
  <c r="CK87" i="53"/>
  <c r="CK90" i="53"/>
  <c r="BT90" i="53"/>
  <c r="BT95" i="53"/>
  <c r="CG95" i="53"/>
  <c r="CK96" i="53"/>
  <c r="CB96" i="53"/>
  <c r="CJ96" i="53"/>
  <c r="BT97" i="53"/>
  <c r="CF97" i="53"/>
  <c r="CB98" i="53"/>
  <c r="CK102" i="53"/>
  <c r="BX102" i="53"/>
  <c r="CK108" i="53"/>
  <c r="BV108" i="53"/>
  <c r="CD108" i="53"/>
  <c r="BZ108" i="53"/>
  <c r="CL114" i="53"/>
  <c r="CC114" i="53"/>
  <c r="BT114" i="53"/>
  <c r="CH114" i="53"/>
  <c r="BX114" i="53"/>
  <c r="CD114" i="53"/>
  <c r="BV114" i="53"/>
  <c r="CJ55" i="53"/>
  <c r="BY89" i="53"/>
  <c r="CJ89" i="53"/>
  <c r="CB90" i="53"/>
  <c r="CK94" i="53"/>
  <c r="CL94" i="53"/>
  <c r="BV94" i="53"/>
  <c r="CF94" i="53"/>
  <c r="BV95" i="53"/>
  <c r="CK95" i="53"/>
  <c r="BU97" i="53"/>
  <c r="CK97" i="53"/>
  <c r="CJ98" i="53"/>
  <c r="BT102" i="53"/>
  <c r="CB107" i="53"/>
  <c r="CK107" i="53"/>
  <c r="CB111" i="53"/>
  <c r="CC120" i="53"/>
  <c r="CK122" i="53"/>
  <c r="BV124" i="53"/>
  <c r="CD124" i="53"/>
  <c r="CK124" i="53"/>
  <c r="BZ131" i="53"/>
  <c r="CK138" i="53"/>
  <c r="BV140" i="53"/>
  <c r="CD140" i="53"/>
  <c r="CK140" i="53"/>
  <c r="BW141" i="53"/>
  <c r="BT142" i="53"/>
  <c r="BT144" i="53"/>
  <c r="CD144" i="53"/>
  <c r="BZ147" i="53"/>
  <c r="BT148" i="53"/>
  <c r="BT150" i="53"/>
  <c r="BZ150" i="53"/>
  <c r="CG150" i="53"/>
  <c r="BV153" i="53"/>
  <c r="CF153" i="53"/>
  <c r="BY154" i="53"/>
  <c r="CF154" i="53"/>
  <c r="CL154" i="53"/>
  <c r="BY156" i="53"/>
  <c r="BY158" i="53"/>
  <c r="BW159" i="53"/>
  <c r="CB161" i="53"/>
  <c r="CL161" i="53"/>
  <c r="CL164" i="53"/>
  <c r="BX165" i="53"/>
  <c r="CF166" i="53"/>
  <c r="BT167" i="53"/>
  <c r="CD167" i="53"/>
  <c r="BY168" i="53"/>
  <c r="CJ168" i="53"/>
  <c r="BX171" i="53"/>
  <c r="BV172" i="53"/>
  <c r="BX184" i="53"/>
  <c r="CJ184" i="53"/>
  <c r="BT185" i="53"/>
  <c r="BZ185" i="53"/>
  <c r="CG185" i="53"/>
  <c r="CB187" i="53"/>
  <c r="CK187" i="53"/>
  <c r="BU190" i="53"/>
  <c r="CF190" i="53"/>
  <c r="BX192" i="53"/>
  <c r="CL193" i="53"/>
  <c r="BY194" i="53"/>
  <c r="BX199" i="53"/>
  <c r="BZ202" i="53"/>
  <c r="CK202" i="53"/>
  <c r="CA205" i="53"/>
  <c r="BU206" i="53"/>
  <c r="CE215" i="53"/>
  <c r="CK224" i="53"/>
  <c r="CL224" i="53"/>
  <c r="BV224" i="53"/>
  <c r="CJ224" i="53"/>
  <c r="BY225" i="53"/>
  <c r="CI230" i="53"/>
  <c r="CF230" i="53"/>
  <c r="BU230" i="53"/>
  <c r="CD230" i="53"/>
  <c r="BZ232" i="53"/>
  <c r="CL232" i="53"/>
  <c r="CD247" i="53"/>
  <c r="BV247" i="53"/>
  <c r="CH247" i="53"/>
  <c r="BX250" i="53"/>
  <c r="CD251" i="53"/>
  <c r="CL251" i="53"/>
  <c r="BW251" i="53"/>
  <c r="CL255" i="53"/>
  <c r="CC255" i="53"/>
  <c r="BU255" i="53"/>
  <c r="CH255" i="53"/>
  <c r="BX255" i="53"/>
  <c r="CK255" i="53"/>
  <c r="CI264" i="53"/>
  <c r="CJ264" i="53"/>
  <c r="CB264" i="53"/>
  <c r="BU264" i="53"/>
  <c r="CG264" i="53"/>
  <c r="BZ264" i="53"/>
  <c r="BT264" i="53"/>
  <c r="CK264" i="53"/>
  <c r="CD264" i="53"/>
  <c r="BV264" i="53"/>
  <c r="BT111" i="53"/>
  <c r="CC111" i="53"/>
  <c r="CH120" i="53"/>
  <c r="BY124" i="53"/>
  <c r="CF124" i="53"/>
  <c r="CL124" i="53"/>
  <c r="CE131" i="53"/>
  <c r="BY140" i="53"/>
  <c r="CF140" i="53"/>
  <c r="CL140" i="53"/>
  <c r="CE156" i="53"/>
  <c r="CK166" i="53"/>
  <c r="BZ168" i="53"/>
  <c r="CK168" i="53"/>
  <c r="CB184" i="53"/>
  <c r="CL184" i="53"/>
  <c r="CC199" i="53"/>
  <c r="CI204" i="53"/>
  <c r="CK204" i="53"/>
  <c r="BU204" i="53"/>
  <c r="CJ204" i="53"/>
  <c r="CI208" i="53"/>
  <c r="BU208" i="53"/>
  <c r="CK222" i="53"/>
  <c r="CF222" i="53"/>
  <c r="BV222" i="53"/>
  <c r="CD222" i="53"/>
  <c r="CD245" i="53"/>
  <c r="BZ245" i="53"/>
  <c r="CH245" i="53"/>
  <c r="BV245" i="53"/>
  <c r="CH279" i="53"/>
  <c r="BZ279" i="53"/>
  <c r="BY144" i="53"/>
  <c r="CJ144" i="53"/>
  <c r="BW145" i="53"/>
  <c r="CD148" i="53"/>
  <c r="BV150" i="53"/>
  <c r="CD150" i="53"/>
  <c r="CK150" i="53"/>
  <c r="BZ151" i="53"/>
  <c r="CB153" i="53"/>
  <c r="CL153" i="53"/>
  <c r="BU156" i="53"/>
  <c r="CG156" i="53"/>
  <c r="CG159" i="53"/>
  <c r="CF165" i="53"/>
  <c r="BU166" i="53"/>
  <c r="BT168" i="53"/>
  <c r="CD168" i="53"/>
  <c r="CG172" i="53"/>
  <c r="BT184" i="53"/>
  <c r="CD184" i="53"/>
  <c r="BV185" i="53"/>
  <c r="CD185" i="53"/>
  <c r="CK185" i="53"/>
  <c r="BZ190" i="53"/>
  <c r="CK190" i="53"/>
  <c r="BT199" i="53"/>
  <c r="N22" i="21" s="1"/>
  <c r="CF199" i="53"/>
  <c r="BT204" i="53"/>
  <c r="CI206" i="53"/>
  <c r="CJ206" i="53"/>
  <c r="BX206" i="53"/>
  <c r="CC206" i="53"/>
  <c r="BY208" i="53"/>
  <c r="CI216" i="53"/>
  <c r="CC216" i="53"/>
  <c r="BT222" i="53"/>
  <c r="CJ222" i="53"/>
  <c r="CI225" i="53"/>
  <c r="CF225" i="53"/>
  <c r="BU225" i="53"/>
  <c r="CD225" i="53"/>
  <c r="CI232" i="53"/>
  <c r="CG232" i="53"/>
  <c r="BV232" i="53"/>
  <c r="CF232" i="53"/>
  <c r="CI262" i="53"/>
  <c r="CF262" i="53"/>
  <c r="BU262" i="53"/>
  <c r="CD262" i="53"/>
  <c r="BT262" i="53"/>
  <c r="CJ262" i="53"/>
  <c r="BY262" i="53"/>
  <c r="CI286" i="53"/>
  <c r="BW286" i="53"/>
  <c r="CJ91" i="53"/>
  <c r="CJ99" i="53"/>
  <c r="CB103" i="53"/>
  <c r="BY105" i="53"/>
  <c r="CF105" i="53"/>
  <c r="CL105" i="53"/>
  <c r="BX107" i="53"/>
  <c r="CJ107" i="53"/>
  <c r="BX111" i="53"/>
  <c r="CD116" i="53"/>
  <c r="BX120" i="53"/>
  <c r="CF122" i="53"/>
  <c r="BU124" i="53"/>
  <c r="CB124" i="53"/>
  <c r="CJ124" i="53"/>
  <c r="CJ126" i="53"/>
  <c r="BZ128" i="53"/>
  <c r="CK128" i="53"/>
  <c r="BT131" i="53"/>
  <c r="CJ132" i="53"/>
  <c r="BY134" i="53"/>
  <c r="CF134" i="53"/>
  <c r="CL134" i="53"/>
  <c r="BZ135" i="53"/>
  <c r="CF138" i="53"/>
  <c r="BT139" i="53"/>
  <c r="BU140" i="53"/>
  <c r="CB140" i="53"/>
  <c r="CJ140" i="53"/>
  <c r="CJ142" i="53"/>
  <c r="BZ144" i="53"/>
  <c r="CK144" i="53"/>
  <c r="BT147" i="53"/>
  <c r="CJ148" i="53"/>
  <c r="BY150" i="53"/>
  <c r="CF150" i="53"/>
  <c r="CL150" i="53"/>
  <c r="BW156" i="53"/>
  <c r="CK156" i="53"/>
  <c r="CK159" i="53"/>
  <c r="BV165" i="53"/>
  <c r="CL165" i="53"/>
  <c r="BZ166" i="53"/>
  <c r="CB167" i="53"/>
  <c r="CL167" i="53"/>
  <c r="BU168" i="53"/>
  <c r="CF168" i="53"/>
  <c r="CL172" i="53"/>
  <c r="BV184" i="53"/>
  <c r="CF184" i="53"/>
  <c r="BY185" i="53"/>
  <c r="CF185" i="53"/>
  <c r="CL185" i="53"/>
  <c r="BU199" i="53"/>
  <c r="CK199" i="53"/>
  <c r="CB204" i="53"/>
  <c r="CC208" i="53"/>
  <c r="BW211" i="53"/>
  <c r="BU216" i="53"/>
  <c r="BX222" i="53"/>
  <c r="CL222" i="53"/>
  <c r="BT225" i="53"/>
  <c r="CJ225" i="53"/>
  <c r="BU232" i="53"/>
  <c r="CK232" i="53"/>
  <c r="CH241" i="53"/>
  <c r="CA241" i="53"/>
  <c r="CI244" i="53"/>
  <c r="CC244" i="53"/>
  <c r="BT244" i="53"/>
  <c r="CJ244" i="53"/>
  <c r="BX244" i="53"/>
  <c r="CK244" i="53"/>
  <c r="CE245" i="53"/>
  <c r="BY250" i="53"/>
  <c r="CG250" i="53"/>
  <c r="BU250" i="53"/>
  <c r="CB278" i="53"/>
  <c r="CE278" i="53"/>
  <c r="BT278" i="53"/>
  <c r="CB252" i="53"/>
  <c r="CK252" i="53"/>
  <c r="BV265" i="53"/>
  <c r="CC273" i="53"/>
  <c r="CL273" i="53"/>
  <c r="CK287" i="53"/>
  <c r="BT291" i="53"/>
  <c r="CD291" i="53"/>
  <c r="BZ294" i="53"/>
  <c r="CG297" i="53"/>
  <c r="BV298" i="53"/>
  <c r="CG299" i="53"/>
  <c r="BV300" i="53"/>
  <c r="CA301" i="53"/>
  <c r="CJ301" i="53"/>
  <c r="BY302" i="53"/>
  <c r="BW303" i="53"/>
  <c r="BY308" i="53"/>
  <c r="CJ308" i="53"/>
  <c r="BW309" i="53"/>
  <c r="BZ315" i="53"/>
  <c r="CL316" i="53"/>
  <c r="CF321" i="53"/>
  <c r="CF324" i="53"/>
  <c r="BT325" i="53"/>
  <c r="CD325" i="53"/>
  <c r="CL297" i="53"/>
  <c r="CL299" i="53"/>
  <c r="BZ308" i="53"/>
  <c r="CK308" i="53"/>
  <c r="CK324" i="53"/>
  <c r="BV325" i="53"/>
  <c r="CF325" i="53"/>
  <c r="CJ219" i="53"/>
  <c r="BY223" i="53"/>
  <c r="CF223" i="53"/>
  <c r="CL223" i="53"/>
  <c r="BY238" i="53"/>
  <c r="CF238" i="53"/>
  <c r="CL238" i="53"/>
  <c r="CB240" i="53"/>
  <c r="CL240" i="53"/>
  <c r="BU252" i="53"/>
  <c r="CF252" i="53"/>
  <c r="BZ269" i="53"/>
  <c r="CK269" i="53"/>
  <c r="CE270" i="53"/>
  <c r="BV273" i="53"/>
  <c r="CG273" i="53"/>
  <c r="CE274" i="53"/>
  <c r="CD275" i="53"/>
  <c r="CF276" i="53"/>
  <c r="CC277" i="53"/>
  <c r="CK283" i="53"/>
  <c r="BY287" i="53"/>
  <c r="BX291" i="53"/>
  <c r="CJ291" i="53"/>
  <c r="BX296" i="53"/>
  <c r="BV297" i="53"/>
  <c r="CD298" i="53"/>
  <c r="BV299" i="53"/>
  <c r="CL300" i="53"/>
  <c r="BU301" i="53"/>
  <c r="CE301" i="53"/>
  <c r="BW305" i="53"/>
  <c r="CH306" i="53"/>
  <c r="CE307" i="53"/>
  <c r="BT308" i="53"/>
  <c r="CD308" i="53"/>
  <c r="CF314" i="53"/>
  <c r="BU315" i="53"/>
  <c r="CH315" i="53"/>
  <c r="CB316" i="53"/>
  <c r="CE317" i="53"/>
  <c r="CL320" i="53"/>
  <c r="BV321" i="53"/>
  <c r="CH322" i="53"/>
  <c r="AK358" i="1"/>
  <c r="BW323" i="53"/>
  <c r="BU324" i="53"/>
  <c r="BX325" i="53"/>
  <c r="CJ325" i="53"/>
  <c r="CB291" i="53"/>
  <c r="CL291" i="53"/>
  <c r="CF296" i="53"/>
  <c r="CB297" i="53"/>
  <c r="CL298" i="53"/>
  <c r="CB299" i="53"/>
  <c r="BU308" i="53"/>
  <c r="CF308" i="53"/>
  <c r="CE321" i="53"/>
  <c r="CB325" i="53"/>
  <c r="CK31" i="53"/>
  <c r="CF31" i="53"/>
  <c r="BX31" i="53"/>
  <c r="CL31" i="53"/>
  <c r="CD31" i="53"/>
  <c r="BV31" i="53"/>
  <c r="CH31" i="53"/>
  <c r="BT32" i="53"/>
  <c r="CD32" i="53"/>
  <c r="CK33" i="53"/>
  <c r="CL33" i="53"/>
  <c r="CD33" i="53"/>
  <c r="BV33" i="53"/>
  <c r="CJ33" i="53"/>
  <c r="CB33" i="53"/>
  <c r="BT33" i="53"/>
  <c r="CH33" i="53"/>
  <c r="BT38" i="53"/>
  <c r="CJ38" i="53"/>
  <c r="BX40" i="53"/>
  <c r="CB41" i="53"/>
  <c r="CK46" i="53"/>
  <c r="CF46" i="53"/>
  <c r="BX46" i="53"/>
  <c r="CL46" i="53"/>
  <c r="CD46" i="53"/>
  <c r="BV46" i="53"/>
  <c r="CH46" i="53"/>
  <c r="BT47" i="53"/>
  <c r="CD47" i="53"/>
  <c r="CK48" i="53"/>
  <c r="CL48" i="53"/>
  <c r="CD48" i="53"/>
  <c r="BV48" i="53"/>
  <c r="CH48" i="53"/>
  <c r="CJ48" i="53"/>
  <c r="CB48" i="53"/>
  <c r="BT48" i="53"/>
  <c r="BX32" i="53"/>
  <c r="CB34" i="53"/>
  <c r="BZ38" i="53"/>
  <c r="BY39" i="53"/>
  <c r="BZ40" i="53"/>
  <c r="CI41" i="53"/>
  <c r="CK41" i="53"/>
  <c r="CF41" i="53"/>
  <c r="BZ41" i="53"/>
  <c r="BU41" i="53"/>
  <c r="CJ41" i="53"/>
  <c r="CD41" i="53"/>
  <c r="BY41" i="53"/>
  <c r="BT41" i="53"/>
  <c r="CC41" i="53"/>
  <c r="BX47" i="53"/>
  <c r="CH47" i="53"/>
  <c r="CI32" i="53"/>
  <c r="CL32" i="53"/>
  <c r="CG32" i="53"/>
  <c r="CB32" i="53"/>
  <c r="BV32" i="53"/>
  <c r="CK32" i="53"/>
  <c r="CF32" i="53"/>
  <c r="BZ32" i="53"/>
  <c r="BU32" i="53"/>
  <c r="CC32" i="53"/>
  <c r="CK24" i="53"/>
  <c r="CF24" i="53"/>
  <c r="BX24" i="53"/>
  <c r="CL24" i="53"/>
  <c r="CD24" i="53"/>
  <c r="BV24" i="53"/>
  <c r="BT24" i="53"/>
  <c r="CJ24" i="53"/>
  <c r="CJ28" i="53"/>
  <c r="CC28" i="53"/>
  <c r="BY28" i="53"/>
  <c r="BZ31" i="53"/>
  <c r="BY32" i="53"/>
  <c r="CJ32" i="53"/>
  <c r="BZ33" i="53"/>
  <c r="CI34" i="53"/>
  <c r="CK34" i="53"/>
  <c r="CF34" i="53"/>
  <c r="BZ34" i="53"/>
  <c r="BU34" i="53"/>
  <c r="CJ34" i="53"/>
  <c r="CD34" i="53"/>
  <c r="BY34" i="53"/>
  <c r="BT34" i="53"/>
  <c r="CC34" i="53"/>
  <c r="CI39" i="53"/>
  <c r="CL39" i="53"/>
  <c r="CG39" i="53"/>
  <c r="CB39" i="53"/>
  <c r="BV39" i="53"/>
  <c r="CK39" i="53"/>
  <c r="CF39" i="53"/>
  <c r="BZ39" i="53"/>
  <c r="BU39" i="53"/>
  <c r="CC39" i="53"/>
  <c r="BV41" i="53"/>
  <c r="CG41" i="53"/>
  <c r="BY47" i="53"/>
  <c r="CK38" i="53"/>
  <c r="CF38" i="53"/>
  <c r="BX38" i="53"/>
  <c r="CL38" i="53"/>
  <c r="CD38" i="53"/>
  <c r="BV38" i="53"/>
  <c r="CH38" i="53"/>
  <c r="CK40" i="53"/>
  <c r="CL40" i="53"/>
  <c r="CD40" i="53"/>
  <c r="BV40" i="53"/>
  <c r="CJ40" i="53"/>
  <c r="CB40" i="53"/>
  <c r="BT40" i="53"/>
  <c r="CH40" i="53"/>
  <c r="CI47" i="53"/>
  <c r="CL47" i="53"/>
  <c r="CG47" i="53"/>
  <c r="CB47" i="53"/>
  <c r="BV47" i="53"/>
  <c r="CK47" i="53"/>
  <c r="CF47" i="53"/>
  <c r="BZ47" i="53"/>
  <c r="BU47" i="53"/>
  <c r="CC47" i="53"/>
  <c r="CH56" i="53"/>
  <c r="CC57" i="53"/>
  <c r="CH57" i="53"/>
  <c r="CB78" i="53"/>
  <c r="CB82" i="53"/>
  <c r="CJ86" i="53"/>
  <c r="BZ92" i="53"/>
  <c r="CH92" i="53"/>
  <c r="BX93" i="53"/>
  <c r="CC93" i="53"/>
  <c r="CH93" i="53"/>
  <c r="BZ100" i="53"/>
  <c r="CH100" i="53"/>
  <c r="BX101" i="53"/>
  <c r="CC101" i="53"/>
  <c r="CH101" i="53"/>
  <c r="BY109" i="53"/>
  <c r="CG109" i="53"/>
  <c r="CH110" i="53"/>
  <c r="CK119" i="53"/>
  <c r="CD119" i="53"/>
  <c r="CL119" i="53"/>
  <c r="BV119" i="53"/>
  <c r="CB62" i="53"/>
  <c r="CB66" i="53"/>
  <c r="CB70" i="53"/>
  <c r="BX22" i="53"/>
  <c r="CF22" i="53"/>
  <c r="BV23" i="53"/>
  <c r="CB23" i="53"/>
  <c r="CG23" i="53"/>
  <c r="CL23" i="53"/>
  <c r="CC26" i="53"/>
  <c r="BZ35" i="53"/>
  <c r="CH35" i="53"/>
  <c r="BZ42" i="53"/>
  <c r="CH42" i="53"/>
  <c r="BX43" i="53"/>
  <c r="CC43" i="53"/>
  <c r="CH43" i="53"/>
  <c r="BX44" i="53"/>
  <c r="CF44" i="53"/>
  <c r="BV45" i="53"/>
  <c r="CB45" i="53"/>
  <c r="CG45" i="53"/>
  <c r="CL45" i="53"/>
  <c r="BT49" i="53"/>
  <c r="BY49" i="53"/>
  <c r="CD49" i="53"/>
  <c r="CJ49" i="53"/>
  <c r="BZ50" i="53"/>
  <c r="CH50" i="53"/>
  <c r="BX51" i="53"/>
  <c r="CC51" i="53"/>
  <c r="CH51" i="53"/>
  <c r="BX52" i="53"/>
  <c r="CF52" i="53"/>
  <c r="BV53" i="53"/>
  <c r="CB53" i="53"/>
  <c r="CG53" i="53"/>
  <c r="CL53" i="53"/>
  <c r="BV54" i="53"/>
  <c r="CD54" i="53"/>
  <c r="CL54" i="53"/>
  <c r="BU55" i="53"/>
  <c r="BZ55" i="53"/>
  <c r="CF55" i="53"/>
  <c r="CK55" i="53"/>
  <c r="BT56" i="53"/>
  <c r="CB56" i="53"/>
  <c r="CJ56" i="53"/>
  <c r="BT57" i="53"/>
  <c r="BY57" i="53"/>
  <c r="CD57" i="53"/>
  <c r="CJ57" i="53"/>
  <c r="CG59" i="53"/>
  <c r="BU61" i="53"/>
  <c r="BZ61" i="53"/>
  <c r="CF61" i="53"/>
  <c r="CK61" i="53"/>
  <c r="BT62" i="53"/>
  <c r="CE62" i="53"/>
  <c r="BX63" i="53"/>
  <c r="CC63" i="53"/>
  <c r="CH63" i="53"/>
  <c r="BZ64" i="53"/>
  <c r="CJ64" i="53"/>
  <c r="BU65" i="53"/>
  <c r="BZ65" i="53"/>
  <c r="CF65" i="53"/>
  <c r="CK65" i="53"/>
  <c r="BT66" i="53"/>
  <c r="CE66" i="53"/>
  <c r="BX67" i="53"/>
  <c r="CC67" i="53"/>
  <c r="CH67" i="53"/>
  <c r="BZ68" i="53"/>
  <c r="CJ68" i="53"/>
  <c r="BU69" i="53"/>
  <c r="BZ69" i="53"/>
  <c r="CF69" i="53"/>
  <c r="CK69" i="53"/>
  <c r="BT70" i="53"/>
  <c r="CE70" i="53"/>
  <c r="BX75" i="53"/>
  <c r="CC75" i="53"/>
  <c r="CH75" i="53"/>
  <c r="BZ76" i="53"/>
  <c r="CJ76" i="53"/>
  <c r="BU77" i="53"/>
  <c r="BZ77" i="53"/>
  <c r="CF77" i="53"/>
  <c r="CK77" i="53"/>
  <c r="BT78" i="53"/>
  <c r="CE78" i="53"/>
  <c r="BX79" i="53"/>
  <c r="CC79" i="53"/>
  <c r="CH79" i="53"/>
  <c r="BZ80" i="53"/>
  <c r="CJ80" i="53"/>
  <c r="BU81" i="53"/>
  <c r="BZ81" i="53"/>
  <c r="CF81" i="53"/>
  <c r="CK81" i="53"/>
  <c r="BT82" i="53"/>
  <c r="CE82" i="53"/>
  <c r="BX83" i="53"/>
  <c r="CC83" i="53"/>
  <c r="CH83" i="53"/>
  <c r="BZ84" i="53"/>
  <c r="CJ84" i="53"/>
  <c r="BU85" i="53"/>
  <c r="BZ85" i="53"/>
  <c r="CF85" i="53"/>
  <c r="CK85" i="53"/>
  <c r="BT86" i="53"/>
  <c r="BV87" i="53"/>
  <c r="CB87" i="53"/>
  <c r="CG87" i="53"/>
  <c r="CL87" i="53"/>
  <c r="BX88" i="53"/>
  <c r="BV89" i="53"/>
  <c r="CB89" i="53"/>
  <c r="CG89" i="53"/>
  <c r="CL89" i="53"/>
  <c r="BV90" i="53"/>
  <c r="CD90" i="53"/>
  <c r="CL90" i="53"/>
  <c r="BU91" i="53"/>
  <c r="BZ91" i="53"/>
  <c r="CF91" i="53"/>
  <c r="CK91" i="53"/>
  <c r="BT92" i="53"/>
  <c r="CB92" i="53"/>
  <c r="CJ92" i="53"/>
  <c r="BT93" i="53"/>
  <c r="BY93" i="53"/>
  <c r="CD93" i="53"/>
  <c r="CJ93" i="53"/>
  <c r="BZ94" i="53"/>
  <c r="CH94" i="53"/>
  <c r="BX95" i="53"/>
  <c r="CC95" i="53"/>
  <c r="CH95" i="53"/>
  <c r="BX96" i="53"/>
  <c r="CF96" i="53"/>
  <c r="BV97" i="53"/>
  <c r="CB97" i="53"/>
  <c r="CG97" i="53"/>
  <c r="CL97" i="53"/>
  <c r="BV98" i="53"/>
  <c r="CD98" i="53"/>
  <c r="CL98" i="53"/>
  <c r="BU99" i="53"/>
  <c r="BZ99" i="53"/>
  <c r="CF99" i="53"/>
  <c r="CK99" i="53"/>
  <c r="BT100" i="53"/>
  <c r="CB100" i="53"/>
  <c r="CJ100" i="53"/>
  <c r="BT101" i="53"/>
  <c r="BY101" i="53"/>
  <c r="CD101" i="53"/>
  <c r="CJ101" i="53"/>
  <c r="BZ102" i="53"/>
  <c r="CH102" i="53"/>
  <c r="BX103" i="53"/>
  <c r="CC103" i="53"/>
  <c r="CH103" i="53"/>
  <c r="CD104" i="53"/>
  <c r="BX105" i="53"/>
  <c r="CC105" i="53"/>
  <c r="CH105" i="53"/>
  <c r="CD106" i="53"/>
  <c r="BY107" i="53"/>
  <c r="CG107" i="53"/>
  <c r="CH108" i="53"/>
  <c r="BT109" i="53"/>
  <c r="CB109" i="53"/>
  <c r="CJ109" i="53"/>
  <c r="BV110" i="53"/>
  <c r="CL110" i="53"/>
  <c r="BZ119" i="53"/>
  <c r="BX49" i="53"/>
  <c r="CC49" i="53"/>
  <c r="CH49" i="53"/>
  <c r="BZ22" i="53"/>
  <c r="CH22" i="53"/>
  <c r="BX23" i="53"/>
  <c r="CC23" i="53"/>
  <c r="CG26" i="53"/>
  <c r="BZ44" i="53"/>
  <c r="CH44" i="53"/>
  <c r="BX45" i="53"/>
  <c r="CC45" i="53"/>
  <c r="CH45" i="53"/>
  <c r="BU49" i="53"/>
  <c r="BZ49" i="53"/>
  <c r="CF49" i="53"/>
  <c r="CK49" i="53"/>
  <c r="BZ52" i="53"/>
  <c r="CH52" i="53"/>
  <c r="BX53" i="53"/>
  <c r="CC53" i="53"/>
  <c r="CH53" i="53"/>
  <c r="BX54" i="53"/>
  <c r="CF54" i="53"/>
  <c r="BV55" i="53"/>
  <c r="CB55" i="53"/>
  <c r="CG55" i="53"/>
  <c r="CL55" i="53"/>
  <c r="BV56" i="53"/>
  <c r="CD56" i="53"/>
  <c r="CL56" i="53"/>
  <c r="BU57" i="53"/>
  <c r="BZ57" i="53"/>
  <c r="CF57" i="53"/>
  <c r="CK57" i="53"/>
  <c r="CL59" i="53"/>
  <c r="BV61" i="53"/>
  <c r="CB61" i="53"/>
  <c r="CG61" i="53"/>
  <c r="CL61" i="53"/>
  <c r="BW62" i="53"/>
  <c r="CH62" i="53"/>
  <c r="BV65" i="53"/>
  <c r="CB65" i="53"/>
  <c r="CG65" i="53"/>
  <c r="CL65" i="53"/>
  <c r="BW66" i="53"/>
  <c r="CH66" i="53"/>
  <c r="BV69" i="53"/>
  <c r="CB69" i="53"/>
  <c r="CG69" i="53"/>
  <c r="CL69" i="53"/>
  <c r="BW70" i="53"/>
  <c r="CH70" i="53"/>
  <c r="BV77" i="53"/>
  <c r="CB77" i="53"/>
  <c r="CG77" i="53"/>
  <c r="CL77" i="53"/>
  <c r="BW78" i="53"/>
  <c r="CH78" i="53"/>
  <c r="BV81" i="53"/>
  <c r="CB81" i="53"/>
  <c r="CG81" i="53"/>
  <c r="CL81" i="53"/>
  <c r="BW82" i="53"/>
  <c r="CH82" i="53"/>
  <c r="BV85" i="53"/>
  <c r="CB85" i="53"/>
  <c r="CG85" i="53"/>
  <c r="CL85" i="53"/>
  <c r="BZ86" i="53"/>
  <c r="BX87" i="53"/>
  <c r="CC87" i="53"/>
  <c r="CH87" i="53"/>
  <c r="CB88" i="53"/>
  <c r="BX89" i="53"/>
  <c r="CC89" i="53"/>
  <c r="CH89" i="53"/>
  <c r="BX90" i="53"/>
  <c r="CF90" i="53"/>
  <c r="BV91" i="53"/>
  <c r="CB91" i="53"/>
  <c r="CG91" i="53"/>
  <c r="CL91" i="53"/>
  <c r="BV92" i="53"/>
  <c r="CD92" i="53"/>
  <c r="CL92" i="53"/>
  <c r="BU93" i="53"/>
  <c r="BZ93" i="53"/>
  <c r="CF93" i="53"/>
  <c r="CK93" i="53"/>
  <c r="CB94" i="53"/>
  <c r="CJ94" i="53"/>
  <c r="BY95" i="53"/>
  <c r="CD95" i="53"/>
  <c r="CJ95" i="53"/>
  <c r="BZ96" i="53"/>
  <c r="CH96" i="53"/>
  <c r="BX97" i="53"/>
  <c r="CC97" i="53"/>
  <c r="CH97" i="53"/>
  <c r="BX98" i="53"/>
  <c r="CF98" i="53"/>
  <c r="BV99" i="53"/>
  <c r="CB99" i="53"/>
  <c r="CG99" i="53"/>
  <c r="CL99" i="53"/>
  <c r="BV100" i="53"/>
  <c r="CD100" i="53"/>
  <c r="CL100" i="53"/>
  <c r="BU101" i="53"/>
  <c r="BZ101" i="53"/>
  <c r="CF101" i="53"/>
  <c r="CK101" i="53"/>
  <c r="CJ102" i="53"/>
  <c r="CJ103" i="53"/>
  <c r="CH104" i="53"/>
  <c r="CH106" i="53"/>
  <c r="BU109" i="53"/>
  <c r="CC109" i="53"/>
  <c r="CK109" i="53"/>
  <c r="BZ110" i="53"/>
  <c r="CI116" i="53"/>
  <c r="CL116" i="53"/>
  <c r="CG116" i="53"/>
  <c r="CB116" i="53"/>
  <c r="BV116" i="53"/>
  <c r="BY116" i="53"/>
  <c r="CF116" i="53"/>
  <c r="CH119" i="53"/>
  <c r="BV49" i="53"/>
  <c r="CB49" i="53"/>
  <c r="CG49" i="53"/>
  <c r="CL49" i="53"/>
  <c r="BZ54" i="53"/>
  <c r="CH54" i="53"/>
  <c r="BX55" i="53"/>
  <c r="CC55" i="53"/>
  <c r="CH55" i="53"/>
  <c r="BX56" i="53"/>
  <c r="CF56" i="53"/>
  <c r="BV57" i="53"/>
  <c r="CB57" i="53"/>
  <c r="CG57" i="53"/>
  <c r="CL57" i="53"/>
  <c r="BX61" i="53"/>
  <c r="CC61" i="53"/>
  <c r="CH61" i="53"/>
  <c r="BZ62" i="53"/>
  <c r="CJ62" i="53"/>
  <c r="BX65" i="53"/>
  <c r="CC65" i="53"/>
  <c r="CH65" i="53"/>
  <c r="BZ66" i="53"/>
  <c r="CJ66" i="53"/>
  <c r="BX69" i="53"/>
  <c r="CC69" i="53"/>
  <c r="CH69" i="53"/>
  <c r="BZ70" i="53"/>
  <c r="CJ70" i="53"/>
  <c r="BX77" i="53"/>
  <c r="CC77" i="53"/>
  <c r="CH77" i="53"/>
  <c r="BZ78" i="53"/>
  <c r="CJ78" i="53"/>
  <c r="BX81" i="53"/>
  <c r="CC81" i="53"/>
  <c r="CH81" i="53"/>
  <c r="BZ82" i="53"/>
  <c r="CJ82" i="53"/>
  <c r="BX85" i="53"/>
  <c r="CC85" i="53"/>
  <c r="CH85" i="53"/>
  <c r="CE86" i="53"/>
  <c r="BZ90" i="53"/>
  <c r="CH90" i="53"/>
  <c r="BX91" i="53"/>
  <c r="CC91" i="53"/>
  <c r="CH91" i="53"/>
  <c r="BX92" i="53"/>
  <c r="CF92" i="53"/>
  <c r="BV93" i="53"/>
  <c r="CB93" i="53"/>
  <c r="CG93" i="53"/>
  <c r="CL93" i="53"/>
  <c r="BZ98" i="53"/>
  <c r="CH98" i="53"/>
  <c r="BX99" i="53"/>
  <c r="CC99" i="53"/>
  <c r="CH99" i="53"/>
  <c r="BX100" i="53"/>
  <c r="CF100" i="53"/>
  <c r="BV101" i="53"/>
  <c r="CB101" i="53"/>
  <c r="CG101" i="53"/>
  <c r="CL101" i="53"/>
  <c r="BV102" i="53"/>
  <c r="CD102" i="53"/>
  <c r="CL102" i="53"/>
  <c r="BU103" i="53"/>
  <c r="BZ103" i="53"/>
  <c r="CF103" i="53"/>
  <c r="CK103" i="53"/>
  <c r="BV104" i="53"/>
  <c r="CL104" i="53"/>
  <c r="BV106" i="53"/>
  <c r="CL106" i="53"/>
  <c r="BX109" i="53"/>
  <c r="CF109" i="53"/>
  <c r="CD110" i="53"/>
  <c r="CI111" i="53"/>
  <c r="CF111" i="53"/>
  <c r="BY111" i="53"/>
  <c r="CJ111" i="53"/>
  <c r="CI114" i="53"/>
  <c r="CK114" i="53"/>
  <c r="CF114" i="53"/>
  <c r="BZ114" i="53"/>
  <c r="BU114" i="53"/>
  <c r="BY114" i="53"/>
  <c r="CG114" i="53"/>
  <c r="BT116" i="53"/>
  <c r="BZ116" i="53"/>
  <c r="CH116" i="53"/>
  <c r="CJ127" i="53"/>
  <c r="BX130" i="53"/>
  <c r="CC130" i="53"/>
  <c r="CH130" i="53"/>
  <c r="BX136" i="53"/>
  <c r="CC136" i="53"/>
  <c r="CH136" i="53"/>
  <c r="CJ143" i="53"/>
  <c r="BX146" i="53"/>
  <c r="CC146" i="53"/>
  <c r="CH146" i="53"/>
  <c r="BX152" i="53"/>
  <c r="CC152" i="53"/>
  <c r="CH152" i="53"/>
  <c r="BW157" i="53"/>
  <c r="CG157" i="53"/>
  <c r="BU158" i="53"/>
  <c r="CE158" i="53"/>
  <c r="CC159" i="53"/>
  <c r="BX161" i="53"/>
  <c r="CC161" i="53"/>
  <c r="CH161" i="53"/>
  <c r="BT164" i="53"/>
  <c r="BY164" i="53"/>
  <c r="CD164" i="53"/>
  <c r="CJ164" i="53"/>
  <c r="BZ165" i="53"/>
  <c r="CH165" i="53"/>
  <c r="BX166" i="53"/>
  <c r="CC166" i="53"/>
  <c r="CH166" i="53"/>
  <c r="BV168" i="53"/>
  <c r="CB168" i="53"/>
  <c r="CG168" i="53"/>
  <c r="CL168" i="53"/>
  <c r="BV169" i="53"/>
  <c r="CD169" i="53"/>
  <c r="CL169" i="53"/>
  <c r="BU170" i="53"/>
  <c r="BZ170" i="53"/>
  <c r="CF170" i="53"/>
  <c r="CK170" i="53"/>
  <c r="BT171" i="53"/>
  <c r="CB171" i="53"/>
  <c r="CJ171" i="53"/>
  <c r="BT172" i="53"/>
  <c r="BY172" i="53"/>
  <c r="CD172" i="53"/>
  <c r="CJ172" i="53"/>
  <c r="BY174" i="53"/>
  <c r="BY175" i="53"/>
  <c r="BY176" i="53"/>
  <c r="BV178" i="53"/>
  <c r="CD178" i="53"/>
  <c r="CL178" i="53"/>
  <c r="BU179" i="53"/>
  <c r="BZ179" i="53"/>
  <c r="CF179" i="53"/>
  <c r="CK179" i="53"/>
  <c r="BT180" i="53"/>
  <c r="CB180" i="53"/>
  <c r="CJ180" i="53"/>
  <c r="BT181" i="53"/>
  <c r="BY181" i="53"/>
  <c r="CD181" i="53"/>
  <c r="CJ181" i="53"/>
  <c r="BZ182" i="53"/>
  <c r="CH182" i="53"/>
  <c r="BX183" i="53"/>
  <c r="CC183" i="53"/>
  <c r="CH183" i="53"/>
  <c r="BV190" i="53"/>
  <c r="CB190" i="53"/>
  <c r="CG190" i="53"/>
  <c r="CL190" i="53"/>
  <c r="CI192" i="53"/>
  <c r="CG192" i="53"/>
  <c r="BY192" i="53"/>
  <c r="CB192" i="53"/>
  <c r="CK192" i="53"/>
  <c r="CI194" i="53"/>
  <c r="CJ194" i="53"/>
  <c r="CB194" i="53"/>
  <c r="BT194" i="53"/>
  <c r="CC194" i="53"/>
  <c r="BZ198" i="53"/>
  <c r="BU120" i="53"/>
  <c r="CD120" i="53"/>
  <c r="BV122" i="53"/>
  <c r="CB122" i="53"/>
  <c r="CG122" i="53"/>
  <c r="CL122" i="53"/>
  <c r="BZ123" i="53"/>
  <c r="BX124" i="53"/>
  <c r="CC124" i="53"/>
  <c r="CH124" i="53"/>
  <c r="BU126" i="53"/>
  <c r="BZ126" i="53"/>
  <c r="CF126" i="53"/>
  <c r="CK126" i="53"/>
  <c r="BT127" i="53"/>
  <c r="BV128" i="53"/>
  <c r="CB128" i="53"/>
  <c r="CG128" i="53"/>
  <c r="CL128" i="53"/>
  <c r="CB129" i="53"/>
  <c r="BT130" i="53"/>
  <c r="BY130" i="53"/>
  <c r="CD130" i="53"/>
  <c r="CJ130" i="53"/>
  <c r="CJ131" i="53"/>
  <c r="BU132" i="53"/>
  <c r="BZ132" i="53"/>
  <c r="CF132" i="53"/>
  <c r="CK132" i="53"/>
  <c r="BW133" i="53"/>
  <c r="BX134" i="53"/>
  <c r="CC134" i="53"/>
  <c r="CH134" i="53"/>
  <c r="CE135" i="53"/>
  <c r="BT136" i="53"/>
  <c r="BY136" i="53"/>
  <c r="CD136" i="53"/>
  <c r="CJ136" i="53"/>
  <c r="BV138" i="53"/>
  <c r="CB138" i="53"/>
  <c r="CG138" i="53"/>
  <c r="CL138" i="53"/>
  <c r="BZ139" i="53"/>
  <c r="BX140" i="53"/>
  <c r="CC140" i="53"/>
  <c r="CH140" i="53"/>
  <c r="BU142" i="53"/>
  <c r="BZ142" i="53"/>
  <c r="CF142" i="53"/>
  <c r="CK142" i="53"/>
  <c r="BT143" i="53"/>
  <c r="BV144" i="53"/>
  <c r="CB144" i="53"/>
  <c r="CG144" i="53"/>
  <c r="CL144" i="53"/>
  <c r="CB145" i="53"/>
  <c r="BT146" i="53"/>
  <c r="BY146" i="53"/>
  <c r="CD146" i="53"/>
  <c r="CJ146" i="53"/>
  <c r="CJ147" i="53"/>
  <c r="BU148" i="53"/>
  <c r="BZ148" i="53"/>
  <c r="CF148" i="53"/>
  <c r="CK148" i="53"/>
  <c r="BW149" i="53"/>
  <c r="BX150" i="53"/>
  <c r="CC150" i="53"/>
  <c r="CH150" i="53"/>
  <c r="CE151" i="53"/>
  <c r="BT152" i="53"/>
  <c r="BY152" i="53"/>
  <c r="CD152" i="53"/>
  <c r="CJ152" i="53"/>
  <c r="BZ153" i="53"/>
  <c r="CH153" i="53"/>
  <c r="BX154" i="53"/>
  <c r="CC154" i="53"/>
  <c r="CH154" i="53"/>
  <c r="BY157" i="53"/>
  <c r="CK157" i="53"/>
  <c r="BW158" i="53"/>
  <c r="CG158" i="53"/>
  <c r="BU159" i="53"/>
  <c r="BT161" i="53"/>
  <c r="BY161" i="53"/>
  <c r="CD161" i="53"/>
  <c r="CJ161" i="53"/>
  <c r="BU164" i="53"/>
  <c r="BZ164" i="53"/>
  <c r="CF164" i="53"/>
  <c r="CK164" i="53"/>
  <c r="BT165" i="53"/>
  <c r="CB165" i="53"/>
  <c r="CJ165" i="53"/>
  <c r="BT166" i="53"/>
  <c r="BY166" i="53"/>
  <c r="CD166" i="53"/>
  <c r="CJ166" i="53"/>
  <c r="BZ167" i="53"/>
  <c r="CH167" i="53"/>
  <c r="BX168" i="53"/>
  <c r="CC168" i="53"/>
  <c r="CH168" i="53"/>
  <c r="BX169" i="53"/>
  <c r="CF169" i="53"/>
  <c r="BV170" i="53"/>
  <c r="CB170" i="53"/>
  <c r="CG170" i="53"/>
  <c r="CL170" i="53"/>
  <c r="BV171" i="53"/>
  <c r="CD171" i="53"/>
  <c r="CL171" i="53"/>
  <c r="BU172" i="53"/>
  <c r="BZ172" i="53"/>
  <c r="CF172" i="53"/>
  <c r="CK172" i="53"/>
  <c r="CG174" i="53"/>
  <c r="CG175" i="53"/>
  <c r="CG176" i="53"/>
  <c r="BX178" i="53"/>
  <c r="CF178" i="53"/>
  <c r="BV179" i="53"/>
  <c r="CB179" i="53"/>
  <c r="CG179" i="53"/>
  <c r="CL179" i="53"/>
  <c r="BV180" i="53"/>
  <c r="CD180" i="53"/>
  <c r="CL180" i="53"/>
  <c r="BU181" i="53"/>
  <c r="BZ181" i="53"/>
  <c r="CF181" i="53"/>
  <c r="CK181" i="53"/>
  <c r="BT182" i="53"/>
  <c r="CB182" i="53"/>
  <c r="CJ182" i="53"/>
  <c r="BT183" i="53"/>
  <c r="BY183" i="53"/>
  <c r="CD183" i="53"/>
  <c r="CJ183" i="53"/>
  <c r="BZ184" i="53"/>
  <c r="CH184" i="53"/>
  <c r="BX185" i="53"/>
  <c r="CC185" i="53"/>
  <c r="CH185" i="53"/>
  <c r="BY187" i="53"/>
  <c r="CG187" i="53"/>
  <c r="BX190" i="53"/>
  <c r="CC190" i="53"/>
  <c r="CH190" i="53"/>
  <c r="BT192" i="53"/>
  <c r="CC192" i="53"/>
  <c r="BU194" i="53"/>
  <c r="CF194" i="53"/>
  <c r="BX122" i="53"/>
  <c r="CC122" i="53"/>
  <c r="CH122" i="53"/>
  <c r="CE123" i="53"/>
  <c r="BV126" i="53"/>
  <c r="CB126" i="53"/>
  <c r="CG126" i="53"/>
  <c r="CL126" i="53"/>
  <c r="BZ127" i="53"/>
  <c r="BX128" i="53"/>
  <c r="CC128" i="53"/>
  <c r="CH128" i="53"/>
  <c r="BU130" i="53"/>
  <c r="BZ130" i="53"/>
  <c r="CF130" i="53"/>
  <c r="CK130" i="53"/>
  <c r="BV132" i="53"/>
  <c r="CB132" i="53"/>
  <c r="CG132" i="53"/>
  <c r="CL132" i="53"/>
  <c r="CB133" i="53"/>
  <c r="CJ135" i="53"/>
  <c r="BU136" i="53"/>
  <c r="BZ136" i="53"/>
  <c r="CF136" i="53"/>
  <c r="CK136" i="53"/>
  <c r="BX138" i="53"/>
  <c r="CC138" i="53"/>
  <c r="CH138" i="53"/>
  <c r="CE139" i="53"/>
  <c r="BV142" i="53"/>
  <c r="CB142" i="53"/>
  <c r="CG142" i="53"/>
  <c r="CL142" i="53"/>
  <c r="BZ143" i="53"/>
  <c r="BX144" i="53"/>
  <c r="CC144" i="53"/>
  <c r="CH144" i="53"/>
  <c r="BU146" i="53"/>
  <c r="BZ146" i="53"/>
  <c r="CF146" i="53"/>
  <c r="CK146" i="53"/>
  <c r="BV148" i="53"/>
  <c r="CB148" i="53"/>
  <c r="CG148" i="53"/>
  <c r="CL148" i="53"/>
  <c r="CB149" i="53"/>
  <c r="CJ151" i="53"/>
  <c r="BU152" i="53"/>
  <c r="BZ152" i="53"/>
  <c r="CF152" i="53"/>
  <c r="CK152" i="53"/>
  <c r="CC157" i="53"/>
  <c r="BZ169" i="53"/>
  <c r="CH169" i="53"/>
  <c r="BX170" i="53"/>
  <c r="CC170" i="53"/>
  <c r="CH170" i="53"/>
  <c r="BZ178" i="53"/>
  <c r="CH178" i="53"/>
  <c r="BX179" i="53"/>
  <c r="CC179" i="53"/>
  <c r="CH179" i="53"/>
  <c r="BX180" i="53"/>
  <c r="CF180" i="53"/>
  <c r="BV181" i="53"/>
  <c r="CB181" i="53"/>
  <c r="CG181" i="53"/>
  <c r="CL181" i="53"/>
  <c r="BV182" i="53"/>
  <c r="CD182" i="53"/>
  <c r="CL182" i="53"/>
  <c r="BU183" i="53"/>
  <c r="BZ183" i="53"/>
  <c r="CF183" i="53"/>
  <c r="CK183" i="53"/>
  <c r="BY120" i="53"/>
  <c r="CJ120" i="53"/>
  <c r="BT122" i="53"/>
  <c r="BY122" i="53"/>
  <c r="CD122" i="53"/>
  <c r="CJ122" i="53"/>
  <c r="CJ123" i="53"/>
  <c r="BX126" i="53"/>
  <c r="CC126" i="53"/>
  <c r="CH126" i="53"/>
  <c r="CE127" i="53"/>
  <c r="BV130" i="53"/>
  <c r="CB130" i="53"/>
  <c r="CG130" i="53"/>
  <c r="CL130" i="53"/>
  <c r="BX132" i="53"/>
  <c r="CC132" i="53"/>
  <c r="CH132" i="53"/>
  <c r="BV136" i="53"/>
  <c r="CB136" i="53"/>
  <c r="CG136" i="53"/>
  <c r="CL136" i="53"/>
  <c r="BT138" i="53"/>
  <c r="BY138" i="53"/>
  <c r="CD138" i="53"/>
  <c r="CJ138" i="53"/>
  <c r="CJ139" i="53"/>
  <c r="BX142" i="53"/>
  <c r="CC142" i="53"/>
  <c r="CH142" i="53"/>
  <c r="CE143" i="53"/>
  <c r="BV146" i="53"/>
  <c r="CB146" i="53"/>
  <c r="CG146" i="53"/>
  <c r="CL146" i="53"/>
  <c r="BX148" i="53"/>
  <c r="CC148" i="53"/>
  <c r="CH148" i="53"/>
  <c r="BT151" i="53"/>
  <c r="BV152" i="53"/>
  <c r="CB152" i="53"/>
  <c r="CG152" i="53"/>
  <c r="CL152" i="53"/>
  <c r="BU157" i="53"/>
  <c r="BX164" i="53"/>
  <c r="CC164" i="53"/>
  <c r="CH164" i="53"/>
  <c r="BV166" i="53"/>
  <c r="CB166" i="53"/>
  <c r="CG166" i="53"/>
  <c r="CL166" i="53"/>
  <c r="BT169" i="53"/>
  <c r="CB169" i="53"/>
  <c r="CJ169" i="53"/>
  <c r="BT170" i="53"/>
  <c r="BY170" i="53"/>
  <c r="CD170" i="53"/>
  <c r="CJ170" i="53"/>
  <c r="BZ171" i="53"/>
  <c r="CH171" i="53"/>
  <c r="BX172" i="53"/>
  <c r="CC172" i="53"/>
  <c r="CH172" i="53"/>
  <c r="BT178" i="53"/>
  <c r="CB178" i="53"/>
  <c r="CJ178" i="53"/>
  <c r="BT179" i="53"/>
  <c r="BY179" i="53"/>
  <c r="CD179" i="53"/>
  <c r="CJ179" i="53"/>
  <c r="BZ180" i="53"/>
  <c r="CH180" i="53"/>
  <c r="BX181" i="53"/>
  <c r="CC181" i="53"/>
  <c r="CH181" i="53"/>
  <c r="BX182" i="53"/>
  <c r="CF182" i="53"/>
  <c r="BV183" i="53"/>
  <c r="CB183" i="53"/>
  <c r="CG183" i="53"/>
  <c r="CL183" i="53"/>
  <c r="CH198" i="53"/>
  <c r="BW198" i="53"/>
  <c r="CE198" i="53"/>
  <c r="BV198" i="53"/>
  <c r="BX201" i="53"/>
  <c r="BW201" i="53"/>
  <c r="CC210" i="53"/>
  <c r="CG212" i="53"/>
  <c r="BX219" i="53"/>
  <c r="CC219" i="53"/>
  <c r="CH219" i="53"/>
  <c r="BX220" i="53"/>
  <c r="CF220" i="53"/>
  <c r="BV221" i="53"/>
  <c r="CB221" i="53"/>
  <c r="CG221" i="53"/>
  <c r="CL221" i="53"/>
  <c r="CB226" i="53"/>
  <c r="CL226" i="53"/>
  <c r="BX228" i="53"/>
  <c r="CC228" i="53"/>
  <c r="CH228" i="53"/>
  <c r="CF229" i="53"/>
  <c r="BV234" i="53"/>
  <c r="CB234" i="53"/>
  <c r="CG234" i="53"/>
  <c r="CL234" i="53"/>
  <c r="BX236" i="53"/>
  <c r="CC236" i="53"/>
  <c r="CH236" i="53"/>
  <c r="CF237" i="53"/>
  <c r="BV242" i="53"/>
  <c r="CB242" i="53"/>
  <c r="BY246" i="53"/>
  <c r="CI260" i="53"/>
  <c r="CL260" i="53"/>
  <c r="CG260" i="53"/>
  <c r="CB260" i="53"/>
  <c r="BV260" i="53"/>
  <c r="CK260" i="53"/>
  <c r="CF260" i="53"/>
  <c r="BZ260" i="53"/>
  <c r="BU260" i="53"/>
  <c r="CC260" i="53"/>
  <c r="BX266" i="53"/>
  <c r="BZ271" i="53"/>
  <c r="CG210" i="53"/>
  <c r="BZ220" i="53"/>
  <c r="CH220" i="53"/>
  <c r="BX221" i="53"/>
  <c r="CC221" i="53"/>
  <c r="CH221" i="53"/>
  <c r="BT228" i="53"/>
  <c r="BY228" i="53"/>
  <c r="CD228" i="53"/>
  <c r="CJ228" i="53"/>
  <c r="CL229" i="53"/>
  <c r="BX234" i="53"/>
  <c r="CC234" i="53"/>
  <c r="CH234" i="53"/>
  <c r="BT236" i="53"/>
  <c r="BY236" i="53"/>
  <c r="CD236" i="53"/>
  <c r="CJ236" i="53"/>
  <c r="CL237" i="53"/>
  <c r="CI242" i="53"/>
  <c r="CL242" i="53"/>
  <c r="BX242" i="53"/>
  <c r="CC242" i="53"/>
  <c r="CH242" i="53"/>
  <c r="CI246" i="53"/>
  <c r="CF246" i="53"/>
  <c r="BX246" i="53"/>
  <c r="CB246" i="53"/>
  <c r="CK246" i="53"/>
  <c r="CL254" i="53"/>
  <c r="CE254" i="53"/>
  <c r="CI258" i="53"/>
  <c r="CK258" i="53"/>
  <c r="CF258" i="53"/>
  <c r="BZ258" i="53"/>
  <c r="BU258" i="53"/>
  <c r="BY258" i="53"/>
  <c r="CG258" i="53"/>
  <c r="BT260" i="53"/>
  <c r="CD260" i="53"/>
  <c r="CH261" i="53"/>
  <c r="CA261" i="53"/>
  <c r="BV261" i="53"/>
  <c r="CC266" i="53"/>
  <c r="BY199" i="53"/>
  <c r="CG199" i="53"/>
  <c r="BV202" i="53"/>
  <c r="CB202" i="53"/>
  <c r="CG202" i="53"/>
  <c r="CL202" i="53"/>
  <c r="BX204" i="53"/>
  <c r="CF204" i="53"/>
  <c r="BY206" i="53"/>
  <c r="CG206" i="53"/>
  <c r="CG208" i="53"/>
  <c r="BW209" i="53"/>
  <c r="BU210" i="53"/>
  <c r="CK210" i="53"/>
  <c r="BY212" i="53"/>
  <c r="CC214" i="53"/>
  <c r="CG216" i="53"/>
  <c r="BW217" i="53"/>
  <c r="BU219" i="53"/>
  <c r="BZ219" i="53"/>
  <c r="CF219" i="53"/>
  <c r="CK219" i="53"/>
  <c r="BT220" i="53"/>
  <c r="CB220" i="53"/>
  <c r="CJ220" i="53"/>
  <c r="BT221" i="53"/>
  <c r="N37" i="21" s="1"/>
  <c r="BY221" i="53"/>
  <c r="CD221" i="53"/>
  <c r="CJ221" i="53"/>
  <c r="BZ222" i="53"/>
  <c r="CH222" i="53"/>
  <c r="BX223" i="53"/>
  <c r="CC223" i="53"/>
  <c r="CH223" i="53"/>
  <c r="BX224" i="53"/>
  <c r="CF224" i="53"/>
  <c r="BV225" i="53"/>
  <c r="CB225" i="53"/>
  <c r="CG225" i="53"/>
  <c r="CL225" i="53"/>
  <c r="BV226" i="53"/>
  <c r="CG226" i="53"/>
  <c r="BU228" i="53"/>
  <c r="BZ228" i="53"/>
  <c r="CF228" i="53"/>
  <c r="CK228" i="53"/>
  <c r="BV229" i="53"/>
  <c r="BV230" i="53"/>
  <c r="CB230" i="53"/>
  <c r="CG230" i="53"/>
  <c r="CL230" i="53"/>
  <c r="BX232" i="53"/>
  <c r="CC232" i="53"/>
  <c r="CH232" i="53"/>
  <c r="CF233" i="53"/>
  <c r="BT234" i="53"/>
  <c r="BY234" i="53"/>
  <c r="CD234" i="53"/>
  <c r="CJ234" i="53"/>
  <c r="BU236" i="53"/>
  <c r="BZ236" i="53"/>
  <c r="CF236" i="53"/>
  <c r="CK236" i="53"/>
  <c r="BV237" i="53"/>
  <c r="BX240" i="53"/>
  <c r="CC240" i="53"/>
  <c r="CH240" i="53"/>
  <c r="BT242" i="53"/>
  <c r="BY242" i="53"/>
  <c r="CD242" i="53"/>
  <c r="CJ242" i="53"/>
  <c r="BT246" i="53"/>
  <c r="CC246" i="53"/>
  <c r="CI248" i="53"/>
  <c r="CK248" i="53"/>
  <c r="CC248" i="53"/>
  <c r="BU248" i="53"/>
  <c r="CB248" i="53"/>
  <c r="CI250" i="53"/>
  <c r="CJ250" i="53"/>
  <c r="CB250" i="53"/>
  <c r="BT250" i="53"/>
  <c r="CC250" i="53"/>
  <c r="BU254" i="53"/>
  <c r="CI255" i="53"/>
  <c r="CJ255" i="53"/>
  <c r="CD255" i="53"/>
  <c r="BY255" i="53"/>
  <c r="BT255" i="53"/>
  <c r="BZ255" i="53"/>
  <c r="CG255" i="53"/>
  <c r="BT258" i="53"/>
  <c r="CB258" i="53"/>
  <c r="CH258" i="53"/>
  <c r="CI259" i="53"/>
  <c r="BX259" i="53"/>
  <c r="BX260" i="53"/>
  <c r="CH260" i="53"/>
  <c r="CF261" i="53"/>
  <c r="CB199" i="53"/>
  <c r="CJ199" i="53"/>
  <c r="BX202" i="53"/>
  <c r="CC202" i="53"/>
  <c r="CH202" i="53"/>
  <c r="BY204" i="53"/>
  <c r="CG204" i="53"/>
  <c r="CE209" i="53"/>
  <c r="BY210" i="53"/>
  <c r="CC212" i="53"/>
  <c r="CG214" i="53"/>
  <c r="CE217" i="53"/>
  <c r="BV219" i="53"/>
  <c r="CB219" i="53"/>
  <c r="CG219" i="53"/>
  <c r="CL219" i="53"/>
  <c r="BV220" i="53"/>
  <c r="CD220" i="53"/>
  <c r="CL220" i="53"/>
  <c r="BU221" i="53"/>
  <c r="BZ221" i="53"/>
  <c r="CF221" i="53"/>
  <c r="CK221" i="53"/>
  <c r="BZ224" i="53"/>
  <c r="CH224" i="53"/>
  <c r="BX225" i="53"/>
  <c r="CC225" i="53"/>
  <c r="CH225" i="53"/>
  <c r="BY226" i="53"/>
  <c r="BV228" i="53"/>
  <c r="CB228" i="53"/>
  <c r="CG228" i="53"/>
  <c r="CL228" i="53"/>
  <c r="CA229" i="53"/>
  <c r="BX230" i="53"/>
  <c r="CC230" i="53"/>
  <c r="CH230" i="53"/>
  <c r="BT232" i="53"/>
  <c r="BY232" i="53"/>
  <c r="CD232" i="53"/>
  <c r="CJ232" i="53"/>
  <c r="CL233" i="53"/>
  <c r="BU234" i="53"/>
  <c r="BZ234" i="53"/>
  <c r="CF234" i="53"/>
  <c r="CK234" i="53"/>
  <c r="BV236" i="53"/>
  <c r="CB236" i="53"/>
  <c r="CG236" i="53"/>
  <c r="CL236" i="53"/>
  <c r="CA237" i="53"/>
  <c r="BX238" i="53"/>
  <c r="CC238" i="53"/>
  <c r="CH238" i="53"/>
  <c r="BT240" i="53"/>
  <c r="BY240" i="53"/>
  <c r="CD240" i="53"/>
  <c r="CJ240" i="53"/>
  <c r="CL241" i="53"/>
  <c r="BU242" i="53"/>
  <c r="BZ242" i="53"/>
  <c r="CF242" i="53"/>
  <c r="CK242" i="53"/>
  <c r="BU246" i="53"/>
  <c r="CG246" i="53"/>
  <c r="CL247" i="53"/>
  <c r="BZ247" i="53"/>
  <c r="CE247" i="53"/>
  <c r="CH249" i="53"/>
  <c r="BW249" i="53"/>
  <c r="CE249" i="53"/>
  <c r="CE251" i="53"/>
  <c r="BV251" i="53"/>
  <c r="CH251" i="53"/>
  <c r="BZ254" i="53"/>
  <c r="BY260" i="53"/>
  <c r="CJ260" i="53"/>
  <c r="CI266" i="53"/>
  <c r="CL266" i="53"/>
  <c r="CG266" i="53"/>
  <c r="CB266" i="53"/>
  <c r="BV266" i="53"/>
  <c r="CK266" i="53"/>
  <c r="CF266" i="53"/>
  <c r="BZ266" i="53"/>
  <c r="BU266" i="53"/>
  <c r="CJ266" i="53"/>
  <c r="CD266" i="53"/>
  <c r="BY266" i="53"/>
  <c r="BT266" i="53"/>
  <c r="CJ271" i="53"/>
  <c r="CG271" i="53"/>
  <c r="BY271" i="53"/>
  <c r="CL271" i="53"/>
  <c r="CD271" i="53"/>
  <c r="BV271" i="53"/>
  <c r="CK271" i="53"/>
  <c r="CC271" i="53"/>
  <c r="BU271" i="53"/>
  <c r="CJ272" i="53"/>
  <c r="BX272" i="53"/>
  <c r="CF272" i="53"/>
  <c r="BW272" i="53"/>
  <c r="CE272" i="53"/>
  <c r="BT272" i="53"/>
  <c r="CJ279" i="53"/>
  <c r="CG279" i="53"/>
  <c r="BY279" i="53"/>
  <c r="CL279" i="53"/>
  <c r="CD279" i="53"/>
  <c r="BV279" i="53"/>
  <c r="CK279" i="53"/>
  <c r="CC279" i="53"/>
  <c r="BU279" i="53"/>
  <c r="CJ280" i="53"/>
  <c r="BX280" i="53"/>
  <c r="CF280" i="53"/>
  <c r="BW280" i="53"/>
  <c r="CE280" i="53"/>
  <c r="BT280" i="53"/>
  <c r="CI318" i="53"/>
  <c r="CL318" i="53"/>
  <c r="CG318" i="53"/>
  <c r="CB318" i="53"/>
  <c r="BV318" i="53"/>
  <c r="CK318" i="53"/>
  <c r="CF318" i="53"/>
  <c r="BZ318" i="53"/>
  <c r="BU318" i="53"/>
  <c r="CJ318" i="53"/>
  <c r="CD318" i="53"/>
  <c r="BY318" i="53"/>
  <c r="BT318" i="53"/>
  <c r="BY244" i="53"/>
  <c r="CG244" i="53"/>
  <c r="BY252" i="53"/>
  <c r="CG252" i="53"/>
  <c r="BV262" i="53"/>
  <c r="CB262" i="53"/>
  <c r="CG262" i="53"/>
  <c r="CL262" i="53"/>
  <c r="BX264" i="53"/>
  <c r="CC264" i="53"/>
  <c r="CH264" i="53"/>
  <c r="CF265" i="53"/>
  <c r="BV269" i="53"/>
  <c r="CB269" i="53"/>
  <c r="CG269" i="53"/>
  <c r="CL269" i="53"/>
  <c r="BW270" i="53"/>
  <c r="CF270" i="53"/>
  <c r="BZ273" i="53"/>
  <c r="CH273" i="53"/>
  <c r="BY275" i="53"/>
  <c r="CG275" i="53"/>
  <c r="BX276" i="53"/>
  <c r="CJ276" i="53"/>
  <c r="BV277" i="53"/>
  <c r="CD277" i="53"/>
  <c r="CL277" i="53"/>
  <c r="BW278" i="53"/>
  <c r="CF278" i="53"/>
  <c r="CJ281" i="53"/>
  <c r="CL281" i="53"/>
  <c r="CD281" i="53"/>
  <c r="BV281" i="53"/>
  <c r="CC281" i="53"/>
  <c r="CI282" i="53"/>
  <c r="CI284" i="53"/>
  <c r="CA284" i="53"/>
  <c r="CC285" i="53"/>
  <c r="CC295" i="53"/>
  <c r="BX318" i="53"/>
  <c r="CC322" i="53"/>
  <c r="BX262" i="53"/>
  <c r="CC262" i="53"/>
  <c r="CH262" i="53"/>
  <c r="CL265" i="53"/>
  <c r="BX269" i="53"/>
  <c r="CC269" i="53"/>
  <c r="CH269" i="53"/>
  <c r="BX270" i="53"/>
  <c r="CJ270" i="53"/>
  <c r="BZ275" i="53"/>
  <c r="CH275" i="53"/>
  <c r="BY277" i="53"/>
  <c r="CG277" i="53"/>
  <c r="BX278" i="53"/>
  <c r="CJ278" i="53"/>
  <c r="CI313" i="53"/>
  <c r="CL313" i="53"/>
  <c r="CG313" i="53"/>
  <c r="CB313" i="53"/>
  <c r="BV313" i="53"/>
  <c r="CK313" i="53"/>
  <c r="CF313" i="53"/>
  <c r="BZ313" i="53"/>
  <c r="BU313" i="53"/>
  <c r="CJ313" i="53"/>
  <c r="CD313" i="53"/>
  <c r="BY313" i="53"/>
  <c r="BT313" i="53"/>
  <c r="CC318" i="53"/>
  <c r="BZ277" i="53"/>
  <c r="CH277" i="53"/>
  <c r="CJ285" i="53"/>
  <c r="BY285" i="53"/>
  <c r="CK285" i="53"/>
  <c r="CK294" i="53"/>
  <c r="CF294" i="53"/>
  <c r="BX294" i="53"/>
  <c r="CL294" i="53"/>
  <c r="CD294" i="53"/>
  <c r="BV294" i="53"/>
  <c r="CJ294" i="53"/>
  <c r="CB294" i="53"/>
  <c r="BT294" i="53"/>
  <c r="CI295" i="53"/>
  <c r="CL295" i="53"/>
  <c r="CG295" i="53"/>
  <c r="CB295" i="53"/>
  <c r="BV295" i="53"/>
  <c r="CK295" i="53"/>
  <c r="CF295" i="53"/>
  <c r="BZ295" i="53"/>
  <c r="BU295" i="53"/>
  <c r="CJ295" i="53"/>
  <c r="CD295" i="53"/>
  <c r="BY295" i="53"/>
  <c r="BT295" i="53"/>
  <c r="CI306" i="53"/>
  <c r="CL306" i="53"/>
  <c r="CG306" i="53"/>
  <c r="CB306" i="53"/>
  <c r="BV306" i="53"/>
  <c r="CK306" i="53"/>
  <c r="CF306" i="53"/>
  <c r="BZ306" i="53"/>
  <c r="BU306" i="53"/>
  <c r="CJ306" i="53"/>
  <c r="CD306" i="53"/>
  <c r="BY306" i="53"/>
  <c r="BT306" i="53"/>
  <c r="BX313" i="53"/>
  <c r="CH318" i="53"/>
  <c r="CI322" i="53"/>
  <c r="CL322" i="53"/>
  <c r="CG322" i="53"/>
  <c r="CB322" i="53"/>
  <c r="BV322" i="53"/>
  <c r="CK322" i="53"/>
  <c r="CF322" i="53"/>
  <c r="BZ322" i="53"/>
  <c r="BU322" i="53"/>
  <c r="CJ322" i="53"/>
  <c r="CD322" i="53"/>
  <c r="BY322" i="53"/>
  <c r="BT322" i="53"/>
  <c r="BZ296" i="53"/>
  <c r="CH296" i="53"/>
  <c r="BX297" i="53"/>
  <c r="CC297" i="53"/>
  <c r="CH297" i="53"/>
  <c r="BX299" i="53"/>
  <c r="CC299" i="53"/>
  <c r="CH299" i="53"/>
  <c r="CD300" i="53"/>
  <c r="BY301" i="53"/>
  <c r="CB303" i="53"/>
  <c r="CB305" i="53"/>
  <c r="BZ307" i="53"/>
  <c r="CF307" i="53"/>
  <c r="BV308" i="53"/>
  <c r="CB308" i="53"/>
  <c r="CG308" i="53"/>
  <c r="CL308" i="53"/>
  <c r="CB309" i="53"/>
  <c r="CL314" i="53"/>
  <c r="BX316" i="53"/>
  <c r="CC316" i="53"/>
  <c r="CH316" i="53"/>
  <c r="BX320" i="53"/>
  <c r="CC320" i="53"/>
  <c r="CH320" i="53"/>
  <c r="BZ321" i="53"/>
  <c r="CJ321" i="53"/>
  <c r="BV324" i="53"/>
  <c r="CB324" i="53"/>
  <c r="CG324" i="53"/>
  <c r="CL324" i="53"/>
  <c r="CL325" i="53"/>
  <c r="CG283" i="53"/>
  <c r="CG287" i="53"/>
  <c r="BZ291" i="53"/>
  <c r="CH291" i="53"/>
  <c r="BT296" i="53"/>
  <c r="CB296" i="53"/>
  <c r="CJ296" i="53"/>
  <c r="BT297" i="53"/>
  <c r="BY297" i="53"/>
  <c r="CD297" i="53"/>
  <c r="CJ297" i="53"/>
  <c r="CH298" i="53"/>
  <c r="BT299" i="53"/>
  <c r="BY299" i="53"/>
  <c r="CD299" i="53"/>
  <c r="CJ299" i="53"/>
  <c r="CH300" i="53"/>
  <c r="BT307" i="53"/>
  <c r="CA307" i="53"/>
  <c r="CH307" i="53"/>
  <c r="BX308" i="53"/>
  <c r="CC308" i="53"/>
  <c r="CH308" i="53"/>
  <c r="BV314" i="53"/>
  <c r="BV315" i="53"/>
  <c r="CB315" i="53"/>
  <c r="CI315" i="53"/>
  <c r="BT316" i="53"/>
  <c r="BY316" i="53"/>
  <c r="CD316" i="53"/>
  <c r="CJ316" i="53"/>
  <c r="CA317" i="53"/>
  <c r="CL317" i="53"/>
  <c r="BX319" i="53"/>
  <c r="BT320" i="53"/>
  <c r="BY320" i="53"/>
  <c r="CD320" i="53"/>
  <c r="CJ320" i="53"/>
  <c r="CA321" i="53"/>
  <c r="CL321" i="53"/>
  <c r="BX324" i="53"/>
  <c r="CC324" i="53"/>
  <c r="CH324" i="53"/>
  <c r="BV296" i="53"/>
  <c r="CD296" i="53"/>
  <c r="CL296" i="53"/>
  <c r="BU297" i="53"/>
  <c r="BZ297" i="53"/>
  <c r="CF297" i="53"/>
  <c r="CK297" i="53"/>
  <c r="BU299" i="53"/>
  <c r="BZ299" i="53"/>
  <c r="CF299" i="53"/>
  <c r="CK299" i="53"/>
  <c r="BV307" i="53"/>
  <c r="CB307" i="53"/>
  <c r="CA314" i="53"/>
  <c r="BX315" i="53"/>
  <c r="CD315" i="53"/>
  <c r="BU316" i="53"/>
  <c r="BZ316" i="53"/>
  <c r="CF316" i="53"/>
  <c r="CK316" i="53"/>
  <c r="CI319" i="53"/>
  <c r="BU320" i="53"/>
  <c r="BZ320" i="53"/>
  <c r="CF320" i="53"/>
  <c r="CK320" i="53"/>
  <c r="CB323" i="53"/>
  <c r="BT324" i="53"/>
  <c r="BY324" i="53"/>
  <c r="CD324" i="53"/>
  <c r="CJ324" i="53"/>
  <c r="BZ325" i="53"/>
  <c r="CH325" i="53"/>
  <c r="BW22" i="53"/>
  <c r="CA22" i="53"/>
  <c r="CE22" i="53"/>
  <c r="CI22" i="53"/>
  <c r="BW24" i="53"/>
  <c r="CA24" i="53"/>
  <c r="CE24" i="53"/>
  <c r="CI24" i="53"/>
  <c r="BV26" i="53"/>
  <c r="BZ26" i="53"/>
  <c r="CD26" i="53"/>
  <c r="CH26" i="53"/>
  <c r="CL26" i="53"/>
  <c r="BT27" i="53"/>
  <c r="BX27" i="53"/>
  <c r="CB27" i="53"/>
  <c r="CF27" i="53"/>
  <c r="CJ27" i="53"/>
  <c r="BV28" i="53"/>
  <c r="BZ28" i="53"/>
  <c r="CD28" i="53"/>
  <c r="CH28" i="53"/>
  <c r="CL28" i="53"/>
  <c r="BT29" i="53"/>
  <c r="BX29" i="53"/>
  <c r="CB29" i="53"/>
  <c r="CF29" i="53"/>
  <c r="CJ29" i="53"/>
  <c r="BW31" i="53"/>
  <c r="CA31" i="53"/>
  <c r="CE31" i="53"/>
  <c r="CI31" i="53"/>
  <c r="BW33" i="53"/>
  <c r="CA33" i="53"/>
  <c r="CE33" i="53"/>
  <c r="CI33" i="53"/>
  <c r="BW35" i="53"/>
  <c r="CA35" i="53"/>
  <c r="CE35" i="53"/>
  <c r="CI35" i="53"/>
  <c r="BW38" i="53"/>
  <c r="CA38" i="53"/>
  <c r="CE38" i="53"/>
  <c r="CI38" i="53"/>
  <c r="BW40" i="53"/>
  <c r="CA40" i="53"/>
  <c r="CE40" i="53"/>
  <c r="CI40" i="53"/>
  <c r="BW42" i="53"/>
  <c r="CA42" i="53"/>
  <c r="CE42" i="53"/>
  <c r="CI42" i="53"/>
  <c r="BW44" i="53"/>
  <c r="CA44" i="53"/>
  <c r="CE44" i="53"/>
  <c r="CI44" i="53"/>
  <c r="BW46" i="53"/>
  <c r="CA46" i="53"/>
  <c r="CE46" i="53"/>
  <c r="CI46" i="53"/>
  <c r="BW48" i="53"/>
  <c r="CA48" i="53"/>
  <c r="CE48" i="53"/>
  <c r="CI48" i="53"/>
  <c r="BW50" i="53"/>
  <c r="CA50" i="53"/>
  <c r="CE50" i="53"/>
  <c r="CI50" i="53"/>
  <c r="BW52" i="53"/>
  <c r="CA52" i="53"/>
  <c r="CE52" i="53"/>
  <c r="CI52" i="53"/>
  <c r="BW54" i="53"/>
  <c r="CA54" i="53"/>
  <c r="CE54" i="53"/>
  <c r="CI54" i="53"/>
  <c r="BW56" i="53"/>
  <c r="CA56" i="53"/>
  <c r="CE56" i="53"/>
  <c r="CI56" i="53"/>
  <c r="CL58" i="53"/>
  <c r="CH58" i="53"/>
  <c r="CD58" i="53"/>
  <c r="BZ58" i="53"/>
  <c r="BV58" i="53"/>
  <c r="BX58" i="53"/>
  <c r="CC58" i="53"/>
  <c r="CI58" i="53"/>
  <c r="BW59" i="53"/>
  <c r="CC59" i="53"/>
  <c r="BV62" i="53"/>
  <c r="CA62" i="53"/>
  <c r="CF62" i="53"/>
  <c r="CK64" i="53"/>
  <c r="CG64" i="53"/>
  <c r="CC64" i="53"/>
  <c r="BY64" i="53"/>
  <c r="BU64" i="53"/>
  <c r="BX64" i="53"/>
  <c r="CD64" i="53"/>
  <c r="CI64" i="53"/>
  <c r="BV66" i="53"/>
  <c r="CA66" i="53"/>
  <c r="CF66" i="53"/>
  <c r="CK68" i="53"/>
  <c r="CG68" i="53"/>
  <c r="CC68" i="53"/>
  <c r="BY68" i="53"/>
  <c r="BU68" i="53"/>
  <c r="BX68" i="53"/>
  <c r="CD68" i="53"/>
  <c r="CI68" i="53"/>
  <c r="BV70" i="53"/>
  <c r="CA70" i="53"/>
  <c r="CF70" i="53"/>
  <c r="CK76" i="53"/>
  <c r="CG76" i="53"/>
  <c r="CC76" i="53"/>
  <c r="BY76" i="53"/>
  <c r="BU76" i="53"/>
  <c r="BX76" i="53"/>
  <c r="CD76" i="53"/>
  <c r="CI76" i="53"/>
  <c r="BV78" i="53"/>
  <c r="CA78" i="53"/>
  <c r="CF78" i="53"/>
  <c r="CK80" i="53"/>
  <c r="CG80" i="53"/>
  <c r="CC80" i="53"/>
  <c r="BY80" i="53"/>
  <c r="BU80" i="53"/>
  <c r="BX80" i="53"/>
  <c r="CD80" i="53"/>
  <c r="CI80" i="53"/>
  <c r="BV82" i="53"/>
  <c r="CA82" i="53"/>
  <c r="CF82" i="53"/>
  <c r="CK84" i="53"/>
  <c r="CG84" i="53"/>
  <c r="CC84" i="53"/>
  <c r="BY84" i="53"/>
  <c r="BU84" i="53"/>
  <c r="BX84" i="53"/>
  <c r="CD84" i="53"/>
  <c r="CI84" i="53"/>
  <c r="BV86" i="53"/>
  <c r="CA86" i="53"/>
  <c r="CF86" i="53"/>
  <c r="CL86" i="53"/>
  <c r="CK88" i="53"/>
  <c r="CG88" i="53"/>
  <c r="CC88" i="53"/>
  <c r="BY88" i="53"/>
  <c r="BU88" i="53"/>
  <c r="CI88" i="53"/>
  <c r="CE88" i="53"/>
  <c r="CA88" i="53"/>
  <c r="BW88" i="53"/>
  <c r="BZ88" i="53"/>
  <c r="CH88" i="53"/>
  <c r="BW27" i="53"/>
  <c r="CA27" i="53"/>
  <c r="CE27" i="53"/>
  <c r="CI27" i="53"/>
  <c r="BW29" i="53"/>
  <c r="CA29" i="53"/>
  <c r="CE29" i="53"/>
  <c r="CI29" i="53"/>
  <c r="CJ59" i="53"/>
  <c r="CF59" i="53"/>
  <c r="CB59" i="53"/>
  <c r="BX59" i="53"/>
  <c r="BT59" i="53"/>
  <c r="BY59" i="53"/>
  <c r="CD59" i="53"/>
  <c r="CI59" i="53"/>
  <c r="BW86" i="53"/>
  <c r="CB86" i="53"/>
  <c r="BW26" i="53"/>
  <c r="CA26" i="53"/>
  <c r="CE26" i="53"/>
  <c r="CI26" i="53"/>
  <c r="BU27" i="53"/>
  <c r="BY27" i="53"/>
  <c r="CC27" i="53"/>
  <c r="CG27" i="53"/>
  <c r="CK27" i="53"/>
  <c r="BW28" i="53"/>
  <c r="CA28" i="53"/>
  <c r="CE28" i="53"/>
  <c r="CI28" i="53"/>
  <c r="BU29" i="53"/>
  <c r="BY29" i="53"/>
  <c r="CC29" i="53"/>
  <c r="CG29" i="53"/>
  <c r="CK29" i="53"/>
  <c r="BU22" i="53"/>
  <c r="BY22" i="53"/>
  <c r="CC22" i="53"/>
  <c r="CG22" i="53"/>
  <c r="BW23" i="53"/>
  <c r="CA23" i="53"/>
  <c r="CE23" i="53"/>
  <c r="CI23" i="53"/>
  <c r="BU24" i="53"/>
  <c r="BY24" i="53"/>
  <c r="CC24" i="53"/>
  <c r="CG24" i="53"/>
  <c r="BT26" i="53"/>
  <c r="BX26" i="53"/>
  <c r="CB26" i="53"/>
  <c r="CF26" i="53"/>
  <c r="BV27" i="53"/>
  <c r="BZ27" i="53"/>
  <c r="CD27" i="53"/>
  <c r="CH27" i="53"/>
  <c r="BT28" i="53"/>
  <c r="BX28" i="53"/>
  <c r="CB28" i="53"/>
  <c r="CF28" i="53"/>
  <c r="BV29" i="53"/>
  <c r="BZ29" i="53"/>
  <c r="CD29" i="53"/>
  <c r="CH29" i="53"/>
  <c r="BU31" i="53"/>
  <c r="BY31" i="53"/>
  <c r="CC31" i="53"/>
  <c r="CG31" i="53"/>
  <c r="BW32" i="53"/>
  <c r="CA32" i="53"/>
  <c r="CE32" i="53"/>
  <c r="BU33" i="53"/>
  <c r="BY33" i="53"/>
  <c r="CC33" i="53"/>
  <c r="CG33" i="53"/>
  <c r="BW34" i="53"/>
  <c r="CA34" i="53"/>
  <c r="CE34" i="53"/>
  <c r="BU35" i="53"/>
  <c r="BY35" i="53"/>
  <c r="CC35" i="53"/>
  <c r="CG35" i="53"/>
  <c r="BU38" i="53"/>
  <c r="BY38" i="53"/>
  <c r="CC38" i="53"/>
  <c r="CG38" i="53"/>
  <c r="BW39" i="53"/>
  <c r="CA39" i="53"/>
  <c r="CE39" i="53"/>
  <c r="BU40" i="53"/>
  <c r="BY40" i="53"/>
  <c r="CC40" i="53"/>
  <c r="CG40" i="53"/>
  <c r="BW41" i="53"/>
  <c r="CA41" i="53"/>
  <c r="CE41" i="53"/>
  <c r="BU42" i="53"/>
  <c r="BY42" i="53"/>
  <c r="CC42" i="53"/>
  <c r="CG42" i="53"/>
  <c r="BW43" i="53"/>
  <c r="CA43" i="53"/>
  <c r="CE43" i="53"/>
  <c r="BU44" i="53"/>
  <c r="BY44" i="53"/>
  <c r="CC44" i="53"/>
  <c r="CG44" i="53"/>
  <c r="BW45" i="53"/>
  <c r="CA45" i="53"/>
  <c r="CE45" i="53"/>
  <c r="BU46" i="53"/>
  <c r="BY46" i="53"/>
  <c r="CC46" i="53"/>
  <c r="CG46" i="53"/>
  <c r="BW47" i="53"/>
  <c r="CA47" i="53"/>
  <c r="CE47" i="53"/>
  <c r="BU48" i="53"/>
  <c r="BY48" i="53"/>
  <c r="CC48" i="53"/>
  <c r="CG48" i="53"/>
  <c r="BW49" i="53"/>
  <c r="CA49" i="53"/>
  <c r="CE49" i="53"/>
  <c r="BU50" i="53"/>
  <c r="BY50" i="53"/>
  <c r="CC50" i="53"/>
  <c r="CG50" i="53"/>
  <c r="BW51" i="53"/>
  <c r="CA51" i="53"/>
  <c r="CE51" i="53"/>
  <c r="BU52" i="53"/>
  <c r="BY52" i="53"/>
  <c r="CC52" i="53"/>
  <c r="CG52" i="53"/>
  <c r="BW53" i="53"/>
  <c r="CA53" i="53"/>
  <c r="CE53" i="53"/>
  <c r="BU54" i="53"/>
  <c r="BY54" i="53"/>
  <c r="CC54" i="53"/>
  <c r="CG54" i="53"/>
  <c r="BW55" i="53"/>
  <c r="CA55" i="53"/>
  <c r="CE55" i="53"/>
  <c r="BU56" i="53"/>
  <c r="BY56" i="53"/>
  <c r="CC56" i="53"/>
  <c r="CG56" i="53"/>
  <c r="BW57" i="53"/>
  <c r="CA57" i="53"/>
  <c r="CE57" i="53"/>
  <c r="BU58" i="53"/>
  <c r="CA58" i="53"/>
  <c r="CF58" i="53"/>
  <c r="CK58" i="53"/>
  <c r="BU59" i="53"/>
  <c r="BZ59" i="53"/>
  <c r="CE59" i="53"/>
  <c r="CK59" i="53"/>
  <c r="CK62" i="53"/>
  <c r="CG62" i="53"/>
  <c r="CC62" i="53"/>
  <c r="BY62" i="53"/>
  <c r="BU62" i="53"/>
  <c r="BX62" i="53"/>
  <c r="CD62" i="53"/>
  <c r="CI62" i="53"/>
  <c r="BV64" i="53"/>
  <c r="CA64" i="53"/>
  <c r="CF64" i="53"/>
  <c r="CL64" i="53"/>
  <c r="CK66" i="53"/>
  <c r="CG66" i="53"/>
  <c r="CC66" i="53"/>
  <c r="BY66" i="53"/>
  <c r="BU66" i="53"/>
  <c r="BX66" i="53"/>
  <c r="CD66" i="53"/>
  <c r="CI66" i="53"/>
  <c r="BV68" i="53"/>
  <c r="CA68" i="53"/>
  <c r="CF68" i="53"/>
  <c r="CL68" i="53"/>
  <c r="CK70" i="53"/>
  <c r="CG70" i="53"/>
  <c r="CC70" i="53"/>
  <c r="BY70" i="53"/>
  <c r="BU70" i="53"/>
  <c r="BX70" i="53"/>
  <c r="CD70" i="53"/>
  <c r="CI70" i="53"/>
  <c r="BV76" i="53"/>
  <c r="CA76" i="53"/>
  <c r="CF76" i="53"/>
  <c r="CL76" i="53"/>
  <c r="CK78" i="53"/>
  <c r="CG78" i="53"/>
  <c r="CC78" i="53"/>
  <c r="BY78" i="53"/>
  <c r="BU78" i="53"/>
  <c r="BX78" i="53"/>
  <c r="CD78" i="53"/>
  <c r="CI78" i="53"/>
  <c r="BV80" i="53"/>
  <c r="CA80" i="53"/>
  <c r="CF80" i="53"/>
  <c r="CL80" i="53"/>
  <c r="CK82" i="53"/>
  <c r="CG82" i="53"/>
  <c r="CC82" i="53"/>
  <c r="BY82" i="53"/>
  <c r="BU82" i="53"/>
  <c r="BX82" i="53"/>
  <c r="CD82" i="53"/>
  <c r="CI82" i="53"/>
  <c r="BV84" i="53"/>
  <c r="CA84" i="53"/>
  <c r="CF84" i="53"/>
  <c r="CL84" i="53"/>
  <c r="CK86" i="53"/>
  <c r="CG86" i="53"/>
  <c r="CC86" i="53"/>
  <c r="BY86" i="53"/>
  <c r="BU86" i="53"/>
  <c r="BX86" i="53"/>
  <c r="CD86" i="53"/>
  <c r="CI86" i="53"/>
  <c r="BV88" i="53"/>
  <c r="CD88" i="53"/>
  <c r="CL88" i="53"/>
  <c r="BW90" i="53"/>
  <c r="CA90" i="53"/>
  <c r="CE90" i="53"/>
  <c r="CI90" i="53"/>
  <c r="BW92" i="53"/>
  <c r="CA92" i="53"/>
  <c r="CE92" i="53"/>
  <c r="CI92" i="53"/>
  <c r="BW94" i="53"/>
  <c r="CA94" i="53"/>
  <c r="CE94" i="53"/>
  <c r="CI94" i="53"/>
  <c r="BW96" i="53"/>
  <c r="CA96" i="53"/>
  <c r="CE96" i="53"/>
  <c r="CI96" i="53"/>
  <c r="BW98" i="53"/>
  <c r="CA98" i="53"/>
  <c r="CE98" i="53"/>
  <c r="CI98" i="53"/>
  <c r="BW100" i="53"/>
  <c r="CA100" i="53"/>
  <c r="CE100" i="53"/>
  <c r="CI100" i="53"/>
  <c r="BW102" i="53"/>
  <c r="CA102" i="53"/>
  <c r="CE102" i="53"/>
  <c r="CI102" i="53"/>
  <c r="BW104" i="53"/>
  <c r="CA104" i="53"/>
  <c r="CE104" i="53"/>
  <c r="CI104" i="53"/>
  <c r="BW106" i="53"/>
  <c r="CA106" i="53"/>
  <c r="CE106" i="53"/>
  <c r="CI106" i="53"/>
  <c r="BW108" i="53"/>
  <c r="CA108" i="53"/>
  <c r="CE108" i="53"/>
  <c r="CI108" i="53"/>
  <c r="BW110" i="53"/>
  <c r="CA110" i="53"/>
  <c r="CE110" i="53"/>
  <c r="CI110" i="53"/>
  <c r="BT113" i="53"/>
  <c r="BX113" i="53"/>
  <c r="CB113" i="53"/>
  <c r="CF113" i="53"/>
  <c r="CJ113" i="53"/>
  <c r="BT115" i="53"/>
  <c r="BX115" i="53"/>
  <c r="CB115" i="53"/>
  <c r="CF115" i="53"/>
  <c r="CJ115" i="53"/>
  <c r="BT117" i="53"/>
  <c r="BX117" i="53"/>
  <c r="CB117" i="53"/>
  <c r="CF117" i="53"/>
  <c r="CJ117" i="53"/>
  <c r="BW119" i="53"/>
  <c r="CA119" i="53"/>
  <c r="CE119" i="53"/>
  <c r="CI119" i="53"/>
  <c r="CK121" i="53"/>
  <c r="CG121" i="53"/>
  <c r="CC121" i="53"/>
  <c r="BY121" i="53"/>
  <c r="BU121" i="53"/>
  <c r="BX121" i="53"/>
  <c r="CD121" i="53"/>
  <c r="CI121" i="53"/>
  <c r="BV123" i="53"/>
  <c r="CA123" i="53"/>
  <c r="CF123" i="53"/>
  <c r="CL123" i="53"/>
  <c r="CK125" i="53"/>
  <c r="CG125" i="53"/>
  <c r="CC125" i="53"/>
  <c r="BY125" i="53"/>
  <c r="BU125" i="53"/>
  <c r="BX125" i="53"/>
  <c r="CD125" i="53"/>
  <c r="CI125" i="53"/>
  <c r="BV127" i="53"/>
  <c r="CA127" i="53"/>
  <c r="CF127" i="53"/>
  <c r="CL127" i="53"/>
  <c r="CK129" i="53"/>
  <c r="CG129" i="53"/>
  <c r="CC129" i="53"/>
  <c r="BY129" i="53"/>
  <c r="BU129" i="53"/>
  <c r="BX129" i="53"/>
  <c r="CD129" i="53"/>
  <c r="CI129" i="53"/>
  <c r="BV131" i="53"/>
  <c r="CA131" i="53"/>
  <c r="CF131" i="53"/>
  <c r="CL131" i="53"/>
  <c r="CK133" i="53"/>
  <c r="CG133" i="53"/>
  <c r="CC133" i="53"/>
  <c r="BY133" i="53"/>
  <c r="BU133" i="53"/>
  <c r="BX133" i="53"/>
  <c r="CD133" i="53"/>
  <c r="CI133" i="53"/>
  <c r="BV135" i="53"/>
  <c r="CA135" i="53"/>
  <c r="CF135" i="53"/>
  <c r="CL135" i="53"/>
  <c r="CK137" i="53"/>
  <c r="CG137" i="53"/>
  <c r="CC137" i="53"/>
  <c r="BY137" i="53"/>
  <c r="BU137" i="53"/>
  <c r="BX137" i="53"/>
  <c r="CD137" i="53"/>
  <c r="CI137" i="53"/>
  <c r="BV139" i="53"/>
  <c r="CA139" i="53"/>
  <c r="CF139" i="53"/>
  <c r="CL139" i="53"/>
  <c r="CK141" i="53"/>
  <c r="CG141" i="53"/>
  <c r="CC141" i="53"/>
  <c r="BY141" i="53"/>
  <c r="BU141" i="53"/>
  <c r="BX141" i="53"/>
  <c r="CD141" i="53"/>
  <c r="CI141" i="53"/>
  <c r="BV143" i="53"/>
  <c r="CA143" i="53"/>
  <c r="CF143" i="53"/>
  <c r="CL143" i="53"/>
  <c r="CK145" i="53"/>
  <c r="CG145" i="53"/>
  <c r="CC145" i="53"/>
  <c r="BY145" i="53"/>
  <c r="BU145" i="53"/>
  <c r="BX145" i="53"/>
  <c r="CD145" i="53"/>
  <c r="CI145" i="53"/>
  <c r="BV147" i="53"/>
  <c r="CA147" i="53"/>
  <c r="CF147" i="53"/>
  <c r="CL147" i="53"/>
  <c r="CK149" i="53"/>
  <c r="CG149" i="53"/>
  <c r="CC149" i="53"/>
  <c r="BY149" i="53"/>
  <c r="BU149" i="53"/>
  <c r="BX149" i="53"/>
  <c r="CD149" i="53"/>
  <c r="CI149" i="53"/>
  <c r="BV151" i="53"/>
  <c r="CA151" i="53"/>
  <c r="CF151" i="53"/>
  <c r="CL151" i="53"/>
  <c r="CL156" i="53"/>
  <c r="CH156" i="53"/>
  <c r="CD156" i="53"/>
  <c r="BZ156" i="53"/>
  <c r="BV156" i="53"/>
  <c r="CJ156" i="53"/>
  <c r="CF156" i="53"/>
  <c r="CB156" i="53"/>
  <c r="BX156" i="53"/>
  <c r="BT156" i="53"/>
  <c r="CA156" i="53"/>
  <c r="CI156" i="53"/>
  <c r="CJ157" i="53"/>
  <c r="CF157" i="53"/>
  <c r="CB157" i="53"/>
  <c r="BX157" i="53"/>
  <c r="BT157" i="53"/>
  <c r="CL157" i="53"/>
  <c r="CH157" i="53"/>
  <c r="CD157" i="53"/>
  <c r="BZ157" i="53"/>
  <c r="BV157" i="53"/>
  <c r="CA157" i="53"/>
  <c r="CI157" i="53"/>
  <c r="CL158" i="53"/>
  <c r="CH158" i="53"/>
  <c r="CD158" i="53"/>
  <c r="BZ158" i="53"/>
  <c r="BV158" i="53"/>
  <c r="CJ158" i="53"/>
  <c r="CF158" i="53"/>
  <c r="CB158" i="53"/>
  <c r="BX158" i="53"/>
  <c r="BT158" i="53"/>
  <c r="CA158" i="53"/>
  <c r="CI158" i="53"/>
  <c r="CJ159" i="53"/>
  <c r="CF159" i="53"/>
  <c r="CB159" i="53"/>
  <c r="BX159" i="53"/>
  <c r="BT159" i="53"/>
  <c r="CL159" i="53"/>
  <c r="CH159" i="53"/>
  <c r="CD159" i="53"/>
  <c r="BZ159" i="53"/>
  <c r="BV159" i="53"/>
  <c r="CA159" i="53"/>
  <c r="CI159" i="53"/>
  <c r="BW174" i="53"/>
  <c r="BW175" i="53"/>
  <c r="BW176" i="53"/>
  <c r="BT104" i="53"/>
  <c r="BX104" i="53"/>
  <c r="CB104" i="53"/>
  <c r="CF104" i="53"/>
  <c r="CJ104" i="53"/>
  <c r="BT106" i="53"/>
  <c r="BX106" i="53"/>
  <c r="CB106" i="53"/>
  <c r="CF106" i="53"/>
  <c r="CJ106" i="53"/>
  <c r="BV107" i="53"/>
  <c r="BZ107" i="53"/>
  <c r="CD107" i="53"/>
  <c r="CH107" i="53"/>
  <c r="CL107" i="53"/>
  <c r="BT108" i="53"/>
  <c r="BX108" i="53"/>
  <c r="CB108" i="53"/>
  <c r="CF108" i="53"/>
  <c r="CJ108" i="53"/>
  <c r="BV109" i="53"/>
  <c r="BZ109" i="53"/>
  <c r="CD109" i="53"/>
  <c r="CH109" i="53"/>
  <c r="CL109" i="53"/>
  <c r="BT110" i="53"/>
  <c r="BX110" i="53"/>
  <c r="CB110" i="53"/>
  <c r="CF110" i="53"/>
  <c r="CJ110" i="53"/>
  <c r="BV111" i="53"/>
  <c r="BZ111" i="53"/>
  <c r="CD111" i="53"/>
  <c r="CH111" i="53"/>
  <c r="CL111" i="53"/>
  <c r="BU113" i="53"/>
  <c r="BY113" i="53"/>
  <c r="CC113" i="53"/>
  <c r="CG113" i="53"/>
  <c r="CK113" i="53"/>
  <c r="BW114" i="53"/>
  <c r="CA114" i="53"/>
  <c r="CE114" i="53"/>
  <c r="BU115" i="53"/>
  <c r="BY115" i="53"/>
  <c r="CC115" i="53"/>
  <c r="CG115" i="53"/>
  <c r="CK115" i="53"/>
  <c r="BW116" i="53"/>
  <c r="CA116" i="53"/>
  <c r="CE116" i="53"/>
  <c r="BU117" i="53"/>
  <c r="BY117" i="53"/>
  <c r="CC117" i="53"/>
  <c r="CG117" i="53"/>
  <c r="CK117" i="53"/>
  <c r="BT119" i="53"/>
  <c r="BX119" i="53"/>
  <c r="CB119" i="53"/>
  <c r="CF119" i="53"/>
  <c r="CJ119" i="53"/>
  <c r="BV120" i="53"/>
  <c r="BZ120" i="53"/>
  <c r="CF120" i="53"/>
  <c r="BT121" i="53"/>
  <c r="BZ121" i="53"/>
  <c r="CE121" i="53"/>
  <c r="CJ121" i="53"/>
  <c r="BW123" i="53"/>
  <c r="CB123" i="53"/>
  <c r="BT125" i="53"/>
  <c r="BZ125" i="53"/>
  <c r="CE125" i="53"/>
  <c r="CJ125" i="53"/>
  <c r="BW127" i="53"/>
  <c r="CB127" i="53"/>
  <c r="BT129" i="53"/>
  <c r="BZ129" i="53"/>
  <c r="CE129" i="53"/>
  <c r="CJ129" i="53"/>
  <c r="BW131" i="53"/>
  <c r="CB131" i="53"/>
  <c r="BT133" i="53"/>
  <c r="BZ133" i="53"/>
  <c r="CE133" i="53"/>
  <c r="CJ133" i="53"/>
  <c r="BW135" i="53"/>
  <c r="CB135" i="53"/>
  <c r="BT137" i="53"/>
  <c r="BZ137" i="53"/>
  <c r="CE137" i="53"/>
  <c r="CJ137" i="53"/>
  <c r="BW139" i="53"/>
  <c r="CB139" i="53"/>
  <c r="BT141" i="53"/>
  <c r="BZ141" i="53"/>
  <c r="CE141" i="53"/>
  <c r="CJ141" i="53"/>
  <c r="BW143" i="53"/>
  <c r="CB143" i="53"/>
  <c r="BT145" i="53"/>
  <c r="BZ145" i="53"/>
  <c r="CE145" i="53"/>
  <c r="CJ145" i="53"/>
  <c r="BW147" i="53"/>
  <c r="CB147" i="53"/>
  <c r="BT149" i="53"/>
  <c r="BZ149" i="53"/>
  <c r="CE149" i="53"/>
  <c r="CJ149" i="53"/>
  <c r="BW151" i="53"/>
  <c r="CB151" i="53"/>
  <c r="BW61" i="53"/>
  <c r="CA61" i="53"/>
  <c r="CE61" i="53"/>
  <c r="BW63" i="53"/>
  <c r="CA63" i="53"/>
  <c r="CE63" i="53"/>
  <c r="BW65" i="53"/>
  <c r="CA65" i="53"/>
  <c r="CE65" i="53"/>
  <c r="BW67" i="53"/>
  <c r="CA67" i="53"/>
  <c r="CE67" i="53"/>
  <c r="BW69" i="53"/>
  <c r="CA69" i="53"/>
  <c r="CE69" i="53"/>
  <c r="BW75" i="53"/>
  <c r="CA75" i="53"/>
  <c r="CE75" i="53"/>
  <c r="BW77" i="53"/>
  <c r="CA77" i="53"/>
  <c r="CE77" i="53"/>
  <c r="BW79" i="53"/>
  <c r="CA79" i="53"/>
  <c r="CE79" i="53"/>
  <c r="BW81" i="53"/>
  <c r="CA81" i="53"/>
  <c r="CE81" i="53"/>
  <c r="BW83" i="53"/>
  <c r="CA83" i="53"/>
  <c r="CE83" i="53"/>
  <c r="BW85" i="53"/>
  <c r="CA85" i="53"/>
  <c r="CE85" i="53"/>
  <c r="BW87" i="53"/>
  <c r="CA87" i="53"/>
  <c r="CE87" i="53"/>
  <c r="BW89" i="53"/>
  <c r="CA89" i="53"/>
  <c r="CE89" i="53"/>
  <c r="BU90" i="53"/>
  <c r="BY90" i="53"/>
  <c r="CC90" i="53"/>
  <c r="CG90" i="53"/>
  <c r="BW91" i="53"/>
  <c r="CA91" i="53"/>
  <c r="CE91" i="53"/>
  <c r="BU92" i="53"/>
  <c r="BY92" i="53"/>
  <c r="CC92" i="53"/>
  <c r="CG92" i="53"/>
  <c r="BW93" i="53"/>
  <c r="CA93" i="53"/>
  <c r="CE93" i="53"/>
  <c r="BU94" i="53"/>
  <c r="BY94" i="53"/>
  <c r="CC94" i="53"/>
  <c r="CG94" i="53"/>
  <c r="BW95" i="53"/>
  <c r="CA95" i="53"/>
  <c r="CE95" i="53"/>
  <c r="BU96" i="53"/>
  <c r="BY96" i="53"/>
  <c r="CC96" i="53"/>
  <c r="CG96" i="53"/>
  <c r="BW97" i="53"/>
  <c r="CA97" i="53"/>
  <c r="CE97" i="53"/>
  <c r="BU98" i="53"/>
  <c r="BY98" i="53"/>
  <c r="CC98" i="53"/>
  <c r="CG98" i="53"/>
  <c r="BW99" i="53"/>
  <c r="CA99" i="53"/>
  <c r="CE99" i="53"/>
  <c r="BU100" i="53"/>
  <c r="BY100" i="53"/>
  <c r="CC100" i="53"/>
  <c r="CG100" i="53"/>
  <c r="BW101" i="53"/>
  <c r="CA101" i="53"/>
  <c r="CE101" i="53"/>
  <c r="BU102" i="53"/>
  <c r="BY102" i="53"/>
  <c r="CC102" i="53"/>
  <c r="CG102" i="53"/>
  <c r="BW103" i="53"/>
  <c r="CA103" i="53"/>
  <c r="CE103" i="53"/>
  <c r="BU104" i="53"/>
  <c r="BY104" i="53"/>
  <c r="CC104" i="53"/>
  <c r="CG104" i="53"/>
  <c r="BW105" i="53"/>
  <c r="CA105" i="53"/>
  <c r="CE105" i="53"/>
  <c r="BU106" i="53"/>
  <c r="BY106" i="53"/>
  <c r="CC106" i="53"/>
  <c r="CG106" i="53"/>
  <c r="BW107" i="53"/>
  <c r="CA107" i="53"/>
  <c r="CE107" i="53"/>
  <c r="BU108" i="53"/>
  <c r="BY108" i="53"/>
  <c r="CC108" i="53"/>
  <c r="CG108" i="53"/>
  <c r="BW109" i="53"/>
  <c r="CA109" i="53"/>
  <c r="CE109" i="53"/>
  <c r="BU110" i="53"/>
  <c r="BY110" i="53"/>
  <c r="CC110" i="53"/>
  <c r="CG110" i="53"/>
  <c r="BW111" i="53"/>
  <c r="CA111" i="53"/>
  <c r="CE111" i="53"/>
  <c r="BV113" i="53"/>
  <c r="BZ113" i="53"/>
  <c r="CD113" i="53"/>
  <c r="CH113" i="53"/>
  <c r="CL113" i="53"/>
  <c r="BV115" i="53"/>
  <c r="BZ115" i="53"/>
  <c r="CD115" i="53"/>
  <c r="CH115" i="53"/>
  <c r="CL115" i="53"/>
  <c r="BV117" i="53"/>
  <c r="BZ117" i="53"/>
  <c r="CD117" i="53"/>
  <c r="CH117" i="53"/>
  <c r="CL117" i="53"/>
  <c r="BU119" i="53"/>
  <c r="BY119" i="53"/>
  <c r="CC119" i="53"/>
  <c r="CG119" i="53"/>
  <c r="CI120" i="53"/>
  <c r="CE120" i="53"/>
  <c r="CA120" i="53"/>
  <c r="BW120" i="53"/>
  <c r="CB120" i="53"/>
  <c r="CG120" i="53"/>
  <c r="CL120" i="53"/>
  <c r="BV121" i="53"/>
  <c r="CA121" i="53"/>
  <c r="CF121" i="53"/>
  <c r="CL121" i="53"/>
  <c r="CK123" i="53"/>
  <c r="CG123" i="53"/>
  <c r="CC123" i="53"/>
  <c r="BY123" i="53"/>
  <c r="BU123" i="53"/>
  <c r="BX123" i="53"/>
  <c r="CD123" i="53"/>
  <c r="CI123" i="53"/>
  <c r="BV125" i="53"/>
  <c r="CA125" i="53"/>
  <c r="CF125" i="53"/>
  <c r="CL125" i="53"/>
  <c r="CK127" i="53"/>
  <c r="CG127" i="53"/>
  <c r="CC127" i="53"/>
  <c r="BY127" i="53"/>
  <c r="BU127" i="53"/>
  <c r="BX127" i="53"/>
  <c r="CD127" i="53"/>
  <c r="CI127" i="53"/>
  <c r="BV129" i="53"/>
  <c r="CA129" i="53"/>
  <c r="CF129" i="53"/>
  <c r="CL129" i="53"/>
  <c r="CK131" i="53"/>
  <c r="CG131" i="53"/>
  <c r="CC131" i="53"/>
  <c r="BY131" i="53"/>
  <c r="BU131" i="53"/>
  <c r="BX131" i="53"/>
  <c r="CD131" i="53"/>
  <c r="CI131" i="53"/>
  <c r="BV133" i="53"/>
  <c r="CA133" i="53"/>
  <c r="CF133" i="53"/>
  <c r="CL133" i="53"/>
  <c r="CK135" i="53"/>
  <c r="CG135" i="53"/>
  <c r="CC135" i="53"/>
  <c r="BY135" i="53"/>
  <c r="BU135" i="53"/>
  <c r="BX135" i="53"/>
  <c r="CD135" i="53"/>
  <c r="CI135" i="53"/>
  <c r="BV137" i="53"/>
  <c r="CA137" i="53"/>
  <c r="CF137" i="53"/>
  <c r="CL137" i="53"/>
  <c r="CK139" i="53"/>
  <c r="CG139" i="53"/>
  <c r="CC139" i="53"/>
  <c r="BY139" i="53"/>
  <c r="BU139" i="53"/>
  <c r="BX139" i="53"/>
  <c r="CD139" i="53"/>
  <c r="CI139" i="53"/>
  <c r="BV141" i="53"/>
  <c r="CA141" i="53"/>
  <c r="CF141" i="53"/>
  <c r="CL141" i="53"/>
  <c r="CK143" i="53"/>
  <c r="CG143" i="53"/>
  <c r="CC143" i="53"/>
  <c r="BY143" i="53"/>
  <c r="BU143" i="53"/>
  <c r="BX143" i="53"/>
  <c r="CD143" i="53"/>
  <c r="CI143" i="53"/>
  <c r="BV145" i="53"/>
  <c r="CA145" i="53"/>
  <c r="CF145" i="53"/>
  <c r="CL145" i="53"/>
  <c r="CK147" i="53"/>
  <c r="CG147" i="53"/>
  <c r="CC147" i="53"/>
  <c r="BY147" i="53"/>
  <c r="BU147" i="53"/>
  <c r="BX147" i="53"/>
  <c r="CD147" i="53"/>
  <c r="CI147" i="53"/>
  <c r="BV149" i="53"/>
  <c r="CA149" i="53"/>
  <c r="CF149" i="53"/>
  <c r="CL149" i="53"/>
  <c r="CK151" i="53"/>
  <c r="CG151" i="53"/>
  <c r="CC151" i="53"/>
  <c r="BY151" i="53"/>
  <c r="BU151" i="53"/>
  <c r="BX151" i="53"/>
  <c r="CD151" i="53"/>
  <c r="CI151" i="53"/>
  <c r="CL174" i="53"/>
  <c r="CH174" i="53"/>
  <c r="CD174" i="53"/>
  <c r="BZ174" i="53"/>
  <c r="BV174" i="53"/>
  <c r="CJ174" i="53"/>
  <c r="CF174" i="53"/>
  <c r="CB174" i="53"/>
  <c r="BX174" i="53"/>
  <c r="BT174" i="53"/>
  <c r="CA174" i="53"/>
  <c r="CI174" i="53"/>
  <c r="CJ175" i="53"/>
  <c r="CF175" i="53"/>
  <c r="CB175" i="53"/>
  <c r="BX175" i="53"/>
  <c r="BT175" i="53"/>
  <c r="CL175" i="53"/>
  <c r="CH175" i="53"/>
  <c r="CD175" i="53"/>
  <c r="BZ175" i="53"/>
  <c r="BV175" i="53"/>
  <c r="CA175" i="53"/>
  <c r="CI175" i="53"/>
  <c r="CL176" i="53"/>
  <c r="CH176" i="53"/>
  <c r="CD176" i="53"/>
  <c r="BZ176" i="53"/>
  <c r="BV176" i="53"/>
  <c r="CJ176" i="53"/>
  <c r="CF176" i="53"/>
  <c r="CB176" i="53"/>
  <c r="BX176" i="53"/>
  <c r="BT176" i="53"/>
  <c r="CA176" i="53"/>
  <c r="CI176" i="53"/>
  <c r="BW113" i="53"/>
  <c r="CA113" i="53"/>
  <c r="CE113" i="53"/>
  <c r="BW115" i="53"/>
  <c r="CA115" i="53"/>
  <c r="CE115" i="53"/>
  <c r="BW117" i="53"/>
  <c r="CA117" i="53"/>
  <c r="CE117" i="53"/>
  <c r="BU174" i="53"/>
  <c r="CC174" i="53"/>
  <c r="CK174" i="53"/>
  <c r="BU175" i="53"/>
  <c r="CC175" i="53"/>
  <c r="CK175" i="53"/>
  <c r="BU176" i="53"/>
  <c r="CC176" i="53"/>
  <c r="CK176" i="53"/>
  <c r="BW153" i="53"/>
  <c r="CA153" i="53"/>
  <c r="CE153" i="53"/>
  <c r="CI153" i="53"/>
  <c r="BW165" i="53"/>
  <c r="CA165" i="53"/>
  <c r="CE165" i="53"/>
  <c r="CI165" i="53"/>
  <c r="BW167" i="53"/>
  <c r="CA167" i="53"/>
  <c r="CE167" i="53"/>
  <c r="CI167" i="53"/>
  <c r="BW169" i="53"/>
  <c r="CA169" i="53"/>
  <c r="CE169" i="53"/>
  <c r="CI169" i="53"/>
  <c r="BW171" i="53"/>
  <c r="CA171" i="53"/>
  <c r="CE171" i="53"/>
  <c r="CI171" i="53"/>
  <c r="BW178" i="53"/>
  <c r="CA178" i="53"/>
  <c r="CE178" i="53"/>
  <c r="CI178" i="53"/>
  <c r="BW180" i="53"/>
  <c r="CA180" i="53"/>
  <c r="CE180" i="53"/>
  <c r="CI180" i="53"/>
  <c r="BW182" i="53"/>
  <c r="CA182" i="53"/>
  <c r="CE182" i="53"/>
  <c r="CI182" i="53"/>
  <c r="BW184" i="53"/>
  <c r="CA184" i="53"/>
  <c r="CE184" i="53"/>
  <c r="CI184" i="53"/>
  <c r="BV188" i="53"/>
  <c r="BZ188" i="53"/>
  <c r="CD188" i="53"/>
  <c r="CH188" i="53"/>
  <c r="BW189" i="53"/>
  <c r="CB189" i="53"/>
  <c r="BT191" i="53"/>
  <c r="BZ191" i="53"/>
  <c r="CE191" i="53"/>
  <c r="CJ191" i="53"/>
  <c r="CK193" i="53"/>
  <c r="CG193" i="53"/>
  <c r="CC193" i="53"/>
  <c r="BY193" i="53"/>
  <c r="BU193" i="53"/>
  <c r="CJ193" i="53"/>
  <c r="CF193" i="53"/>
  <c r="CB193" i="53"/>
  <c r="BX193" i="53"/>
  <c r="BT193" i="53"/>
  <c r="CA193" i="53"/>
  <c r="CI193" i="53"/>
  <c r="CK195" i="53"/>
  <c r="CG195" i="53"/>
  <c r="CC195" i="53"/>
  <c r="BY195" i="53"/>
  <c r="BU195" i="53"/>
  <c r="CJ195" i="53"/>
  <c r="CF195" i="53"/>
  <c r="CB195" i="53"/>
  <c r="BX195" i="53"/>
  <c r="BT195" i="53"/>
  <c r="CA195" i="53"/>
  <c r="CI195" i="53"/>
  <c r="CK207" i="53"/>
  <c r="CG207" i="53"/>
  <c r="CC207" i="53"/>
  <c r="BY207" i="53"/>
  <c r="BU207" i="53"/>
  <c r="CJ207" i="53"/>
  <c r="CF207" i="53"/>
  <c r="CB207" i="53"/>
  <c r="BX207" i="53"/>
  <c r="BT207" i="53"/>
  <c r="CL207" i="53"/>
  <c r="CH207" i="53"/>
  <c r="CD207" i="53"/>
  <c r="BZ207" i="53"/>
  <c r="BV207" i="53"/>
  <c r="CI207" i="53"/>
  <c r="CK211" i="53"/>
  <c r="CG211" i="53"/>
  <c r="CC211" i="53"/>
  <c r="BY211" i="53"/>
  <c r="BU211" i="53"/>
  <c r="CJ211" i="53"/>
  <c r="CF211" i="53"/>
  <c r="CB211" i="53"/>
  <c r="BX211" i="53"/>
  <c r="BT211" i="53"/>
  <c r="CL211" i="53"/>
  <c r="CH211" i="53"/>
  <c r="CD211" i="53"/>
  <c r="BZ211" i="53"/>
  <c r="BV211" i="53"/>
  <c r="CI211" i="53"/>
  <c r="CK215" i="53"/>
  <c r="CG215" i="53"/>
  <c r="CC215" i="53"/>
  <c r="BY215" i="53"/>
  <c r="BU215" i="53"/>
  <c r="CJ215" i="53"/>
  <c r="CF215" i="53"/>
  <c r="CB215" i="53"/>
  <c r="BX215" i="53"/>
  <c r="BT215" i="53"/>
  <c r="N33" i="21" s="1"/>
  <c r="CL215" i="53"/>
  <c r="CH215" i="53"/>
  <c r="CD215" i="53"/>
  <c r="BZ215" i="53"/>
  <c r="BV215" i="53"/>
  <c r="CI215" i="53"/>
  <c r="BW188" i="53"/>
  <c r="CA188" i="53"/>
  <c r="CE188" i="53"/>
  <c r="CJ188" i="53"/>
  <c r="CK189" i="53"/>
  <c r="CG189" i="53"/>
  <c r="CC189" i="53"/>
  <c r="BY189" i="53"/>
  <c r="BU189" i="53"/>
  <c r="BX189" i="53"/>
  <c r="CD189" i="53"/>
  <c r="CI189" i="53"/>
  <c r="BV191" i="53"/>
  <c r="CA191" i="53"/>
  <c r="CF191" i="53"/>
  <c r="CL191" i="53"/>
  <c r="CL201" i="53"/>
  <c r="CH201" i="53"/>
  <c r="CD201" i="53"/>
  <c r="BZ201" i="53"/>
  <c r="BV201" i="53"/>
  <c r="CK201" i="53"/>
  <c r="CG201" i="53"/>
  <c r="CC201" i="53"/>
  <c r="BY201" i="53"/>
  <c r="BU201" i="53"/>
  <c r="CA201" i="53"/>
  <c r="CI201" i="53"/>
  <c r="CK205" i="53"/>
  <c r="CG205" i="53"/>
  <c r="CC205" i="53"/>
  <c r="BY205" i="53"/>
  <c r="BU205" i="53"/>
  <c r="CJ205" i="53"/>
  <c r="CF205" i="53"/>
  <c r="CB205" i="53"/>
  <c r="BX205" i="53"/>
  <c r="BT205" i="53"/>
  <c r="CL205" i="53"/>
  <c r="CH205" i="53"/>
  <c r="CD205" i="53"/>
  <c r="BZ205" i="53"/>
  <c r="BV205" i="53"/>
  <c r="CI205" i="53"/>
  <c r="BW122" i="53"/>
  <c r="CA122" i="53"/>
  <c r="CE122" i="53"/>
  <c r="BW124" i="53"/>
  <c r="CA124" i="53"/>
  <c r="CE124" i="53"/>
  <c r="BW126" i="53"/>
  <c r="CA126" i="53"/>
  <c r="CE126" i="53"/>
  <c r="BW128" i="53"/>
  <c r="CA128" i="53"/>
  <c r="CE128" i="53"/>
  <c r="BW130" i="53"/>
  <c r="CA130" i="53"/>
  <c r="CE130" i="53"/>
  <c r="BW132" i="53"/>
  <c r="CA132" i="53"/>
  <c r="CE132" i="53"/>
  <c r="BW134" i="53"/>
  <c r="CA134" i="53"/>
  <c r="CE134" i="53"/>
  <c r="BW136" i="53"/>
  <c r="CA136" i="53"/>
  <c r="CE136" i="53"/>
  <c r="BW138" i="53"/>
  <c r="CA138" i="53"/>
  <c r="CE138" i="53"/>
  <c r="BW140" i="53"/>
  <c r="CA140" i="53"/>
  <c r="CE140" i="53"/>
  <c r="BW142" i="53"/>
  <c r="CA142" i="53"/>
  <c r="CE142" i="53"/>
  <c r="BW144" i="53"/>
  <c r="CA144" i="53"/>
  <c r="CE144" i="53"/>
  <c r="BW146" i="53"/>
  <c r="CA146" i="53"/>
  <c r="CE146" i="53"/>
  <c r="BW148" i="53"/>
  <c r="CA148" i="53"/>
  <c r="CE148" i="53"/>
  <c r="BW150" i="53"/>
  <c r="CA150" i="53"/>
  <c r="CE150" i="53"/>
  <c r="BW152" i="53"/>
  <c r="CA152" i="53"/>
  <c r="CE152" i="53"/>
  <c r="BU153" i="53"/>
  <c r="BY153" i="53"/>
  <c r="CC153" i="53"/>
  <c r="CG153" i="53"/>
  <c r="BW154" i="53"/>
  <c r="CA154" i="53"/>
  <c r="CE154" i="53"/>
  <c r="BW161" i="53"/>
  <c r="CA161" i="53"/>
  <c r="CE161" i="53"/>
  <c r="BW164" i="53"/>
  <c r="CA164" i="53"/>
  <c r="CE164" i="53"/>
  <c r="BU165" i="53"/>
  <c r="BY165" i="53"/>
  <c r="CC165" i="53"/>
  <c r="CG165" i="53"/>
  <c r="BW166" i="53"/>
  <c r="CA166" i="53"/>
  <c r="CE166" i="53"/>
  <c r="BU167" i="53"/>
  <c r="BY167" i="53"/>
  <c r="CC167" i="53"/>
  <c r="CG167" i="53"/>
  <c r="BW168" i="53"/>
  <c r="CA168" i="53"/>
  <c r="CE168" i="53"/>
  <c r="BU169" i="53"/>
  <c r="BY169" i="53"/>
  <c r="CC169" i="53"/>
  <c r="CG169" i="53"/>
  <c r="BW170" i="53"/>
  <c r="CA170" i="53"/>
  <c r="CE170" i="53"/>
  <c r="BU171" i="53"/>
  <c r="BY171" i="53"/>
  <c r="CC171" i="53"/>
  <c r="CG171" i="53"/>
  <c r="BW172" i="53"/>
  <c r="CA172" i="53"/>
  <c r="CE172" i="53"/>
  <c r="BU178" i="53"/>
  <c r="BY178" i="53"/>
  <c r="CC178" i="53"/>
  <c r="CG178" i="53"/>
  <c r="BW179" i="53"/>
  <c r="CA179" i="53"/>
  <c r="CE179" i="53"/>
  <c r="BU180" i="53"/>
  <c r="BY180" i="53"/>
  <c r="CC180" i="53"/>
  <c r="CG180" i="53"/>
  <c r="BW181" i="53"/>
  <c r="CA181" i="53"/>
  <c r="CE181" i="53"/>
  <c r="BU182" i="53"/>
  <c r="BY182" i="53"/>
  <c r="CC182" i="53"/>
  <c r="CG182" i="53"/>
  <c r="BW183" i="53"/>
  <c r="CA183" i="53"/>
  <c r="CE183" i="53"/>
  <c r="BU184" i="53"/>
  <c r="BY184" i="53"/>
  <c r="CC184" i="53"/>
  <c r="CG184" i="53"/>
  <c r="BW185" i="53"/>
  <c r="CA185" i="53"/>
  <c r="CE185" i="53"/>
  <c r="BV187" i="53"/>
  <c r="BZ187" i="53"/>
  <c r="CD187" i="53"/>
  <c r="CH187" i="53"/>
  <c r="CL187" i="53"/>
  <c r="BT188" i="53"/>
  <c r="BX188" i="53"/>
  <c r="CB188" i="53"/>
  <c r="CF188" i="53"/>
  <c r="CK188" i="53"/>
  <c r="BT189" i="53"/>
  <c r="BZ189" i="53"/>
  <c r="CE189" i="53"/>
  <c r="CJ189" i="53"/>
  <c r="BW191" i="53"/>
  <c r="CB191" i="53"/>
  <c r="BW193" i="53"/>
  <c r="CE193" i="53"/>
  <c r="BW195" i="53"/>
  <c r="CE195" i="53"/>
  <c r="CK198" i="53"/>
  <c r="CG198" i="53"/>
  <c r="CC198" i="53"/>
  <c r="BY198" i="53"/>
  <c r="BU198" i="53"/>
  <c r="CJ198" i="53"/>
  <c r="CF198" i="53"/>
  <c r="CB198" i="53"/>
  <c r="BX198" i="53"/>
  <c r="BT198" i="53"/>
  <c r="CA198" i="53"/>
  <c r="CI198" i="53"/>
  <c r="BT201" i="53"/>
  <c r="CB201" i="53"/>
  <c r="CJ201" i="53"/>
  <c r="BW205" i="53"/>
  <c r="CA207" i="53"/>
  <c r="CK209" i="53"/>
  <c r="CG209" i="53"/>
  <c r="CC209" i="53"/>
  <c r="BY209" i="53"/>
  <c r="BU209" i="53"/>
  <c r="CJ209" i="53"/>
  <c r="CF209" i="53"/>
  <c r="CB209" i="53"/>
  <c r="BX209" i="53"/>
  <c r="BT209" i="53"/>
  <c r="CL209" i="53"/>
  <c r="CH209" i="53"/>
  <c r="CD209" i="53"/>
  <c r="BZ209" i="53"/>
  <c r="BV209" i="53"/>
  <c r="CI209" i="53"/>
  <c r="CA211" i="53"/>
  <c r="CK213" i="53"/>
  <c r="CG213" i="53"/>
  <c r="CC213" i="53"/>
  <c r="BY213" i="53"/>
  <c r="BU213" i="53"/>
  <c r="CJ213" i="53"/>
  <c r="CF213" i="53"/>
  <c r="CB213" i="53"/>
  <c r="BX213" i="53"/>
  <c r="BT213" i="53"/>
  <c r="CL213" i="53"/>
  <c r="CH213" i="53"/>
  <c r="CD213" i="53"/>
  <c r="BZ213" i="53"/>
  <c r="BV213" i="53"/>
  <c r="CI213" i="53"/>
  <c r="CA215" i="53"/>
  <c r="CK217" i="53"/>
  <c r="CG217" i="53"/>
  <c r="CC217" i="53"/>
  <c r="BY217" i="53"/>
  <c r="BU217" i="53"/>
  <c r="CJ217" i="53"/>
  <c r="CF217" i="53"/>
  <c r="CB217" i="53"/>
  <c r="BX217" i="53"/>
  <c r="BT217" i="53"/>
  <c r="CL217" i="53"/>
  <c r="CH217" i="53"/>
  <c r="CD217" i="53"/>
  <c r="BZ217" i="53"/>
  <c r="BV217" i="53"/>
  <c r="CI217" i="53"/>
  <c r="BW187" i="53"/>
  <c r="CA187" i="53"/>
  <c r="CE187" i="53"/>
  <c r="BU188" i="53"/>
  <c r="BY188" i="53"/>
  <c r="CC188" i="53"/>
  <c r="CG188" i="53"/>
  <c r="CL188" i="53"/>
  <c r="BV189" i="53"/>
  <c r="CA189" i="53"/>
  <c r="CF189" i="53"/>
  <c r="CL189" i="53"/>
  <c r="CK191" i="53"/>
  <c r="CG191" i="53"/>
  <c r="CC191" i="53"/>
  <c r="BY191" i="53"/>
  <c r="BU191" i="53"/>
  <c r="BX191" i="53"/>
  <c r="CD191" i="53"/>
  <c r="CI191" i="53"/>
  <c r="BZ195" i="53"/>
  <c r="CH195" i="53"/>
  <c r="BT208" i="53"/>
  <c r="BX208" i="53"/>
  <c r="CB208" i="53"/>
  <c r="CF208" i="53"/>
  <c r="CJ208" i="53"/>
  <c r="BT210" i="53"/>
  <c r="BX210" i="53"/>
  <c r="CB210" i="53"/>
  <c r="CF210" i="53"/>
  <c r="CJ210" i="53"/>
  <c r="BT212" i="53"/>
  <c r="N32" i="21" s="1"/>
  <c r="BX212" i="53"/>
  <c r="CB212" i="53"/>
  <c r="CF212" i="53"/>
  <c r="CJ212" i="53"/>
  <c r="BT214" i="53"/>
  <c r="BX214" i="53"/>
  <c r="CB214" i="53"/>
  <c r="CF214" i="53"/>
  <c r="CJ214" i="53"/>
  <c r="BT216" i="53"/>
  <c r="BX216" i="53"/>
  <c r="CB216" i="53"/>
  <c r="CF216" i="53"/>
  <c r="CJ216" i="53"/>
  <c r="BW220" i="53"/>
  <c r="CA220" i="53"/>
  <c r="CE220" i="53"/>
  <c r="CI220" i="53"/>
  <c r="BW222" i="53"/>
  <c r="CA222" i="53"/>
  <c r="CE222" i="53"/>
  <c r="CI222" i="53"/>
  <c r="BW224" i="53"/>
  <c r="CA224" i="53"/>
  <c r="CE224" i="53"/>
  <c r="CI224" i="53"/>
  <c r="CI226" i="53"/>
  <c r="CE226" i="53"/>
  <c r="CA226" i="53"/>
  <c r="BW226" i="53"/>
  <c r="BX226" i="53"/>
  <c r="CC226" i="53"/>
  <c r="CH226" i="53"/>
  <c r="BW227" i="53"/>
  <c r="CB227" i="53"/>
  <c r="BT229" i="53"/>
  <c r="BZ229" i="53"/>
  <c r="CE229" i="53"/>
  <c r="CJ229" i="53"/>
  <c r="BW231" i="53"/>
  <c r="CB231" i="53"/>
  <c r="BT233" i="53"/>
  <c r="BZ233" i="53"/>
  <c r="CE233" i="53"/>
  <c r="CJ233" i="53"/>
  <c r="BW235" i="53"/>
  <c r="CB235" i="53"/>
  <c r="BT237" i="53"/>
  <c r="BZ237" i="53"/>
  <c r="CE237" i="53"/>
  <c r="CJ237" i="53"/>
  <c r="BW239" i="53"/>
  <c r="CB239" i="53"/>
  <c r="BT241" i="53"/>
  <c r="BZ241" i="53"/>
  <c r="CE241" i="53"/>
  <c r="CJ241" i="53"/>
  <c r="BW243" i="53"/>
  <c r="CB243" i="53"/>
  <c r="CK263" i="53"/>
  <c r="CG263" i="53"/>
  <c r="CC263" i="53"/>
  <c r="BY263" i="53"/>
  <c r="BU263" i="53"/>
  <c r="CH263" i="53"/>
  <c r="CB263" i="53"/>
  <c r="BW263" i="53"/>
  <c r="CL263" i="53"/>
  <c r="CF263" i="53"/>
  <c r="CA263" i="53"/>
  <c r="BV263" i="53"/>
  <c r="CJ263" i="53"/>
  <c r="CE263" i="53"/>
  <c r="BZ263" i="53"/>
  <c r="BT263" i="53"/>
  <c r="CK227" i="53"/>
  <c r="CG227" i="53"/>
  <c r="CC227" i="53"/>
  <c r="BY227" i="53"/>
  <c r="BU227" i="53"/>
  <c r="BX227" i="53"/>
  <c r="CD227" i="53"/>
  <c r="CI227" i="53"/>
  <c r="CK231" i="53"/>
  <c r="CG231" i="53"/>
  <c r="CC231" i="53"/>
  <c r="BY231" i="53"/>
  <c r="BU231" i="53"/>
  <c r="BX231" i="53"/>
  <c r="CD231" i="53"/>
  <c r="CI231" i="53"/>
  <c r="CK235" i="53"/>
  <c r="CG235" i="53"/>
  <c r="CC235" i="53"/>
  <c r="BY235" i="53"/>
  <c r="BU235" i="53"/>
  <c r="BX235" i="53"/>
  <c r="CD235" i="53"/>
  <c r="CI235" i="53"/>
  <c r="CK239" i="53"/>
  <c r="CG239" i="53"/>
  <c r="CC239" i="53"/>
  <c r="BY239" i="53"/>
  <c r="BU239" i="53"/>
  <c r="BX239" i="53"/>
  <c r="CD239" i="53"/>
  <c r="CI239" i="53"/>
  <c r="CK243" i="53"/>
  <c r="CG243" i="53"/>
  <c r="CC243" i="53"/>
  <c r="BY243" i="53"/>
  <c r="BU243" i="53"/>
  <c r="BX243" i="53"/>
  <c r="CD243" i="53"/>
  <c r="CI243" i="53"/>
  <c r="CD259" i="53"/>
  <c r="BX263" i="53"/>
  <c r="CK267" i="53"/>
  <c r="CG267" i="53"/>
  <c r="CC267" i="53"/>
  <c r="BY267" i="53"/>
  <c r="BU267" i="53"/>
  <c r="CH267" i="53"/>
  <c r="CB267" i="53"/>
  <c r="BW267" i="53"/>
  <c r="CL267" i="53"/>
  <c r="CF267" i="53"/>
  <c r="CA267" i="53"/>
  <c r="BV267" i="53"/>
  <c r="CJ267" i="53"/>
  <c r="CE267" i="53"/>
  <c r="BZ267" i="53"/>
  <c r="BT267" i="53"/>
  <c r="BV192" i="53"/>
  <c r="BZ192" i="53"/>
  <c r="CD192" i="53"/>
  <c r="CH192" i="53"/>
  <c r="CL192" i="53"/>
  <c r="BV194" i="53"/>
  <c r="BZ194" i="53"/>
  <c r="CD194" i="53"/>
  <c r="CH194" i="53"/>
  <c r="CL194" i="53"/>
  <c r="BV199" i="53"/>
  <c r="BZ199" i="53"/>
  <c r="CD199" i="53"/>
  <c r="CH199" i="53"/>
  <c r="CL199" i="53"/>
  <c r="BW202" i="53"/>
  <c r="CA202" i="53"/>
  <c r="CE202" i="53"/>
  <c r="BV204" i="53"/>
  <c r="BZ204" i="53"/>
  <c r="CD204" i="53"/>
  <c r="CH204" i="53"/>
  <c r="CL204" i="53"/>
  <c r="BV206" i="53"/>
  <c r="BZ206" i="53"/>
  <c r="CD206" i="53"/>
  <c r="CH206" i="53"/>
  <c r="CL206" i="53"/>
  <c r="BV208" i="53"/>
  <c r="BZ208" i="53"/>
  <c r="CD208" i="53"/>
  <c r="CH208" i="53"/>
  <c r="CL208" i="53"/>
  <c r="BV210" i="53"/>
  <c r="BZ210" i="53"/>
  <c r="CD210" i="53"/>
  <c r="CH210" i="53"/>
  <c r="CL210" i="53"/>
  <c r="BV212" i="53"/>
  <c r="BZ212" i="53"/>
  <c r="CD212" i="53"/>
  <c r="CH212" i="53"/>
  <c r="CL212" i="53"/>
  <c r="BV214" i="53"/>
  <c r="BZ214" i="53"/>
  <c r="CD214" i="53"/>
  <c r="CH214" i="53"/>
  <c r="CL214" i="53"/>
  <c r="BV216" i="53"/>
  <c r="BZ216" i="53"/>
  <c r="CD216" i="53"/>
  <c r="CH216" i="53"/>
  <c r="CL216" i="53"/>
  <c r="BW219" i="53"/>
  <c r="CA219" i="53"/>
  <c r="CE219" i="53"/>
  <c r="BU220" i="53"/>
  <c r="BY220" i="53"/>
  <c r="CC220" i="53"/>
  <c r="CG220" i="53"/>
  <c r="BW221" i="53"/>
  <c r="CA221" i="53"/>
  <c r="CE221" i="53"/>
  <c r="BU222" i="53"/>
  <c r="BY222" i="53"/>
  <c r="CC222" i="53"/>
  <c r="CG222" i="53"/>
  <c r="BW223" i="53"/>
  <c r="CA223" i="53"/>
  <c r="CE223" i="53"/>
  <c r="BU224" i="53"/>
  <c r="BY224" i="53"/>
  <c r="CC224" i="53"/>
  <c r="CG224" i="53"/>
  <c r="BW225" i="53"/>
  <c r="CA225" i="53"/>
  <c r="CE225" i="53"/>
  <c r="BU226" i="53"/>
  <c r="BZ226" i="53"/>
  <c r="CF226" i="53"/>
  <c r="CK226" i="53"/>
  <c r="BT227" i="53"/>
  <c r="BZ227" i="53"/>
  <c r="CE227" i="53"/>
  <c r="CJ227" i="53"/>
  <c r="BW229" i="53"/>
  <c r="CB229" i="53"/>
  <c r="BT231" i="53"/>
  <c r="BZ231" i="53"/>
  <c r="CE231" i="53"/>
  <c r="CJ231" i="53"/>
  <c r="BW233" i="53"/>
  <c r="CB233" i="53"/>
  <c r="BT235" i="53"/>
  <c r="BZ235" i="53"/>
  <c r="CE235" i="53"/>
  <c r="CJ235" i="53"/>
  <c r="BW237" i="53"/>
  <c r="CB237" i="53"/>
  <c r="BT239" i="53"/>
  <c r="BZ239" i="53"/>
  <c r="CE239" i="53"/>
  <c r="CJ239" i="53"/>
  <c r="BW241" i="53"/>
  <c r="CB241" i="53"/>
  <c r="BT243" i="53"/>
  <c r="BZ243" i="53"/>
  <c r="CE243" i="53"/>
  <c r="CJ243" i="53"/>
  <c r="CK245" i="53"/>
  <c r="CG245" i="53"/>
  <c r="CC245" i="53"/>
  <c r="BY245" i="53"/>
  <c r="BU245" i="53"/>
  <c r="CJ245" i="53"/>
  <c r="CF245" i="53"/>
  <c r="CB245" i="53"/>
  <c r="BX245" i="53"/>
  <c r="BT245" i="53"/>
  <c r="CA245" i="53"/>
  <c r="CI245" i="53"/>
  <c r="CK247" i="53"/>
  <c r="CG247" i="53"/>
  <c r="CC247" i="53"/>
  <c r="BY247" i="53"/>
  <c r="BU247" i="53"/>
  <c r="CJ247" i="53"/>
  <c r="CF247" i="53"/>
  <c r="CB247" i="53"/>
  <c r="BX247" i="53"/>
  <c r="BT247" i="53"/>
  <c r="CA247" i="53"/>
  <c r="CI247" i="53"/>
  <c r="CK249" i="53"/>
  <c r="CG249" i="53"/>
  <c r="CC249" i="53"/>
  <c r="BY249" i="53"/>
  <c r="BU249" i="53"/>
  <c r="CJ249" i="53"/>
  <c r="CF249" i="53"/>
  <c r="CB249" i="53"/>
  <c r="BX249" i="53"/>
  <c r="BT249" i="53"/>
  <c r="CA249" i="53"/>
  <c r="CI249" i="53"/>
  <c r="CK251" i="53"/>
  <c r="CG251" i="53"/>
  <c r="CC251" i="53"/>
  <c r="BY251" i="53"/>
  <c r="BU251" i="53"/>
  <c r="CJ251" i="53"/>
  <c r="CF251" i="53"/>
  <c r="CB251" i="53"/>
  <c r="BX251" i="53"/>
  <c r="BT251" i="53"/>
  <c r="CA251" i="53"/>
  <c r="CI251" i="53"/>
  <c r="CL253" i="53"/>
  <c r="CH253" i="53"/>
  <c r="CD253" i="53"/>
  <c r="BZ253" i="53"/>
  <c r="BV253" i="53"/>
  <c r="CK253" i="53"/>
  <c r="CG253" i="53"/>
  <c r="CC253" i="53"/>
  <c r="BY253" i="53"/>
  <c r="BU253" i="53"/>
  <c r="CJ253" i="53"/>
  <c r="CF253" i="53"/>
  <c r="CB253" i="53"/>
  <c r="BX253" i="53"/>
  <c r="BT253" i="53"/>
  <c r="N41" i="21" s="1"/>
  <c r="CI253" i="53"/>
  <c r="CD263" i="53"/>
  <c r="BX267" i="53"/>
  <c r="BW190" i="53"/>
  <c r="CA190" i="53"/>
  <c r="CE190" i="53"/>
  <c r="BW192" i="53"/>
  <c r="CA192" i="53"/>
  <c r="CE192" i="53"/>
  <c r="BW194" i="53"/>
  <c r="CA194" i="53"/>
  <c r="CE194" i="53"/>
  <c r="BW199" i="53"/>
  <c r="CA199" i="53"/>
  <c r="CE199" i="53"/>
  <c r="BW204" i="53"/>
  <c r="CA204" i="53"/>
  <c r="CE204" i="53"/>
  <c r="BW206" i="53"/>
  <c r="CA206" i="53"/>
  <c r="CE206" i="53"/>
  <c r="BW208" i="53"/>
  <c r="CA208" i="53"/>
  <c r="CE208" i="53"/>
  <c r="BW210" i="53"/>
  <c r="CA210" i="53"/>
  <c r="CE210" i="53"/>
  <c r="BW212" i="53"/>
  <c r="CA212" i="53"/>
  <c r="CE212" i="53"/>
  <c r="BW214" i="53"/>
  <c r="CA214" i="53"/>
  <c r="CE214" i="53"/>
  <c r="BW216" i="53"/>
  <c r="CA216" i="53"/>
  <c r="CE216" i="53"/>
  <c r="BV227" i="53"/>
  <c r="CA227" i="53"/>
  <c r="CF227" i="53"/>
  <c r="CL227" i="53"/>
  <c r="CK229" i="53"/>
  <c r="CG229" i="53"/>
  <c r="CC229" i="53"/>
  <c r="BY229" i="53"/>
  <c r="BU229" i="53"/>
  <c r="BX229" i="53"/>
  <c r="CD229" i="53"/>
  <c r="CI229" i="53"/>
  <c r="BV231" i="53"/>
  <c r="CA231" i="53"/>
  <c r="CF231" i="53"/>
  <c r="CL231" i="53"/>
  <c r="CK233" i="53"/>
  <c r="CG233" i="53"/>
  <c r="CC233" i="53"/>
  <c r="BY233" i="53"/>
  <c r="BU233" i="53"/>
  <c r="BX233" i="53"/>
  <c r="CD233" i="53"/>
  <c r="CI233" i="53"/>
  <c r="BV235" i="53"/>
  <c r="CA235" i="53"/>
  <c r="CF235" i="53"/>
  <c r="CL235" i="53"/>
  <c r="CK237" i="53"/>
  <c r="CG237" i="53"/>
  <c r="CC237" i="53"/>
  <c r="BY237" i="53"/>
  <c r="BU237" i="53"/>
  <c r="BX237" i="53"/>
  <c r="CD237" i="53"/>
  <c r="CI237" i="53"/>
  <c r="BV239" i="53"/>
  <c r="CA239" i="53"/>
  <c r="CF239" i="53"/>
  <c r="CL239" i="53"/>
  <c r="CK241" i="53"/>
  <c r="CG241" i="53"/>
  <c r="CC241" i="53"/>
  <c r="BY241" i="53"/>
  <c r="BU241" i="53"/>
  <c r="BX241" i="53"/>
  <c r="CD241" i="53"/>
  <c r="CI241" i="53"/>
  <c r="BV243" i="53"/>
  <c r="CA243" i="53"/>
  <c r="CF243" i="53"/>
  <c r="CL243" i="53"/>
  <c r="CK259" i="53"/>
  <c r="CG259" i="53"/>
  <c r="CC259" i="53"/>
  <c r="BY259" i="53"/>
  <c r="BU259" i="53"/>
  <c r="CH259" i="53"/>
  <c r="CB259" i="53"/>
  <c r="BW259" i="53"/>
  <c r="CL259" i="53"/>
  <c r="CF259" i="53"/>
  <c r="CA259" i="53"/>
  <c r="BV259" i="53"/>
  <c r="CJ259" i="53"/>
  <c r="CE259" i="53"/>
  <c r="BZ259" i="53"/>
  <c r="BT259" i="53"/>
  <c r="CI263" i="53"/>
  <c r="CD267" i="53"/>
  <c r="BV244" i="53"/>
  <c r="BZ244" i="53"/>
  <c r="CD244" i="53"/>
  <c r="CH244" i="53"/>
  <c r="CL244" i="53"/>
  <c r="BV246" i="53"/>
  <c r="BZ246" i="53"/>
  <c r="CD246" i="53"/>
  <c r="CH246" i="53"/>
  <c r="CL246" i="53"/>
  <c r="BV248" i="53"/>
  <c r="BZ248" i="53"/>
  <c r="CD248" i="53"/>
  <c r="CH248" i="53"/>
  <c r="CL248" i="53"/>
  <c r="BV250" i="53"/>
  <c r="BZ250" i="53"/>
  <c r="CD250" i="53"/>
  <c r="CH250" i="53"/>
  <c r="CL250" i="53"/>
  <c r="BV252" i="53"/>
  <c r="BZ252" i="53"/>
  <c r="CD252" i="53"/>
  <c r="CH252" i="53"/>
  <c r="CL252" i="53"/>
  <c r="BV254" i="53"/>
  <c r="CA254" i="53"/>
  <c r="CF254" i="53"/>
  <c r="BW261" i="53"/>
  <c r="CB261" i="53"/>
  <c r="BW265" i="53"/>
  <c r="CB265" i="53"/>
  <c r="CE284" i="53"/>
  <c r="CA286" i="53"/>
  <c r="BW228" i="53"/>
  <c r="CA228" i="53"/>
  <c r="CE228" i="53"/>
  <c r="BW230" i="53"/>
  <c r="CA230" i="53"/>
  <c r="CE230" i="53"/>
  <c r="BW232" i="53"/>
  <c r="CA232" i="53"/>
  <c r="CE232" i="53"/>
  <c r="BW234" i="53"/>
  <c r="CA234" i="53"/>
  <c r="CE234" i="53"/>
  <c r="BW236" i="53"/>
  <c r="CA236" i="53"/>
  <c r="CE236" i="53"/>
  <c r="BW238" i="53"/>
  <c r="CA238" i="53"/>
  <c r="CE238" i="53"/>
  <c r="BW240" i="53"/>
  <c r="CA240" i="53"/>
  <c r="CE240" i="53"/>
  <c r="BW242" i="53"/>
  <c r="CA242" i="53"/>
  <c r="CE242" i="53"/>
  <c r="BW244" i="53"/>
  <c r="CA244" i="53"/>
  <c r="CE244" i="53"/>
  <c r="BW246" i="53"/>
  <c r="CA246" i="53"/>
  <c r="CE246" i="53"/>
  <c r="BW248" i="53"/>
  <c r="CA248" i="53"/>
  <c r="CE248" i="53"/>
  <c r="BW250" i="53"/>
  <c r="CA250" i="53"/>
  <c r="CE250" i="53"/>
  <c r="BW252" i="53"/>
  <c r="CA252" i="53"/>
  <c r="CE252" i="53"/>
  <c r="CK254" i="53"/>
  <c r="CG254" i="53"/>
  <c r="CC254" i="53"/>
  <c r="BY254" i="53"/>
  <c r="BW254" i="53"/>
  <c r="CB254" i="53"/>
  <c r="CH254" i="53"/>
  <c r="CK261" i="53"/>
  <c r="CG261" i="53"/>
  <c r="CC261" i="53"/>
  <c r="BY261" i="53"/>
  <c r="BU261" i="53"/>
  <c r="BX261" i="53"/>
  <c r="CD261" i="53"/>
  <c r="CI261" i="53"/>
  <c r="CK265" i="53"/>
  <c r="CG265" i="53"/>
  <c r="CC265" i="53"/>
  <c r="BY265" i="53"/>
  <c r="BU265" i="53"/>
  <c r="BX265" i="53"/>
  <c r="CD265" i="53"/>
  <c r="CI265" i="53"/>
  <c r="BT254" i="53"/>
  <c r="BX254" i="53"/>
  <c r="CD254" i="53"/>
  <c r="CI254" i="53"/>
  <c r="BT261" i="53"/>
  <c r="BZ261" i="53"/>
  <c r="CE261" i="53"/>
  <c r="CJ261" i="53"/>
  <c r="BT265" i="53"/>
  <c r="BZ265" i="53"/>
  <c r="CE265" i="53"/>
  <c r="CJ265" i="53"/>
  <c r="CL284" i="53"/>
  <c r="CH284" i="53"/>
  <c r="CD284" i="53"/>
  <c r="BZ284" i="53"/>
  <c r="BV284" i="53"/>
  <c r="CK284" i="53"/>
  <c r="CG284" i="53"/>
  <c r="CC284" i="53"/>
  <c r="BY284" i="53"/>
  <c r="BU284" i="53"/>
  <c r="CJ284" i="53"/>
  <c r="CF284" i="53"/>
  <c r="CB284" i="53"/>
  <c r="BX284" i="53"/>
  <c r="BT284" i="53"/>
  <c r="BW284" i="53"/>
  <c r="CL286" i="53"/>
  <c r="CH286" i="53"/>
  <c r="CD286" i="53"/>
  <c r="BZ286" i="53"/>
  <c r="BV286" i="53"/>
  <c r="CK286" i="53"/>
  <c r="CG286" i="53"/>
  <c r="CC286" i="53"/>
  <c r="BY286" i="53"/>
  <c r="BU286" i="53"/>
  <c r="CJ286" i="53"/>
  <c r="CF286" i="53"/>
  <c r="CB286" i="53"/>
  <c r="BX286" i="53"/>
  <c r="BT286" i="53"/>
  <c r="CE286" i="53"/>
  <c r="BW255" i="53"/>
  <c r="CA255" i="53"/>
  <c r="CE255" i="53"/>
  <c r="BW258" i="53"/>
  <c r="CA258" i="53"/>
  <c r="CE258" i="53"/>
  <c r="BW260" i="53"/>
  <c r="CA260" i="53"/>
  <c r="CE260" i="53"/>
  <c r="BW262" i="53"/>
  <c r="CA262" i="53"/>
  <c r="CE262" i="53"/>
  <c r="BW264" i="53"/>
  <c r="CA264" i="53"/>
  <c r="CE264" i="53"/>
  <c r="BW266" i="53"/>
  <c r="CA266" i="53"/>
  <c r="CE266" i="53"/>
  <c r="CL270" i="53"/>
  <c r="CH270" i="53"/>
  <c r="CD270" i="53"/>
  <c r="BZ270" i="53"/>
  <c r="BV270" i="53"/>
  <c r="CK270" i="53"/>
  <c r="CG270" i="53"/>
  <c r="CC270" i="53"/>
  <c r="BY270" i="53"/>
  <c r="BU270" i="53"/>
  <c r="CA270" i="53"/>
  <c r="CI270" i="53"/>
  <c r="CL272" i="53"/>
  <c r="CH272" i="53"/>
  <c r="CD272" i="53"/>
  <c r="BZ272" i="53"/>
  <c r="BV272" i="53"/>
  <c r="CK272" i="53"/>
  <c r="CG272" i="53"/>
  <c r="CC272" i="53"/>
  <c r="BY272" i="53"/>
  <c r="BU272" i="53"/>
  <c r="CA272" i="53"/>
  <c r="CI272" i="53"/>
  <c r="CL274" i="53"/>
  <c r="CH274" i="53"/>
  <c r="CD274" i="53"/>
  <c r="BZ274" i="53"/>
  <c r="BV274" i="53"/>
  <c r="CK274" i="53"/>
  <c r="CG274" i="53"/>
  <c r="CC274" i="53"/>
  <c r="BY274" i="53"/>
  <c r="BU274" i="53"/>
  <c r="CA274" i="53"/>
  <c r="CI274" i="53"/>
  <c r="CL276" i="53"/>
  <c r="CH276" i="53"/>
  <c r="CD276" i="53"/>
  <c r="BZ276" i="53"/>
  <c r="BV276" i="53"/>
  <c r="CK276" i="53"/>
  <c r="CG276" i="53"/>
  <c r="CC276" i="53"/>
  <c r="BY276" i="53"/>
  <c r="BU276" i="53"/>
  <c r="CA276" i="53"/>
  <c r="CI276" i="53"/>
  <c r="CL278" i="53"/>
  <c r="CH278" i="53"/>
  <c r="CD278" i="53"/>
  <c r="BZ278" i="53"/>
  <c r="BV278" i="53"/>
  <c r="CK278" i="53"/>
  <c r="CG278" i="53"/>
  <c r="CC278" i="53"/>
  <c r="BY278" i="53"/>
  <c r="BU278" i="53"/>
  <c r="CA278" i="53"/>
  <c r="CI278" i="53"/>
  <c r="CL280" i="53"/>
  <c r="CH280" i="53"/>
  <c r="CD280" i="53"/>
  <c r="BZ280" i="53"/>
  <c r="BV280" i="53"/>
  <c r="CK280" i="53"/>
  <c r="CG280" i="53"/>
  <c r="CC280" i="53"/>
  <c r="BY280" i="53"/>
  <c r="BU280" i="53"/>
  <c r="CA280" i="53"/>
  <c r="CI280" i="53"/>
  <c r="CL282" i="53"/>
  <c r="CH282" i="53"/>
  <c r="CD282" i="53"/>
  <c r="BZ282" i="53"/>
  <c r="BV282" i="53"/>
  <c r="CK282" i="53"/>
  <c r="CG282" i="53"/>
  <c r="CC282" i="53"/>
  <c r="BY282" i="53"/>
  <c r="BU282" i="53"/>
  <c r="CJ282" i="53"/>
  <c r="CF282" i="53"/>
  <c r="CB282" i="53"/>
  <c r="BX282" i="53"/>
  <c r="CE282" i="53"/>
  <c r="CJ302" i="53"/>
  <c r="CF302" i="53"/>
  <c r="CB302" i="53"/>
  <c r="BX302" i="53"/>
  <c r="BT302" i="53"/>
  <c r="CH302" i="53"/>
  <c r="CC302" i="53"/>
  <c r="BW302" i="53"/>
  <c r="CL302" i="53"/>
  <c r="CG302" i="53"/>
  <c r="CA302" i="53"/>
  <c r="BV302" i="53"/>
  <c r="CK302" i="53"/>
  <c r="CE302" i="53"/>
  <c r="BZ302" i="53"/>
  <c r="BU302" i="53"/>
  <c r="BX312" i="53"/>
  <c r="CD312" i="53"/>
  <c r="CK312" i="53"/>
  <c r="CG312" i="53"/>
  <c r="CC312" i="53"/>
  <c r="BY312" i="53"/>
  <c r="BU312" i="53"/>
  <c r="CH312" i="53"/>
  <c r="CB312" i="53"/>
  <c r="BW312" i="53"/>
  <c r="CL312" i="53"/>
  <c r="CF312" i="53"/>
  <c r="CA312" i="53"/>
  <c r="BV312" i="53"/>
  <c r="CJ312" i="53"/>
  <c r="CE312" i="53"/>
  <c r="BZ312" i="53"/>
  <c r="BT312" i="53"/>
  <c r="BV283" i="53"/>
  <c r="BZ283" i="53"/>
  <c r="CD283" i="53"/>
  <c r="CH283" i="53"/>
  <c r="CL283" i="53"/>
  <c r="BV285" i="53"/>
  <c r="BZ285" i="53"/>
  <c r="CD285" i="53"/>
  <c r="CH285" i="53"/>
  <c r="CL285" i="53"/>
  <c r="BV287" i="53"/>
  <c r="BZ287" i="53"/>
  <c r="CD287" i="53"/>
  <c r="CH287" i="53"/>
  <c r="CL287" i="53"/>
  <c r="BW291" i="53"/>
  <c r="CA291" i="53"/>
  <c r="CE291" i="53"/>
  <c r="CI291" i="53"/>
  <c r="BW294" i="53"/>
  <c r="CA294" i="53"/>
  <c r="CE294" i="53"/>
  <c r="CI294" i="53"/>
  <c r="BW296" i="53"/>
  <c r="CA296" i="53"/>
  <c r="CE296" i="53"/>
  <c r="CI296" i="53"/>
  <c r="BW298" i="53"/>
  <c r="CA298" i="53"/>
  <c r="CE298" i="53"/>
  <c r="CI298" i="53"/>
  <c r="BW300" i="53"/>
  <c r="CA300" i="53"/>
  <c r="CE300" i="53"/>
  <c r="CI300" i="53"/>
  <c r="CL303" i="53"/>
  <c r="CH303" i="53"/>
  <c r="CD303" i="53"/>
  <c r="BZ303" i="53"/>
  <c r="BV303" i="53"/>
  <c r="BX303" i="53"/>
  <c r="CC303" i="53"/>
  <c r="CI303" i="53"/>
  <c r="CK305" i="53"/>
  <c r="CG305" i="53"/>
  <c r="CC305" i="53"/>
  <c r="BY305" i="53"/>
  <c r="BU305" i="53"/>
  <c r="BX305" i="53"/>
  <c r="CD305" i="53"/>
  <c r="CI305" i="53"/>
  <c r="CK309" i="53"/>
  <c r="CG309" i="53"/>
  <c r="CC309" i="53"/>
  <c r="BY309" i="53"/>
  <c r="BU309" i="53"/>
  <c r="BX309" i="53"/>
  <c r="CD309" i="53"/>
  <c r="CI309" i="53"/>
  <c r="BW314" i="53"/>
  <c r="CB314" i="53"/>
  <c r="BX323" i="53"/>
  <c r="BW269" i="53"/>
  <c r="CA269" i="53"/>
  <c r="CE269" i="53"/>
  <c r="BW271" i="53"/>
  <c r="CA271" i="53"/>
  <c r="CE271" i="53"/>
  <c r="CI271" i="53"/>
  <c r="BW273" i="53"/>
  <c r="CA273" i="53"/>
  <c r="CE273" i="53"/>
  <c r="CI273" i="53"/>
  <c r="BW275" i="53"/>
  <c r="CA275" i="53"/>
  <c r="CE275" i="53"/>
  <c r="CI275" i="53"/>
  <c r="BW277" i="53"/>
  <c r="CA277" i="53"/>
  <c r="CE277" i="53"/>
  <c r="CI277" i="53"/>
  <c r="BW279" i="53"/>
  <c r="CA279" i="53"/>
  <c r="CE279" i="53"/>
  <c r="CI279" i="53"/>
  <c r="BW281" i="53"/>
  <c r="CA281" i="53"/>
  <c r="CE281" i="53"/>
  <c r="CI281" i="53"/>
  <c r="BW283" i="53"/>
  <c r="CA283" i="53"/>
  <c r="CE283" i="53"/>
  <c r="CI283" i="53"/>
  <c r="BW285" i="53"/>
  <c r="CA285" i="53"/>
  <c r="CE285" i="53"/>
  <c r="CI285" i="53"/>
  <c r="BW287" i="53"/>
  <c r="CA287" i="53"/>
  <c r="CE287" i="53"/>
  <c r="CI287" i="53"/>
  <c r="BT298" i="53"/>
  <c r="BX298" i="53"/>
  <c r="CB298" i="53"/>
  <c r="CF298" i="53"/>
  <c r="CJ298" i="53"/>
  <c r="BT300" i="53"/>
  <c r="BX300" i="53"/>
  <c r="CB300" i="53"/>
  <c r="CF300" i="53"/>
  <c r="CJ300" i="53"/>
  <c r="BT303" i="53"/>
  <c r="BY303" i="53"/>
  <c r="CE303" i="53"/>
  <c r="CJ303" i="53"/>
  <c r="BT305" i="53"/>
  <c r="BZ305" i="53"/>
  <c r="CE305" i="53"/>
  <c r="CJ305" i="53"/>
  <c r="BT309" i="53"/>
  <c r="BZ309" i="53"/>
  <c r="CE309" i="53"/>
  <c r="CJ309" i="53"/>
  <c r="CK314" i="53"/>
  <c r="CG314" i="53"/>
  <c r="CC314" i="53"/>
  <c r="BY314" i="53"/>
  <c r="BU314" i="53"/>
  <c r="BX314" i="53"/>
  <c r="CD314" i="53"/>
  <c r="CI314" i="53"/>
  <c r="CK319" i="53"/>
  <c r="CG319" i="53"/>
  <c r="CC319" i="53"/>
  <c r="BY319" i="53"/>
  <c r="BU319" i="53"/>
  <c r="CL319" i="53"/>
  <c r="CF319" i="53"/>
  <c r="CA319" i="53"/>
  <c r="BV319" i="53"/>
  <c r="CJ319" i="53"/>
  <c r="CE319" i="53"/>
  <c r="BZ319" i="53"/>
  <c r="BT319" i="53"/>
  <c r="CD319" i="53"/>
  <c r="BT271" i="53"/>
  <c r="BX271" i="53"/>
  <c r="CB271" i="53"/>
  <c r="CF271" i="53"/>
  <c r="BT273" i="53"/>
  <c r="BX273" i="53"/>
  <c r="CB273" i="53"/>
  <c r="CF273" i="53"/>
  <c r="BT275" i="53"/>
  <c r="BX275" i="53"/>
  <c r="CB275" i="53"/>
  <c r="CF275" i="53"/>
  <c r="BT277" i="53"/>
  <c r="BX277" i="53"/>
  <c r="CB277" i="53"/>
  <c r="CF277" i="53"/>
  <c r="BT279" i="53"/>
  <c r="BX279" i="53"/>
  <c r="CB279" i="53"/>
  <c r="CF279" i="53"/>
  <c r="BT281" i="53"/>
  <c r="BX281" i="53"/>
  <c r="CB281" i="53"/>
  <c r="CF281" i="53"/>
  <c r="BT283" i="53"/>
  <c r="BX283" i="53"/>
  <c r="CB283" i="53"/>
  <c r="CF283" i="53"/>
  <c r="BT285" i="53"/>
  <c r="BX285" i="53"/>
  <c r="CB285" i="53"/>
  <c r="CF285" i="53"/>
  <c r="BT287" i="53"/>
  <c r="BX287" i="53"/>
  <c r="CB287" i="53"/>
  <c r="CF287" i="53"/>
  <c r="BU291" i="53"/>
  <c r="BY291" i="53"/>
  <c r="CC291" i="53"/>
  <c r="CG291" i="53"/>
  <c r="BU294" i="53"/>
  <c r="BY294" i="53"/>
  <c r="CC294" i="53"/>
  <c r="CG294" i="53"/>
  <c r="BW295" i="53"/>
  <c r="CA295" i="53"/>
  <c r="CE295" i="53"/>
  <c r="BU296" i="53"/>
  <c r="BY296" i="53"/>
  <c r="CC296" i="53"/>
  <c r="CG296" i="53"/>
  <c r="BW297" i="53"/>
  <c r="CA297" i="53"/>
  <c r="CE297" i="53"/>
  <c r="BU298" i="53"/>
  <c r="BY298" i="53"/>
  <c r="CC298" i="53"/>
  <c r="CG298" i="53"/>
  <c r="BW299" i="53"/>
  <c r="CA299" i="53"/>
  <c r="CE299" i="53"/>
  <c r="BU300" i="53"/>
  <c r="BY300" i="53"/>
  <c r="CC300" i="53"/>
  <c r="CG300" i="53"/>
  <c r="CL301" i="53"/>
  <c r="CH301" i="53"/>
  <c r="CD301" i="53"/>
  <c r="BZ301" i="53"/>
  <c r="BV301" i="53"/>
  <c r="BX301" i="53"/>
  <c r="CC301" i="53"/>
  <c r="CI301" i="53"/>
  <c r="BU303" i="53"/>
  <c r="CA303" i="53"/>
  <c r="CF303" i="53"/>
  <c r="CK303" i="53"/>
  <c r="BV305" i="53"/>
  <c r="CA305" i="53"/>
  <c r="CF305" i="53"/>
  <c r="CL305" i="53"/>
  <c r="CK307" i="53"/>
  <c r="CG307" i="53"/>
  <c r="CC307" i="53"/>
  <c r="BY307" i="53"/>
  <c r="BU307" i="53"/>
  <c r="BX307" i="53"/>
  <c r="CD307" i="53"/>
  <c r="CI307" i="53"/>
  <c r="BV309" i="53"/>
  <c r="CA309" i="53"/>
  <c r="CF309" i="53"/>
  <c r="CL309" i="53"/>
  <c r="BT314" i="53"/>
  <c r="BZ314" i="53"/>
  <c r="CE314" i="53"/>
  <c r="CJ314" i="53"/>
  <c r="BW319" i="53"/>
  <c r="CH319" i="53"/>
  <c r="CK323" i="53"/>
  <c r="CG323" i="53"/>
  <c r="CC323" i="53"/>
  <c r="BY323" i="53"/>
  <c r="BU323" i="53"/>
  <c r="CL323" i="53"/>
  <c r="CF323" i="53"/>
  <c r="CA323" i="53"/>
  <c r="BV323" i="53"/>
  <c r="CJ323" i="53"/>
  <c r="CE323" i="53"/>
  <c r="BZ323" i="53"/>
  <c r="BT323" i="53"/>
  <c r="CD323" i="53"/>
  <c r="BW317" i="53"/>
  <c r="CB317" i="53"/>
  <c r="BW321" i="53"/>
  <c r="CB321" i="53"/>
  <c r="BW306" i="53"/>
  <c r="CA306" i="53"/>
  <c r="CE306" i="53"/>
  <c r="BW308" i="53"/>
  <c r="CA308" i="53"/>
  <c r="CE308" i="53"/>
  <c r="BW313" i="53"/>
  <c r="CA313" i="53"/>
  <c r="CE313" i="53"/>
  <c r="CK315" i="53"/>
  <c r="CG315" i="53"/>
  <c r="CC315" i="53"/>
  <c r="BW315" i="53"/>
  <c r="CA315" i="53"/>
  <c r="CF315" i="53"/>
  <c r="CL315" i="53"/>
  <c r="CK317" i="53"/>
  <c r="CG317" i="53"/>
  <c r="CC317" i="53"/>
  <c r="BY317" i="53"/>
  <c r="BU317" i="53"/>
  <c r="BX317" i="53"/>
  <c r="CD317" i="53"/>
  <c r="CI317" i="53"/>
  <c r="CK321" i="53"/>
  <c r="CG321" i="53"/>
  <c r="CC321" i="53"/>
  <c r="BY321" i="53"/>
  <c r="BU321" i="53"/>
  <c r="BX321" i="53"/>
  <c r="CD321" i="53"/>
  <c r="CI321" i="53"/>
  <c r="BW325" i="53"/>
  <c r="CA325" i="53"/>
  <c r="CE325" i="53"/>
  <c r="CI325" i="53"/>
  <c r="BW316" i="53"/>
  <c r="CA316" i="53"/>
  <c r="CE316" i="53"/>
  <c r="BW318" i="53"/>
  <c r="CA318" i="53"/>
  <c r="CE318" i="53"/>
  <c r="BW320" i="53"/>
  <c r="CA320" i="53"/>
  <c r="CE320" i="53"/>
  <c r="BW322" i="53"/>
  <c r="CA322" i="53"/>
  <c r="CE322" i="53"/>
  <c r="BW324" i="53"/>
  <c r="CA324" i="53"/>
  <c r="CE324" i="53"/>
  <c r="BU325" i="53"/>
  <c r="BY325" i="53"/>
  <c r="CC325" i="53"/>
  <c r="CG325" i="53"/>
  <c r="AL357" i="1" l="1"/>
  <c r="CM295" i="53"/>
  <c r="CM240" i="53"/>
  <c r="CM232" i="53"/>
  <c r="CM249" i="53"/>
  <c r="CM247" i="53"/>
  <c r="CM245" i="53"/>
  <c r="CM225" i="53"/>
  <c r="CM181" i="53"/>
  <c r="CM180" i="53"/>
  <c r="CM168" i="53"/>
  <c r="CM167" i="53"/>
  <c r="CM154" i="53"/>
  <c r="CM153" i="53"/>
  <c r="CM146" i="53"/>
  <c r="CM138" i="53"/>
  <c r="CM130" i="53"/>
  <c r="CM122" i="53"/>
  <c r="CM147" i="53"/>
  <c r="CM139" i="53"/>
  <c r="CM135" i="53"/>
  <c r="CM131" i="53"/>
  <c r="CM127" i="53"/>
  <c r="CM123" i="53"/>
  <c r="CM101" i="53"/>
  <c r="CM100" i="53"/>
  <c r="CM93" i="53"/>
  <c r="CM92" i="53"/>
  <c r="CM85" i="53"/>
  <c r="CM77" i="53"/>
  <c r="CM65" i="53"/>
  <c r="CM53" i="53"/>
  <c r="CM52" i="53"/>
  <c r="CM45" i="53"/>
  <c r="CM44" i="53"/>
  <c r="CM34" i="53"/>
  <c r="CM33" i="53"/>
  <c r="CM316" i="53"/>
  <c r="CM313" i="53"/>
  <c r="CM143" i="53"/>
  <c r="CM22" i="53"/>
  <c r="CM318" i="53"/>
  <c r="CM280" i="53"/>
  <c r="CM278" i="53"/>
  <c r="CM276" i="53"/>
  <c r="CM272" i="53"/>
  <c r="CM270" i="53"/>
  <c r="CM266" i="53"/>
  <c r="CM260" i="53"/>
  <c r="CM297" i="53"/>
  <c r="CM320" i="53"/>
  <c r="AL358" i="1"/>
  <c r="CM251" i="53"/>
  <c r="CM224" i="53"/>
  <c r="CM151" i="53"/>
  <c r="CM296" i="53"/>
  <c r="CM321" i="53"/>
  <c r="CM317" i="53"/>
  <c r="CM88" i="53"/>
  <c r="CM51" i="53"/>
  <c r="CM43" i="53"/>
  <c r="CM32" i="53"/>
  <c r="CM111" i="53"/>
  <c r="CM107" i="53"/>
  <c r="CM244" i="53"/>
  <c r="CM204" i="53"/>
  <c r="CM315" i="53"/>
  <c r="CM306" i="53"/>
  <c r="CM299" i="53"/>
  <c r="CM312" i="53"/>
  <c r="CM242" i="53"/>
  <c r="CM234" i="53"/>
  <c r="CM250" i="53"/>
  <c r="CM226" i="53"/>
  <c r="CM219" i="53"/>
  <c r="CM194" i="53"/>
  <c r="CM183" i="53"/>
  <c r="CM182" i="53"/>
  <c r="CM170" i="53"/>
  <c r="CM169" i="53"/>
  <c r="CM161" i="53"/>
  <c r="CM148" i="53"/>
  <c r="CM140" i="53"/>
  <c r="CM132" i="53"/>
  <c r="CM124" i="53"/>
  <c r="CM120" i="53"/>
  <c r="CM103" i="53"/>
  <c r="CM102" i="53"/>
  <c r="CM95" i="53"/>
  <c r="CM94" i="53"/>
  <c r="CM87" i="53"/>
  <c r="CM79" i="53"/>
  <c r="CM67" i="53"/>
  <c r="CM55" i="53"/>
  <c r="CM54" i="53"/>
  <c r="CM47" i="53"/>
  <c r="CM46" i="53"/>
  <c r="CM39" i="53"/>
  <c r="CM38" i="53"/>
  <c r="CM35" i="53"/>
  <c r="CM274" i="53"/>
  <c r="CM324" i="53"/>
  <c r="CM308" i="53"/>
  <c r="CM307" i="53"/>
  <c r="CM301" i="53"/>
  <c r="CM269" i="53"/>
  <c r="CM262" i="53"/>
  <c r="CM236" i="53"/>
  <c r="CM228" i="53"/>
  <c r="CM248" i="53"/>
  <c r="CM221" i="53"/>
  <c r="CM220" i="53"/>
  <c r="CM192" i="53"/>
  <c r="CM185" i="53"/>
  <c r="CM184" i="53"/>
  <c r="CM172" i="53"/>
  <c r="CM171" i="53"/>
  <c r="CM164" i="53"/>
  <c r="CM150" i="53"/>
  <c r="CM142" i="53"/>
  <c r="CM134" i="53"/>
  <c r="CM126" i="53"/>
  <c r="CM105" i="53"/>
  <c r="CM97" i="53"/>
  <c r="CM96" i="53"/>
  <c r="CM89" i="53"/>
  <c r="CM81" i="53"/>
  <c r="CM69" i="53"/>
  <c r="CM61" i="53"/>
  <c r="CM116" i="53"/>
  <c r="CM114" i="53"/>
  <c r="CM109" i="53"/>
  <c r="CM57" i="53"/>
  <c r="CM56" i="53"/>
  <c r="CM49" i="53"/>
  <c r="CM48" i="53"/>
  <c r="CM41" i="53"/>
  <c r="CM40" i="53"/>
  <c r="CM282" i="53"/>
  <c r="CM252" i="53"/>
  <c r="CM199" i="53"/>
  <c r="CM325" i="53"/>
  <c r="CM322" i="53"/>
  <c r="CM294" i="53"/>
  <c r="CM291" i="53"/>
  <c r="CM287" i="53"/>
  <c r="CM285" i="53"/>
  <c r="CM283" i="53"/>
  <c r="CM281" i="53"/>
  <c r="CM279" i="53"/>
  <c r="CM277" i="53"/>
  <c r="CM275" i="53"/>
  <c r="CM273" i="53"/>
  <c r="CM271" i="53"/>
  <c r="CM264" i="53"/>
  <c r="CM258" i="53"/>
  <c r="CM255" i="53"/>
  <c r="CM238" i="53"/>
  <c r="CM230" i="53"/>
  <c r="CM246" i="53"/>
  <c r="CM259" i="53"/>
  <c r="CM190" i="53"/>
  <c r="CM223" i="53"/>
  <c r="CM222" i="53"/>
  <c r="CM206" i="53"/>
  <c r="CM202" i="53"/>
  <c r="CM187" i="53"/>
  <c r="CM179" i="53"/>
  <c r="CM178" i="53"/>
  <c r="CM166" i="53"/>
  <c r="CM165" i="53"/>
  <c r="CM152" i="53"/>
  <c r="CM144" i="53"/>
  <c r="CM136" i="53"/>
  <c r="CM128" i="53"/>
  <c r="CM99" i="53"/>
  <c r="CM98" i="53"/>
  <c r="CM91" i="53"/>
  <c r="CM90" i="53"/>
  <c r="CM83" i="53"/>
  <c r="CM75" i="53"/>
  <c r="CM63" i="53"/>
  <c r="CM86" i="53"/>
  <c r="CM82" i="53"/>
  <c r="CM78" i="53"/>
  <c r="CM70" i="53"/>
  <c r="CM66" i="53"/>
  <c r="CM62" i="53"/>
  <c r="CM50" i="53"/>
  <c r="CM42" i="53"/>
  <c r="CM31" i="53"/>
  <c r="CM24" i="53"/>
  <c r="CM23" i="53"/>
  <c r="CM210" i="53"/>
  <c r="CM217" i="53"/>
  <c r="CM189" i="53"/>
  <c r="CM205" i="53"/>
  <c r="CM215" i="53"/>
  <c r="CM211" i="53"/>
  <c r="CM207" i="53"/>
  <c r="CM195" i="53"/>
  <c r="CM193" i="53"/>
  <c r="CM176" i="53"/>
  <c r="CM174" i="53"/>
  <c r="CM145" i="53"/>
  <c r="CM137" i="53"/>
  <c r="CM129" i="53"/>
  <c r="CM121" i="53"/>
  <c r="CM119" i="53"/>
  <c r="CM104" i="53"/>
  <c r="CM159" i="53"/>
  <c r="CM157" i="53"/>
  <c r="CM58" i="53"/>
  <c r="CM28" i="53"/>
  <c r="CM26" i="53"/>
  <c r="CM27" i="53"/>
  <c r="CM309" i="53"/>
  <c r="CM305" i="53"/>
  <c r="CM303" i="53"/>
  <c r="CM265" i="53"/>
  <c r="CM261" i="53"/>
  <c r="CM254" i="53"/>
  <c r="CM243" i="53"/>
  <c r="CM235" i="53"/>
  <c r="CM227" i="53"/>
  <c r="CM267" i="53"/>
  <c r="CM241" i="53"/>
  <c r="CM233" i="53"/>
  <c r="CM216" i="53"/>
  <c r="CM208" i="53"/>
  <c r="CM213" i="53"/>
  <c r="CM198" i="53"/>
  <c r="CM188" i="53"/>
  <c r="CM191" i="53"/>
  <c r="CM175" i="53"/>
  <c r="CM108" i="53"/>
  <c r="CM117" i="53"/>
  <c r="CM314" i="53"/>
  <c r="CM300" i="53"/>
  <c r="CM214" i="53"/>
  <c r="CM209" i="53"/>
  <c r="CM201" i="53"/>
  <c r="CM149" i="53"/>
  <c r="CM141" i="53"/>
  <c r="CM133" i="53"/>
  <c r="CM125" i="53"/>
  <c r="CM115" i="53"/>
  <c r="CM29" i="53"/>
  <c r="CM323" i="53"/>
  <c r="CM319" i="53"/>
  <c r="CM298" i="53"/>
  <c r="CM302" i="53"/>
  <c r="CM286" i="53"/>
  <c r="CM284" i="53"/>
  <c r="CM253" i="53"/>
  <c r="CM239" i="53"/>
  <c r="CM231" i="53"/>
  <c r="CM263" i="53"/>
  <c r="CM237" i="53"/>
  <c r="CM229" i="53"/>
  <c r="CM212" i="53"/>
  <c r="CM110" i="53"/>
  <c r="CM106" i="53"/>
  <c r="CM158" i="53"/>
  <c r="CM156" i="53"/>
  <c r="CM113" i="53"/>
  <c r="CM59" i="53"/>
  <c r="CM84" i="53"/>
  <c r="CM80" i="53"/>
  <c r="CM76" i="53"/>
  <c r="CM68" i="53"/>
  <c r="CM64" i="53"/>
  <c r="AK308" i="1" l="1"/>
  <c r="J8" i="40" l="1"/>
  <c r="J9" i="40"/>
  <c r="J10" i="40"/>
  <c r="J11" i="40"/>
  <c r="J12" i="40"/>
  <c r="J13" i="40"/>
  <c r="J14" i="40"/>
  <c r="J15" i="40"/>
  <c r="J16" i="40"/>
  <c r="J7" i="40"/>
  <c r="J17" i="40" l="1"/>
  <c r="J18" i="40" s="1"/>
  <c r="AK347" i="1" l="1"/>
  <c r="AK348" i="1"/>
  <c r="AK349" i="1"/>
  <c r="AK350" i="1"/>
  <c r="AK352" i="1"/>
  <c r="AK353" i="1"/>
  <c r="AK354" i="1"/>
  <c r="AK355" i="1"/>
  <c r="AK356" i="1"/>
  <c r="AK351" i="1"/>
  <c r="Y351" i="29" l="1"/>
  <c r="Z351" i="29"/>
  <c r="Y356" i="29"/>
  <c r="Z356" i="29"/>
  <c r="Y355" i="29"/>
  <c r="Z355" i="29"/>
  <c r="Y352" i="29"/>
  <c r="Z352" i="29"/>
  <c r="Y353" i="29"/>
  <c r="Z353" i="29"/>
  <c r="Z354" i="29"/>
  <c r="Y354" i="29"/>
  <c r="Q351" i="1"/>
  <c r="X351" i="1"/>
  <c r="X355" i="1"/>
  <c r="X352" i="1"/>
  <c r="X356" i="1"/>
  <c r="X354" i="1"/>
  <c r="X353" i="1"/>
  <c r="Q356" i="1"/>
  <c r="Q355" i="1"/>
  <c r="Q354" i="1"/>
  <c r="Q353" i="1"/>
  <c r="Q352" i="1"/>
  <c r="AK53" i="1" l="1"/>
  <c r="AK24" i="1" l="1"/>
  <c r="AK25" i="1"/>
  <c r="AK26" i="1"/>
  <c r="AK27" i="1"/>
  <c r="AK28" i="1"/>
  <c r="AK29" i="1"/>
  <c r="AK30" i="1"/>
  <c r="AK31" i="1"/>
  <c r="AK32" i="1"/>
  <c r="AK33" i="1"/>
  <c r="AK34" i="1"/>
  <c r="AK35" i="1"/>
  <c r="AK36" i="1"/>
  <c r="AK37" i="1"/>
  <c r="AK38" i="1"/>
  <c r="AK39" i="1"/>
  <c r="AK40" i="1"/>
  <c r="AK41" i="1"/>
  <c r="AK42" i="1"/>
  <c r="AK43" i="1"/>
  <c r="AK44" i="1"/>
  <c r="AK45" i="1"/>
  <c r="AK46" i="1"/>
  <c r="AK48" i="1"/>
  <c r="AK49" i="1"/>
  <c r="AK50" i="1"/>
  <c r="AK51" i="1"/>
  <c r="AK52" i="1"/>
  <c r="AK54" i="1"/>
  <c r="AK55" i="1"/>
  <c r="AK56" i="1"/>
  <c r="AK57" i="1"/>
  <c r="AK58" i="1"/>
  <c r="AK59" i="1"/>
  <c r="AK60" i="1"/>
  <c r="AK61" i="1"/>
  <c r="AK62" i="1"/>
  <c r="AK63" i="1"/>
  <c r="AK64" i="1"/>
  <c r="AK65" i="1"/>
  <c r="AK66" i="1"/>
  <c r="AK67" i="1"/>
  <c r="AK68" i="1"/>
  <c r="AK69" i="1"/>
  <c r="AK70" i="1"/>
  <c r="AK71" i="1"/>
  <c r="AK72" i="1"/>
  <c r="AK73" i="1"/>
  <c r="AK74" i="1"/>
  <c r="AK75" i="1"/>
  <c r="AK77" i="1"/>
  <c r="AK78" i="1"/>
  <c r="AK79" i="1"/>
  <c r="AK80" i="1"/>
  <c r="AK81" i="1"/>
  <c r="AK82" i="1"/>
  <c r="AK83" i="1"/>
  <c r="AK84" i="1"/>
  <c r="AK85" i="1"/>
  <c r="AK86" i="1"/>
  <c r="AK87" i="1"/>
  <c r="AK88" i="1"/>
  <c r="AK89" i="1"/>
  <c r="AK90" i="1"/>
  <c r="AK91" i="1"/>
  <c r="AK92" i="1"/>
  <c r="AK93" i="1"/>
  <c r="AK94" i="1"/>
  <c r="AK95" i="1"/>
  <c r="AK96" i="1"/>
  <c r="AK97" i="1"/>
  <c r="AK98" i="1"/>
  <c r="AK99" i="1"/>
  <c r="AK100" i="1"/>
  <c r="AK101" i="1"/>
  <c r="AK102" i="1"/>
  <c r="AK104" i="1"/>
  <c r="AK105" i="1"/>
  <c r="AK106" i="1"/>
  <c r="AK107" i="1"/>
  <c r="AK108" i="1"/>
  <c r="AK109" i="1"/>
  <c r="AK110" i="1"/>
  <c r="AK111" i="1"/>
  <c r="AK112" i="1"/>
  <c r="AK113" i="1"/>
  <c r="AK114" i="1"/>
  <c r="AK115" i="1"/>
  <c r="AK116" i="1"/>
  <c r="AK117" i="1"/>
  <c r="AK118" i="1"/>
  <c r="AK119" i="1"/>
  <c r="AK120" i="1"/>
  <c r="AK121" i="1"/>
  <c r="AK122" i="1"/>
  <c r="AK123" i="1"/>
  <c r="AK124" i="1"/>
  <c r="AK125" i="1"/>
  <c r="AK126" i="1"/>
  <c r="AK127" i="1"/>
  <c r="AK128" i="1"/>
  <c r="AK129" i="1"/>
  <c r="AK130" i="1"/>
  <c r="AK131" i="1"/>
  <c r="AK132" i="1"/>
  <c r="AK133" i="1"/>
  <c r="AK134" i="1"/>
  <c r="AK135" i="1"/>
  <c r="AK136" i="1"/>
  <c r="AK137" i="1"/>
  <c r="AK138" i="1"/>
  <c r="AK139" i="1"/>
  <c r="AK140" i="1"/>
  <c r="AK141" i="1"/>
  <c r="AK142" i="1"/>
  <c r="AK143" i="1"/>
  <c r="AK144" i="1"/>
  <c r="AK145" i="1"/>
  <c r="AK146" i="1"/>
  <c r="AK147" i="1"/>
  <c r="AK148" i="1"/>
  <c r="AK149" i="1"/>
  <c r="AK150" i="1"/>
  <c r="AK151" i="1"/>
  <c r="AK152" i="1"/>
  <c r="AK153" i="1"/>
  <c r="AK154" i="1"/>
  <c r="AK155" i="1"/>
  <c r="AK156" i="1"/>
  <c r="AK157" i="1"/>
  <c r="AK158" i="1"/>
  <c r="AK159" i="1"/>
  <c r="AK160" i="1"/>
  <c r="AK161" i="1"/>
  <c r="AK162" i="1"/>
  <c r="AK163" i="1"/>
  <c r="AK164" i="1"/>
  <c r="AK165" i="1"/>
  <c r="AK166" i="1"/>
  <c r="AK167" i="1"/>
  <c r="AK168" i="1"/>
  <c r="AK169" i="1"/>
  <c r="AK170" i="1"/>
  <c r="AK171" i="1"/>
  <c r="AK172" i="1"/>
  <c r="AK173" i="1"/>
  <c r="AK174" i="1"/>
  <c r="AK175" i="1"/>
  <c r="AK176" i="1"/>
  <c r="AK177" i="1"/>
  <c r="AK178" i="1"/>
  <c r="AK179" i="1"/>
  <c r="AK180" i="1"/>
  <c r="AK181" i="1"/>
  <c r="AK182" i="1"/>
  <c r="AK183" i="1"/>
  <c r="AK184" i="1"/>
  <c r="AK185" i="1"/>
  <c r="AK186" i="1"/>
  <c r="AK187" i="1"/>
  <c r="AK188" i="1"/>
  <c r="AK189" i="1"/>
  <c r="AK190" i="1"/>
  <c r="AK191" i="1"/>
  <c r="AK192" i="1"/>
  <c r="AK193" i="1"/>
  <c r="AK194" i="1"/>
  <c r="AK195" i="1"/>
  <c r="AK196" i="1"/>
  <c r="AK197" i="1"/>
  <c r="AK198" i="1"/>
  <c r="AK199" i="1"/>
  <c r="AK200" i="1"/>
  <c r="AK201" i="1"/>
  <c r="AK202" i="1"/>
  <c r="AK203" i="1"/>
  <c r="AK204" i="1"/>
  <c r="AK205" i="1"/>
  <c r="AK206" i="1"/>
  <c r="AK207" i="1"/>
  <c r="AK208" i="1"/>
  <c r="AK209" i="1"/>
  <c r="AK210" i="1"/>
  <c r="AK211" i="1"/>
  <c r="AK212" i="1"/>
  <c r="AK213" i="1"/>
  <c r="AK214" i="1"/>
  <c r="AK215" i="1"/>
  <c r="AK216" i="1"/>
  <c r="AK217" i="1"/>
  <c r="AK218" i="1"/>
  <c r="AK219" i="1"/>
  <c r="AK220" i="1"/>
  <c r="AK221" i="1"/>
  <c r="AK222" i="1"/>
  <c r="AK223" i="1"/>
  <c r="AK224" i="1"/>
  <c r="AK225" i="1"/>
  <c r="AK226" i="1"/>
  <c r="AK227" i="1"/>
  <c r="AK228" i="1"/>
  <c r="AK229" i="1"/>
  <c r="AK230" i="1"/>
  <c r="AK231" i="1"/>
  <c r="AK232" i="1"/>
  <c r="AK233" i="1"/>
  <c r="AK234" i="1"/>
  <c r="AK235" i="1"/>
  <c r="AK236" i="1"/>
  <c r="AK237" i="1"/>
  <c r="AK238" i="1"/>
  <c r="AK239" i="1"/>
  <c r="AK240" i="1"/>
  <c r="AK241" i="1"/>
  <c r="AK242" i="1"/>
  <c r="AK243" i="1"/>
  <c r="AK244" i="1"/>
  <c r="AK245" i="1"/>
  <c r="AK246" i="1"/>
  <c r="AK247" i="1"/>
  <c r="AK248" i="1"/>
  <c r="AK249" i="1"/>
  <c r="AK250" i="1"/>
  <c r="AK251" i="1"/>
  <c r="AK252" i="1"/>
  <c r="AK253" i="1"/>
  <c r="AK254" i="1"/>
  <c r="AK255" i="1"/>
  <c r="AK256" i="1"/>
  <c r="AK257" i="1"/>
  <c r="AK258" i="1"/>
  <c r="AK259" i="1"/>
  <c r="AK260" i="1"/>
  <c r="AK261" i="1"/>
  <c r="AK262" i="1"/>
  <c r="AK263" i="1"/>
  <c r="AK264" i="1"/>
  <c r="AK265" i="1"/>
  <c r="AK266" i="1"/>
  <c r="AK267" i="1"/>
  <c r="AK268" i="1"/>
  <c r="AK269" i="1"/>
  <c r="AK270" i="1"/>
  <c r="AK271" i="1"/>
  <c r="AK272" i="1"/>
  <c r="AK273" i="1"/>
  <c r="AK274" i="1"/>
  <c r="AK275" i="1"/>
  <c r="AK276" i="1"/>
  <c r="AK277" i="1"/>
  <c r="AK278" i="1"/>
  <c r="AK279" i="1"/>
  <c r="AK280" i="1"/>
  <c r="AK281" i="1"/>
  <c r="AK282" i="1"/>
  <c r="AK283" i="1"/>
  <c r="AK284" i="1"/>
  <c r="AK285" i="1"/>
  <c r="AK286" i="1"/>
  <c r="AK287" i="1"/>
  <c r="AK288" i="1"/>
  <c r="AK289" i="1"/>
  <c r="AK290" i="1"/>
  <c r="AK291" i="1"/>
  <c r="AK292" i="1"/>
  <c r="AK293" i="1"/>
  <c r="AK294" i="1"/>
  <c r="AK295" i="1"/>
  <c r="AK296" i="1"/>
  <c r="AK297" i="1"/>
  <c r="AK298" i="1"/>
  <c r="AK299" i="1"/>
  <c r="AK300" i="1"/>
  <c r="AK301" i="1"/>
  <c r="AK302" i="1"/>
  <c r="AK303" i="1"/>
  <c r="AK304" i="1"/>
  <c r="AK305" i="1"/>
  <c r="AK306" i="1"/>
  <c r="AK307" i="1"/>
  <c r="AK309" i="1"/>
  <c r="AK310" i="1"/>
  <c r="AK311" i="1"/>
  <c r="AK312" i="1"/>
  <c r="AK313" i="1"/>
  <c r="AK314" i="1"/>
  <c r="AK315" i="1"/>
  <c r="AK316" i="1"/>
  <c r="AK317" i="1"/>
  <c r="AK318" i="1"/>
  <c r="AK319" i="1"/>
  <c r="AK320" i="1"/>
  <c r="AK321" i="1"/>
  <c r="AK322" i="1"/>
  <c r="AK323" i="1"/>
  <c r="AK324" i="1"/>
  <c r="AK325" i="1"/>
  <c r="AK326" i="1"/>
  <c r="AK327" i="1"/>
  <c r="AK328" i="1"/>
  <c r="AK329" i="1"/>
  <c r="AK330" i="1"/>
  <c r="AK332" i="1"/>
  <c r="AK333" i="1"/>
  <c r="AK334" i="1"/>
  <c r="R14" i="1" l="1"/>
  <c r="Q14" i="1" l="1"/>
  <c r="AL348" i="1"/>
  <c r="AL350" i="1"/>
  <c r="AL347" i="1"/>
  <c r="AL349" i="1"/>
  <c r="BM348" i="1"/>
  <c r="BM349" i="1"/>
  <c r="BM350" i="1"/>
  <c r="BM347" i="1"/>
  <c r="Q349" i="1" l="1"/>
  <c r="Q350" i="1"/>
  <c r="N42" i="21" l="1"/>
  <c r="N35" i="21"/>
  <c r="W127" i="8" l="1"/>
  <c r="V127" i="8"/>
  <c r="U127" i="8"/>
  <c r="M127" i="8"/>
  <c r="L127" i="8"/>
  <c r="K127" i="8"/>
  <c r="D127" i="8"/>
  <c r="C127" i="8"/>
  <c r="B127" i="8"/>
  <c r="U126" i="8"/>
  <c r="B126" i="8"/>
  <c r="U125" i="8"/>
  <c r="I125" i="8"/>
  <c r="H125" i="8"/>
  <c r="G125" i="8"/>
  <c r="F125" i="8"/>
  <c r="E125" i="8"/>
  <c r="D125" i="8"/>
  <c r="C125" i="8"/>
  <c r="B125" i="8"/>
  <c r="U124" i="8"/>
  <c r="I124" i="8"/>
  <c r="H124" i="8"/>
  <c r="G124" i="8"/>
  <c r="F124" i="8"/>
  <c r="E124" i="8"/>
  <c r="D124" i="8"/>
  <c r="C124" i="8"/>
  <c r="B124" i="8"/>
  <c r="U123" i="8"/>
  <c r="I123" i="8"/>
  <c r="H123" i="8"/>
  <c r="G123" i="8"/>
  <c r="F123" i="8"/>
  <c r="E123" i="8"/>
  <c r="D123" i="8"/>
  <c r="C123" i="8"/>
  <c r="B123" i="8"/>
  <c r="U122" i="8"/>
  <c r="I122" i="8"/>
  <c r="H122" i="8"/>
  <c r="G122" i="8"/>
  <c r="F122" i="8"/>
  <c r="E122" i="8"/>
  <c r="D122" i="8"/>
  <c r="C122" i="8"/>
  <c r="B122" i="8"/>
  <c r="U121" i="8"/>
  <c r="I121" i="8"/>
  <c r="H121" i="8"/>
  <c r="G121" i="8"/>
  <c r="F121" i="8"/>
  <c r="E121" i="8"/>
  <c r="D121" i="8"/>
  <c r="C121" i="8"/>
  <c r="B121" i="8"/>
  <c r="U120" i="8"/>
  <c r="B120" i="8"/>
  <c r="U119" i="8"/>
  <c r="B119" i="8"/>
  <c r="U118" i="8"/>
  <c r="B118" i="8"/>
  <c r="U117" i="8"/>
  <c r="B117" i="8"/>
  <c r="U116" i="8"/>
  <c r="B116" i="8"/>
  <c r="U115" i="8"/>
  <c r="B115" i="8"/>
  <c r="U114" i="8"/>
  <c r="B114" i="8"/>
  <c r="U113" i="8"/>
  <c r="B113" i="8"/>
  <c r="U112" i="8"/>
  <c r="B112" i="8"/>
  <c r="U111" i="8"/>
  <c r="B111" i="8"/>
  <c r="U110" i="8"/>
  <c r="B110" i="8"/>
  <c r="U109" i="8"/>
  <c r="B109" i="8"/>
  <c r="U108" i="8"/>
  <c r="B108" i="8"/>
  <c r="U107" i="8"/>
  <c r="B107" i="8"/>
  <c r="AB106" i="8"/>
  <c r="AA106" i="8"/>
  <c r="Z106" i="8"/>
  <c r="Y106" i="8"/>
  <c r="X106" i="8"/>
  <c r="U106" i="8"/>
  <c r="R106" i="8"/>
  <c r="Q106" i="8"/>
  <c r="P106" i="8"/>
  <c r="O106" i="8"/>
  <c r="N106" i="8"/>
  <c r="I106" i="8"/>
  <c r="H106" i="8"/>
  <c r="G106" i="8"/>
  <c r="F106" i="8"/>
  <c r="E106" i="8"/>
  <c r="B106" i="8"/>
  <c r="U105" i="8"/>
  <c r="B105" i="8"/>
  <c r="U104" i="8"/>
  <c r="B104" i="8"/>
  <c r="W96" i="8"/>
  <c r="V96" i="8"/>
  <c r="U96" i="8"/>
  <c r="M96" i="8"/>
  <c r="L96" i="8"/>
  <c r="K96" i="8"/>
  <c r="D96" i="8"/>
  <c r="C96" i="8"/>
  <c r="B96" i="8"/>
  <c r="U95" i="8"/>
  <c r="B95" i="8"/>
  <c r="U94" i="8"/>
  <c r="I94" i="8"/>
  <c r="H94" i="8"/>
  <c r="G94" i="8"/>
  <c r="F94" i="8"/>
  <c r="E94" i="8"/>
  <c r="D94" i="8"/>
  <c r="C94" i="8"/>
  <c r="B94" i="8"/>
  <c r="U93" i="8"/>
  <c r="I93" i="8"/>
  <c r="H93" i="8"/>
  <c r="G93" i="8"/>
  <c r="F93" i="8"/>
  <c r="E93" i="8"/>
  <c r="D93" i="8"/>
  <c r="C93" i="8"/>
  <c r="B93" i="8"/>
  <c r="U92" i="8"/>
  <c r="I92" i="8"/>
  <c r="H92" i="8"/>
  <c r="G92" i="8"/>
  <c r="F92" i="8"/>
  <c r="E92" i="8"/>
  <c r="D92" i="8"/>
  <c r="C92" i="8"/>
  <c r="B92" i="8"/>
  <c r="U91" i="8"/>
  <c r="I91" i="8"/>
  <c r="H91" i="8"/>
  <c r="G91" i="8"/>
  <c r="F91" i="8"/>
  <c r="E91" i="8"/>
  <c r="D91" i="8"/>
  <c r="C91" i="8"/>
  <c r="B91" i="8"/>
  <c r="U90" i="8"/>
  <c r="I90" i="8"/>
  <c r="H90" i="8"/>
  <c r="G90" i="8"/>
  <c r="F90" i="8"/>
  <c r="E90" i="8"/>
  <c r="D90" i="8"/>
  <c r="C90" i="8"/>
  <c r="B90" i="8"/>
  <c r="U89" i="8"/>
  <c r="B89" i="8"/>
  <c r="U88" i="8"/>
  <c r="B88" i="8"/>
  <c r="U87" i="8"/>
  <c r="B87" i="8"/>
  <c r="U86" i="8"/>
  <c r="I86" i="8"/>
  <c r="H86" i="8"/>
  <c r="G86" i="8"/>
  <c r="F86" i="8"/>
  <c r="E86" i="8"/>
  <c r="D86" i="8"/>
  <c r="C86" i="8"/>
  <c r="B86" i="8"/>
  <c r="U85" i="8"/>
  <c r="B85" i="8"/>
  <c r="U84" i="8"/>
  <c r="B84" i="8"/>
  <c r="U83" i="8"/>
  <c r="B83" i="8"/>
  <c r="U82" i="8"/>
  <c r="B82" i="8"/>
  <c r="U81" i="8"/>
  <c r="B81" i="8"/>
  <c r="U80" i="8"/>
  <c r="B80" i="8"/>
  <c r="U79" i="8"/>
  <c r="B79" i="8"/>
  <c r="U78" i="8"/>
  <c r="B78" i="8"/>
  <c r="U77" i="8"/>
  <c r="B77" i="8"/>
  <c r="U76" i="8"/>
  <c r="B76" i="8"/>
  <c r="AB75" i="8"/>
  <c r="AA75" i="8"/>
  <c r="Z75" i="8"/>
  <c r="Y75" i="8"/>
  <c r="X75" i="8"/>
  <c r="U75" i="8"/>
  <c r="R75" i="8"/>
  <c r="Q75" i="8"/>
  <c r="P75" i="8"/>
  <c r="O75" i="8"/>
  <c r="N75" i="8"/>
  <c r="I75" i="8"/>
  <c r="H75" i="8"/>
  <c r="G75" i="8"/>
  <c r="F75" i="8"/>
  <c r="E75" i="8"/>
  <c r="B75" i="8"/>
  <c r="U74" i="8"/>
  <c r="B74" i="8"/>
  <c r="U73" i="8"/>
  <c r="B73" i="8"/>
  <c r="U98" i="8" l="1"/>
  <c r="B98" i="8"/>
  <c r="B129" i="8"/>
  <c r="U129" i="8"/>
  <c r="R15" i="1" l="1"/>
  <c r="BF47" i="1" s="1"/>
  <c r="BF103" i="1" l="1"/>
  <c r="BF76" i="1"/>
  <c r="S15" i="1"/>
  <c r="BG47" i="1" s="1"/>
  <c r="BG103" i="1" l="1"/>
  <c r="BG76" i="1"/>
  <c r="T15" i="1"/>
  <c r="BH47" i="1" s="1"/>
  <c r="BH103" i="1" l="1"/>
  <c r="BH76" i="1"/>
  <c r="U15" i="1"/>
  <c r="BI47" i="1" s="1"/>
  <c r="BI103" i="1" l="1"/>
  <c r="BI76" i="1"/>
  <c r="V15" i="1"/>
  <c r="BJ47" i="1" s="1"/>
  <c r="BJ103" i="1" l="1"/>
  <c r="BJ76" i="1"/>
  <c r="W15" i="1"/>
  <c r="BK47" i="1" s="1"/>
  <c r="BK103" i="1" l="1"/>
  <c r="BK76" i="1"/>
  <c r="X15" i="1"/>
  <c r="BL47" i="1" s="1"/>
  <c r="G8" i="40"/>
  <c r="G9" i="40"/>
  <c r="G13" i="40"/>
  <c r="G14" i="40"/>
  <c r="G15" i="40"/>
  <c r="G16" i="40"/>
  <c r="G17" i="40"/>
  <c r="G18" i="40"/>
  <c r="G19" i="40"/>
  <c r="G20" i="40"/>
  <c r="G22" i="40"/>
  <c r="G23" i="40"/>
  <c r="G26" i="40"/>
  <c r="G28" i="40"/>
  <c r="G29" i="40"/>
  <c r="G30" i="40"/>
  <c r="G32" i="40"/>
  <c r="G33" i="40"/>
  <c r="G34" i="40"/>
  <c r="G35" i="40"/>
  <c r="G36" i="40"/>
  <c r="G37" i="40"/>
  <c r="G38" i="40"/>
  <c r="G39" i="40"/>
  <c r="G40" i="40"/>
  <c r="G41" i="40"/>
  <c r="G42" i="40"/>
  <c r="G43" i="40"/>
  <c r="G44" i="40"/>
  <c r="G45" i="40"/>
  <c r="G46" i="40"/>
  <c r="G47" i="40"/>
  <c r="G48" i="40"/>
  <c r="G49" i="40"/>
  <c r="G50" i="40"/>
  <c r="G51" i="40"/>
  <c r="G52" i="40"/>
  <c r="G53" i="40"/>
  <c r="G54" i="40"/>
  <c r="G55" i="40"/>
  <c r="G56" i="40"/>
  <c r="G57" i="40"/>
  <c r="G58" i="40"/>
  <c r="G59" i="40"/>
  <c r="G60" i="40"/>
  <c r="G61" i="40"/>
  <c r="G62" i="40"/>
  <c r="G63" i="40"/>
  <c r="G64" i="40"/>
  <c r="G65" i="40"/>
  <c r="G66" i="40"/>
  <c r="G67" i="40"/>
  <c r="G68" i="40"/>
  <c r="G69" i="40"/>
  <c r="G70" i="40"/>
  <c r="G71" i="40"/>
  <c r="G72" i="40"/>
  <c r="G73" i="40"/>
  <c r="G74" i="40"/>
  <c r="G75" i="40"/>
  <c r="G76" i="40"/>
  <c r="G77" i="40"/>
  <c r="G78" i="40"/>
  <c r="G79" i="40"/>
  <c r="G80" i="40"/>
  <c r="G81" i="40"/>
  <c r="G82" i="40"/>
  <c r="G83" i="40"/>
  <c r="G84" i="40"/>
  <c r="G85" i="40"/>
  <c r="G86" i="40"/>
  <c r="G87" i="40"/>
  <c r="G88" i="40"/>
  <c r="G89" i="40"/>
  <c r="G90" i="40"/>
  <c r="G91" i="40"/>
  <c r="G92" i="40"/>
  <c r="G93" i="40"/>
  <c r="G94" i="40"/>
  <c r="G95" i="40"/>
  <c r="G96" i="40"/>
  <c r="G97" i="40"/>
  <c r="G98" i="40"/>
  <c r="G99" i="40"/>
  <c r="G100" i="40"/>
  <c r="G101" i="40"/>
  <c r="G102" i="40"/>
  <c r="G103" i="40"/>
  <c r="G104" i="40"/>
  <c r="G105" i="40"/>
  <c r="G106" i="40"/>
  <c r="G107" i="40"/>
  <c r="G108" i="40"/>
  <c r="G109" i="40"/>
  <c r="G110" i="40"/>
  <c r="G111" i="40"/>
  <c r="G112" i="40"/>
  <c r="G113" i="40"/>
  <c r="G114" i="40"/>
  <c r="G115" i="40"/>
  <c r="G116" i="40"/>
  <c r="G117" i="40"/>
  <c r="G118" i="40"/>
  <c r="G119" i="40"/>
  <c r="G120" i="40"/>
  <c r="G121" i="40"/>
  <c r="G122" i="40"/>
  <c r="G123" i="40"/>
  <c r="G124" i="40"/>
  <c r="G125" i="40"/>
  <c r="G126" i="40"/>
  <c r="G127" i="40"/>
  <c r="G128" i="40"/>
  <c r="G129" i="40"/>
  <c r="G130" i="40"/>
  <c r="G131" i="40"/>
  <c r="G132" i="40"/>
  <c r="G133" i="40"/>
  <c r="G134" i="40"/>
  <c r="G135" i="40"/>
  <c r="G136" i="40"/>
  <c r="G137" i="40"/>
  <c r="G138" i="40"/>
  <c r="G139" i="40"/>
  <c r="G140" i="40"/>
  <c r="G141" i="40"/>
  <c r="G142" i="40"/>
  <c r="G143" i="40"/>
  <c r="G144" i="40"/>
  <c r="G145" i="40"/>
  <c r="G146" i="40"/>
  <c r="G147" i="40"/>
  <c r="G148" i="40"/>
  <c r="G149" i="40"/>
  <c r="G150" i="40"/>
  <c r="G151" i="40"/>
  <c r="G152" i="40"/>
  <c r="G153" i="40"/>
  <c r="G154" i="40"/>
  <c r="G155" i="40"/>
  <c r="G156" i="40"/>
  <c r="G157" i="40"/>
  <c r="G158" i="40"/>
  <c r="G159" i="40"/>
  <c r="G160" i="40"/>
  <c r="G161" i="40"/>
  <c r="G162" i="40"/>
  <c r="G163" i="40"/>
  <c r="G164" i="40"/>
  <c r="G165" i="40"/>
  <c r="G166" i="40"/>
  <c r="G168" i="40"/>
  <c r="G169" i="40"/>
  <c r="G170" i="40"/>
  <c r="G171" i="40"/>
  <c r="G172" i="40"/>
  <c r="G173" i="40"/>
  <c r="G174" i="40"/>
  <c r="G175" i="40"/>
  <c r="BL103" i="1" l="1"/>
  <c r="BL76" i="1"/>
  <c r="G24" i="40"/>
  <c r="K8" i="40"/>
  <c r="L8" i="40" s="1"/>
  <c r="G12" i="40"/>
  <c r="K15" i="40"/>
  <c r="L15" i="40" s="1"/>
  <c r="G7" i="40"/>
  <c r="K7" i="40"/>
  <c r="G167" i="40"/>
  <c r="K13" i="40"/>
  <c r="L13" i="40" s="1"/>
  <c r="G31" i="40"/>
  <c r="K12" i="40"/>
  <c r="L12" i="40" s="1"/>
  <c r="G27" i="40"/>
  <c r="K10" i="40"/>
  <c r="L10" i="40" s="1"/>
  <c r="G11" i="40"/>
  <c r="K11" i="40"/>
  <c r="L11" i="40" s="1"/>
  <c r="G10" i="40"/>
  <c r="K9" i="40"/>
  <c r="L9" i="40" s="1"/>
  <c r="G25" i="40"/>
  <c r="K14" i="40"/>
  <c r="L14" i="40" s="1"/>
  <c r="G21" i="40"/>
  <c r="K16" i="40"/>
  <c r="L16" i="40" s="1"/>
  <c r="BH354" i="1"/>
  <c r="T354" i="1" s="1"/>
  <c r="BL354" i="1"/>
  <c r="BH356" i="1"/>
  <c r="T356" i="1" s="1"/>
  <c r="BL356" i="1"/>
  <c r="BI354" i="1"/>
  <c r="BM354" i="1"/>
  <c r="BI356" i="1"/>
  <c r="U356" i="1" s="1"/>
  <c r="BM356" i="1"/>
  <c r="BJ354" i="1"/>
  <c r="BJ356" i="1"/>
  <c r="BG354" i="1"/>
  <c r="S354" i="1" s="1"/>
  <c r="BG356" i="1"/>
  <c r="S356" i="1" s="1"/>
  <c r="BK356" i="1"/>
  <c r="BF354" i="1"/>
  <c r="R354" i="1" s="1"/>
  <c r="BF356" i="1"/>
  <c r="R356" i="1" s="1"/>
  <c r="BK354" i="1"/>
  <c r="W354" i="1" s="1"/>
  <c r="BH351" i="1"/>
  <c r="BL351" i="1"/>
  <c r="BH352" i="1"/>
  <c r="BL352" i="1"/>
  <c r="BH353" i="1"/>
  <c r="T353" i="1" s="1"/>
  <c r="BL353" i="1"/>
  <c r="BH355" i="1"/>
  <c r="T355" i="1" s="1"/>
  <c r="BL355" i="1"/>
  <c r="BI351" i="1"/>
  <c r="U351" i="1" s="1"/>
  <c r="BM351" i="1"/>
  <c r="BI352" i="1"/>
  <c r="BM352" i="1"/>
  <c r="BI353" i="1"/>
  <c r="BM353" i="1"/>
  <c r="BI355" i="1"/>
  <c r="U355" i="1" s="1"/>
  <c r="BM355" i="1"/>
  <c r="BF351" i="1"/>
  <c r="R351" i="1" s="1"/>
  <c r="BJ351" i="1"/>
  <c r="V351" i="1" s="1"/>
  <c r="BJ352" i="1"/>
  <c r="V352" i="1" s="1"/>
  <c r="BJ353" i="1"/>
  <c r="BJ355" i="1"/>
  <c r="BG351" i="1"/>
  <c r="BG352" i="1"/>
  <c r="S352" i="1" s="1"/>
  <c r="BG353" i="1"/>
  <c r="S353" i="1" s="1"/>
  <c r="BG355" i="1"/>
  <c r="S355" i="1" s="1"/>
  <c r="BF352" i="1"/>
  <c r="R352" i="1" s="1"/>
  <c r="BF353" i="1"/>
  <c r="R353" i="1" s="1"/>
  <c r="BF355" i="1"/>
  <c r="R355" i="1" s="1"/>
  <c r="BK351" i="1"/>
  <c r="W351" i="1" s="1"/>
  <c r="BK352" i="1"/>
  <c r="W352" i="1" s="1"/>
  <c r="BK353" i="1"/>
  <c r="W353" i="1" s="1"/>
  <c r="BK355" i="1"/>
  <c r="BF112" i="1"/>
  <c r="BF139" i="1"/>
  <c r="BF175" i="1"/>
  <c r="BF293" i="1"/>
  <c r="BG36" i="1"/>
  <c r="BG57" i="1"/>
  <c r="BG175" i="1"/>
  <c r="BG293" i="1"/>
  <c r="BF57" i="1"/>
  <c r="BG38" i="1"/>
  <c r="BF38" i="1"/>
  <c r="BF77" i="1"/>
  <c r="BG26" i="1"/>
  <c r="BG77" i="1"/>
  <c r="BG138" i="1"/>
  <c r="BG139" i="1"/>
  <c r="BF138" i="1"/>
  <c r="BF36" i="1"/>
  <c r="BF26" i="1"/>
  <c r="BG112" i="1"/>
  <c r="BH38" i="1"/>
  <c r="BH77" i="1"/>
  <c r="BH26" i="1"/>
  <c r="BH138" i="1"/>
  <c r="BH293" i="1"/>
  <c r="BH112" i="1"/>
  <c r="BH139" i="1"/>
  <c r="BH36" i="1"/>
  <c r="BH57" i="1"/>
  <c r="BH175" i="1"/>
  <c r="BI38" i="1"/>
  <c r="BI26" i="1"/>
  <c r="BI175" i="1"/>
  <c r="BI57" i="1"/>
  <c r="BI112" i="1"/>
  <c r="BI36" i="1"/>
  <c r="BI77" i="1"/>
  <c r="BI139" i="1"/>
  <c r="BI138" i="1"/>
  <c r="BI293" i="1"/>
  <c r="BJ38" i="1"/>
  <c r="BJ26" i="1"/>
  <c r="BJ36" i="1"/>
  <c r="BJ112" i="1"/>
  <c r="BJ175" i="1"/>
  <c r="BJ77" i="1"/>
  <c r="BJ293" i="1"/>
  <c r="BJ138" i="1"/>
  <c r="BJ139" i="1"/>
  <c r="BJ57" i="1"/>
  <c r="BL26" i="1"/>
  <c r="BL112" i="1"/>
  <c r="BL175" i="1"/>
  <c r="BK38" i="1"/>
  <c r="BK77" i="1"/>
  <c r="BK112" i="1"/>
  <c r="BL138" i="1"/>
  <c r="BK26" i="1"/>
  <c r="BK138" i="1"/>
  <c r="BK139" i="1"/>
  <c r="BL36" i="1"/>
  <c r="BL57" i="1"/>
  <c r="BL293" i="1"/>
  <c r="BK175" i="1"/>
  <c r="BK293" i="1"/>
  <c r="BL38" i="1"/>
  <c r="BL139" i="1"/>
  <c r="BL77" i="1"/>
  <c r="BK36" i="1"/>
  <c r="BK57" i="1"/>
  <c r="BL290" i="1"/>
  <c r="BF290" i="1"/>
  <c r="BL288" i="1"/>
  <c r="BF288" i="1"/>
  <c r="BL275" i="1"/>
  <c r="BF275" i="1"/>
  <c r="BL271" i="1"/>
  <c r="BF271" i="1"/>
  <c r="BL264" i="1"/>
  <c r="BF264" i="1"/>
  <c r="BL261" i="1"/>
  <c r="BF261" i="1"/>
  <c r="BL253" i="1"/>
  <c r="BF253" i="1"/>
  <c r="BL250" i="1"/>
  <c r="BF250" i="1"/>
  <c r="BL244" i="1"/>
  <c r="BF244" i="1"/>
  <c r="BL238" i="1"/>
  <c r="BF238" i="1"/>
  <c r="BL232" i="1"/>
  <c r="BF232" i="1"/>
  <c r="BL220" i="1"/>
  <c r="BF220" i="1"/>
  <c r="BL216" i="1"/>
  <c r="BF216" i="1"/>
  <c r="BL212" i="1"/>
  <c r="BF212" i="1"/>
  <c r="BL208" i="1"/>
  <c r="BF208" i="1"/>
  <c r="BL205" i="1"/>
  <c r="BF205" i="1"/>
  <c r="BL200" i="1"/>
  <c r="BF200" i="1"/>
  <c r="BL196" i="1"/>
  <c r="BF196" i="1"/>
  <c r="BL192" i="1"/>
  <c r="BF192" i="1"/>
  <c r="BL188" i="1"/>
  <c r="BF188" i="1"/>
  <c r="BL183" i="1"/>
  <c r="BF183" i="1"/>
  <c r="BL176" i="1"/>
  <c r="BF176" i="1"/>
  <c r="BL158" i="1"/>
  <c r="BF158" i="1"/>
  <c r="BL322" i="1"/>
  <c r="BF322" i="1"/>
  <c r="BL331" i="1"/>
  <c r="BF331" i="1"/>
  <c r="BL319" i="1"/>
  <c r="BF319" i="1"/>
  <c r="BL313" i="1"/>
  <c r="BF313" i="1"/>
  <c r="BL312" i="1"/>
  <c r="BF312" i="1"/>
  <c r="BL295" i="1"/>
  <c r="BF295" i="1"/>
  <c r="BL291" i="1"/>
  <c r="BF291" i="1"/>
  <c r="BL287" i="1"/>
  <c r="BF287" i="1"/>
  <c r="BL282" i="1"/>
  <c r="BF282" i="1"/>
  <c r="BL274" i="1"/>
  <c r="BF274" i="1"/>
  <c r="BL270" i="1"/>
  <c r="BF270" i="1"/>
  <c r="BL268" i="1"/>
  <c r="BF268" i="1"/>
  <c r="BL263" i="1"/>
  <c r="BF263" i="1"/>
  <c r="BL260" i="1"/>
  <c r="BF260" i="1"/>
  <c r="BL249" i="1"/>
  <c r="BF249" i="1"/>
  <c r="BL243" i="1"/>
  <c r="BF243" i="1"/>
  <c r="BL237" i="1"/>
  <c r="BF237" i="1"/>
  <c r="BL229" i="1"/>
  <c r="BF229" i="1"/>
  <c r="BL219" i="1"/>
  <c r="BF219" i="1"/>
  <c r="BL215" i="1"/>
  <c r="BF215" i="1"/>
  <c r="BL211" i="1"/>
  <c r="BF211" i="1"/>
  <c r="BL207" i="1"/>
  <c r="BF207" i="1"/>
  <c r="BL204" i="1"/>
  <c r="BF204" i="1"/>
  <c r="BL199" i="1"/>
  <c r="BF199" i="1"/>
  <c r="BL195" i="1"/>
  <c r="BF195" i="1"/>
  <c r="BL191" i="1"/>
  <c r="BF191" i="1"/>
  <c r="BL186" i="1"/>
  <c r="BF186" i="1"/>
  <c r="BL182" i="1"/>
  <c r="BF182" i="1"/>
  <c r="BL179" i="1"/>
  <c r="BF179" i="1"/>
  <c r="BL151" i="1"/>
  <c r="BF151" i="1"/>
  <c r="BL323" i="1"/>
  <c r="BF323" i="1"/>
  <c r="BL315" i="1"/>
  <c r="BF315" i="1"/>
  <c r="BL299" i="1"/>
  <c r="BF299" i="1"/>
  <c r="BL294" i="1"/>
  <c r="BF294" i="1"/>
  <c r="BL286" i="1"/>
  <c r="BF286" i="1"/>
  <c r="BL281" i="1"/>
  <c r="BF281" i="1"/>
  <c r="BL273" i="1"/>
  <c r="BF273" i="1"/>
  <c r="BL269" i="1"/>
  <c r="BF269" i="1"/>
  <c r="BL267" i="1"/>
  <c r="BF267" i="1"/>
  <c r="BL256" i="1"/>
  <c r="BF256" i="1"/>
  <c r="BL252" i="1"/>
  <c r="BF252" i="1"/>
  <c r="BL242" i="1"/>
  <c r="BF242" i="1"/>
  <c r="BL228" i="1"/>
  <c r="BF228" i="1"/>
  <c r="BL218" i="1"/>
  <c r="BF218" i="1"/>
  <c r="BL214" i="1"/>
  <c r="BF214" i="1"/>
  <c r="BL210" i="1"/>
  <c r="BF210" i="1"/>
  <c r="BL203" i="1"/>
  <c r="BF203" i="1"/>
  <c r="BL201" i="1"/>
  <c r="BF201" i="1"/>
  <c r="BL194" i="1"/>
  <c r="BF194" i="1"/>
  <c r="BL190" i="1"/>
  <c r="BF190" i="1"/>
  <c r="BL185" i="1"/>
  <c r="BF185" i="1"/>
  <c r="BL181" i="1"/>
  <c r="BF181" i="1"/>
  <c r="BL178" i="1"/>
  <c r="BF178" i="1"/>
  <c r="BL122" i="1"/>
  <c r="BF122" i="1"/>
  <c r="BL296" i="1"/>
  <c r="BF296" i="1"/>
  <c r="BL292" i="1"/>
  <c r="BF292" i="1"/>
  <c r="BL289" i="1"/>
  <c r="BF289" i="1"/>
  <c r="BL283" i="1"/>
  <c r="BF283" i="1"/>
  <c r="BL276" i="1"/>
  <c r="BF276" i="1"/>
  <c r="BL272" i="1"/>
  <c r="BF272" i="1"/>
  <c r="BL266" i="1"/>
  <c r="BF266" i="1"/>
  <c r="BL262" i="1"/>
  <c r="BF262" i="1"/>
  <c r="BL251" i="1"/>
  <c r="BF251" i="1"/>
  <c r="BL245" i="1"/>
  <c r="BF245" i="1"/>
  <c r="BL239" i="1"/>
  <c r="BF239" i="1"/>
  <c r="BL234" i="1"/>
  <c r="BF234" i="1"/>
  <c r="BL226" i="1"/>
  <c r="BF226" i="1"/>
  <c r="BL217" i="1"/>
  <c r="BF217" i="1"/>
  <c r="BL213" i="1"/>
  <c r="BF213" i="1"/>
  <c r="BL209" i="1"/>
  <c r="BF209" i="1"/>
  <c r="BL206" i="1"/>
  <c r="BF206" i="1"/>
  <c r="BL202" i="1"/>
  <c r="BF202" i="1"/>
  <c r="BL197" i="1"/>
  <c r="BF197" i="1"/>
  <c r="BL193" i="1"/>
  <c r="BF193" i="1"/>
  <c r="BL189" i="1"/>
  <c r="BF189" i="1"/>
  <c r="BL184" i="1"/>
  <c r="BF184" i="1"/>
  <c r="BL180" i="1"/>
  <c r="BF180" i="1"/>
  <c r="BL177" i="1"/>
  <c r="BF177" i="1"/>
  <c r="BL162" i="1"/>
  <c r="BF162" i="1"/>
  <c r="BL105" i="1"/>
  <c r="BF105" i="1"/>
  <c r="BG292" i="1"/>
  <c r="BK292" i="1"/>
  <c r="BH292" i="1"/>
  <c r="BI292" i="1"/>
  <c r="BJ292" i="1"/>
  <c r="BG289" i="1"/>
  <c r="BK289" i="1"/>
  <c r="BH289" i="1"/>
  <c r="BI289" i="1"/>
  <c r="BJ289" i="1"/>
  <c r="BG276" i="1"/>
  <c r="BK276" i="1"/>
  <c r="BH276" i="1"/>
  <c r="BI276" i="1"/>
  <c r="BJ276" i="1"/>
  <c r="BJ322" i="1"/>
  <c r="BG322" i="1"/>
  <c r="BK322" i="1"/>
  <c r="BH322" i="1"/>
  <c r="BI322" i="1"/>
  <c r="BH290" i="1"/>
  <c r="BI290" i="1"/>
  <c r="BJ290" i="1"/>
  <c r="BG290" i="1"/>
  <c r="BK290" i="1"/>
  <c r="BH288" i="1"/>
  <c r="BI288" i="1"/>
  <c r="BJ288" i="1"/>
  <c r="BG288" i="1"/>
  <c r="BK288" i="1"/>
  <c r="BH275" i="1"/>
  <c r="BI275" i="1"/>
  <c r="BJ275" i="1"/>
  <c r="BG275" i="1"/>
  <c r="BK275" i="1"/>
  <c r="BI271" i="1"/>
  <c r="BJ271" i="1"/>
  <c r="BG271" i="1"/>
  <c r="BK271" i="1"/>
  <c r="BH271" i="1"/>
  <c r="BH264" i="1"/>
  <c r="BI264" i="1"/>
  <c r="BJ264" i="1"/>
  <c r="BG264" i="1"/>
  <c r="BK264" i="1"/>
  <c r="BH261" i="1"/>
  <c r="BI261" i="1"/>
  <c r="BJ261" i="1"/>
  <c r="BG261" i="1"/>
  <c r="BK261" i="1"/>
  <c r="BJ253" i="1"/>
  <c r="BG253" i="1"/>
  <c r="BK253" i="1"/>
  <c r="BH253" i="1"/>
  <c r="BI253" i="1"/>
  <c r="BI250" i="1"/>
  <c r="BJ250" i="1"/>
  <c r="BG250" i="1"/>
  <c r="BK250" i="1"/>
  <c r="BH250" i="1"/>
  <c r="BG244" i="1"/>
  <c r="BK244" i="1"/>
  <c r="BH244" i="1"/>
  <c r="BI244" i="1"/>
  <c r="BJ244" i="1"/>
  <c r="BI238" i="1"/>
  <c r="BJ238" i="1"/>
  <c r="BG238" i="1"/>
  <c r="BK238" i="1"/>
  <c r="BH238" i="1"/>
  <c r="BG232" i="1"/>
  <c r="BK232" i="1"/>
  <c r="BH232" i="1"/>
  <c r="BI232" i="1"/>
  <c r="BJ232" i="1"/>
  <c r="BG220" i="1"/>
  <c r="BK220" i="1"/>
  <c r="BH220" i="1"/>
  <c r="BI220" i="1"/>
  <c r="BJ220" i="1"/>
  <c r="BI216" i="1"/>
  <c r="BJ216" i="1"/>
  <c r="BK216" i="1"/>
  <c r="BG216" i="1"/>
  <c r="BH216" i="1"/>
  <c r="BH212" i="1"/>
  <c r="BI212" i="1"/>
  <c r="BJ212" i="1"/>
  <c r="BK212" i="1"/>
  <c r="BG212" i="1"/>
  <c r="BH208" i="1"/>
  <c r="BI208" i="1"/>
  <c r="BJ208" i="1"/>
  <c r="BK208" i="1"/>
  <c r="BG208" i="1"/>
  <c r="BH205" i="1"/>
  <c r="BI205" i="1"/>
  <c r="BJ205" i="1"/>
  <c r="BG205" i="1"/>
  <c r="BK205" i="1"/>
  <c r="BI200" i="1"/>
  <c r="BJ200" i="1"/>
  <c r="BG200" i="1"/>
  <c r="BK200" i="1"/>
  <c r="BH200" i="1"/>
  <c r="BH196" i="1"/>
  <c r="BI196" i="1"/>
  <c r="BJ196" i="1"/>
  <c r="BG196" i="1"/>
  <c r="BK196" i="1"/>
  <c r="BG192" i="1"/>
  <c r="BK192" i="1"/>
  <c r="BH192" i="1"/>
  <c r="BI192" i="1"/>
  <c r="BJ192" i="1"/>
  <c r="BI188" i="1"/>
  <c r="BJ188" i="1"/>
  <c r="BG188" i="1"/>
  <c r="BK188" i="1"/>
  <c r="BH188" i="1"/>
  <c r="BG183" i="1"/>
  <c r="BK183" i="1"/>
  <c r="BH183" i="1"/>
  <c r="BI183" i="1"/>
  <c r="BJ183" i="1"/>
  <c r="BI176" i="1"/>
  <c r="BJ176" i="1"/>
  <c r="BG176" i="1"/>
  <c r="BK176" i="1"/>
  <c r="BH176" i="1"/>
  <c r="BI158" i="1"/>
  <c r="BJ158" i="1"/>
  <c r="BG158" i="1"/>
  <c r="BK158" i="1"/>
  <c r="BH158" i="1"/>
  <c r="BI319" i="1"/>
  <c r="BJ319" i="1"/>
  <c r="BG319" i="1"/>
  <c r="BK319" i="1"/>
  <c r="BH319" i="1"/>
  <c r="BI313" i="1"/>
  <c r="BJ313" i="1"/>
  <c r="BG313" i="1"/>
  <c r="BK313" i="1"/>
  <c r="BH313" i="1"/>
  <c r="BJ312" i="1"/>
  <c r="BG312" i="1"/>
  <c r="BK312" i="1"/>
  <c r="BH312" i="1"/>
  <c r="BI312" i="1"/>
  <c r="BI291" i="1"/>
  <c r="BJ291" i="1"/>
  <c r="BG291" i="1"/>
  <c r="BK291" i="1"/>
  <c r="BH291" i="1"/>
  <c r="BI287" i="1"/>
  <c r="BJ287" i="1"/>
  <c r="BG287" i="1"/>
  <c r="BK287" i="1"/>
  <c r="BH287" i="1"/>
  <c r="BI274" i="1"/>
  <c r="BJ274" i="1"/>
  <c r="BG274" i="1"/>
  <c r="BK274" i="1"/>
  <c r="BH274" i="1"/>
  <c r="BJ270" i="1"/>
  <c r="BG270" i="1"/>
  <c r="BK270" i="1"/>
  <c r="BH270" i="1"/>
  <c r="BI270" i="1"/>
  <c r="BH268" i="1"/>
  <c r="BI268" i="1"/>
  <c r="BJ268" i="1"/>
  <c r="BG268" i="1"/>
  <c r="BK268" i="1"/>
  <c r="BI263" i="1"/>
  <c r="BJ263" i="1"/>
  <c r="BG263" i="1"/>
  <c r="BK263" i="1"/>
  <c r="BH263" i="1"/>
  <c r="BI260" i="1"/>
  <c r="BJ260" i="1"/>
  <c r="BG260" i="1"/>
  <c r="BK260" i="1"/>
  <c r="BH260" i="1"/>
  <c r="BG249" i="1"/>
  <c r="BK249" i="1"/>
  <c r="BH249" i="1"/>
  <c r="BI249" i="1"/>
  <c r="BJ249" i="1"/>
  <c r="BH243" i="1"/>
  <c r="BI243" i="1"/>
  <c r="BJ243" i="1"/>
  <c r="BG243" i="1"/>
  <c r="BK243" i="1"/>
  <c r="BJ237" i="1"/>
  <c r="BG237" i="1"/>
  <c r="BK237" i="1"/>
  <c r="BH237" i="1"/>
  <c r="BI237" i="1"/>
  <c r="BJ229" i="1"/>
  <c r="BG229" i="1"/>
  <c r="BK229" i="1"/>
  <c r="BH229" i="1"/>
  <c r="BI229" i="1"/>
  <c r="BI219" i="1"/>
  <c r="BJ219" i="1"/>
  <c r="BG219" i="1"/>
  <c r="BH219" i="1"/>
  <c r="BK219" i="1"/>
  <c r="BG215" i="1"/>
  <c r="BK215" i="1"/>
  <c r="BH215" i="1"/>
  <c r="BI215" i="1"/>
  <c r="BJ215" i="1"/>
  <c r="BI211" i="1"/>
  <c r="BJ211" i="1"/>
  <c r="BG211" i="1"/>
  <c r="BK211" i="1"/>
  <c r="BH211" i="1"/>
  <c r="BI207" i="1"/>
  <c r="BJ207" i="1"/>
  <c r="BG207" i="1"/>
  <c r="BK207" i="1"/>
  <c r="BH207" i="1"/>
  <c r="BI204" i="1"/>
  <c r="BJ204" i="1"/>
  <c r="BG204" i="1"/>
  <c r="BK204" i="1"/>
  <c r="BH204" i="1"/>
  <c r="BJ199" i="1"/>
  <c r="BG199" i="1"/>
  <c r="BK199" i="1"/>
  <c r="BH199" i="1"/>
  <c r="BI199" i="1"/>
  <c r="BI195" i="1"/>
  <c r="BJ195" i="1"/>
  <c r="BG195" i="1"/>
  <c r="BK195" i="1"/>
  <c r="BH195" i="1"/>
  <c r="BI191" i="1"/>
  <c r="BJ191" i="1"/>
  <c r="BG191" i="1"/>
  <c r="BK191" i="1"/>
  <c r="BH191" i="1"/>
  <c r="BI186" i="1"/>
  <c r="BG186" i="1"/>
  <c r="BK186" i="1"/>
  <c r="BH186" i="1"/>
  <c r="BJ186" i="1"/>
  <c r="BH182" i="1"/>
  <c r="BI182" i="1"/>
  <c r="BJ182" i="1"/>
  <c r="BG182" i="1"/>
  <c r="BK182" i="1"/>
  <c r="BI179" i="1"/>
  <c r="BJ179" i="1"/>
  <c r="BG179" i="1"/>
  <c r="BK179" i="1"/>
  <c r="BH179" i="1"/>
  <c r="BH151" i="1"/>
  <c r="BI151" i="1"/>
  <c r="BJ151" i="1"/>
  <c r="BG151" i="1"/>
  <c r="BK151" i="1"/>
  <c r="BI331" i="1"/>
  <c r="BH331" i="1"/>
  <c r="BJ331" i="1"/>
  <c r="BK331" i="1"/>
  <c r="BG331" i="1"/>
  <c r="BH295" i="1"/>
  <c r="BI295" i="1"/>
  <c r="BJ295" i="1"/>
  <c r="BG295" i="1"/>
  <c r="BK295" i="1"/>
  <c r="BH282" i="1"/>
  <c r="BI282" i="1"/>
  <c r="BJ282" i="1"/>
  <c r="BG282" i="1"/>
  <c r="BK282" i="1"/>
  <c r="BH323" i="1"/>
  <c r="BI323" i="1"/>
  <c r="BJ323" i="1"/>
  <c r="BG323" i="1"/>
  <c r="BK323" i="1"/>
  <c r="BJ315" i="1"/>
  <c r="BG315" i="1"/>
  <c r="BK315" i="1"/>
  <c r="BH315" i="1"/>
  <c r="BI315" i="1"/>
  <c r="BG299" i="1"/>
  <c r="BK299" i="1"/>
  <c r="BH299" i="1"/>
  <c r="BI299" i="1"/>
  <c r="BJ299" i="1"/>
  <c r="BI294" i="1"/>
  <c r="BJ294" i="1"/>
  <c r="BG294" i="1"/>
  <c r="BK294" i="1"/>
  <c r="BH294" i="1"/>
  <c r="BJ286" i="1"/>
  <c r="BG286" i="1"/>
  <c r="BK286" i="1"/>
  <c r="BH286" i="1"/>
  <c r="BI286" i="1"/>
  <c r="BI281" i="1"/>
  <c r="BJ281" i="1"/>
  <c r="BG281" i="1"/>
  <c r="BK281" i="1"/>
  <c r="BH281" i="1"/>
  <c r="BJ273" i="1"/>
  <c r="BG273" i="1"/>
  <c r="BK273" i="1"/>
  <c r="BH273" i="1"/>
  <c r="BI273" i="1"/>
  <c r="BG269" i="1"/>
  <c r="BK269" i="1"/>
  <c r="BH269" i="1"/>
  <c r="BI269" i="1"/>
  <c r="BJ269" i="1"/>
  <c r="BI267" i="1"/>
  <c r="BJ267" i="1"/>
  <c r="BG267" i="1"/>
  <c r="BK267" i="1"/>
  <c r="BH267" i="1"/>
  <c r="BI256" i="1"/>
  <c r="BJ256" i="1"/>
  <c r="BG256" i="1"/>
  <c r="BK256" i="1"/>
  <c r="BH256" i="1"/>
  <c r="BG252" i="1"/>
  <c r="BK252" i="1"/>
  <c r="BH252" i="1"/>
  <c r="BI252" i="1"/>
  <c r="BJ252" i="1"/>
  <c r="BI242" i="1"/>
  <c r="BJ242" i="1"/>
  <c r="BG242" i="1"/>
  <c r="BK242" i="1"/>
  <c r="BH242" i="1"/>
  <c r="BG228" i="1"/>
  <c r="BK228" i="1"/>
  <c r="BH228" i="1"/>
  <c r="BI228" i="1"/>
  <c r="BJ228" i="1"/>
  <c r="BG218" i="1"/>
  <c r="BK218" i="1"/>
  <c r="BH218" i="1"/>
  <c r="BI218" i="1"/>
  <c r="BJ218" i="1"/>
  <c r="BJ214" i="1"/>
  <c r="BG214" i="1"/>
  <c r="BK214" i="1"/>
  <c r="BH214" i="1"/>
  <c r="BI214" i="1"/>
  <c r="BJ210" i="1"/>
  <c r="BG210" i="1"/>
  <c r="BK210" i="1"/>
  <c r="BH210" i="1"/>
  <c r="BI210" i="1"/>
  <c r="BI203" i="1"/>
  <c r="BJ203" i="1"/>
  <c r="BG203" i="1"/>
  <c r="BK203" i="1"/>
  <c r="BH203" i="1"/>
  <c r="BG201" i="1"/>
  <c r="BK201" i="1"/>
  <c r="BH201" i="1"/>
  <c r="BI201" i="1"/>
  <c r="BJ201" i="1"/>
  <c r="BJ194" i="1"/>
  <c r="BG194" i="1"/>
  <c r="BK194" i="1"/>
  <c r="BH194" i="1"/>
  <c r="BI194" i="1"/>
  <c r="BJ190" i="1"/>
  <c r="BG190" i="1"/>
  <c r="BK190" i="1"/>
  <c r="BH190" i="1"/>
  <c r="BI190" i="1"/>
  <c r="BH185" i="1"/>
  <c r="BI185" i="1"/>
  <c r="BJ185" i="1"/>
  <c r="BK185" i="1"/>
  <c r="BG185" i="1"/>
  <c r="BI181" i="1"/>
  <c r="BJ181" i="1"/>
  <c r="BG181" i="1"/>
  <c r="BK181" i="1"/>
  <c r="BH181" i="1"/>
  <c r="BJ178" i="1"/>
  <c r="BG178" i="1"/>
  <c r="BK178" i="1"/>
  <c r="BH178" i="1"/>
  <c r="BI178" i="1"/>
  <c r="BI122" i="1"/>
  <c r="BJ122" i="1"/>
  <c r="BG122" i="1"/>
  <c r="BK122" i="1"/>
  <c r="BH122" i="1"/>
  <c r="BJ296" i="1"/>
  <c r="BG296" i="1"/>
  <c r="BK296" i="1"/>
  <c r="BH296" i="1"/>
  <c r="BI296" i="1"/>
  <c r="BI283" i="1"/>
  <c r="BJ283" i="1"/>
  <c r="BG283" i="1"/>
  <c r="BK283" i="1"/>
  <c r="BH283" i="1"/>
  <c r="BH272" i="1"/>
  <c r="BI272" i="1"/>
  <c r="BJ272" i="1"/>
  <c r="BG272" i="1"/>
  <c r="BK272" i="1"/>
  <c r="BJ266" i="1"/>
  <c r="BG266" i="1"/>
  <c r="BK266" i="1"/>
  <c r="BH266" i="1"/>
  <c r="BI266" i="1"/>
  <c r="BG262" i="1"/>
  <c r="BK262" i="1"/>
  <c r="BH262" i="1"/>
  <c r="BI262" i="1"/>
  <c r="BJ262" i="1"/>
  <c r="BH251" i="1"/>
  <c r="BI251" i="1"/>
  <c r="BJ251" i="1"/>
  <c r="BG251" i="1"/>
  <c r="BK251" i="1"/>
  <c r="BJ245" i="1"/>
  <c r="BG245" i="1"/>
  <c r="BK245" i="1"/>
  <c r="BH245" i="1"/>
  <c r="BI245" i="1"/>
  <c r="BH239" i="1"/>
  <c r="BI239" i="1"/>
  <c r="BJ239" i="1"/>
  <c r="BG239" i="1"/>
  <c r="BK239" i="1"/>
  <c r="BI234" i="1"/>
  <c r="BJ234" i="1"/>
  <c r="BK234" i="1"/>
  <c r="BG234" i="1"/>
  <c r="BH234" i="1"/>
  <c r="BI226" i="1"/>
  <c r="BJ226" i="1"/>
  <c r="BK226" i="1"/>
  <c r="BG226" i="1"/>
  <c r="BH226" i="1"/>
  <c r="BH217" i="1"/>
  <c r="BI217" i="1"/>
  <c r="BG217" i="1"/>
  <c r="BJ217" i="1"/>
  <c r="BK217" i="1"/>
  <c r="BG213" i="1"/>
  <c r="BK213" i="1"/>
  <c r="BH213" i="1"/>
  <c r="BI213" i="1"/>
  <c r="BJ213" i="1"/>
  <c r="BG209" i="1"/>
  <c r="BK209" i="1"/>
  <c r="BH209" i="1"/>
  <c r="BI209" i="1"/>
  <c r="BJ209" i="1"/>
  <c r="BG206" i="1"/>
  <c r="BK206" i="1"/>
  <c r="BH206" i="1"/>
  <c r="BI206" i="1"/>
  <c r="BJ206" i="1"/>
  <c r="BH202" i="1"/>
  <c r="BI202" i="1"/>
  <c r="BJ202" i="1"/>
  <c r="BG202" i="1"/>
  <c r="BK202" i="1"/>
  <c r="BG197" i="1"/>
  <c r="BK197" i="1"/>
  <c r="BH197" i="1"/>
  <c r="BI197" i="1"/>
  <c r="BJ197" i="1"/>
  <c r="BG193" i="1"/>
  <c r="BK193" i="1"/>
  <c r="BH193" i="1"/>
  <c r="BI193" i="1"/>
  <c r="BJ193" i="1"/>
  <c r="BI189" i="1"/>
  <c r="BJ189" i="1"/>
  <c r="BG189" i="1"/>
  <c r="BK189" i="1"/>
  <c r="BH189" i="1"/>
  <c r="BJ184" i="1"/>
  <c r="BG184" i="1"/>
  <c r="BK184" i="1"/>
  <c r="BH184" i="1"/>
  <c r="BI184" i="1"/>
  <c r="BG180" i="1"/>
  <c r="BK180" i="1"/>
  <c r="BH180" i="1"/>
  <c r="BI180" i="1"/>
  <c r="BJ180" i="1"/>
  <c r="BG177" i="1"/>
  <c r="BK177" i="1"/>
  <c r="BH177" i="1"/>
  <c r="BI177" i="1"/>
  <c r="BJ177" i="1"/>
  <c r="BI162" i="1"/>
  <c r="BJ162" i="1"/>
  <c r="BG162" i="1"/>
  <c r="BK162" i="1"/>
  <c r="BH162" i="1"/>
  <c r="BH105" i="1"/>
  <c r="BI105" i="1"/>
  <c r="BJ105" i="1"/>
  <c r="BG105" i="1"/>
  <c r="BK105" i="1"/>
  <c r="F176" i="40"/>
  <c r="K17" i="40" s="1"/>
  <c r="L17" i="40" s="1"/>
  <c r="Q20" i="29" l="1"/>
  <c r="BF357" i="1"/>
  <c r="BJ357" i="1"/>
  <c r="BG357" i="1"/>
  <c r="BK357" i="1"/>
  <c r="BL357" i="1"/>
  <c r="BI357" i="1"/>
  <c r="BH357" i="1"/>
  <c r="BH359" i="1"/>
  <c r="BL359" i="1"/>
  <c r="BI359" i="1"/>
  <c r="BF358" i="1"/>
  <c r="BJ358" i="1"/>
  <c r="BG358" i="1"/>
  <c r="BF359" i="1"/>
  <c r="BJ359" i="1"/>
  <c r="BK358" i="1"/>
  <c r="BG359" i="1"/>
  <c r="BK359" i="1"/>
  <c r="BH358" i="1"/>
  <c r="BL358" i="1"/>
  <c r="BI358" i="1"/>
  <c r="K18" i="40"/>
  <c r="L18" i="40" s="1"/>
  <c r="L7" i="40"/>
  <c r="BF41" i="1" s="1"/>
  <c r="BF334" i="1"/>
  <c r="BF303" i="1"/>
  <c r="BF227" i="1"/>
  <c r="BF326" i="1"/>
  <c r="BF300" i="1"/>
  <c r="BF341" i="1"/>
  <c r="BF104" i="1"/>
  <c r="BF340" i="1"/>
  <c r="BF119" i="1"/>
  <c r="BF333" i="1"/>
  <c r="BF344" i="1"/>
  <c r="BF223" i="1"/>
  <c r="BF306" i="1"/>
  <c r="BF280" i="1"/>
  <c r="BF345" i="1"/>
  <c r="BF336" i="1"/>
  <c r="BF44" i="1"/>
  <c r="BF342" i="1"/>
  <c r="BF156" i="1"/>
  <c r="BF51" i="1"/>
  <c r="BF142" i="1"/>
  <c r="BF298" i="1"/>
  <c r="BF279" i="1"/>
  <c r="BF254" i="1"/>
  <c r="BF136" i="1"/>
  <c r="BF42" i="1"/>
  <c r="BF49" i="1"/>
  <c r="BF30" i="1"/>
  <c r="BF120" i="1"/>
  <c r="BF338" i="1"/>
  <c r="BF241" i="1"/>
  <c r="BF335" i="1"/>
  <c r="BF114" i="1"/>
  <c r="BF58" i="1"/>
  <c r="BF343" i="1"/>
  <c r="BF346" i="1"/>
  <c r="BF137" i="1"/>
  <c r="BF73" i="1"/>
  <c r="BF307" i="1"/>
  <c r="BG344" i="1"/>
  <c r="BH344" i="1"/>
  <c r="BI344" i="1"/>
  <c r="BJ344" i="1"/>
  <c r="BL344" i="1"/>
  <c r="BK344" i="1"/>
  <c r="BF257" i="1"/>
  <c r="BF132" i="1"/>
  <c r="BF133" i="1"/>
  <c r="BF108" i="1"/>
  <c r="BF314" i="1"/>
  <c r="BF285" i="1"/>
  <c r="BF258" i="1"/>
  <c r="BF74" i="1"/>
  <c r="BF169" i="1"/>
  <c r="BF115" i="1"/>
  <c r="BF116" i="1"/>
  <c r="BF109" i="1"/>
  <c r="BF310" i="1"/>
  <c r="BF327" i="1"/>
  <c r="BF311" i="1"/>
  <c r="BF118" i="1"/>
  <c r="BF167" i="1"/>
  <c r="BF94" i="1"/>
  <c r="BF259" i="1"/>
  <c r="BF173" i="1"/>
  <c r="BF102" i="1"/>
  <c r="BF67" i="1"/>
  <c r="BF117" i="1"/>
  <c r="BF95" i="1"/>
  <c r="BF168" i="1"/>
  <c r="BF147" i="1"/>
  <c r="BF128" i="1"/>
  <c r="BF82" i="1"/>
  <c r="BF265" i="1"/>
  <c r="BF240" i="1"/>
  <c r="BF166" i="1"/>
  <c r="BF141" i="1"/>
  <c r="BF324" i="1"/>
  <c r="BF301" i="1"/>
  <c r="BF153" i="1"/>
  <c r="BF146" i="1"/>
  <c r="BF87" i="1"/>
  <c r="BF161" i="1"/>
  <c r="BF152" i="1"/>
  <c r="BF46" i="1"/>
  <c r="BF52" i="1"/>
  <c r="BF157" i="1"/>
  <c r="BF321" i="1"/>
  <c r="BF224" i="1"/>
  <c r="BF96" i="1"/>
  <c r="BF144" i="1"/>
  <c r="BF93" i="1"/>
  <c r="BF56" i="1"/>
  <c r="BF53" i="1"/>
  <c r="BF170" i="1"/>
  <c r="BF100" i="1"/>
  <c r="BF32" i="1"/>
  <c r="BF130" i="1"/>
  <c r="BF66" i="1"/>
  <c r="BF339" i="1"/>
  <c r="BF332" i="1"/>
  <c r="BF91" i="1"/>
  <c r="BF28" i="1"/>
  <c r="BF347" i="1"/>
  <c r="BF159" i="1"/>
  <c r="BF78" i="1"/>
  <c r="BF54" i="1"/>
  <c r="BF350" i="1"/>
  <c r="R350" i="1" s="1"/>
  <c r="BF348" i="1"/>
  <c r="BF305" i="1"/>
  <c r="BF37" i="1"/>
  <c r="BF302" i="1"/>
  <c r="BF110" i="1"/>
  <c r="BF92" i="1"/>
  <c r="BF81" i="1"/>
  <c r="BF27" i="1"/>
  <c r="BF349" i="1"/>
  <c r="BF304" i="1"/>
  <c r="BF35" i="1"/>
  <c r="BF123" i="1"/>
  <c r="BF29" i="1"/>
  <c r="BF172" i="1"/>
  <c r="BF145" i="1"/>
  <c r="BF135" i="1"/>
  <c r="BF337" i="1"/>
  <c r="BF121" i="1"/>
  <c r="BG348" i="1"/>
  <c r="S348" i="1" s="1"/>
  <c r="BG349" i="1"/>
  <c r="BG350" i="1"/>
  <c r="BG347" i="1"/>
  <c r="S347" i="1" s="1"/>
  <c r="BH349" i="1"/>
  <c r="BH348" i="1"/>
  <c r="BH350" i="1"/>
  <c r="BH347" i="1"/>
  <c r="T347" i="1" s="1"/>
  <c r="BI347" i="1"/>
  <c r="BI350" i="1"/>
  <c r="BI349" i="1"/>
  <c r="BI348" i="1"/>
  <c r="BJ348" i="1"/>
  <c r="BJ350" i="1"/>
  <c r="BJ347" i="1"/>
  <c r="BJ349" i="1"/>
  <c r="BK347" i="1"/>
  <c r="BK348" i="1"/>
  <c r="BK349" i="1"/>
  <c r="BK350" i="1"/>
  <c r="BL348" i="1"/>
  <c r="BL350" i="1"/>
  <c r="BL347" i="1"/>
  <c r="BL349" i="1"/>
  <c r="BF277" i="1"/>
  <c r="BF43" i="1"/>
  <c r="BF155" i="1"/>
  <c r="BF25" i="1"/>
  <c r="BF71" i="1"/>
  <c r="BF68" i="1"/>
  <c r="BF70" i="1"/>
  <c r="BF72" i="1"/>
  <c r="BF69" i="1"/>
  <c r="BF230" i="1"/>
  <c r="BF106" i="1"/>
  <c r="BF80" i="1"/>
  <c r="BF255" i="1"/>
  <c r="BF59" i="1"/>
  <c r="BF48" i="1"/>
  <c r="BF99" i="1"/>
  <c r="BF64" i="1"/>
  <c r="BF198" i="1"/>
  <c r="BF236" i="1"/>
  <c r="BF125" i="1"/>
  <c r="BF233" i="1"/>
  <c r="BF187" i="1"/>
  <c r="BF163" i="1"/>
  <c r="BF85" i="1"/>
  <c r="BF45" i="1"/>
  <c r="BF97" i="1"/>
  <c r="BF235" i="1"/>
  <c r="BF284" i="1"/>
  <c r="BF278" i="1"/>
  <c r="BF225" i="1"/>
  <c r="BF101" i="1"/>
  <c r="BF149" i="1"/>
  <c r="BF127" i="1"/>
  <c r="BF89" i="1"/>
  <c r="BF84" i="1"/>
  <c r="BF165" i="1"/>
  <c r="BF140" i="1"/>
  <c r="BF65" i="1"/>
  <c r="BF62" i="1"/>
  <c r="BF150" i="1"/>
  <c r="BF86" i="1"/>
  <c r="BF55" i="1"/>
  <c r="BF98" i="1"/>
  <c r="BF164" i="1"/>
  <c r="BF174" i="1"/>
  <c r="BF40" i="1"/>
  <c r="BF126" i="1"/>
  <c r="BF231" i="1"/>
  <c r="BF39" i="1"/>
  <c r="BF124" i="1"/>
  <c r="BF79" i="1"/>
  <c r="BF61" i="1"/>
  <c r="BF328" i="1"/>
  <c r="BF171" i="1"/>
  <c r="BF309" i="1"/>
  <c r="BF148" i="1"/>
  <c r="BF129" i="1"/>
  <c r="BF325" i="1"/>
  <c r="BF222" i="1"/>
  <c r="BF320" i="1"/>
  <c r="BL148" i="1"/>
  <c r="BL129" i="1"/>
  <c r="BL171" i="1"/>
  <c r="BL309" i="1"/>
  <c r="BL336" i="1"/>
  <c r="BL155" i="1"/>
  <c r="BL25" i="1"/>
  <c r="BL43" i="1"/>
  <c r="BL277" i="1"/>
  <c r="BL68" i="1"/>
  <c r="BL71" i="1"/>
  <c r="BL72" i="1"/>
  <c r="BL69" i="1"/>
  <c r="BL333" i="1"/>
  <c r="BL70" i="1"/>
  <c r="BL325" i="1"/>
  <c r="BL320" i="1"/>
  <c r="BL321" i="1"/>
  <c r="BL328" i="1"/>
  <c r="BL327" i="1"/>
  <c r="BL222" i="1"/>
  <c r="BL48" i="1"/>
  <c r="BL85" i="1"/>
  <c r="BL101" i="1"/>
  <c r="BL163" i="1"/>
  <c r="BL64" i="1"/>
  <c r="BL97" i="1"/>
  <c r="BL59" i="1"/>
  <c r="BL99" i="1"/>
  <c r="BL127" i="1"/>
  <c r="BL61" i="1"/>
  <c r="BL65" i="1"/>
  <c r="BL124" i="1"/>
  <c r="BL62" i="1"/>
  <c r="BL125" i="1"/>
  <c r="BL230" i="1"/>
  <c r="BL39" i="1"/>
  <c r="BL149" i="1"/>
  <c r="BL140" i="1"/>
  <c r="BL284" i="1"/>
  <c r="BL55" i="1"/>
  <c r="BL84" i="1"/>
  <c r="BL40" i="1"/>
  <c r="BL150" i="1"/>
  <c r="BL236" i="1"/>
  <c r="BL231" i="1"/>
  <c r="BL233" i="1"/>
  <c r="BL106" i="1"/>
  <c r="BL45" i="1"/>
  <c r="BL235" i="1"/>
  <c r="BL255" i="1"/>
  <c r="BL80" i="1"/>
  <c r="BL174" i="1"/>
  <c r="BL98" i="1"/>
  <c r="BL126" i="1"/>
  <c r="BL79" i="1"/>
  <c r="BL187" i="1"/>
  <c r="BL198" i="1"/>
  <c r="BL165" i="1"/>
  <c r="BL225" i="1"/>
  <c r="BL278" i="1"/>
  <c r="BL89" i="1"/>
  <c r="BL164" i="1"/>
  <c r="BL86" i="1"/>
  <c r="BL73" i="1"/>
  <c r="BL120" i="1"/>
  <c r="BL119" i="1"/>
  <c r="BL254" i="1"/>
  <c r="BL306" i="1"/>
  <c r="BL137" i="1"/>
  <c r="BL49" i="1"/>
  <c r="BL142" i="1"/>
  <c r="BL30" i="1"/>
  <c r="BL114" i="1"/>
  <c r="BL44" i="1"/>
  <c r="BL307" i="1"/>
  <c r="BL241" i="1"/>
  <c r="BL280" i="1"/>
  <c r="BL340" i="1"/>
  <c r="BL343" i="1"/>
  <c r="BL300" i="1"/>
  <c r="BL341" i="1"/>
  <c r="BL342" i="1"/>
  <c r="BL298" i="1"/>
  <c r="BL156" i="1"/>
  <c r="BL136" i="1"/>
  <c r="BL334" i="1"/>
  <c r="BL303" i="1"/>
  <c r="BL42" i="1"/>
  <c r="BL223" i="1"/>
  <c r="BL51" i="1"/>
  <c r="BL104" i="1"/>
  <c r="BL227" i="1"/>
  <c r="BL279" i="1"/>
  <c r="BL58" i="1"/>
  <c r="BL335" i="1"/>
  <c r="BL115" i="1"/>
  <c r="BL95" i="1"/>
  <c r="BL133" i="1"/>
  <c r="BL67" i="1"/>
  <c r="BL109" i="1"/>
  <c r="BL147" i="1"/>
  <c r="BL169" i="1"/>
  <c r="BL102" i="1"/>
  <c r="BL116" i="1"/>
  <c r="BL128" i="1"/>
  <c r="BL257" i="1"/>
  <c r="BL310" i="1"/>
  <c r="BL94" i="1"/>
  <c r="BL118" i="1"/>
  <c r="BL167" i="1"/>
  <c r="BL74" i="1"/>
  <c r="BL258" i="1"/>
  <c r="BL285" i="1"/>
  <c r="BL311" i="1"/>
  <c r="BL168" i="1"/>
  <c r="BL173" i="1"/>
  <c r="BL117" i="1"/>
  <c r="BL314" i="1"/>
  <c r="BL259" i="1"/>
  <c r="BL132" i="1"/>
  <c r="BL108" i="1"/>
  <c r="BL53" i="1"/>
  <c r="BL56" i="1"/>
  <c r="BL93" i="1"/>
  <c r="BL123" i="1"/>
  <c r="BL152" i="1"/>
  <c r="BL135" i="1"/>
  <c r="BL145" i="1"/>
  <c r="BL82" i="1"/>
  <c r="BL166" i="1"/>
  <c r="BL302" i="1"/>
  <c r="BL100" i="1"/>
  <c r="BL157" i="1"/>
  <c r="BL87" i="1"/>
  <c r="BL144" i="1"/>
  <c r="BL29" i="1"/>
  <c r="BL46" i="1"/>
  <c r="BL161" i="1"/>
  <c r="BL27" i="1"/>
  <c r="BL37" i="1"/>
  <c r="BL81" i="1"/>
  <c r="BL146" i="1"/>
  <c r="BL78" i="1"/>
  <c r="BL92" i="1"/>
  <c r="BL66" i="1"/>
  <c r="BL28" i="1"/>
  <c r="BL91" i="1"/>
  <c r="BL54" i="1"/>
  <c r="BL159" i="1"/>
  <c r="BL110" i="1"/>
  <c r="BL304" i="1"/>
  <c r="BL121" i="1"/>
  <c r="BL301" i="1"/>
  <c r="BL324" i="1"/>
  <c r="BL265" i="1"/>
  <c r="BL35" i="1"/>
  <c r="BL130" i="1"/>
  <c r="BL170" i="1"/>
  <c r="BL96" i="1"/>
  <c r="BL305" i="1"/>
  <c r="BL339" i="1"/>
  <c r="BL240" i="1"/>
  <c r="BL172" i="1"/>
  <c r="BL141" i="1"/>
  <c r="BL332" i="1"/>
  <c r="BL52" i="1"/>
  <c r="BL337" i="1"/>
  <c r="BL338" i="1"/>
  <c r="BL153" i="1"/>
  <c r="BL32" i="1"/>
  <c r="BL224" i="1"/>
  <c r="BH68" i="1"/>
  <c r="BI69" i="1"/>
  <c r="BH70" i="1"/>
  <c r="BG71" i="1"/>
  <c r="BK71" i="1"/>
  <c r="BJ72" i="1"/>
  <c r="BI68" i="1"/>
  <c r="BJ69" i="1"/>
  <c r="BI70" i="1"/>
  <c r="BH71" i="1"/>
  <c r="BG72" i="1"/>
  <c r="BK72" i="1"/>
  <c r="BJ68" i="1"/>
  <c r="BG69" i="1"/>
  <c r="BK69" i="1"/>
  <c r="BJ70" i="1"/>
  <c r="BI71" i="1"/>
  <c r="BH72" i="1"/>
  <c r="BG68" i="1"/>
  <c r="BH69" i="1"/>
  <c r="BI72" i="1"/>
  <c r="BK68" i="1"/>
  <c r="BG70" i="1"/>
  <c r="BK70" i="1"/>
  <c r="BJ71" i="1"/>
  <c r="BG333" i="1"/>
  <c r="BK333" i="1"/>
  <c r="BH333" i="1"/>
  <c r="BI333" i="1"/>
  <c r="BJ333" i="1"/>
  <c r="BJ39" i="1"/>
  <c r="BI40" i="1"/>
  <c r="BG45" i="1"/>
  <c r="BK45" i="1"/>
  <c r="BG39" i="1"/>
  <c r="BK39" i="1"/>
  <c r="BJ40" i="1"/>
  <c r="BH45" i="1"/>
  <c r="BH39" i="1"/>
  <c r="BG40" i="1"/>
  <c r="BK40" i="1"/>
  <c r="BI45" i="1"/>
  <c r="BJ45" i="1"/>
  <c r="BH48" i="1"/>
  <c r="BI55" i="1"/>
  <c r="BH59" i="1"/>
  <c r="BJ61" i="1"/>
  <c r="BI62" i="1"/>
  <c r="BI48" i="1"/>
  <c r="BJ55" i="1"/>
  <c r="BI59" i="1"/>
  <c r="BG61" i="1"/>
  <c r="BK61" i="1"/>
  <c r="BJ62" i="1"/>
  <c r="BI39" i="1"/>
  <c r="BJ48" i="1"/>
  <c r="BG55" i="1"/>
  <c r="BK55" i="1"/>
  <c r="BJ59" i="1"/>
  <c r="BH61" i="1"/>
  <c r="BG62" i="1"/>
  <c r="BK62" i="1"/>
  <c r="BH40" i="1"/>
  <c r="BH55" i="1"/>
  <c r="BJ64" i="1"/>
  <c r="BI65" i="1"/>
  <c r="BI79" i="1"/>
  <c r="BH80" i="1"/>
  <c r="BH84" i="1"/>
  <c r="BG85" i="1"/>
  <c r="BK85" i="1"/>
  <c r="BI86" i="1"/>
  <c r="BG48" i="1"/>
  <c r="BG64" i="1"/>
  <c r="BK64" i="1"/>
  <c r="BJ65" i="1"/>
  <c r="BJ79" i="1"/>
  <c r="BI80" i="1"/>
  <c r="BI84" i="1"/>
  <c r="BH85" i="1"/>
  <c r="BJ86" i="1"/>
  <c r="BK48" i="1"/>
  <c r="BG59" i="1"/>
  <c r="BI61" i="1"/>
  <c r="BH64" i="1"/>
  <c r="BG65" i="1"/>
  <c r="BK65" i="1"/>
  <c r="BG79" i="1"/>
  <c r="BK79" i="1"/>
  <c r="BJ80" i="1"/>
  <c r="BJ84" i="1"/>
  <c r="BI85" i="1"/>
  <c r="BG86" i="1"/>
  <c r="BK86" i="1"/>
  <c r="BK59" i="1"/>
  <c r="BH79" i="1"/>
  <c r="BG84" i="1"/>
  <c r="BH86" i="1"/>
  <c r="BJ89" i="1"/>
  <c r="BH97" i="1"/>
  <c r="BI98" i="1"/>
  <c r="BH99" i="1"/>
  <c r="BI101" i="1"/>
  <c r="BJ106" i="1"/>
  <c r="BG124" i="1"/>
  <c r="BK124" i="1"/>
  <c r="BJ125" i="1"/>
  <c r="BI126" i="1"/>
  <c r="BH127" i="1"/>
  <c r="BG140" i="1"/>
  <c r="BK140" i="1"/>
  <c r="BI64" i="1"/>
  <c r="BG80" i="1"/>
  <c r="BK84" i="1"/>
  <c r="BG89" i="1"/>
  <c r="BK89" i="1"/>
  <c r="BI97" i="1"/>
  <c r="BJ98" i="1"/>
  <c r="BI99" i="1"/>
  <c r="BJ101" i="1"/>
  <c r="BG106" i="1"/>
  <c r="BK106" i="1"/>
  <c r="BH124" i="1"/>
  <c r="BG125" i="1"/>
  <c r="BK125" i="1"/>
  <c r="BJ126" i="1"/>
  <c r="BI127" i="1"/>
  <c r="BH140" i="1"/>
  <c r="BH62" i="1"/>
  <c r="BH65" i="1"/>
  <c r="BK80" i="1"/>
  <c r="BJ85" i="1"/>
  <c r="BH89" i="1"/>
  <c r="BJ97" i="1"/>
  <c r="BG98" i="1"/>
  <c r="BK98" i="1"/>
  <c r="BJ99" i="1"/>
  <c r="BG101" i="1"/>
  <c r="BK101" i="1"/>
  <c r="BH106" i="1"/>
  <c r="BI124" i="1"/>
  <c r="BH125" i="1"/>
  <c r="BG126" i="1"/>
  <c r="BK126" i="1"/>
  <c r="BJ127" i="1"/>
  <c r="BI140" i="1"/>
  <c r="BI125" i="1"/>
  <c r="BJ140" i="1"/>
  <c r="BG149" i="1"/>
  <c r="BK149" i="1"/>
  <c r="BJ150" i="1"/>
  <c r="BH163" i="1"/>
  <c r="BG164" i="1"/>
  <c r="BK164" i="1"/>
  <c r="BJ165" i="1"/>
  <c r="BJ174" i="1"/>
  <c r="BH187" i="1"/>
  <c r="BG97" i="1"/>
  <c r="BH98" i="1"/>
  <c r="BH126" i="1"/>
  <c r="BH149" i="1"/>
  <c r="BG150" i="1"/>
  <c r="BK150" i="1"/>
  <c r="BI163" i="1"/>
  <c r="BH164" i="1"/>
  <c r="BG165" i="1"/>
  <c r="BK165" i="1"/>
  <c r="BG174" i="1"/>
  <c r="BK174" i="1"/>
  <c r="BK97" i="1"/>
  <c r="BG99" i="1"/>
  <c r="BH101" i="1"/>
  <c r="BG127" i="1"/>
  <c r="BI149" i="1"/>
  <c r="BH150" i="1"/>
  <c r="BJ163" i="1"/>
  <c r="BI164" i="1"/>
  <c r="BH165" i="1"/>
  <c r="BH174" i="1"/>
  <c r="BJ187" i="1"/>
  <c r="BK99" i="1"/>
  <c r="BG163" i="1"/>
  <c r="BI187" i="1"/>
  <c r="BJ198" i="1"/>
  <c r="BJ225" i="1"/>
  <c r="BI230" i="1"/>
  <c r="BH231" i="1"/>
  <c r="BJ233" i="1"/>
  <c r="BH235" i="1"/>
  <c r="BI89" i="1"/>
  <c r="BK163" i="1"/>
  <c r="BK187" i="1"/>
  <c r="BG198" i="1"/>
  <c r="BK198" i="1"/>
  <c r="BG225" i="1"/>
  <c r="BK225" i="1"/>
  <c r="BJ230" i="1"/>
  <c r="BI231" i="1"/>
  <c r="BG233" i="1"/>
  <c r="BK233" i="1"/>
  <c r="BI235" i="1"/>
  <c r="BJ124" i="1"/>
  <c r="BJ149" i="1"/>
  <c r="BJ164" i="1"/>
  <c r="BH198" i="1"/>
  <c r="BI106" i="1"/>
  <c r="BK127" i="1"/>
  <c r="BI150" i="1"/>
  <c r="BI165" i="1"/>
  <c r="BI174" i="1"/>
  <c r="BG187" i="1"/>
  <c r="BI198" i="1"/>
  <c r="BH225" i="1"/>
  <c r="BG230" i="1"/>
  <c r="BJ231" i="1"/>
  <c r="BH233" i="1"/>
  <c r="BH236" i="1"/>
  <c r="BJ255" i="1"/>
  <c r="BI278" i="1"/>
  <c r="BH284" i="1"/>
  <c r="BI225" i="1"/>
  <c r="BH230" i="1"/>
  <c r="BK231" i="1"/>
  <c r="BI233" i="1"/>
  <c r="BG235" i="1"/>
  <c r="BI236" i="1"/>
  <c r="BG255" i="1"/>
  <c r="BK255" i="1"/>
  <c r="BJ278" i="1"/>
  <c r="BI284" i="1"/>
  <c r="BK230" i="1"/>
  <c r="BJ235" i="1"/>
  <c r="BJ236" i="1"/>
  <c r="BH255" i="1"/>
  <c r="BG278" i="1"/>
  <c r="BK278" i="1"/>
  <c r="BJ284" i="1"/>
  <c r="BG231" i="1"/>
  <c r="BK235" i="1"/>
  <c r="BG236" i="1"/>
  <c r="BK236" i="1"/>
  <c r="BI255" i="1"/>
  <c r="BH278" i="1"/>
  <c r="BG284" i="1"/>
  <c r="BK284" i="1"/>
  <c r="BI30" i="1"/>
  <c r="BH42" i="1"/>
  <c r="BH44" i="1"/>
  <c r="BJ30" i="1"/>
  <c r="BI42" i="1"/>
  <c r="BI44" i="1"/>
  <c r="BG30" i="1"/>
  <c r="BK30" i="1"/>
  <c r="BJ42" i="1"/>
  <c r="BJ44" i="1"/>
  <c r="BG49" i="1"/>
  <c r="BK49" i="1"/>
  <c r="BI51" i="1"/>
  <c r="BJ58" i="1"/>
  <c r="BG42" i="1"/>
  <c r="BH49" i="1"/>
  <c r="BJ51" i="1"/>
  <c r="BG58" i="1"/>
  <c r="BK58" i="1"/>
  <c r="BH30" i="1"/>
  <c r="BK42" i="1"/>
  <c r="BG44" i="1"/>
  <c r="BI49" i="1"/>
  <c r="BG51" i="1"/>
  <c r="BK51" i="1"/>
  <c r="BH58" i="1"/>
  <c r="BI58" i="1"/>
  <c r="BI73" i="1"/>
  <c r="BH51" i="1"/>
  <c r="BJ73" i="1"/>
  <c r="BG73" i="1"/>
  <c r="BK73" i="1"/>
  <c r="BK44" i="1"/>
  <c r="BJ104" i="1"/>
  <c r="BG114" i="1"/>
  <c r="BK114" i="1"/>
  <c r="BI119" i="1"/>
  <c r="BG120" i="1"/>
  <c r="BK120" i="1"/>
  <c r="BJ136" i="1"/>
  <c r="BI137" i="1"/>
  <c r="BH142" i="1"/>
  <c r="BJ49" i="1"/>
  <c r="BH73" i="1"/>
  <c r="BG104" i="1"/>
  <c r="BK104" i="1"/>
  <c r="BH114" i="1"/>
  <c r="BJ119" i="1"/>
  <c r="BH120" i="1"/>
  <c r="BG136" i="1"/>
  <c r="BK136" i="1"/>
  <c r="BJ137" i="1"/>
  <c r="BI142" i="1"/>
  <c r="BH104" i="1"/>
  <c r="BI114" i="1"/>
  <c r="BG119" i="1"/>
  <c r="BK119" i="1"/>
  <c r="BI120" i="1"/>
  <c r="BH136" i="1"/>
  <c r="BG137" i="1"/>
  <c r="BK137" i="1"/>
  <c r="BJ142" i="1"/>
  <c r="BJ114" i="1"/>
  <c r="BH137" i="1"/>
  <c r="BK142" i="1"/>
  <c r="BI156" i="1"/>
  <c r="BJ156" i="1"/>
  <c r="BI104" i="1"/>
  <c r="BJ120" i="1"/>
  <c r="BG156" i="1"/>
  <c r="BK156" i="1"/>
  <c r="BH119" i="1"/>
  <c r="BH156" i="1"/>
  <c r="BH223" i="1"/>
  <c r="BH227" i="1"/>
  <c r="BI223" i="1"/>
  <c r="BI227" i="1"/>
  <c r="BG142" i="1"/>
  <c r="BI136" i="1"/>
  <c r="BJ223" i="1"/>
  <c r="BJ241" i="1"/>
  <c r="BH254" i="1"/>
  <c r="BG279" i="1"/>
  <c r="BK279" i="1"/>
  <c r="BJ280" i="1"/>
  <c r="BH298" i="1"/>
  <c r="BJ300" i="1"/>
  <c r="BG303" i="1"/>
  <c r="BK303" i="1"/>
  <c r="BH306" i="1"/>
  <c r="BK223" i="1"/>
  <c r="BG227" i="1"/>
  <c r="BG241" i="1"/>
  <c r="BK241" i="1"/>
  <c r="BI254" i="1"/>
  <c r="BH279" i="1"/>
  <c r="BG280" i="1"/>
  <c r="BK280" i="1"/>
  <c r="BI298" i="1"/>
  <c r="BG300" i="1"/>
  <c r="BK300" i="1"/>
  <c r="BH303" i="1"/>
  <c r="BI306" i="1"/>
  <c r="BJ227" i="1"/>
  <c r="BH241" i="1"/>
  <c r="BJ254" i="1"/>
  <c r="BI279" i="1"/>
  <c r="BH280" i="1"/>
  <c r="BJ298" i="1"/>
  <c r="BH300" i="1"/>
  <c r="BI303" i="1"/>
  <c r="BJ306" i="1"/>
  <c r="BG223" i="1"/>
  <c r="BK227" i="1"/>
  <c r="BI241" i="1"/>
  <c r="BG254" i="1"/>
  <c r="BK254" i="1"/>
  <c r="BJ279" i="1"/>
  <c r="BI280" i="1"/>
  <c r="BG298" i="1"/>
  <c r="BK298" i="1"/>
  <c r="BI300" i="1"/>
  <c r="BJ303" i="1"/>
  <c r="BG306" i="1"/>
  <c r="BK306" i="1"/>
  <c r="BJ334" i="1"/>
  <c r="BI335" i="1"/>
  <c r="BH340" i="1"/>
  <c r="BG341" i="1"/>
  <c r="BK341" i="1"/>
  <c r="BJ342" i="1"/>
  <c r="BI343" i="1"/>
  <c r="BH307" i="1"/>
  <c r="BG334" i="1"/>
  <c r="BK334" i="1"/>
  <c r="BJ335" i="1"/>
  <c r="BI340" i="1"/>
  <c r="BH341" i="1"/>
  <c r="BG342" i="1"/>
  <c r="BK342" i="1"/>
  <c r="BJ343" i="1"/>
  <c r="BK307" i="1"/>
  <c r="BG307" i="1"/>
  <c r="BH334" i="1"/>
  <c r="BG335" i="1"/>
  <c r="BK335" i="1"/>
  <c r="BJ340" i="1"/>
  <c r="BI341" i="1"/>
  <c r="BH342" i="1"/>
  <c r="BG343" i="1"/>
  <c r="BK343" i="1"/>
  <c r="BJ307" i="1"/>
  <c r="BI334" i="1"/>
  <c r="BH335" i="1"/>
  <c r="BG340" i="1"/>
  <c r="BK340" i="1"/>
  <c r="BJ341" i="1"/>
  <c r="BI342" i="1"/>
  <c r="BH343" i="1"/>
  <c r="BI307" i="1"/>
  <c r="BI222" i="1"/>
  <c r="BJ222" i="1"/>
  <c r="BG222" i="1"/>
  <c r="BH320" i="1"/>
  <c r="BG321" i="1"/>
  <c r="BK321" i="1"/>
  <c r="BJ325" i="1"/>
  <c r="BH327" i="1"/>
  <c r="BG328" i="1"/>
  <c r="BK328" i="1"/>
  <c r="BH222" i="1"/>
  <c r="BI320" i="1"/>
  <c r="BH321" i="1"/>
  <c r="BG325" i="1"/>
  <c r="BK325" i="1"/>
  <c r="BI327" i="1"/>
  <c r="BH328" i="1"/>
  <c r="BK222" i="1"/>
  <c r="BJ320" i="1"/>
  <c r="BI321" i="1"/>
  <c r="BH325" i="1"/>
  <c r="BJ327" i="1"/>
  <c r="BI328" i="1"/>
  <c r="BG320" i="1"/>
  <c r="BK320" i="1"/>
  <c r="BJ321" i="1"/>
  <c r="BI325" i="1"/>
  <c r="BG327" i="1"/>
  <c r="BK327" i="1"/>
  <c r="BJ328" i="1"/>
  <c r="BJ67" i="1"/>
  <c r="BH74" i="1"/>
  <c r="BG67" i="1"/>
  <c r="BK67" i="1"/>
  <c r="BI74" i="1"/>
  <c r="BH67" i="1"/>
  <c r="BJ74" i="1"/>
  <c r="BH94" i="1"/>
  <c r="BG95" i="1"/>
  <c r="BK95" i="1"/>
  <c r="BH102" i="1"/>
  <c r="BI108" i="1"/>
  <c r="BH109" i="1"/>
  <c r="BI115" i="1"/>
  <c r="BH116" i="1"/>
  <c r="BG117" i="1"/>
  <c r="BK117" i="1"/>
  <c r="BJ118" i="1"/>
  <c r="BG128" i="1"/>
  <c r="BK128" i="1"/>
  <c r="BJ132" i="1"/>
  <c r="BI133" i="1"/>
  <c r="BI94" i="1"/>
  <c r="BH95" i="1"/>
  <c r="BI102" i="1"/>
  <c r="BJ108" i="1"/>
  <c r="BI109" i="1"/>
  <c r="BJ115" i="1"/>
  <c r="BI116" i="1"/>
  <c r="BH117" i="1"/>
  <c r="BG118" i="1"/>
  <c r="BK118" i="1"/>
  <c r="BH128" i="1"/>
  <c r="BG132" i="1"/>
  <c r="BK132" i="1"/>
  <c r="BJ133" i="1"/>
  <c r="BI67" i="1"/>
  <c r="BG74" i="1"/>
  <c r="BJ94" i="1"/>
  <c r="BI95" i="1"/>
  <c r="BJ102" i="1"/>
  <c r="BG108" i="1"/>
  <c r="BK108" i="1"/>
  <c r="BJ109" i="1"/>
  <c r="BG115" i="1"/>
  <c r="BK115" i="1"/>
  <c r="BJ116" i="1"/>
  <c r="BI117" i="1"/>
  <c r="BH118" i="1"/>
  <c r="BI128" i="1"/>
  <c r="BH132" i="1"/>
  <c r="BG133" i="1"/>
  <c r="BK133" i="1"/>
  <c r="BI147" i="1"/>
  <c r="BG94" i="1"/>
  <c r="BK102" i="1"/>
  <c r="BK116" i="1"/>
  <c r="BJ128" i="1"/>
  <c r="BG147" i="1"/>
  <c r="BG167" i="1"/>
  <c r="BK167" i="1"/>
  <c r="BJ168" i="1"/>
  <c r="BI169" i="1"/>
  <c r="BG173" i="1"/>
  <c r="BK173" i="1"/>
  <c r="BK94" i="1"/>
  <c r="BH108" i="1"/>
  <c r="BJ117" i="1"/>
  <c r="BH147" i="1"/>
  <c r="BH167" i="1"/>
  <c r="BG168" i="1"/>
  <c r="BK168" i="1"/>
  <c r="BJ169" i="1"/>
  <c r="BH173" i="1"/>
  <c r="BJ95" i="1"/>
  <c r="BG109" i="1"/>
  <c r="BH115" i="1"/>
  <c r="BI118" i="1"/>
  <c r="BJ147" i="1"/>
  <c r="BI167" i="1"/>
  <c r="BH168" i="1"/>
  <c r="BG169" i="1"/>
  <c r="BK169" i="1"/>
  <c r="BI173" i="1"/>
  <c r="BI168" i="1"/>
  <c r="BG102" i="1"/>
  <c r="BK109" i="1"/>
  <c r="BH169" i="1"/>
  <c r="BK74" i="1"/>
  <c r="BI132" i="1"/>
  <c r="BH133" i="1"/>
  <c r="BK147" i="1"/>
  <c r="BJ173" i="1"/>
  <c r="BG116" i="1"/>
  <c r="BJ167" i="1"/>
  <c r="BH257" i="1"/>
  <c r="BG258" i="1"/>
  <c r="BK258" i="1"/>
  <c r="BJ259" i="1"/>
  <c r="BG285" i="1"/>
  <c r="BK285" i="1"/>
  <c r="BI257" i="1"/>
  <c r="BH258" i="1"/>
  <c r="BG259" i="1"/>
  <c r="BK259" i="1"/>
  <c r="BH285" i="1"/>
  <c r="BJ257" i="1"/>
  <c r="BI258" i="1"/>
  <c r="BH259" i="1"/>
  <c r="BI285" i="1"/>
  <c r="BG257" i="1"/>
  <c r="BK257" i="1"/>
  <c r="BJ258" i="1"/>
  <c r="BI259" i="1"/>
  <c r="BJ285" i="1"/>
  <c r="BH310" i="1"/>
  <c r="BG311" i="1"/>
  <c r="BK311" i="1"/>
  <c r="BG314" i="1"/>
  <c r="BK314" i="1"/>
  <c r="BI310" i="1"/>
  <c r="BH311" i="1"/>
  <c r="BH314" i="1"/>
  <c r="BJ310" i="1"/>
  <c r="BI311" i="1"/>
  <c r="BI314" i="1"/>
  <c r="BG310" i="1"/>
  <c r="BK310" i="1"/>
  <c r="BJ311" i="1"/>
  <c r="BJ314" i="1"/>
  <c r="BI27" i="1"/>
  <c r="BG28" i="1"/>
  <c r="BK28" i="1"/>
  <c r="BJ29" i="1"/>
  <c r="BH32" i="1"/>
  <c r="BH35" i="1"/>
  <c r="BI37" i="1"/>
  <c r="BJ46" i="1"/>
  <c r="BJ27" i="1"/>
  <c r="BH28" i="1"/>
  <c r="BG29" i="1"/>
  <c r="BK29" i="1"/>
  <c r="BI32" i="1"/>
  <c r="BI35" i="1"/>
  <c r="BJ37" i="1"/>
  <c r="BG46" i="1"/>
  <c r="BK46" i="1"/>
  <c r="BG27" i="1"/>
  <c r="BK27" i="1"/>
  <c r="BI28" i="1"/>
  <c r="BH29" i="1"/>
  <c r="BJ32" i="1"/>
  <c r="BJ35" i="1"/>
  <c r="BG37" i="1"/>
  <c r="BK37" i="1"/>
  <c r="BH46" i="1"/>
  <c r="BJ28" i="1"/>
  <c r="BG32" i="1"/>
  <c r="BI52" i="1"/>
  <c r="BH53" i="1"/>
  <c r="BG54" i="1"/>
  <c r="BK54" i="1"/>
  <c r="BH56" i="1"/>
  <c r="BH27" i="1"/>
  <c r="BI29" i="1"/>
  <c r="BK32" i="1"/>
  <c r="BG35" i="1"/>
  <c r="BH37" i="1"/>
  <c r="BI46" i="1"/>
  <c r="BJ52" i="1"/>
  <c r="BI53" i="1"/>
  <c r="BH54" i="1"/>
  <c r="BI56" i="1"/>
  <c r="BK35" i="1"/>
  <c r="BG52" i="1"/>
  <c r="BK52" i="1"/>
  <c r="BJ53" i="1"/>
  <c r="BI54" i="1"/>
  <c r="BJ56" i="1"/>
  <c r="BJ54" i="1"/>
  <c r="BH66" i="1"/>
  <c r="BJ78" i="1"/>
  <c r="BI81" i="1"/>
  <c r="BH82" i="1"/>
  <c r="BG87" i="1"/>
  <c r="BK87" i="1"/>
  <c r="BG53" i="1"/>
  <c r="BG56" i="1"/>
  <c r="BI66" i="1"/>
  <c r="BG78" i="1"/>
  <c r="BK78" i="1"/>
  <c r="BJ81" i="1"/>
  <c r="BI82" i="1"/>
  <c r="BH87" i="1"/>
  <c r="BH52" i="1"/>
  <c r="BK53" i="1"/>
  <c r="BK56" i="1"/>
  <c r="BJ66" i="1"/>
  <c r="BH78" i="1"/>
  <c r="BG81" i="1"/>
  <c r="BK81" i="1"/>
  <c r="BJ82" i="1"/>
  <c r="BI87" i="1"/>
  <c r="BK66" i="1"/>
  <c r="BK82" i="1"/>
  <c r="BI91" i="1"/>
  <c r="BG92" i="1"/>
  <c r="BK92" i="1"/>
  <c r="BI93" i="1"/>
  <c r="BJ96" i="1"/>
  <c r="BJ100" i="1"/>
  <c r="BJ110" i="1"/>
  <c r="BJ121" i="1"/>
  <c r="BH123" i="1"/>
  <c r="BJ130" i="1"/>
  <c r="BG135" i="1"/>
  <c r="BK135" i="1"/>
  <c r="BJ141" i="1"/>
  <c r="BI144" i="1"/>
  <c r="BG145" i="1"/>
  <c r="BK145" i="1"/>
  <c r="BI146" i="1"/>
  <c r="BJ91" i="1"/>
  <c r="BH92" i="1"/>
  <c r="BJ93" i="1"/>
  <c r="BG96" i="1"/>
  <c r="BK96" i="1"/>
  <c r="BG100" i="1"/>
  <c r="BK100" i="1"/>
  <c r="BG110" i="1"/>
  <c r="BK110" i="1"/>
  <c r="BG121" i="1"/>
  <c r="BK121" i="1"/>
  <c r="BI123" i="1"/>
  <c r="BG130" i="1"/>
  <c r="BK130" i="1"/>
  <c r="BH135" i="1"/>
  <c r="BG141" i="1"/>
  <c r="BK141" i="1"/>
  <c r="BJ144" i="1"/>
  <c r="BH145" i="1"/>
  <c r="BJ146" i="1"/>
  <c r="BH81" i="1"/>
  <c r="BG91" i="1"/>
  <c r="BK91" i="1"/>
  <c r="BI92" i="1"/>
  <c r="BG93" i="1"/>
  <c r="BK93" i="1"/>
  <c r="BH96" i="1"/>
  <c r="BH100" i="1"/>
  <c r="BH110" i="1"/>
  <c r="BH121" i="1"/>
  <c r="BJ123" i="1"/>
  <c r="BH130" i="1"/>
  <c r="BI135" i="1"/>
  <c r="BH141" i="1"/>
  <c r="BG144" i="1"/>
  <c r="BK144" i="1"/>
  <c r="BI145" i="1"/>
  <c r="BG146" i="1"/>
  <c r="BK146" i="1"/>
  <c r="BJ87" i="1"/>
  <c r="BJ92" i="1"/>
  <c r="BH146" i="1"/>
  <c r="BG152" i="1"/>
  <c r="BK152" i="1"/>
  <c r="BH153" i="1"/>
  <c r="BI157" i="1"/>
  <c r="BG159" i="1"/>
  <c r="BK159" i="1"/>
  <c r="BG161" i="1"/>
  <c r="BK161" i="1"/>
  <c r="BI166" i="1"/>
  <c r="BG170" i="1"/>
  <c r="BK170" i="1"/>
  <c r="BJ172" i="1"/>
  <c r="BG82" i="1"/>
  <c r="BH91" i="1"/>
  <c r="BI100" i="1"/>
  <c r="BI110" i="1"/>
  <c r="BG123" i="1"/>
  <c r="BI141" i="1"/>
  <c r="BH152" i="1"/>
  <c r="BI153" i="1"/>
  <c r="BJ157" i="1"/>
  <c r="BH159" i="1"/>
  <c r="BH161" i="1"/>
  <c r="BJ166" i="1"/>
  <c r="BH170" i="1"/>
  <c r="BG172" i="1"/>
  <c r="BK172" i="1"/>
  <c r="BI78" i="1"/>
  <c r="BH93" i="1"/>
  <c r="BK123" i="1"/>
  <c r="BI130" i="1"/>
  <c r="BJ135" i="1"/>
  <c r="BJ145" i="1"/>
  <c r="BI152" i="1"/>
  <c r="BJ153" i="1"/>
  <c r="BG157" i="1"/>
  <c r="BK157" i="1"/>
  <c r="BI159" i="1"/>
  <c r="BI161" i="1"/>
  <c r="BG166" i="1"/>
  <c r="BK166" i="1"/>
  <c r="BI170" i="1"/>
  <c r="BH172" i="1"/>
  <c r="BJ152" i="1"/>
  <c r="BK153" i="1"/>
  <c r="BH166" i="1"/>
  <c r="BJ170" i="1"/>
  <c r="BG224" i="1"/>
  <c r="BK224" i="1"/>
  <c r="BG66" i="1"/>
  <c r="BI121" i="1"/>
  <c r="BJ161" i="1"/>
  <c r="BH224" i="1"/>
  <c r="BI96" i="1"/>
  <c r="BI172" i="1"/>
  <c r="BH144" i="1"/>
  <c r="BG153" i="1"/>
  <c r="BH157" i="1"/>
  <c r="BJ159" i="1"/>
  <c r="BG240" i="1"/>
  <c r="BK240" i="1"/>
  <c r="BG265" i="1"/>
  <c r="BK265" i="1"/>
  <c r="BI301" i="1"/>
  <c r="BH302" i="1"/>
  <c r="BJ304" i="1"/>
  <c r="BI305" i="1"/>
  <c r="BG324" i="1"/>
  <c r="BK324" i="1"/>
  <c r="BH240" i="1"/>
  <c r="BH265" i="1"/>
  <c r="BJ301" i="1"/>
  <c r="BI302" i="1"/>
  <c r="BG304" i="1"/>
  <c r="BK304" i="1"/>
  <c r="BJ305" i="1"/>
  <c r="BH324" i="1"/>
  <c r="BI224" i="1"/>
  <c r="BI240" i="1"/>
  <c r="BI265" i="1"/>
  <c r="BG301" i="1"/>
  <c r="BK301" i="1"/>
  <c r="BJ302" i="1"/>
  <c r="BH304" i="1"/>
  <c r="BG305" i="1"/>
  <c r="BK305" i="1"/>
  <c r="BI324" i="1"/>
  <c r="BJ224" i="1"/>
  <c r="BJ240" i="1"/>
  <c r="BJ265" i="1"/>
  <c r="BH301" i="1"/>
  <c r="BG302" i="1"/>
  <c r="BK302" i="1"/>
  <c r="BI304" i="1"/>
  <c r="BH305" i="1"/>
  <c r="BJ324" i="1"/>
  <c r="BH332" i="1"/>
  <c r="BG337" i="1"/>
  <c r="BK337" i="1"/>
  <c r="BJ338" i="1"/>
  <c r="BI339" i="1"/>
  <c r="BI332" i="1"/>
  <c r="BH337" i="1"/>
  <c r="BG338" i="1"/>
  <c r="BK338" i="1"/>
  <c r="BJ339" i="1"/>
  <c r="BJ332" i="1"/>
  <c r="BI337" i="1"/>
  <c r="BH338" i="1"/>
  <c r="BG339" i="1"/>
  <c r="BK339" i="1"/>
  <c r="BG332" i="1"/>
  <c r="BK332" i="1"/>
  <c r="BJ337" i="1"/>
  <c r="BI338" i="1"/>
  <c r="BH339" i="1"/>
  <c r="BJ129" i="1"/>
  <c r="BG129" i="1"/>
  <c r="BK129" i="1"/>
  <c r="BH129" i="1"/>
  <c r="BH148" i="1"/>
  <c r="BG148" i="1"/>
  <c r="BG171" i="1"/>
  <c r="BK171" i="1"/>
  <c r="BI129" i="1"/>
  <c r="BI148" i="1"/>
  <c r="BH171" i="1"/>
  <c r="BJ148" i="1"/>
  <c r="BI171" i="1"/>
  <c r="BJ171" i="1"/>
  <c r="BK148" i="1"/>
  <c r="BH336" i="1"/>
  <c r="BI309" i="1"/>
  <c r="BI336" i="1"/>
  <c r="BJ309" i="1"/>
  <c r="BJ336" i="1"/>
  <c r="BG309" i="1"/>
  <c r="BK309" i="1"/>
  <c r="BG336" i="1"/>
  <c r="BK336" i="1"/>
  <c r="BH309" i="1"/>
  <c r="BI25" i="1"/>
  <c r="BG43" i="1"/>
  <c r="BK43" i="1"/>
  <c r="BJ25" i="1"/>
  <c r="BH43" i="1"/>
  <c r="BG25" i="1"/>
  <c r="BK25" i="1"/>
  <c r="BI43" i="1"/>
  <c r="BH25" i="1"/>
  <c r="BJ43" i="1"/>
  <c r="BH155" i="1"/>
  <c r="BI155" i="1"/>
  <c r="BJ155" i="1"/>
  <c r="BG155" i="1"/>
  <c r="BK155" i="1"/>
  <c r="BJ277" i="1"/>
  <c r="BG277" i="1"/>
  <c r="BK277" i="1"/>
  <c r="BH277" i="1"/>
  <c r="BI277" i="1"/>
  <c r="G176" i="40"/>
  <c r="BF23" i="1" l="1"/>
  <c r="BF317" i="1"/>
  <c r="BF34" i="1"/>
  <c r="BF24" i="1"/>
  <c r="BF330" i="1"/>
  <c r="BF318" i="1"/>
  <c r="BF297" i="1"/>
  <c r="BF88" i="1"/>
  <c r="BF90" i="1"/>
  <c r="BF247" i="1"/>
  <c r="BF316" i="1"/>
  <c r="BF63" i="1"/>
  <c r="BF308" i="1"/>
  <c r="BF160" i="1"/>
  <c r="BF83" i="1"/>
  <c r="BF113" i="1"/>
  <c r="BF107" i="1"/>
  <c r="BF111" i="1"/>
  <c r="BF75" i="1"/>
  <c r="BF154" i="1"/>
  <c r="BF60" i="1"/>
  <c r="BF246" i="1"/>
  <c r="BF248" i="1"/>
  <c r="BF134" i="1"/>
  <c r="BF50" i="1"/>
  <c r="BF33" i="1"/>
  <c r="BF329" i="1"/>
  <c r="BF131" i="1"/>
  <c r="BF221" i="1"/>
  <c r="BF31" i="1"/>
  <c r="BF143" i="1"/>
  <c r="BL111" i="1"/>
  <c r="BL107" i="1"/>
  <c r="BL60" i="1"/>
  <c r="BL131" i="1"/>
  <c r="BL34" i="1"/>
  <c r="BL113" i="1"/>
  <c r="BL90" i="1"/>
  <c r="BL316" i="1"/>
  <c r="BL31" i="1"/>
  <c r="BL75" i="1"/>
  <c r="BL154" i="1"/>
  <c r="BL317" i="1"/>
  <c r="BL63" i="1"/>
  <c r="BL345" i="1"/>
  <c r="BL248" i="1"/>
  <c r="BL297" i="1"/>
  <c r="BL330" i="1"/>
  <c r="BL160" i="1"/>
  <c r="BL50" i="1"/>
  <c r="BL246" i="1"/>
  <c r="BL41" i="1"/>
  <c r="BL308" i="1"/>
  <c r="BL318" i="1"/>
  <c r="BL329" i="1"/>
  <c r="BL24" i="1"/>
  <c r="BL88" i="1"/>
  <c r="BL247" i="1"/>
  <c r="BL346" i="1"/>
  <c r="BL221" i="1"/>
  <c r="BL23" i="1"/>
  <c r="BL326" i="1"/>
  <c r="BL83" i="1"/>
  <c r="BL134" i="1"/>
  <c r="BL33" i="1"/>
  <c r="BL143" i="1"/>
  <c r="BG23" i="1"/>
  <c r="BK23" i="1"/>
  <c r="BJ24" i="1"/>
  <c r="BH31" i="1"/>
  <c r="BI33" i="1"/>
  <c r="BG34" i="1"/>
  <c r="BK34" i="1"/>
  <c r="BH41" i="1"/>
  <c r="BH23" i="1"/>
  <c r="BG24" i="1"/>
  <c r="BK24" i="1"/>
  <c r="BI31" i="1"/>
  <c r="BJ33" i="1"/>
  <c r="BH34" i="1"/>
  <c r="BI41" i="1"/>
  <c r="BI23" i="1"/>
  <c r="BH24" i="1"/>
  <c r="BJ31" i="1"/>
  <c r="BG33" i="1"/>
  <c r="BK33" i="1"/>
  <c r="BI34" i="1"/>
  <c r="BJ41" i="1"/>
  <c r="BJ23" i="1"/>
  <c r="BK31" i="1"/>
  <c r="BG41" i="1"/>
  <c r="BJ50" i="1"/>
  <c r="BJ60" i="1"/>
  <c r="BK41" i="1"/>
  <c r="BG50" i="1"/>
  <c r="BK50" i="1"/>
  <c r="BG60" i="1"/>
  <c r="BK60" i="1"/>
  <c r="BJ34" i="1"/>
  <c r="BH50" i="1"/>
  <c r="BH60" i="1"/>
  <c r="BI50" i="1"/>
  <c r="BH63" i="1"/>
  <c r="BG75" i="1"/>
  <c r="BK75" i="1"/>
  <c r="BG83" i="1"/>
  <c r="BK83" i="1"/>
  <c r="BG31" i="1"/>
  <c r="BI60" i="1"/>
  <c r="BI63" i="1"/>
  <c r="BH75" i="1"/>
  <c r="BH83" i="1"/>
  <c r="BI24" i="1"/>
  <c r="BJ63" i="1"/>
  <c r="BI75" i="1"/>
  <c r="BI83" i="1"/>
  <c r="BH88" i="1"/>
  <c r="BJ75" i="1"/>
  <c r="BG88" i="1"/>
  <c r="BJ90" i="1"/>
  <c r="BH107" i="1"/>
  <c r="BI111" i="1"/>
  <c r="BH113" i="1"/>
  <c r="BG131" i="1"/>
  <c r="BK131" i="1"/>
  <c r="BH134" i="1"/>
  <c r="BG143" i="1"/>
  <c r="BK143" i="1"/>
  <c r="BJ83" i="1"/>
  <c r="BI88" i="1"/>
  <c r="BG90" i="1"/>
  <c r="BK90" i="1"/>
  <c r="BI107" i="1"/>
  <c r="BJ111" i="1"/>
  <c r="BI113" i="1"/>
  <c r="BH131" i="1"/>
  <c r="BI134" i="1"/>
  <c r="BH143" i="1"/>
  <c r="BH33" i="1"/>
  <c r="BG63" i="1"/>
  <c r="BJ88" i="1"/>
  <c r="BH90" i="1"/>
  <c r="BJ107" i="1"/>
  <c r="BG111" i="1"/>
  <c r="BK111" i="1"/>
  <c r="BJ113" i="1"/>
  <c r="BI131" i="1"/>
  <c r="BJ134" i="1"/>
  <c r="BI143" i="1"/>
  <c r="BI90" i="1"/>
  <c r="BG134" i="1"/>
  <c r="BJ154" i="1"/>
  <c r="BH160" i="1"/>
  <c r="BK88" i="1"/>
  <c r="BG107" i="1"/>
  <c r="BK134" i="1"/>
  <c r="BJ143" i="1"/>
  <c r="BG154" i="1"/>
  <c r="BK154" i="1"/>
  <c r="BI160" i="1"/>
  <c r="BK63" i="1"/>
  <c r="BK107" i="1"/>
  <c r="BH111" i="1"/>
  <c r="BG113" i="1"/>
  <c r="BJ131" i="1"/>
  <c r="BH154" i="1"/>
  <c r="BJ160" i="1"/>
  <c r="BK160" i="1"/>
  <c r="BJ221" i="1"/>
  <c r="BG221" i="1"/>
  <c r="BK221" i="1"/>
  <c r="BK113" i="1"/>
  <c r="BI154" i="1"/>
  <c r="BG160" i="1"/>
  <c r="BG246" i="1"/>
  <c r="BK246" i="1"/>
  <c r="BJ247" i="1"/>
  <c r="BI248" i="1"/>
  <c r="BI297" i="1"/>
  <c r="BI316" i="1"/>
  <c r="BH317" i="1"/>
  <c r="BG318" i="1"/>
  <c r="BK318" i="1"/>
  <c r="BI326" i="1"/>
  <c r="BJ329" i="1"/>
  <c r="BH246" i="1"/>
  <c r="BG247" i="1"/>
  <c r="BK247" i="1"/>
  <c r="BJ248" i="1"/>
  <c r="BJ297" i="1"/>
  <c r="BJ316" i="1"/>
  <c r="BI317" i="1"/>
  <c r="BH318" i="1"/>
  <c r="BJ326" i="1"/>
  <c r="BG329" i="1"/>
  <c r="BK329" i="1"/>
  <c r="BJ330" i="1"/>
  <c r="BH221" i="1"/>
  <c r="BI246" i="1"/>
  <c r="BH247" i="1"/>
  <c r="BG248" i="1"/>
  <c r="BK248" i="1"/>
  <c r="BG297" i="1"/>
  <c r="BK297" i="1"/>
  <c r="BG316" i="1"/>
  <c r="BK316" i="1"/>
  <c r="BJ317" i="1"/>
  <c r="BI318" i="1"/>
  <c r="BG326" i="1"/>
  <c r="BK326" i="1"/>
  <c r="BH329" i="1"/>
  <c r="BG330" i="1"/>
  <c r="BK330" i="1"/>
  <c r="BI221" i="1"/>
  <c r="BJ246" i="1"/>
  <c r="BI247" i="1"/>
  <c r="BH248" i="1"/>
  <c r="BH297" i="1"/>
  <c r="BH316" i="1"/>
  <c r="BG317" i="1"/>
  <c r="BK317" i="1"/>
  <c r="BJ318" i="1"/>
  <c r="BH326" i="1"/>
  <c r="BI329" i="1"/>
  <c r="BH330" i="1"/>
  <c r="BI330" i="1"/>
  <c r="BI345" i="1"/>
  <c r="BH346" i="1"/>
  <c r="BJ308" i="1"/>
  <c r="BJ345" i="1"/>
  <c r="BI346" i="1"/>
  <c r="BG308" i="1"/>
  <c r="BK308" i="1"/>
  <c r="BG345" i="1"/>
  <c r="BK345" i="1"/>
  <c r="BJ346" i="1"/>
  <c r="BH308" i="1"/>
  <c r="BH345" i="1"/>
  <c r="BG346" i="1"/>
  <c r="BK346" i="1"/>
  <c r="BI308" i="1"/>
  <c r="AK343" i="1" l="1"/>
  <c r="AK335" i="1"/>
  <c r="AK340" i="1"/>
  <c r="AK341" i="1"/>
  <c r="BM24" i="1" l="1"/>
  <c r="BM25" i="1"/>
  <c r="BM26" i="1"/>
  <c r="BM27" i="1"/>
  <c r="BM28" i="1"/>
  <c r="BM29" i="1"/>
  <c r="BM30" i="1"/>
  <c r="BM31" i="1"/>
  <c r="BM32" i="1"/>
  <c r="BM33" i="1"/>
  <c r="BM34" i="1"/>
  <c r="BM35" i="1"/>
  <c r="BM36" i="1"/>
  <c r="BM37" i="1"/>
  <c r="BM38" i="1"/>
  <c r="BM39" i="1"/>
  <c r="BM40" i="1"/>
  <c r="BM41" i="1"/>
  <c r="BM42" i="1"/>
  <c r="BM43" i="1"/>
  <c r="BM44" i="1"/>
  <c r="BM45" i="1"/>
  <c r="BM46" i="1"/>
  <c r="BM48" i="1"/>
  <c r="BM49" i="1"/>
  <c r="BM50" i="1"/>
  <c r="BM51" i="1"/>
  <c r="BM52" i="1"/>
  <c r="BM53" i="1"/>
  <c r="BM54" i="1"/>
  <c r="BM55" i="1"/>
  <c r="BM56" i="1"/>
  <c r="BM57" i="1"/>
  <c r="BM58" i="1"/>
  <c r="BM59" i="1"/>
  <c r="BM60" i="1"/>
  <c r="BM61" i="1"/>
  <c r="BM62" i="1"/>
  <c r="BM63" i="1"/>
  <c r="BM64" i="1"/>
  <c r="BM65" i="1"/>
  <c r="BM66" i="1"/>
  <c r="BM67" i="1"/>
  <c r="BM68" i="1"/>
  <c r="BM69" i="1"/>
  <c r="BM70" i="1"/>
  <c r="BM71" i="1"/>
  <c r="BM72" i="1"/>
  <c r="BM73" i="1"/>
  <c r="BM74" i="1"/>
  <c r="BM75" i="1"/>
  <c r="BM77" i="1"/>
  <c r="BM78" i="1"/>
  <c r="BM79" i="1"/>
  <c r="BM80" i="1"/>
  <c r="BM81" i="1"/>
  <c r="BM82" i="1"/>
  <c r="BM83" i="1"/>
  <c r="BM84" i="1"/>
  <c r="BM85" i="1"/>
  <c r="BM86" i="1"/>
  <c r="BM87" i="1"/>
  <c r="BM88" i="1"/>
  <c r="BM89" i="1"/>
  <c r="BM90" i="1"/>
  <c r="BM91" i="1"/>
  <c r="BM92" i="1"/>
  <c r="BM93" i="1"/>
  <c r="BM94" i="1"/>
  <c r="BM95" i="1"/>
  <c r="BM96" i="1"/>
  <c r="BM97" i="1"/>
  <c r="BM98" i="1"/>
  <c r="BM99" i="1"/>
  <c r="BM100" i="1"/>
  <c r="BM101" i="1"/>
  <c r="BM102" i="1"/>
  <c r="BM104" i="1"/>
  <c r="BM105" i="1"/>
  <c r="BM106" i="1"/>
  <c r="BM107" i="1"/>
  <c r="BM108" i="1"/>
  <c r="BM109" i="1"/>
  <c r="BM110" i="1"/>
  <c r="BM111" i="1"/>
  <c r="BM112" i="1"/>
  <c r="BM113" i="1"/>
  <c r="BM114" i="1"/>
  <c r="BM115" i="1"/>
  <c r="BM116" i="1"/>
  <c r="BM117" i="1"/>
  <c r="BM118" i="1"/>
  <c r="BM119" i="1"/>
  <c r="BM120" i="1"/>
  <c r="BM121" i="1"/>
  <c r="BM122" i="1"/>
  <c r="BM123" i="1"/>
  <c r="BM124" i="1"/>
  <c r="BM125" i="1"/>
  <c r="BM126" i="1"/>
  <c r="BM127" i="1"/>
  <c r="BM128" i="1"/>
  <c r="BM129" i="1"/>
  <c r="BM130" i="1"/>
  <c r="BM131" i="1"/>
  <c r="BM132" i="1"/>
  <c r="BM133" i="1"/>
  <c r="BM134" i="1"/>
  <c r="BM135" i="1"/>
  <c r="BM136" i="1"/>
  <c r="BM137" i="1"/>
  <c r="BM138" i="1"/>
  <c r="BM139" i="1"/>
  <c r="BM140" i="1"/>
  <c r="BM141" i="1"/>
  <c r="BM142" i="1"/>
  <c r="BM143" i="1"/>
  <c r="BM144" i="1"/>
  <c r="BM145" i="1"/>
  <c r="BM146" i="1"/>
  <c r="BM147" i="1"/>
  <c r="BM148" i="1"/>
  <c r="BM149" i="1"/>
  <c r="BM150" i="1"/>
  <c r="BM151" i="1"/>
  <c r="BM152" i="1"/>
  <c r="BM153" i="1"/>
  <c r="BM154" i="1"/>
  <c r="BM155" i="1"/>
  <c r="BM156" i="1"/>
  <c r="BM157" i="1"/>
  <c r="BM158" i="1"/>
  <c r="BM159" i="1"/>
  <c r="BM160" i="1"/>
  <c r="BM161" i="1"/>
  <c r="BM162" i="1"/>
  <c r="BM163" i="1"/>
  <c r="BM164" i="1"/>
  <c r="BM165" i="1"/>
  <c r="BM166" i="1"/>
  <c r="BM167" i="1"/>
  <c r="BM168" i="1"/>
  <c r="BM169" i="1"/>
  <c r="BM170" i="1"/>
  <c r="BM171" i="1"/>
  <c r="BM172" i="1"/>
  <c r="BM173" i="1"/>
  <c r="BM174" i="1"/>
  <c r="BM175" i="1"/>
  <c r="BM176" i="1"/>
  <c r="BM177" i="1"/>
  <c r="BM178" i="1"/>
  <c r="BM179" i="1"/>
  <c r="BM180" i="1"/>
  <c r="BM181" i="1"/>
  <c r="BM182" i="1"/>
  <c r="BM183" i="1"/>
  <c r="BM184" i="1"/>
  <c r="BM185" i="1"/>
  <c r="BM186" i="1"/>
  <c r="BM187" i="1"/>
  <c r="BM188" i="1"/>
  <c r="BM189" i="1"/>
  <c r="BM190" i="1"/>
  <c r="BM191" i="1"/>
  <c r="BM192" i="1"/>
  <c r="BM193" i="1"/>
  <c r="BM194" i="1"/>
  <c r="BM195" i="1"/>
  <c r="BM196" i="1"/>
  <c r="BM197" i="1"/>
  <c r="BM198" i="1"/>
  <c r="BM199" i="1"/>
  <c r="BM200" i="1"/>
  <c r="BM201" i="1"/>
  <c r="BM202" i="1"/>
  <c r="BM203" i="1"/>
  <c r="BM204" i="1"/>
  <c r="BM205" i="1"/>
  <c r="BM206" i="1"/>
  <c r="BM207" i="1"/>
  <c r="BM208" i="1"/>
  <c r="BM209" i="1"/>
  <c r="BM210" i="1"/>
  <c r="BM211" i="1"/>
  <c r="BM212" i="1"/>
  <c r="BM213" i="1"/>
  <c r="BM214" i="1"/>
  <c r="BM215" i="1"/>
  <c r="BM216" i="1"/>
  <c r="BM217" i="1"/>
  <c r="BM218" i="1"/>
  <c r="BM219" i="1"/>
  <c r="BM220" i="1"/>
  <c r="BM221" i="1"/>
  <c r="BM222" i="1"/>
  <c r="BM223" i="1"/>
  <c r="BM224" i="1"/>
  <c r="BM225" i="1"/>
  <c r="BM226" i="1"/>
  <c r="BM227" i="1"/>
  <c r="BM228" i="1"/>
  <c r="BM229" i="1"/>
  <c r="BM230" i="1"/>
  <c r="BM231" i="1"/>
  <c r="BM232" i="1"/>
  <c r="BM233" i="1"/>
  <c r="BM234" i="1"/>
  <c r="BM235" i="1"/>
  <c r="BM236" i="1"/>
  <c r="BM237" i="1"/>
  <c r="BM238" i="1"/>
  <c r="BM239" i="1"/>
  <c r="BM240" i="1"/>
  <c r="BM241" i="1"/>
  <c r="BM242" i="1"/>
  <c r="BM243" i="1"/>
  <c r="BM244" i="1"/>
  <c r="BM245" i="1"/>
  <c r="BM246" i="1"/>
  <c r="BM247" i="1"/>
  <c r="BM248" i="1"/>
  <c r="BM249" i="1"/>
  <c r="BM250" i="1"/>
  <c r="BM251" i="1"/>
  <c r="BM252" i="1"/>
  <c r="BM253" i="1"/>
  <c r="BM254" i="1"/>
  <c r="BM255" i="1"/>
  <c r="BM256" i="1"/>
  <c r="BM257" i="1"/>
  <c r="BM258" i="1"/>
  <c r="BM259" i="1"/>
  <c r="BM260" i="1"/>
  <c r="BM261" i="1"/>
  <c r="BM262" i="1"/>
  <c r="BM263" i="1"/>
  <c r="BM264" i="1"/>
  <c r="BM265" i="1"/>
  <c r="BM266" i="1"/>
  <c r="BM267" i="1"/>
  <c r="BM268" i="1"/>
  <c r="BM269" i="1"/>
  <c r="BM270" i="1"/>
  <c r="BM271" i="1"/>
  <c r="BM272" i="1"/>
  <c r="BM273" i="1"/>
  <c r="BM274" i="1"/>
  <c r="BM275" i="1"/>
  <c r="BM276" i="1"/>
  <c r="BM277" i="1"/>
  <c r="BM278" i="1"/>
  <c r="BM279" i="1"/>
  <c r="BM280" i="1"/>
  <c r="BM281" i="1"/>
  <c r="BM282" i="1"/>
  <c r="BM283" i="1"/>
  <c r="BM284" i="1"/>
  <c r="BM285" i="1"/>
  <c r="BM286" i="1"/>
  <c r="BM287" i="1"/>
  <c r="BM288" i="1"/>
  <c r="BM289" i="1"/>
  <c r="BM290" i="1"/>
  <c r="BM291" i="1"/>
  <c r="BM292" i="1"/>
  <c r="BM293" i="1"/>
  <c r="BM294" i="1"/>
  <c r="BM295" i="1"/>
  <c r="BM296" i="1"/>
  <c r="BM297" i="1"/>
  <c r="BM298" i="1"/>
  <c r="BM299" i="1"/>
  <c r="BM300" i="1"/>
  <c r="BM301" i="1"/>
  <c r="BM302" i="1"/>
  <c r="BM303" i="1"/>
  <c r="BM304" i="1"/>
  <c r="BM305" i="1"/>
  <c r="BM306" i="1"/>
  <c r="BM307" i="1"/>
  <c r="BM308" i="1"/>
  <c r="BM309" i="1"/>
  <c r="BM310" i="1"/>
  <c r="BM311" i="1"/>
  <c r="BM312" i="1"/>
  <c r="BM313" i="1"/>
  <c r="BM314" i="1"/>
  <c r="BM315" i="1"/>
  <c r="BM316" i="1"/>
  <c r="BM317" i="1"/>
  <c r="BM318" i="1"/>
  <c r="BM319" i="1"/>
  <c r="BM320" i="1"/>
  <c r="BM321" i="1"/>
  <c r="BM322" i="1"/>
  <c r="BM323" i="1"/>
  <c r="BM324" i="1"/>
  <c r="BM325" i="1"/>
  <c r="BM326" i="1"/>
  <c r="BM327" i="1"/>
  <c r="BM328" i="1"/>
  <c r="BM329" i="1"/>
  <c r="BM330" i="1"/>
  <c r="BM331" i="1"/>
  <c r="BM332" i="1"/>
  <c r="BM333" i="1"/>
  <c r="BM334" i="1"/>
  <c r="BM335" i="1"/>
  <c r="BM336" i="1"/>
  <c r="BM337" i="1"/>
  <c r="BM338" i="1"/>
  <c r="BM339" i="1"/>
  <c r="BM340" i="1"/>
  <c r="BM341" i="1"/>
  <c r="BM342" i="1"/>
  <c r="BM343" i="1"/>
  <c r="BM344" i="1"/>
  <c r="BM345" i="1"/>
  <c r="BM346" i="1"/>
  <c r="BM23" i="1"/>
  <c r="AK336" i="1" l="1"/>
  <c r="AK342" i="1"/>
  <c r="AK345" i="1"/>
  <c r="AK346" i="1"/>
  <c r="AK331" i="1"/>
  <c r="AL335" i="1"/>
  <c r="AL340" i="1"/>
  <c r="AL341" i="1"/>
  <c r="AL343" i="1"/>
  <c r="Y341" i="29" l="1"/>
  <c r="Z341" i="29"/>
  <c r="Y342" i="29"/>
  <c r="Z342" i="29"/>
  <c r="Y344" i="29"/>
  <c r="Z344" i="29"/>
  <c r="Z339" i="29"/>
  <c r="Y339" i="29"/>
  <c r="Z343" i="29"/>
  <c r="Y343" i="29"/>
  <c r="Y345" i="29"/>
  <c r="Z345" i="29"/>
  <c r="Y340" i="29"/>
  <c r="Z340" i="29"/>
  <c r="Y346" i="29"/>
  <c r="Z346" i="29"/>
  <c r="AK338" i="1"/>
  <c r="AK344" i="1"/>
  <c r="AK337" i="1"/>
  <c r="AK339" i="1"/>
  <c r="V343" i="1"/>
  <c r="X345" i="1"/>
  <c r="R339" i="1"/>
  <c r="R342" i="1"/>
  <c r="S340" i="1"/>
  <c r="X346" i="1"/>
  <c r="W342" i="1"/>
  <c r="Q345" i="1"/>
  <c r="W341" i="1"/>
  <c r="W343" i="1"/>
  <c r="Q342" i="1"/>
  <c r="U340" i="1"/>
  <c r="U341" i="1"/>
  <c r="Q344" i="1"/>
  <c r="X339" i="1"/>
  <c r="U344" i="1"/>
  <c r="S343" i="1"/>
  <c r="R346" i="1"/>
  <c r="V340" i="1"/>
  <c r="U343" i="1"/>
  <c r="X343" i="1"/>
  <c r="X342" i="1"/>
  <c r="U342" i="1"/>
  <c r="X341" i="1"/>
  <c r="V344" i="1"/>
  <c r="R345" i="1"/>
  <c r="R344" i="1"/>
  <c r="V342" i="1"/>
  <c r="Q346" i="1"/>
  <c r="Q339" i="1"/>
  <c r="W344" i="1"/>
  <c r="T345" i="1"/>
  <c r="X340" i="1"/>
  <c r="V341" i="1"/>
  <c r="S345" i="1"/>
  <c r="X344" i="1"/>
  <c r="T340" i="1"/>
  <c r="W340" i="1"/>
  <c r="T343" i="1"/>
  <c r="W346" i="1"/>
  <c r="AL342" i="1"/>
  <c r="AL336" i="1"/>
  <c r="Z337" i="29" l="1"/>
  <c r="Y337" i="29"/>
  <c r="Y336" i="29"/>
  <c r="Z336" i="29"/>
  <c r="Z335" i="29"/>
  <c r="Y335" i="29"/>
  <c r="Y338" i="29"/>
  <c r="Z338" i="29"/>
  <c r="AL339" i="1"/>
  <c r="AL344" i="1"/>
  <c r="AL337" i="1"/>
  <c r="AL345" i="1"/>
  <c r="AL338" i="1"/>
  <c r="S338" i="1" l="1"/>
  <c r="Q337" i="1"/>
  <c r="T335" i="1"/>
  <c r="T336" i="1"/>
  <c r="S335" i="1"/>
  <c r="U338" i="1"/>
  <c r="V338" i="1"/>
  <c r="X336" i="1"/>
  <c r="R337" i="1"/>
  <c r="X335" i="1"/>
  <c r="V335" i="1"/>
  <c r="V336" i="1"/>
  <c r="W335" i="1"/>
  <c r="T338" i="1"/>
  <c r="T337" i="1"/>
  <c r="S337" i="1"/>
  <c r="W338" i="1"/>
  <c r="U335" i="1"/>
  <c r="X337" i="1"/>
  <c r="U336" i="1"/>
  <c r="X338" i="1"/>
  <c r="W336" i="1"/>
  <c r="I2" i="11" l="1"/>
  <c r="I3" i="11" s="1"/>
  <c r="P2" i="11"/>
  <c r="B5" i="8" l="1"/>
  <c r="J2" i="11" l="1"/>
  <c r="K2" i="11" l="1"/>
  <c r="L2" i="11" s="1"/>
  <c r="M2" i="11" s="1"/>
  <c r="J3" i="11"/>
  <c r="K3" i="11" l="1"/>
  <c r="L3" i="11" l="1"/>
  <c r="M3" i="11" l="1"/>
  <c r="F41" i="11" l="1"/>
  <c r="E41" i="11"/>
  <c r="D41" i="11"/>
  <c r="C41" i="11"/>
  <c r="B41" i="11"/>
  <c r="B10" i="11"/>
  <c r="I10" i="11" s="1"/>
  <c r="C10" i="11"/>
  <c r="J10" i="11" s="1"/>
  <c r="D10" i="11"/>
  <c r="K10" i="11" s="1"/>
  <c r="E10" i="11"/>
  <c r="L10" i="11" s="1"/>
  <c r="F10" i="11"/>
  <c r="M10" i="11" s="1"/>
  <c r="B29" i="10"/>
  <c r="C29" i="10"/>
  <c r="P3" i="1" l="1"/>
  <c r="X22" i="1" l="1"/>
  <c r="X18" i="1"/>
  <c r="X17" i="1"/>
  <c r="X16" i="1"/>
  <c r="X18" i="29"/>
  <c r="X22" i="29"/>
  <c r="AL318" i="1"/>
  <c r="V311" i="1" l="1"/>
  <c r="Q173" i="1"/>
  <c r="Q216" i="1"/>
  <c r="Q220" i="1"/>
  <c r="V240" i="1"/>
  <c r="Q226" i="1"/>
  <c r="X297" i="1"/>
  <c r="W56" i="1"/>
  <c r="Q212" i="1"/>
  <c r="W48" i="1"/>
  <c r="T325" i="1"/>
  <c r="V293" i="1"/>
  <c r="U327" i="1"/>
  <c r="Q266" i="1"/>
  <c r="S153" i="1"/>
  <c r="V325" i="1"/>
  <c r="U101" i="1"/>
  <c r="V91" i="1"/>
  <c r="Q293" i="1"/>
  <c r="Q178" i="1"/>
  <c r="Q168" i="1"/>
  <c r="T334" i="1"/>
  <c r="X128" i="1"/>
  <c r="U153" i="1"/>
  <c r="T323" i="1"/>
  <c r="S143" i="1"/>
  <c r="E40" i="21" s="1"/>
  <c r="Q175" i="1"/>
  <c r="R322" i="1"/>
  <c r="U324" i="1"/>
  <c r="U221" i="1"/>
  <c r="U94" i="1"/>
  <c r="Q194" i="1"/>
  <c r="X322" i="1"/>
  <c r="W94" i="1"/>
  <c r="T259" i="1"/>
  <c r="W320" i="1"/>
  <c r="Q201" i="1"/>
  <c r="S314" i="1"/>
  <c r="Q197" i="1"/>
  <c r="W318" i="1"/>
  <c r="Q292" i="1"/>
  <c r="Q323" i="1"/>
  <c r="Q186" i="1"/>
  <c r="V310" i="1"/>
  <c r="X327" i="1"/>
  <c r="Q151" i="1"/>
  <c r="Q39" i="1"/>
  <c r="Q215" i="1"/>
  <c r="W323" i="1"/>
  <c r="Q274" i="1"/>
  <c r="Q283" i="1"/>
  <c r="S327" i="1"/>
  <c r="V316" i="1"/>
  <c r="Q295" i="1"/>
  <c r="X156" i="1"/>
  <c r="Q203" i="1"/>
  <c r="R59" i="1"/>
  <c r="X61" i="1"/>
  <c r="Q281" i="1"/>
  <c r="R67" i="1"/>
  <c r="W328" i="1"/>
  <c r="X240" i="1"/>
  <c r="W50" i="1"/>
  <c r="Q313" i="1"/>
  <c r="X325" i="1"/>
  <c r="V116" i="1"/>
  <c r="Q267" i="1"/>
  <c r="W259" i="1"/>
  <c r="Q91" i="1"/>
  <c r="T74" i="1"/>
  <c r="W329" i="1"/>
  <c r="X312" i="1"/>
  <c r="Q270" i="1"/>
  <c r="Q269" i="1"/>
  <c r="W316" i="1"/>
  <c r="U59" i="1"/>
  <c r="R143" i="1"/>
  <c r="Q297" i="1"/>
  <c r="U330" i="1"/>
  <c r="V324" i="1"/>
  <c r="S322" i="1"/>
  <c r="T324" i="1"/>
  <c r="V334" i="1"/>
  <c r="S320" i="1"/>
  <c r="V259" i="1"/>
  <c r="U321" i="1"/>
  <c r="V143" i="1"/>
  <c r="H40" i="21" s="1"/>
  <c r="W311" i="1"/>
  <c r="X40" i="1"/>
  <c r="S94" i="1"/>
  <c r="U311" i="1"/>
  <c r="R128" i="1"/>
  <c r="R79" i="1"/>
  <c r="Q331" i="1"/>
  <c r="V49" i="1"/>
  <c r="U35" i="1"/>
  <c r="T319" i="1"/>
  <c r="Q97" i="1"/>
  <c r="Q245" i="1"/>
  <c r="Q206" i="1"/>
  <c r="Q74" i="1"/>
  <c r="Q251" i="1"/>
  <c r="V285" i="1"/>
  <c r="Q299" i="1"/>
  <c r="X326" i="1"/>
  <c r="Q225" i="1"/>
  <c r="S325" i="1"/>
  <c r="Q239" i="1"/>
  <c r="Q234" i="1"/>
  <c r="Q94" i="1"/>
  <c r="S41" i="1"/>
  <c r="X41" i="1"/>
  <c r="Q243" i="1"/>
  <c r="R108" i="1"/>
  <c r="X259" i="1"/>
  <c r="Q171" i="1"/>
  <c r="R82" i="1"/>
  <c r="R221" i="1"/>
  <c r="R137" i="1"/>
  <c r="U285" i="1"/>
  <c r="X285" i="1"/>
  <c r="V88" i="1"/>
  <c r="W331" i="1"/>
  <c r="Q289" i="1"/>
  <c r="U297" i="1"/>
  <c r="S310" i="1"/>
  <c r="Q37" i="1"/>
  <c r="Q207" i="1"/>
  <c r="R325" i="1"/>
  <c r="U56" i="1"/>
  <c r="T221" i="1"/>
  <c r="U314" i="1"/>
  <c r="U40" i="1"/>
  <c r="V328" i="1"/>
  <c r="Q235" i="1"/>
  <c r="Q82" i="1"/>
  <c r="V66" i="1"/>
  <c r="U332" i="1"/>
  <c r="U259" i="1"/>
  <c r="Q287" i="1"/>
  <c r="W128" i="1"/>
  <c r="V128" i="1"/>
  <c r="V320" i="1"/>
  <c r="T82" i="1"/>
  <c r="Q268" i="1"/>
  <c r="V330" i="1"/>
  <c r="W330" i="1"/>
  <c r="W240" i="1"/>
  <c r="T240" i="1"/>
  <c r="T310" i="1"/>
  <c r="U88" i="1"/>
  <c r="W116" i="1"/>
  <c r="W253" i="1"/>
  <c r="R319" i="1"/>
  <c r="T94" i="1"/>
  <c r="Q219" i="1"/>
  <c r="Q162" i="1"/>
  <c r="X91" i="1"/>
  <c r="U310" i="1"/>
  <c r="X313" i="1"/>
  <c r="V331" i="1"/>
  <c r="U326" i="1"/>
  <c r="T333" i="1"/>
  <c r="X331" i="1"/>
  <c r="U253" i="1"/>
  <c r="X221" i="1"/>
  <c r="X314" i="1"/>
  <c r="U80" i="1"/>
  <c r="X332" i="1"/>
  <c r="R259" i="1"/>
  <c r="Q272" i="1"/>
  <c r="T327" i="1"/>
  <c r="S328" i="1"/>
  <c r="Q294" i="1"/>
  <c r="Q312" i="1"/>
  <c r="U293" i="1"/>
  <c r="U334" i="1"/>
  <c r="T285" i="1"/>
  <c r="Q193" i="1"/>
  <c r="V73" i="1"/>
  <c r="T329" i="1"/>
  <c r="Q209" i="1"/>
  <c r="Q67" i="1"/>
  <c r="R314" i="1"/>
  <c r="S311" i="1"/>
  <c r="T314" i="1"/>
  <c r="W326" i="1"/>
  <c r="T293" i="1"/>
  <c r="Q101" i="1"/>
  <c r="Q131" i="1"/>
  <c r="Q192" i="1"/>
  <c r="V94" i="1"/>
  <c r="X81" i="1"/>
  <c r="V318" i="1"/>
  <c r="Q275" i="1"/>
  <c r="Q41" i="1"/>
  <c r="T330" i="1"/>
  <c r="Q273" i="1"/>
  <c r="X310" i="1"/>
  <c r="S44" i="1"/>
  <c r="Q128" i="1"/>
  <c r="W297" i="1"/>
  <c r="U95" i="1"/>
  <c r="W221" i="1"/>
  <c r="W129" i="1"/>
  <c r="Q92" i="1"/>
  <c r="X318" i="1"/>
  <c r="Q261" i="1"/>
  <c r="S324" i="1"/>
  <c r="X84" i="1"/>
  <c r="X330" i="1"/>
  <c r="S102" i="1"/>
  <c r="V82" i="1"/>
  <c r="S116" i="1"/>
  <c r="T108" i="1"/>
  <c r="U318" i="1"/>
  <c r="Q291" i="1"/>
  <c r="T28" i="1"/>
  <c r="Q238" i="1"/>
  <c r="T116" i="1"/>
  <c r="Q177" i="1"/>
  <c r="T156" i="1"/>
  <c r="R130" i="1"/>
  <c r="R323" i="1"/>
  <c r="V221" i="1"/>
  <c r="Q276" i="1"/>
  <c r="W82" i="1"/>
  <c r="V153" i="1"/>
  <c r="W327" i="1"/>
  <c r="V79" i="1"/>
  <c r="Q262" i="1"/>
  <c r="Q189" i="1"/>
  <c r="Q253" i="1"/>
  <c r="Q205" i="1"/>
  <c r="S297" i="1"/>
  <c r="V333" i="1"/>
  <c r="R285" i="1"/>
  <c r="S128" i="1"/>
  <c r="T316" i="1"/>
  <c r="Q190" i="1"/>
  <c r="X316" i="1"/>
  <c r="V101" i="1"/>
  <c r="Q185" i="1"/>
  <c r="X67" i="1"/>
  <c r="T320" i="1"/>
  <c r="Q80" i="1"/>
  <c r="W67" i="1"/>
  <c r="S332" i="1"/>
  <c r="V130" i="1"/>
  <c r="T297" i="1"/>
  <c r="R74" i="1"/>
  <c r="Q108" i="1"/>
  <c r="U331" i="1"/>
  <c r="V314" i="1"/>
  <c r="X324" i="1"/>
  <c r="W66" i="1"/>
  <c r="Q221" i="1"/>
  <c r="T235" i="1"/>
  <c r="V297" i="1"/>
  <c r="Q195" i="1"/>
  <c r="X333" i="1"/>
  <c r="Q180" i="1"/>
  <c r="Q229" i="1"/>
  <c r="Q105" i="1"/>
  <c r="Q242" i="1"/>
  <c r="Q211" i="1"/>
  <c r="W285" i="1"/>
  <c r="R293" i="1"/>
  <c r="S37" i="1"/>
  <c r="Q79" i="1"/>
  <c r="W333" i="1"/>
  <c r="X66" i="1"/>
  <c r="V321" i="1"/>
  <c r="V327" i="1"/>
  <c r="T80" i="1"/>
  <c r="S293" i="1"/>
  <c r="U320" i="1"/>
  <c r="Q179" i="1"/>
  <c r="X56" i="1"/>
  <c r="T318" i="1"/>
  <c r="Q181" i="1"/>
  <c r="R101" i="1"/>
  <c r="V81" i="1"/>
  <c r="W310" i="1"/>
  <c r="V329" i="1"/>
  <c r="S334" i="1"/>
  <c r="T321" i="1"/>
  <c r="U235" i="1"/>
  <c r="Q214" i="1"/>
  <c r="V108" i="1"/>
  <c r="S49" i="1"/>
  <c r="V67" i="1"/>
  <c r="U61" i="1"/>
  <c r="U137" i="1"/>
  <c r="Q66" i="1"/>
  <c r="R61" i="1"/>
  <c r="W314" i="1"/>
  <c r="U240" i="1"/>
  <c r="T326" i="1"/>
  <c r="X137" i="1"/>
  <c r="T328" i="1"/>
  <c r="X90" i="1"/>
  <c r="U328" i="1"/>
  <c r="R235" i="1"/>
  <c r="U130" i="1"/>
  <c r="W102" i="1"/>
  <c r="U325" i="1"/>
  <c r="U333" i="1"/>
  <c r="T332" i="1"/>
  <c r="V95" i="1"/>
  <c r="W40" i="1"/>
  <c r="T311" i="1"/>
  <c r="V253" i="1"/>
  <c r="Q88" i="1"/>
  <c r="Q237" i="1"/>
  <c r="T67" i="1"/>
  <c r="U50" i="1"/>
  <c r="Q182" i="1"/>
  <c r="V74" i="1"/>
  <c r="Q252" i="1"/>
  <c r="V235" i="1"/>
  <c r="V326" i="1"/>
  <c r="Q169" i="1"/>
  <c r="Q278" i="1"/>
  <c r="Q244" i="1"/>
  <c r="X328" i="1"/>
  <c r="U73" i="1"/>
  <c r="T130" i="1"/>
  <c r="S221" i="1"/>
  <c r="Q232" i="1"/>
  <c r="W293" i="1"/>
  <c r="X320" i="1"/>
  <c r="T40" i="1"/>
  <c r="X88" i="1"/>
  <c r="R91" i="1"/>
  <c r="X28" i="1"/>
  <c r="S235" i="1"/>
  <c r="S323" i="1"/>
  <c r="T143" i="1"/>
  <c r="F40" i="21" s="1"/>
  <c r="W90" i="1"/>
  <c r="I31" i="21" s="1"/>
  <c r="V129" i="1"/>
  <c r="W36" i="1"/>
  <c r="Q315" i="1"/>
  <c r="X235" i="1"/>
  <c r="X329" i="1"/>
  <c r="Q288" i="1"/>
  <c r="Q183" i="1"/>
  <c r="W334" i="1"/>
  <c r="S90" i="1"/>
  <c r="E31" i="21" s="1"/>
  <c r="U79" i="1"/>
  <c r="U329" i="1"/>
  <c r="S285" i="1"/>
  <c r="Q319" i="1"/>
  <c r="X102" i="1"/>
  <c r="T88" i="1"/>
  <c r="Q228" i="1"/>
  <c r="W325" i="1"/>
  <c r="X108" i="1"/>
  <c r="R41" i="1"/>
  <c r="Q217" i="1"/>
  <c r="X94" i="1"/>
  <c r="Q56" i="1"/>
  <c r="R153" i="1"/>
  <c r="X321" i="1"/>
  <c r="Q263" i="1"/>
  <c r="W101" i="1"/>
  <c r="X334" i="1"/>
  <c r="X253" i="1"/>
  <c r="R116" i="1"/>
  <c r="R94" i="1"/>
  <c r="Q210" i="1"/>
  <c r="Q158" i="1"/>
  <c r="V332" i="1"/>
  <c r="W324" i="1"/>
  <c r="T61" i="1"/>
  <c r="X116" i="1"/>
  <c r="X130" i="1"/>
  <c r="U128" i="1"/>
  <c r="X293" i="1"/>
  <c r="U108" i="1"/>
  <c r="T73" i="1"/>
  <c r="V56" i="1"/>
  <c r="W321" i="1"/>
  <c r="V90" i="1"/>
  <c r="H31" i="21" s="1"/>
  <c r="Q188" i="1"/>
  <c r="W137" i="1"/>
  <c r="Q42" i="1"/>
  <c r="U36" i="1"/>
  <c r="T129" i="1"/>
  <c r="Q191" i="1"/>
  <c r="S259" i="1"/>
  <c r="X37" i="1"/>
  <c r="Q290" i="1"/>
  <c r="Q296" i="1"/>
  <c r="T101" i="1"/>
  <c r="Q249" i="1"/>
  <c r="T331" i="1"/>
  <c r="T102" i="1"/>
  <c r="U74" i="1"/>
  <c r="S321" i="1"/>
  <c r="U90" i="1"/>
  <c r="G31" i="21" s="1"/>
  <c r="X311" i="1"/>
  <c r="Q250" i="1"/>
  <c r="V84" i="1"/>
  <c r="W81" i="1"/>
  <c r="S129" i="1"/>
  <c r="W42" i="1"/>
  <c r="W91" i="1"/>
  <c r="V156" i="1"/>
  <c r="U316" i="1"/>
  <c r="Q130" i="1"/>
  <c r="S80" i="1"/>
  <c r="Q199" i="1"/>
  <c r="X44" i="1"/>
  <c r="Q200" i="1"/>
  <c r="S137" i="1"/>
  <c r="V42" i="1"/>
  <c r="W35" i="1"/>
  <c r="S130" i="1"/>
  <c r="R240" i="1"/>
  <c r="S82" i="1"/>
  <c r="Q286" i="1"/>
  <c r="Q322" i="1"/>
  <c r="T41" i="1"/>
  <c r="R66" i="1"/>
  <c r="T128" i="1"/>
  <c r="T81" i="1"/>
  <c r="S36" i="1"/>
  <c r="W153" i="1"/>
  <c r="S326" i="1"/>
  <c r="W61" i="1"/>
  <c r="R324" i="1"/>
  <c r="X319" i="1"/>
  <c r="U48" i="1"/>
  <c r="U116" i="1"/>
  <c r="W73" i="1"/>
  <c r="R95" i="1"/>
  <c r="S316" i="1"/>
  <c r="W156" i="1"/>
  <c r="Q61" i="1"/>
  <c r="R73" i="1"/>
  <c r="U102" i="1"/>
  <c r="R56" i="1"/>
  <c r="V80" i="1"/>
  <c r="R42" i="1"/>
  <c r="R90" i="1"/>
  <c r="X49" i="1"/>
  <c r="X95" i="1"/>
  <c r="U66" i="1"/>
  <c r="Q196" i="1"/>
  <c r="Q204" i="1"/>
  <c r="U67" i="1"/>
  <c r="T44" i="1"/>
  <c r="R44" i="1"/>
  <c r="U42" i="1"/>
  <c r="W130" i="1"/>
  <c r="X129" i="1"/>
  <c r="W84" i="1"/>
  <c r="Q264" i="1"/>
  <c r="R102" i="1"/>
  <c r="S91" i="1"/>
  <c r="V102" i="1"/>
  <c r="T37" i="1"/>
  <c r="R129" i="1"/>
  <c r="S74" i="1"/>
  <c r="Q35" i="1"/>
  <c r="V59" i="1"/>
  <c r="R84" i="1"/>
  <c r="S73" i="1"/>
  <c r="W49" i="1"/>
  <c r="S48" i="1"/>
  <c r="S59" i="1"/>
  <c r="S61" i="1"/>
  <c r="Q81" i="1"/>
  <c r="W74" i="1"/>
  <c r="X323" i="1"/>
  <c r="Q176" i="1"/>
  <c r="W235" i="1"/>
  <c r="U129" i="1"/>
  <c r="X35" i="1"/>
  <c r="X73" i="1"/>
  <c r="T36" i="1"/>
  <c r="U82" i="1"/>
  <c r="U49" i="1"/>
  <c r="Q28" i="1"/>
  <c r="Q44" i="1"/>
  <c r="W28" i="1"/>
  <c r="S84" i="1"/>
  <c r="R88" i="1"/>
  <c r="Q271" i="1"/>
  <c r="Q260" i="1"/>
  <c r="X50" i="1"/>
  <c r="T48" i="1"/>
  <c r="V36" i="1"/>
  <c r="V44" i="1"/>
  <c r="V137" i="1"/>
  <c r="W41" i="1"/>
  <c r="Q122" i="1"/>
  <c r="Q83" i="1"/>
  <c r="U41" i="1"/>
  <c r="T66" i="1"/>
  <c r="T95" i="1"/>
  <c r="X42" i="1"/>
  <c r="U91" i="1"/>
  <c r="V48" i="1"/>
  <c r="Q48" i="1"/>
  <c r="Q218" i="1"/>
  <c r="Q59" i="1"/>
  <c r="R297" i="1"/>
  <c r="T56" i="1"/>
  <c r="S79" i="1"/>
  <c r="W108" i="1"/>
  <c r="V35" i="1"/>
  <c r="S35" i="1"/>
  <c r="S56" i="1"/>
  <c r="Q73" i="1"/>
  <c r="T84" i="1"/>
  <c r="S88" i="1"/>
  <c r="T49" i="1"/>
  <c r="U37" i="1"/>
  <c r="T35" i="1"/>
  <c r="W59" i="1"/>
  <c r="U44" i="1"/>
  <c r="Q202" i="1"/>
  <c r="R50" i="1"/>
  <c r="V41" i="1"/>
  <c r="S40" i="1"/>
  <c r="R37" i="1"/>
  <c r="Q303" i="1"/>
  <c r="S66" i="1"/>
  <c r="T50" i="1"/>
  <c r="T79" i="1"/>
  <c r="S42" i="1"/>
  <c r="S50" i="1"/>
  <c r="W80" i="1"/>
  <c r="U28" i="1"/>
  <c r="W332" i="1"/>
  <c r="S28" i="1"/>
  <c r="V61" i="1"/>
  <c r="T91" i="1"/>
  <c r="V50" i="1"/>
  <c r="S67" i="1"/>
  <c r="W95" i="1"/>
  <c r="Q208" i="1"/>
  <c r="V28" i="1"/>
  <c r="V37" i="1"/>
  <c r="Q40" i="1"/>
  <c r="U84" i="1"/>
  <c r="T153" i="1"/>
  <c r="X153" i="1"/>
  <c r="S108" i="1"/>
  <c r="U143" i="1"/>
  <c r="G40" i="21" s="1"/>
  <c r="R40" i="1"/>
  <c r="X82" i="1"/>
  <c r="Q36" i="1"/>
  <c r="V40" i="1"/>
  <c r="X80" i="1"/>
  <c r="R80" i="1"/>
  <c r="R48" i="1"/>
  <c r="Q184" i="1"/>
  <c r="Q102" i="1"/>
  <c r="W37" i="1"/>
  <c r="Q50" i="1"/>
  <c r="W79" i="1"/>
  <c r="Q137" i="1"/>
  <c r="X36" i="1"/>
  <c r="W88" i="1"/>
  <c r="T137" i="1"/>
  <c r="Q213" i="1"/>
  <c r="S101" i="1"/>
  <c r="T59" i="1"/>
  <c r="U156" i="1"/>
  <c r="X101" i="1"/>
  <c r="X79" i="1"/>
  <c r="T90" i="1"/>
  <c r="F31" i="21" s="1"/>
  <c r="S95" i="1"/>
  <c r="X143" i="1"/>
  <c r="X59" i="1"/>
  <c r="S81" i="1"/>
  <c r="X48" i="1"/>
  <c r="X74" i="1"/>
  <c r="U81" i="1"/>
  <c r="T42" i="1"/>
  <c r="W143" i="1"/>
  <c r="I40" i="21" s="1"/>
  <c r="S240" i="1"/>
  <c r="Q167" i="1"/>
  <c r="R81" i="1"/>
  <c r="R35" i="1"/>
  <c r="W44" i="1"/>
  <c r="Y102" i="1" l="1"/>
  <c r="Y137" i="1"/>
  <c r="Y84" i="1"/>
  <c r="Y48" i="1"/>
  <c r="Y44" i="1"/>
  <c r="Y88" i="1"/>
  <c r="Y66" i="1"/>
  <c r="Y235" i="1"/>
  <c r="Y37" i="1"/>
  <c r="Y91" i="1"/>
  <c r="Y293" i="1"/>
  <c r="Y50" i="1"/>
  <c r="Y40" i="1"/>
  <c r="Y130" i="1"/>
  <c r="Y42" i="1"/>
  <c r="Y221" i="1"/>
  <c r="Y128" i="1"/>
  <c r="Y67" i="1"/>
  <c r="Y73" i="1"/>
  <c r="Y59" i="1"/>
  <c r="Y35" i="1"/>
  <c r="Y108" i="1"/>
  <c r="Y80" i="1"/>
  <c r="Y94" i="1"/>
  <c r="Y74" i="1"/>
  <c r="Y297" i="1"/>
  <c r="Y81" i="1"/>
  <c r="Y61" i="1"/>
  <c r="Y56" i="1"/>
  <c r="Y79" i="1"/>
  <c r="Y41" i="1"/>
  <c r="Y101" i="1"/>
  <c r="Y82" i="1"/>
  <c r="D31" i="21"/>
  <c r="D34" i="21"/>
  <c r="D22" i="21"/>
  <c r="D40" i="21"/>
  <c r="Z235" i="1"/>
  <c r="Z293" i="1"/>
  <c r="Z221" i="1"/>
  <c r="Z297" i="1"/>
  <c r="D44" i="21"/>
  <c r="F44" i="21"/>
  <c r="G44" i="21"/>
  <c r="H44" i="21"/>
  <c r="E44" i="21"/>
  <c r="I44" i="21"/>
  <c r="I25" i="21"/>
  <c r="E34" i="21"/>
  <c r="G29" i="21"/>
  <c r="E29" i="21"/>
  <c r="I22" i="21"/>
  <c r="F38" i="21"/>
  <c r="E38" i="21"/>
  <c r="E25" i="21"/>
  <c r="G22" i="21"/>
  <c r="F34" i="21"/>
  <c r="F25" i="21"/>
  <c r="E30" i="21"/>
  <c r="I29" i="21"/>
  <c r="H38" i="21"/>
  <c r="E22" i="21"/>
  <c r="G25" i="21"/>
  <c r="H25" i="21"/>
  <c r="G38" i="21"/>
  <c r="H30" i="21"/>
  <c r="G34" i="21"/>
  <c r="F30" i="21"/>
  <c r="I34" i="21"/>
  <c r="G30" i="21"/>
  <c r="F22" i="21"/>
  <c r="F29" i="21"/>
  <c r="H34" i="21"/>
  <c r="H29" i="21"/>
  <c r="I30" i="21"/>
  <c r="I38" i="21"/>
  <c r="H22" i="21"/>
  <c r="D29" i="21"/>
  <c r="D30" i="21"/>
  <c r="D38" i="21"/>
  <c r="D25" i="21"/>
  <c r="C25" i="21"/>
  <c r="C22" i="21"/>
  <c r="C29" i="21"/>
  <c r="C30" i="21"/>
  <c r="C38" i="21"/>
  <c r="J30" i="21" l="1"/>
  <c r="J29" i="21"/>
  <c r="J38" i="21"/>
  <c r="J25" i="21"/>
  <c r="J22" i="21"/>
  <c r="AL329" i="1" l="1"/>
  <c r="AL330" i="1"/>
  <c r="AL331" i="1"/>
  <c r="AL332" i="1"/>
  <c r="AL333" i="1"/>
  <c r="AL334" i="1"/>
  <c r="Y331" i="29" l="1"/>
  <c r="Z331" i="29"/>
  <c r="Z328" i="29"/>
  <c r="Y328" i="29"/>
  <c r="Y334" i="29"/>
  <c r="Z334" i="29"/>
  <c r="Z333" i="29"/>
  <c r="Y333" i="29"/>
  <c r="Z330" i="29"/>
  <c r="Y330" i="29"/>
  <c r="Y332" i="29"/>
  <c r="Z332" i="29"/>
  <c r="Y329" i="29"/>
  <c r="Z329" i="29"/>
  <c r="Q18" i="29" l="1"/>
  <c r="R18" i="29"/>
  <c r="S18" i="29"/>
  <c r="T18" i="29"/>
  <c r="U18" i="29"/>
  <c r="V18" i="29"/>
  <c r="W18" i="29"/>
  <c r="V17" i="29" s="1"/>
  <c r="W17" i="1"/>
  <c r="W18" i="1"/>
  <c r="U17" i="29" l="1"/>
  <c r="T17" i="29" s="1"/>
  <c r="S17" i="29" s="1"/>
  <c r="R17" i="29" s="1"/>
  <c r="Q17" i="29" s="1"/>
  <c r="P17" i="29" s="1"/>
  <c r="O17" i="29" s="1"/>
  <c r="N17" i="29" s="1"/>
  <c r="M17" i="29" s="1"/>
  <c r="L17" i="29" s="1"/>
  <c r="K17" i="29" s="1"/>
  <c r="J17" i="29" s="1"/>
  <c r="I17" i="29" s="1"/>
  <c r="H17" i="29" s="1"/>
  <c r="V17" i="1"/>
  <c r="I5" i="8"/>
  <c r="R18" i="1"/>
  <c r="S18" i="1"/>
  <c r="E5" i="8" s="1"/>
  <c r="T18" i="1"/>
  <c r="F5" i="8" s="1"/>
  <c r="U18" i="1"/>
  <c r="G5" i="8" s="1"/>
  <c r="V18" i="1"/>
  <c r="Q18" i="1"/>
  <c r="V16" i="1"/>
  <c r="W16" i="1"/>
  <c r="U16" i="1"/>
  <c r="T16" i="1"/>
  <c r="S16" i="1"/>
  <c r="Q16" i="1"/>
  <c r="Q14" i="29"/>
  <c r="W22" i="29"/>
  <c r="V22" i="29"/>
  <c r="U22" i="29"/>
  <c r="T22" i="29"/>
  <c r="S22" i="29"/>
  <c r="R22" i="29"/>
  <c r="Q22" i="29"/>
  <c r="P22" i="29"/>
  <c r="O22" i="29"/>
  <c r="N22" i="29"/>
  <c r="M22" i="29"/>
  <c r="L22" i="29"/>
  <c r="K22" i="29"/>
  <c r="J22" i="29"/>
  <c r="I22" i="29"/>
  <c r="H22" i="29"/>
  <c r="G22" i="29"/>
  <c r="F22" i="29"/>
  <c r="P20" i="29"/>
  <c r="O20" i="29"/>
  <c r="N20" i="29"/>
  <c r="M20" i="29"/>
  <c r="L20" i="29"/>
  <c r="K20" i="29"/>
  <c r="J20" i="29"/>
  <c r="I20" i="29"/>
  <c r="H20" i="29"/>
  <c r="G20" i="29"/>
  <c r="F20" i="29"/>
  <c r="R2" i="29"/>
  <c r="Q357" i="1" l="1"/>
  <c r="R14" i="29"/>
  <c r="G17" i="29"/>
  <c r="F17" i="29" s="1"/>
  <c r="H16" i="29"/>
  <c r="R272" i="1"/>
  <c r="R286" i="1"/>
  <c r="R250" i="1"/>
  <c r="R290" i="1"/>
  <c r="R304" i="1"/>
  <c r="R264" i="1"/>
  <c r="R296" i="1"/>
  <c r="R289" i="1"/>
  <c r="R237" i="1"/>
  <c r="R267" i="1"/>
  <c r="R232" i="1"/>
  <c r="R291" i="1"/>
  <c r="R292" i="1"/>
  <c r="R287" i="1"/>
  <c r="R238" i="1"/>
  <c r="R247" i="1"/>
  <c r="R234" i="1"/>
  <c r="R283" i="1"/>
  <c r="R245" i="1"/>
  <c r="R315" i="1"/>
  <c r="R249" i="1"/>
  <c r="R262" i="1"/>
  <c r="R260" i="1"/>
  <c r="R273" i="1"/>
  <c r="R270" i="1"/>
  <c r="R261" i="1"/>
  <c r="R294" i="1"/>
  <c r="R300" i="1"/>
  <c r="R263" i="1"/>
  <c r="R244" i="1"/>
  <c r="R255" i="1"/>
  <c r="R299" i="1"/>
  <c r="R205" i="1"/>
  <c r="R243" i="1"/>
  <c r="R200" i="1"/>
  <c r="R195" i="1"/>
  <c r="R202" i="1"/>
  <c r="R207" i="1"/>
  <c r="R188" i="1"/>
  <c r="R180" i="1"/>
  <c r="R191" i="1"/>
  <c r="R295" i="1"/>
  <c r="R216" i="1"/>
  <c r="R266" i="1"/>
  <c r="R248" i="1"/>
  <c r="R224" i="1"/>
  <c r="R229" i="1"/>
  <c r="R226" i="1"/>
  <c r="R217" i="1"/>
  <c r="R189" i="1"/>
  <c r="R99" i="1"/>
  <c r="R204" i="1"/>
  <c r="R118" i="1"/>
  <c r="R132" i="1"/>
  <c r="R109" i="1"/>
  <c r="R177" i="1"/>
  <c r="R210" i="1"/>
  <c r="R206" i="1"/>
  <c r="R212" i="1"/>
  <c r="R219" i="1"/>
  <c r="R196" i="1"/>
  <c r="R222" i="1"/>
  <c r="R185" i="1"/>
  <c r="R186" i="1"/>
  <c r="R218" i="1"/>
  <c r="R124" i="1"/>
  <c r="R127" i="1"/>
  <c r="R215" i="1"/>
  <c r="R154" i="1"/>
  <c r="R162" i="1"/>
  <c r="R220" i="1"/>
  <c r="R181" i="1"/>
  <c r="R125" i="1"/>
  <c r="R227" i="1"/>
  <c r="R208" i="1"/>
  <c r="R214" i="1"/>
  <c r="R193" i="1"/>
  <c r="R105" i="1"/>
  <c r="R175" i="1"/>
  <c r="R258" i="1"/>
  <c r="R183" i="1"/>
  <c r="R46" i="1"/>
  <c r="R172" i="1"/>
  <c r="R62" i="1"/>
  <c r="R197" i="1"/>
  <c r="R126" i="1"/>
  <c r="R25" i="1"/>
  <c r="R178" i="1"/>
  <c r="R54" i="1"/>
  <c r="R148" i="1"/>
  <c r="R288" i="1"/>
  <c r="R192" i="1"/>
  <c r="R155" i="1"/>
  <c r="R117" i="1"/>
  <c r="R179" i="1"/>
  <c r="R147" i="1"/>
  <c r="R151" i="1"/>
  <c r="R176" i="1"/>
  <c r="R228" i="1"/>
  <c r="R199" i="1"/>
  <c r="R213" i="1"/>
  <c r="R269" i="1"/>
  <c r="R239" i="1"/>
  <c r="R29" i="1"/>
  <c r="R30" i="1"/>
  <c r="R190" i="1"/>
  <c r="R45" i="1"/>
  <c r="R133" i="1"/>
  <c r="R184" i="1"/>
  <c r="R157" i="1"/>
  <c r="R201" i="1"/>
  <c r="R158" i="1"/>
  <c r="R33" i="1"/>
  <c r="R20" i="29"/>
  <c r="R75" i="1"/>
  <c r="R77" i="1"/>
  <c r="R58" i="1"/>
  <c r="R72" i="1"/>
  <c r="R31" i="1"/>
  <c r="R98" i="1"/>
  <c r="R52" i="1"/>
  <c r="R92" i="1"/>
  <c r="R27" i="1"/>
  <c r="R209" i="1"/>
  <c r="R93" i="1"/>
  <c r="R43" i="1"/>
  <c r="R115" i="1"/>
  <c r="R38" i="1"/>
  <c r="R26" i="1"/>
  <c r="R86" i="1"/>
  <c r="Q277" i="1"/>
  <c r="Q132" i="1"/>
  <c r="Q123" i="1"/>
  <c r="D5" i="8"/>
  <c r="C5" i="8"/>
  <c r="U17" i="1"/>
  <c r="T17" i="1" s="1"/>
  <c r="S17" i="1" s="1"/>
  <c r="H5" i="8"/>
  <c r="S2" i="29"/>
  <c r="AH21" i="1"/>
  <c r="M20" i="6"/>
  <c r="M21" i="6"/>
  <c r="M22" i="6"/>
  <c r="M23" i="6"/>
  <c r="M24" i="6"/>
  <c r="M25" i="6"/>
  <c r="M26" i="6"/>
  <c r="M27" i="6"/>
  <c r="M28" i="6"/>
  <c r="M29" i="6"/>
  <c r="M30" i="6"/>
  <c r="M31" i="6"/>
  <c r="M32" i="6"/>
  <c r="M33" i="6"/>
  <c r="M34" i="6"/>
  <c r="M35" i="6"/>
  <c r="M36" i="6"/>
  <c r="M37" i="6"/>
  <c r="M38" i="6"/>
  <c r="M39" i="6"/>
  <c r="M40" i="6"/>
  <c r="M41" i="6"/>
  <c r="M42" i="6"/>
  <c r="M43" i="6"/>
  <c r="M44" i="6"/>
  <c r="M45" i="6"/>
  <c r="M46" i="6"/>
  <c r="M47" i="6"/>
  <c r="M48" i="6"/>
  <c r="M49" i="6"/>
  <c r="M50" i="6"/>
  <c r="M51" i="6"/>
  <c r="M52" i="6"/>
  <c r="M53" i="6"/>
  <c r="M54" i="6"/>
  <c r="M55" i="6"/>
  <c r="M56" i="6"/>
  <c r="M57" i="6"/>
  <c r="M58" i="6"/>
  <c r="M59" i="6"/>
  <c r="M60" i="6"/>
  <c r="M61" i="6"/>
  <c r="M62" i="6"/>
  <c r="M63" i="6"/>
  <c r="M64" i="6"/>
  <c r="M65" i="6"/>
  <c r="M66" i="6"/>
  <c r="M67" i="6"/>
  <c r="M68" i="6"/>
  <c r="M69" i="6"/>
  <c r="M70" i="6"/>
  <c r="M71" i="6"/>
  <c r="M72" i="6"/>
  <c r="M73" i="6"/>
  <c r="M74" i="6"/>
  <c r="M75" i="6"/>
  <c r="M76" i="6"/>
  <c r="M77" i="6"/>
  <c r="M78" i="6"/>
  <c r="M79" i="6"/>
  <c r="M80" i="6"/>
  <c r="M81" i="6"/>
  <c r="M82" i="6"/>
  <c r="M83" i="6"/>
  <c r="M84" i="6"/>
  <c r="M85" i="6"/>
  <c r="M86" i="6"/>
  <c r="M87" i="6"/>
  <c r="M88" i="6"/>
  <c r="M89" i="6"/>
  <c r="M90" i="6"/>
  <c r="M91" i="6"/>
  <c r="M92" i="6"/>
  <c r="M93" i="6"/>
  <c r="M94" i="6"/>
  <c r="M95" i="6"/>
  <c r="M96" i="6"/>
  <c r="M97" i="6"/>
  <c r="M98" i="6"/>
  <c r="M99" i="6"/>
  <c r="M100" i="6"/>
  <c r="M101" i="6"/>
  <c r="M102" i="6"/>
  <c r="M103" i="6"/>
  <c r="M104" i="6"/>
  <c r="M105" i="6"/>
  <c r="M106" i="6"/>
  <c r="M107" i="6"/>
  <c r="M108" i="6"/>
  <c r="M109" i="6"/>
  <c r="M110" i="6"/>
  <c r="M111" i="6"/>
  <c r="M112" i="6"/>
  <c r="M113" i="6"/>
  <c r="M114" i="6"/>
  <c r="M115" i="6"/>
  <c r="M116" i="6"/>
  <c r="M117" i="6"/>
  <c r="M118" i="6"/>
  <c r="M119" i="6"/>
  <c r="M120" i="6"/>
  <c r="M121" i="6"/>
  <c r="M122" i="6"/>
  <c r="M123" i="6"/>
  <c r="M124" i="6"/>
  <c r="M125" i="6"/>
  <c r="M126" i="6"/>
  <c r="M127" i="6"/>
  <c r="M128" i="6"/>
  <c r="M129" i="6"/>
  <c r="M130" i="6"/>
  <c r="M131" i="6"/>
  <c r="M132" i="6"/>
  <c r="M133" i="6"/>
  <c r="M134" i="6"/>
  <c r="M135" i="6"/>
  <c r="M136" i="6"/>
  <c r="M137" i="6"/>
  <c r="M138" i="6"/>
  <c r="M139" i="6"/>
  <c r="M140" i="6"/>
  <c r="M141" i="6"/>
  <c r="M142" i="6"/>
  <c r="M143" i="6"/>
  <c r="M144" i="6"/>
  <c r="M145" i="6"/>
  <c r="M146" i="6"/>
  <c r="M147" i="6"/>
  <c r="M148" i="6"/>
  <c r="M149" i="6"/>
  <c r="M150" i="6"/>
  <c r="M151" i="6"/>
  <c r="M152" i="6"/>
  <c r="M153" i="6"/>
  <c r="M154" i="6"/>
  <c r="M155" i="6"/>
  <c r="M156" i="6"/>
  <c r="M157" i="6"/>
  <c r="M158" i="6"/>
  <c r="M159" i="6"/>
  <c r="M160" i="6"/>
  <c r="M161" i="6"/>
  <c r="M162" i="6"/>
  <c r="M163" i="6"/>
  <c r="M164" i="6"/>
  <c r="M165" i="6"/>
  <c r="M166" i="6"/>
  <c r="M167" i="6"/>
  <c r="M168" i="6"/>
  <c r="M169" i="6"/>
  <c r="M170" i="6"/>
  <c r="M171" i="6"/>
  <c r="M172" i="6"/>
  <c r="M173" i="6"/>
  <c r="M174" i="6"/>
  <c r="M175" i="6"/>
  <c r="M176" i="6"/>
  <c r="M177" i="6"/>
  <c r="M178" i="6"/>
  <c r="M179" i="6"/>
  <c r="M180" i="6"/>
  <c r="M181" i="6"/>
  <c r="M182" i="6"/>
  <c r="M183" i="6"/>
  <c r="M184" i="6"/>
  <c r="M185" i="6"/>
  <c r="M186" i="6"/>
  <c r="M187" i="6"/>
  <c r="M188" i="6"/>
  <c r="M189" i="6"/>
  <c r="M190" i="6"/>
  <c r="M191" i="6"/>
  <c r="M192" i="6"/>
  <c r="M193" i="6"/>
  <c r="M194" i="6"/>
  <c r="M195" i="6"/>
  <c r="M196" i="6"/>
  <c r="M197" i="6"/>
  <c r="M198" i="6"/>
  <c r="M199" i="6"/>
  <c r="M200" i="6"/>
  <c r="M201" i="6"/>
  <c r="M202" i="6"/>
  <c r="M203" i="6"/>
  <c r="M204" i="6"/>
  <c r="M205" i="6"/>
  <c r="M206" i="6"/>
  <c r="M207" i="6"/>
  <c r="M208" i="6"/>
  <c r="M209" i="6"/>
  <c r="M210" i="6"/>
  <c r="M211" i="6"/>
  <c r="M212" i="6"/>
  <c r="M213" i="6"/>
  <c r="M214" i="6"/>
  <c r="M215" i="6"/>
  <c r="M216" i="6"/>
  <c r="M217" i="6"/>
  <c r="M218" i="6"/>
  <c r="M219" i="6"/>
  <c r="M220" i="6"/>
  <c r="M221" i="6"/>
  <c r="M222" i="6"/>
  <c r="M223" i="6"/>
  <c r="M224" i="6"/>
  <c r="M225" i="6"/>
  <c r="M226" i="6"/>
  <c r="M227" i="6"/>
  <c r="M228" i="6"/>
  <c r="M229" i="6"/>
  <c r="M230" i="6"/>
  <c r="M231" i="6"/>
  <c r="M232" i="6"/>
  <c r="M233" i="6"/>
  <c r="M234" i="6"/>
  <c r="M235" i="6"/>
  <c r="M236" i="6"/>
  <c r="M237" i="6"/>
  <c r="M238" i="6"/>
  <c r="M239" i="6"/>
  <c r="M240" i="6"/>
  <c r="M241" i="6"/>
  <c r="M242" i="6"/>
  <c r="M243" i="6"/>
  <c r="M244" i="6"/>
  <c r="M245" i="6"/>
  <c r="M246" i="6"/>
  <c r="M247" i="6"/>
  <c r="M248" i="6"/>
  <c r="M249" i="6"/>
  <c r="M250" i="6"/>
  <c r="M251" i="6"/>
  <c r="M252" i="6"/>
  <c r="M253" i="6"/>
  <c r="M254" i="6"/>
  <c r="M255" i="6"/>
  <c r="M256" i="6"/>
  <c r="M257" i="6"/>
  <c r="M258" i="6"/>
  <c r="M259" i="6"/>
  <c r="M260" i="6"/>
  <c r="M261" i="6"/>
  <c r="M262" i="6"/>
  <c r="M263" i="6"/>
  <c r="M264" i="6"/>
  <c r="M265" i="6"/>
  <c r="M266" i="6"/>
  <c r="M267" i="6"/>
  <c r="M268" i="6"/>
  <c r="M269" i="6"/>
  <c r="M270" i="6"/>
  <c r="M271" i="6"/>
  <c r="M272" i="6"/>
  <c r="M273" i="6"/>
  <c r="M274" i="6"/>
  <c r="M275" i="6"/>
  <c r="M276" i="6"/>
  <c r="M277" i="6"/>
  <c r="M278" i="6"/>
  <c r="M279" i="6"/>
  <c r="M280" i="6"/>
  <c r="M281" i="6"/>
  <c r="M282" i="6"/>
  <c r="M283" i="6"/>
  <c r="M284" i="6"/>
  <c r="M285" i="6"/>
  <c r="M286" i="6"/>
  <c r="M19" i="6"/>
  <c r="AK23" i="1"/>
  <c r="S14" i="29" l="1"/>
  <c r="T14" i="29" s="1"/>
  <c r="U14" i="29" s="1"/>
  <c r="V14" i="29" s="1"/>
  <c r="W14" i="29" s="1"/>
  <c r="X14" i="29" s="1"/>
  <c r="R23" i="1"/>
  <c r="D24" i="21"/>
  <c r="D37" i="21"/>
  <c r="D33" i="21"/>
  <c r="D28" i="21"/>
  <c r="D42" i="21"/>
  <c r="D23" i="21"/>
  <c r="G16" i="29"/>
  <c r="F16" i="29" s="1"/>
  <c r="R357" i="1"/>
  <c r="R358" i="1"/>
  <c r="D21" i="21"/>
  <c r="D20" i="21"/>
  <c r="D32" i="21"/>
  <c r="D27" i="21"/>
  <c r="D26" i="21"/>
  <c r="D35" i="21"/>
  <c r="D39" i="21"/>
  <c r="C39" i="21"/>
  <c r="S283" i="1"/>
  <c r="S300" i="1"/>
  <c r="S304" i="1"/>
  <c r="S228" i="1"/>
  <c r="S294" i="1"/>
  <c r="S218" i="1"/>
  <c r="S291" i="1"/>
  <c r="S209" i="1"/>
  <c r="S264" i="1"/>
  <c r="S309" i="1"/>
  <c r="S213" i="1"/>
  <c r="S202" i="1"/>
  <c r="S289" i="1"/>
  <c r="S216" i="1"/>
  <c r="S233" i="1"/>
  <c r="S287" i="1"/>
  <c r="S247" i="1"/>
  <c r="S206" i="1"/>
  <c r="S205" i="1"/>
  <c r="S191" i="1"/>
  <c r="S261" i="1"/>
  <c r="S231" i="1"/>
  <c r="S241" i="1"/>
  <c r="S207" i="1"/>
  <c r="S151" i="1"/>
  <c r="S290" i="1"/>
  <c r="S237" i="1"/>
  <c r="S139" i="1"/>
  <c r="S200" i="1"/>
  <c r="S160" i="1"/>
  <c r="S169" i="1"/>
  <c r="S224" i="1"/>
  <c r="S212" i="1"/>
  <c r="S248" i="1"/>
  <c r="S215" i="1"/>
  <c r="S220" i="1"/>
  <c r="S188" i="1"/>
  <c r="S210" i="1"/>
  <c r="S230" i="1"/>
  <c r="S227" i="1"/>
  <c r="S162" i="1"/>
  <c r="S239" i="1"/>
  <c r="S217" i="1"/>
  <c r="S255" i="1"/>
  <c r="S181" i="1"/>
  <c r="S257" i="1"/>
  <c r="S158" i="1"/>
  <c r="S186" i="1"/>
  <c r="S150" i="1"/>
  <c r="S222" i="1"/>
  <c r="S198" i="1"/>
  <c r="S147" i="1"/>
  <c r="S288" i="1"/>
  <c r="S171" i="1"/>
  <c r="S175" i="1"/>
  <c r="S201" i="1"/>
  <c r="S155" i="1"/>
  <c r="S174" i="1"/>
  <c r="S189" i="1"/>
  <c r="S167" i="1"/>
  <c r="S185" i="1"/>
  <c r="S172" i="1"/>
  <c r="S219" i="1"/>
  <c r="S154" i="1"/>
  <c r="S208" i="1"/>
  <c r="S99" i="1"/>
  <c r="S286" i="1"/>
  <c r="S258" i="1"/>
  <c r="S125" i="1"/>
  <c r="S121" i="1"/>
  <c r="S246" i="1"/>
  <c r="S197" i="1"/>
  <c r="S168" i="1"/>
  <c r="S269" i="1"/>
  <c r="S138" i="1"/>
  <c r="S204" i="1"/>
  <c r="S20" i="29"/>
  <c r="S23" i="1"/>
  <c r="S106" i="1"/>
  <c r="S77" i="1"/>
  <c r="S157" i="1"/>
  <c r="S127" i="1"/>
  <c r="S118" i="1"/>
  <c r="E33" i="21" s="1"/>
  <c r="S238" i="1"/>
  <c r="S140" i="1"/>
  <c r="S45" i="1"/>
  <c r="S173" i="1"/>
  <c r="S109" i="1"/>
  <c r="S31" i="1"/>
  <c r="S30" i="1"/>
  <c r="S214" i="1"/>
  <c r="S98" i="1"/>
  <c r="S83" i="1"/>
  <c r="S38" i="1"/>
  <c r="S148" i="1"/>
  <c r="S87" i="1"/>
  <c r="S115" i="1"/>
  <c r="S62" i="1"/>
  <c r="S51" i="1"/>
  <c r="S39" i="1"/>
  <c r="S71" i="1"/>
  <c r="S192" i="1"/>
  <c r="S72" i="1"/>
  <c r="S124" i="1"/>
  <c r="S65" i="1"/>
  <c r="S29" i="1"/>
  <c r="S93" i="1"/>
  <c r="S52" i="1"/>
  <c r="S120" i="1"/>
  <c r="S64" i="1"/>
  <c r="S32" i="1"/>
  <c r="S86" i="1"/>
  <c r="S89" i="1"/>
  <c r="S25" i="1"/>
  <c r="S43" i="1"/>
  <c r="S75" i="1"/>
  <c r="S58" i="1"/>
  <c r="S117" i="1"/>
  <c r="S119" i="1"/>
  <c r="S26" i="1"/>
  <c r="S33" i="1"/>
  <c r="S70" i="1"/>
  <c r="S24" i="1"/>
  <c r="S133" i="1"/>
  <c r="S184" i="1"/>
  <c r="S34" i="1"/>
  <c r="S54" i="1"/>
  <c r="S126" i="1"/>
  <c r="S69" i="1"/>
  <c r="S199" i="1"/>
  <c r="S63" i="1"/>
  <c r="S46" i="1"/>
  <c r="S112" i="1"/>
  <c r="S27" i="1"/>
  <c r="S262" i="1"/>
  <c r="S132" i="1"/>
  <c r="S57" i="1"/>
  <c r="R257" i="1"/>
  <c r="R149" i="1"/>
  <c r="R57" i="1"/>
  <c r="R277" i="1"/>
  <c r="R203" i="1"/>
  <c r="R170" i="1"/>
  <c r="R53" i="1"/>
  <c r="R17" i="1"/>
  <c r="T2" i="29"/>
  <c r="E21" i="21" l="1"/>
  <c r="E20" i="21"/>
  <c r="E19" i="21"/>
  <c r="E37" i="21"/>
  <c r="E32" i="21"/>
  <c r="E27" i="21"/>
  <c r="E26" i="21"/>
  <c r="E36" i="21"/>
  <c r="E24" i="21"/>
  <c r="E23" i="21"/>
  <c r="E43" i="21"/>
  <c r="E39" i="21"/>
  <c r="E42" i="21"/>
  <c r="E35" i="21"/>
  <c r="E28" i="21"/>
  <c r="Q17" i="1"/>
  <c r="S53" i="1"/>
  <c r="S170" i="1"/>
  <c r="R19" i="1"/>
  <c r="Q19" i="1"/>
  <c r="U2" i="29"/>
  <c r="AC76" i="1" l="1"/>
  <c r="AC47" i="1"/>
  <c r="P17" i="1"/>
  <c r="E45" i="21"/>
  <c r="T350" i="1"/>
  <c r="T348" i="1"/>
  <c r="U350" i="1"/>
  <c r="U347" i="1"/>
  <c r="U348" i="1"/>
  <c r="U349" i="1"/>
  <c r="T53" i="1"/>
  <c r="S19" i="1"/>
  <c r="V2" i="29"/>
  <c r="O17" i="1" l="1"/>
  <c r="AC103" i="1" s="1"/>
  <c r="V349" i="1"/>
  <c r="V347" i="1"/>
  <c r="V348" i="1"/>
  <c r="V350" i="1"/>
  <c r="W2" i="29"/>
  <c r="AM21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BB21" i="1"/>
  <c r="BC21" i="1"/>
  <c r="BD21" i="1"/>
  <c r="AL21" i="1"/>
  <c r="I24" i="58" l="1"/>
  <c r="I28" i="58"/>
  <c r="I30" i="58"/>
  <c r="I27" i="58"/>
  <c r="I25" i="58"/>
  <c r="I29" i="58"/>
  <c r="I26" i="58"/>
  <c r="I23" i="58"/>
  <c r="I31" i="58"/>
  <c r="N17" i="1"/>
  <c r="W347" i="1"/>
  <c r="W348" i="1"/>
  <c r="W349" i="1"/>
  <c r="W350" i="1"/>
  <c r="X2" i="29"/>
  <c r="I34" i="58" l="1"/>
  <c r="H24" i="58"/>
  <c r="H28" i="58"/>
  <c r="H23" i="58"/>
  <c r="H30" i="58"/>
  <c r="H27" i="58"/>
  <c r="H25" i="58"/>
  <c r="H29" i="58"/>
  <c r="H26" i="58"/>
  <c r="H31" i="58"/>
  <c r="M17" i="1"/>
  <c r="L17" i="1" s="1"/>
  <c r="K17" i="1" s="1"/>
  <c r="J17" i="1" s="1"/>
  <c r="I17" i="1" s="1"/>
  <c r="H17" i="1" s="1"/>
  <c r="G17" i="1" s="1"/>
  <c r="F17" i="1" s="1"/>
  <c r="AA47" i="1" s="1"/>
  <c r="AB47" i="1" s="1"/>
  <c r="T152" i="1"/>
  <c r="X349" i="1"/>
  <c r="X348" i="1"/>
  <c r="X347" i="1"/>
  <c r="X350" i="1"/>
  <c r="X275" i="1"/>
  <c r="X276" i="1"/>
  <c r="AA103" i="1" l="1"/>
  <c r="AB103" i="1" s="1"/>
  <c r="AA76" i="1"/>
  <c r="AB76" i="1" s="1"/>
  <c r="H34" i="58"/>
  <c r="F32" i="21"/>
  <c r="H32" i="21"/>
  <c r="I32" i="21"/>
  <c r="G32" i="21"/>
  <c r="V170" i="1" l="1"/>
  <c r="U53" i="1"/>
  <c r="U152" i="1"/>
  <c r="W53" i="1"/>
  <c r="V152" i="1"/>
  <c r="U170" i="1"/>
  <c r="V53" i="1"/>
  <c r="T170" i="1"/>
  <c r="W152" i="1"/>
  <c r="W170" i="1"/>
  <c r="F3" i="1" l="1"/>
  <c r="G3" i="1"/>
  <c r="H3" i="1"/>
  <c r="I3" i="1"/>
  <c r="J3" i="1"/>
  <c r="K3" i="1"/>
  <c r="L3" i="1"/>
  <c r="M3" i="1"/>
  <c r="N3" i="1"/>
  <c r="O3" i="1"/>
  <c r="U57" i="1" l="1"/>
  <c r="U214" i="1"/>
  <c r="U168" i="1"/>
  <c r="W160" i="1"/>
  <c r="U315" i="1"/>
  <c r="T51" i="1"/>
  <c r="V236" i="1"/>
  <c r="U51" i="1"/>
  <c r="W69" i="1"/>
  <c r="T246" i="1"/>
  <c r="U150" i="1"/>
  <c r="U260" i="1"/>
  <c r="T100" i="1"/>
  <c r="U241" i="1"/>
  <c r="X51" i="1"/>
  <c r="T230" i="1"/>
  <c r="W195" i="1"/>
  <c r="W301" i="1"/>
  <c r="U167" i="1"/>
  <c r="T24" i="1"/>
  <c r="U239" i="1"/>
  <c r="X169" i="1"/>
  <c r="U161" i="1"/>
  <c r="T39" i="1"/>
  <c r="U284" i="1"/>
  <c r="W279" i="1"/>
  <c r="X271" i="1"/>
  <c r="T223" i="1"/>
  <c r="W26" i="1"/>
  <c r="W197" i="1"/>
  <c r="U188" i="1"/>
  <c r="U278" i="1"/>
  <c r="X300" i="1"/>
  <c r="W317" i="1"/>
  <c r="W294" i="1"/>
  <c r="T138" i="1"/>
  <c r="F43" i="21" s="1"/>
  <c r="W201" i="1"/>
  <c r="T304" i="1"/>
  <c r="X229" i="1"/>
  <c r="X296" i="1"/>
  <c r="T178" i="1"/>
  <c r="T198" i="1"/>
  <c r="U257" i="1"/>
  <c r="X161" i="1"/>
  <c r="T144" i="1"/>
  <c r="V233" i="1"/>
  <c r="V126" i="1"/>
  <c r="V180" i="1"/>
  <c r="X246" i="1"/>
  <c r="X262" i="1"/>
  <c r="W224" i="1"/>
  <c r="U190" i="1"/>
  <c r="W207" i="1"/>
  <c r="T113" i="1"/>
  <c r="V109" i="1"/>
  <c r="T141" i="1"/>
  <c r="U83" i="1"/>
  <c r="X107" i="1"/>
  <c r="W72" i="1"/>
  <c r="W180" i="1"/>
  <c r="W300" i="1"/>
  <c r="U99" i="1"/>
  <c r="U163" i="1"/>
  <c r="V89" i="1"/>
  <c r="T135" i="1"/>
  <c r="W144" i="1"/>
  <c r="V263" i="1"/>
  <c r="W172" i="1"/>
  <c r="W168" i="1"/>
  <c r="W139" i="1"/>
  <c r="W121" i="1"/>
  <c r="V97" i="1"/>
  <c r="X250" i="1"/>
  <c r="T215" i="1"/>
  <c r="X45" i="1"/>
  <c r="W85" i="1"/>
  <c r="V202" i="1"/>
  <c r="U192" i="1"/>
  <c r="T188" i="1"/>
  <c r="X211" i="1"/>
  <c r="V223" i="1"/>
  <c r="W31" i="1"/>
  <c r="T147" i="1"/>
  <c r="X236" i="1"/>
  <c r="W32" i="1"/>
  <c r="V187" i="1"/>
  <c r="T305" i="1"/>
  <c r="T173" i="1"/>
  <c r="V241" i="1"/>
  <c r="V155" i="1"/>
  <c r="U212" i="1"/>
  <c r="T164" i="1"/>
  <c r="X52" i="1"/>
  <c r="W232" i="1"/>
  <c r="W304" i="1"/>
  <c r="U134" i="1"/>
  <c r="W223" i="1"/>
  <c r="W175" i="1"/>
  <c r="T238" i="1"/>
  <c r="U98" i="1"/>
  <c r="U93" i="1"/>
  <c r="V138" i="1"/>
  <c r="W255" i="1"/>
  <c r="X247" i="1"/>
  <c r="T206" i="1"/>
  <c r="T72" i="1"/>
  <c r="X173" i="1"/>
  <c r="T231" i="1"/>
  <c r="T75" i="1"/>
  <c r="U206" i="1"/>
  <c r="X83" i="1"/>
  <c r="W141" i="1"/>
  <c r="U182" i="1"/>
  <c r="U33" i="1"/>
  <c r="G24" i="21" s="1"/>
  <c r="T140" i="1"/>
  <c r="W241" i="1"/>
  <c r="W38" i="1"/>
  <c r="V146" i="1"/>
  <c r="X86" i="1"/>
  <c r="T184" i="1"/>
  <c r="W290" i="1"/>
  <c r="V172" i="1"/>
  <c r="W292" i="1"/>
  <c r="X288" i="1"/>
  <c r="X210" i="1"/>
  <c r="W138" i="1"/>
  <c r="T177" i="1"/>
  <c r="V230" i="1"/>
  <c r="U55" i="1"/>
  <c r="T150" i="1"/>
  <c r="T207" i="1"/>
  <c r="V279" i="1"/>
  <c r="U164" i="1"/>
  <c r="T63" i="1"/>
  <c r="U228" i="1"/>
  <c r="W176" i="1"/>
  <c r="V111" i="1"/>
  <c r="U307" i="1"/>
  <c r="X273" i="1"/>
  <c r="W210" i="1"/>
  <c r="U100" i="1"/>
  <c r="W186" i="1"/>
  <c r="V261" i="1"/>
  <c r="T142" i="1"/>
  <c r="X292" i="1"/>
  <c r="V226" i="1"/>
  <c r="U26" i="1"/>
  <c r="X105" i="1"/>
  <c r="X97" i="1"/>
  <c r="V86" i="1"/>
  <c r="V174" i="1"/>
  <c r="V200" i="1"/>
  <c r="X114" i="1"/>
  <c r="V231" i="1"/>
  <c r="W296" i="1"/>
  <c r="U213" i="1"/>
  <c r="V201" i="1"/>
  <c r="W237" i="1"/>
  <c r="V178" i="1"/>
  <c r="X138" i="1"/>
  <c r="X172" i="1"/>
  <c r="V24" i="1"/>
  <c r="U223" i="1"/>
  <c r="T127" i="1"/>
  <c r="U127" i="1"/>
  <c r="U207" i="1"/>
  <c r="W233" i="1"/>
  <c r="T205" i="1"/>
  <c r="T107" i="1"/>
  <c r="X195" i="1"/>
  <c r="W107" i="1"/>
  <c r="V284" i="1"/>
  <c r="U58" i="1"/>
  <c r="V27" i="1"/>
  <c r="U105" i="1"/>
  <c r="X184" i="1"/>
  <c r="W231" i="1"/>
  <c r="T199" i="1"/>
  <c r="U159" i="1"/>
  <c r="T175" i="1"/>
  <c r="T29" i="1"/>
  <c r="V194" i="1"/>
  <c r="X63" i="1"/>
  <c r="X119" i="1"/>
  <c r="X131" i="1"/>
  <c r="X147" i="1"/>
  <c r="T109" i="1"/>
  <c r="W206" i="1"/>
  <c r="V197" i="1"/>
  <c r="T70" i="1"/>
  <c r="U230" i="1"/>
  <c r="U160" i="1"/>
  <c r="V96" i="1"/>
  <c r="X308" i="1"/>
  <c r="V157" i="1"/>
  <c r="U197" i="1"/>
  <c r="W263" i="1"/>
  <c r="V46" i="1"/>
  <c r="X204" i="1"/>
  <c r="T200" i="1"/>
  <c r="X64" i="1"/>
  <c r="U258" i="1"/>
  <c r="V294" i="1"/>
  <c r="V62" i="1"/>
  <c r="H27" i="21" s="1"/>
  <c r="V225" i="1"/>
  <c r="V106" i="1"/>
  <c r="V30" i="1"/>
  <c r="U110" i="1"/>
  <c r="T300" i="1"/>
  <c r="W111" i="1"/>
  <c r="U176" i="1"/>
  <c r="W261" i="1"/>
  <c r="X307" i="1"/>
  <c r="X39" i="1"/>
  <c r="U283" i="1"/>
  <c r="V120" i="1"/>
  <c r="X110" i="1"/>
  <c r="X289" i="1"/>
  <c r="T71" i="1"/>
  <c r="V264" i="1"/>
  <c r="X187" i="1"/>
  <c r="T136" i="1"/>
  <c r="T209" i="1"/>
  <c r="X27" i="1"/>
  <c r="T83" i="1"/>
  <c r="V160" i="1"/>
  <c r="T256" i="1"/>
  <c r="X238" i="1"/>
  <c r="U24" i="1"/>
  <c r="U306" i="1"/>
  <c r="U154" i="1"/>
  <c r="X277" i="1"/>
  <c r="X54" i="1"/>
  <c r="X159" i="1"/>
  <c r="X294" i="1"/>
  <c r="X133" i="1"/>
  <c r="V132" i="1"/>
  <c r="U301" i="1"/>
  <c r="U121" i="1"/>
  <c r="X77" i="1"/>
  <c r="T132" i="1"/>
  <c r="W295" i="1"/>
  <c r="W225" i="1"/>
  <c r="T58" i="1"/>
  <c r="X68" i="1"/>
  <c r="V188" i="1"/>
  <c r="V247" i="1"/>
  <c r="T309" i="1"/>
  <c r="X166" i="1"/>
  <c r="V87" i="1"/>
  <c r="X193" i="1"/>
  <c r="W249" i="1"/>
  <c r="X284" i="1"/>
  <c r="U279" i="1"/>
  <c r="X43" i="1"/>
  <c r="V258" i="1"/>
  <c r="V54" i="1"/>
  <c r="X168" i="1"/>
  <c r="X305" i="1"/>
  <c r="V265" i="1"/>
  <c r="U46" i="1"/>
  <c r="V163" i="1"/>
  <c r="T214" i="1"/>
  <c r="X309" i="1"/>
  <c r="T288" i="1"/>
  <c r="X178" i="1"/>
  <c r="T237" i="1"/>
  <c r="U145" i="1"/>
  <c r="V26" i="1"/>
  <c r="T120" i="1"/>
  <c r="T169" i="1"/>
  <c r="X194" i="1"/>
  <c r="V33" i="1"/>
  <c r="H24" i="21" s="1"/>
  <c r="T87" i="1"/>
  <c r="V147" i="1"/>
  <c r="X278" i="1"/>
  <c r="W306" i="1"/>
  <c r="U308" i="1"/>
  <c r="T298" i="1"/>
  <c r="X258" i="1"/>
  <c r="X315" i="1"/>
  <c r="T99" i="1"/>
  <c r="X198" i="1"/>
  <c r="W270" i="1"/>
  <c r="W33" i="1"/>
  <c r="U189" i="1"/>
  <c r="V77" i="1"/>
  <c r="U125" i="1"/>
  <c r="V232" i="1"/>
  <c r="U142" i="1"/>
  <c r="X281" i="1"/>
  <c r="W234" i="1"/>
  <c r="V161" i="1"/>
  <c r="X200" i="1"/>
  <c r="V291" i="1"/>
  <c r="V254" i="1"/>
  <c r="X65" i="1"/>
  <c r="X222" i="1"/>
  <c r="V131" i="1"/>
  <c r="U303" i="1"/>
  <c r="X115" i="1"/>
  <c r="W149" i="1"/>
  <c r="W284" i="1"/>
  <c r="U141" i="1"/>
  <c r="X126" i="1"/>
  <c r="W92" i="1"/>
  <c r="X186" i="1"/>
  <c r="W140" i="1"/>
  <c r="X201" i="1"/>
  <c r="U123" i="1"/>
  <c r="U71" i="1"/>
  <c r="U231" i="1"/>
  <c r="U300" i="1"/>
  <c r="U185" i="1"/>
  <c r="W78" i="1"/>
  <c r="V176" i="1"/>
  <c r="V38" i="1"/>
  <c r="U155" i="1"/>
  <c r="V196" i="1"/>
  <c r="T78" i="1"/>
  <c r="X263" i="1"/>
  <c r="X34" i="1"/>
  <c r="X232" i="1"/>
  <c r="V222" i="1"/>
  <c r="V301" i="1"/>
  <c r="X254" i="1"/>
  <c r="W252" i="1"/>
  <c r="U92" i="1"/>
  <c r="T118" i="1"/>
  <c r="U97" i="1"/>
  <c r="T287" i="1"/>
  <c r="X265" i="1"/>
  <c r="X272" i="1"/>
  <c r="W182" i="1"/>
  <c r="X148" i="1"/>
  <c r="W87" i="1"/>
  <c r="V105" i="1"/>
  <c r="U178" i="1"/>
  <c r="W127" i="1"/>
  <c r="W164" i="1"/>
  <c r="T258" i="1"/>
  <c r="V177" i="1"/>
  <c r="U126" i="1"/>
  <c r="U63" i="1"/>
  <c r="X167" i="1"/>
  <c r="W278" i="1"/>
  <c r="U52" i="1"/>
  <c r="G26" i="21" s="1"/>
  <c r="X202" i="1"/>
  <c r="V212" i="1"/>
  <c r="T222" i="1"/>
  <c r="T64" i="1"/>
  <c r="V123" i="1"/>
  <c r="U70" i="1"/>
  <c r="U43" i="1"/>
  <c r="U107" i="1"/>
  <c r="T115" i="1"/>
  <c r="V113" i="1"/>
  <c r="V288" i="1"/>
  <c r="X55" i="1"/>
  <c r="U78" i="1"/>
  <c r="U172" i="1"/>
  <c r="W157" i="1"/>
  <c r="T25" i="1"/>
  <c r="V121" i="1"/>
  <c r="X71" i="1"/>
  <c r="V248" i="1"/>
  <c r="U68" i="1"/>
  <c r="T65" i="1"/>
  <c r="V65" i="1"/>
  <c r="T168" i="1"/>
  <c r="T187" i="1"/>
  <c r="V51" i="1"/>
  <c r="V182" i="1"/>
  <c r="U187" i="1"/>
  <c r="T172" i="1"/>
  <c r="T112" i="1"/>
  <c r="V166" i="1"/>
  <c r="U280" i="1"/>
  <c r="V125" i="1"/>
  <c r="W99" i="1"/>
  <c r="V92" i="1"/>
  <c r="V150" i="1"/>
  <c r="V83" i="1"/>
  <c r="X206" i="1"/>
  <c r="X237" i="1"/>
  <c r="X239" i="1"/>
  <c r="V237" i="1"/>
  <c r="W254" i="1"/>
  <c r="T262" i="1"/>
  <c r="T174" i="1"/>
  <c r="V309" i="1"/>
  <c r="V29" i="1"/>
  <c r="X205" i="1"/>
  <c r="W52" i="1"/>
  <c r="W274" i="1"/>
  <c r="V110" i="1"/>
  <c r="W93" i="1"/>
  <c r="T139" i="1"/>
  <c r="V52" i="1"/>
  <c r="V192" i="1"/>
  <c r="X104" i="1"/>
  <c r="W43" i="1"/>
  <c r="W117" i="1"/>
  <c r="X96" i="1"/>
  <c r="U86" i="1"/>
  <c r="T89" i="1"/>
  <c r="U227" i="1"/>
  <c r="U139" i="1"/>
  <c r="W23" i="1"/>
  <c r="I19" i="21" s="1"/>
  <c r="W20" i="29"/>
  <c r="T213" i="1"/>
  <c r="T31" i="1"/>
  <c r="V43" i="1"/>
  <c r="T171" i="1"/>
  <c r="U144" i="1"/>
  <c r="W131" i="1"/>
  <c r="W64" i="1"/>
  <c r="U138" i="1"/>
  <c r="X163" i="1"/>
  <c r="T302" i="1"/>
  <c r="T57" i="1"/>
  <c r="W58" i="1"/>
  <c r="U304" i="1"/>
  <c r="U132" i="1"/>
  <c r="W98" i="1"/>
  <c r="W77" i="1"/>
  <c r="X286" i="1"/>
  <c r="W155" i="1"/>
  <c r="W115" i="1"/>
  <c r="T257" i="1"/>
  <c r="X29" i="1"/>
  <c r="U77" i="1"/>
  <c r="X255" i="1"/>
  <c r="V257" i="1"/>
  <c r="V159" i="1"/>
  <c r="V100" i="1"/>
  <c r="V190" i="1"/>
  <c r="X257" i="1"/>
  <c r="W177" i="1"/>
  <c r="T286" i="1"/>
  <c r="V198" i="1"/>
  <c r="X30" i="1"/>
  <c r="V117" i="1"/>
  <c r="X207" i="1"/>
  <c r="T38" i="1"/>
  <c r="X111" i="1"/>
  <c r="W113" i="1"/>
  <c r="W146" i="1"/>
  <c r="V213" i="1"/>
  <c r="U118" i="1"/>
  <c r="T117" i="1"/>
  <c r="W236" i="1"/>
  <c r="V302" i="1"/>
  <c r="V304" i="1"/>
  <c r="X117" i="1"/>
  <c r="X31" i="1"/>
  <c r="V303" i="1"/>
  <c r="U115" i="1"/>
  <c r="V68" i="1"/>
  <c r="X162" i="1"/>
  <c r="U265" i="1"/>
  <c r="U247" i="1"/>
  <c r="X223" i="1"/>
  <c r="V210" i="1"/>
  <c r="X20" i="29"/>
  <c r="X23" i="1"/>
  <c r="X302" i="1"/>
  <c r="X209" i="1"/>
  <c r="T26" i="1"/>
  <c r="U215" i="1"/>
  <c r="X157" i="1"/>
  <c r="V169" i="1"/>
  <c r="T239" i="1"/>
  <c r="U106" i="1"/>
  <c r="T216" i="1"/>
  <c r="X136" i="1"/>
  <c r="V134" i="1"/>
  <c r="X251" i="1"/>
  <c r="T227" i="1"/>
  <c r="X24" i="1"/>
  <c r="T284" i="1"/>
  <c r="U216" i="1"/>
  <c r="T148" i="1"/>
  <c r="V78" i="1"/>
  <c r="W63" i="1"/>
  <c r="W315" i="1"/>
  <c r="V299" i="1"/>
  <c r="W132" i="1"/>
  <c r="I39" i="21" s="1"/>
  <c r="U302" i="1"/>
  <c r="W89" i="1"/>
  <c r="W211" i="1"/>
  <c r="U222" i="1"/>
  <c r="W166" i="1"/>
  <c r="U109" i="1"/>
  <c r="T180" i="1"/>
  <c r="V246" i="1"/>
  <c r="X228" i="1"/>
  <c r="W192" i="1"/>
  <c r="V260" i="1"/>
  <c r="T145" i="1"/>
  <c r="X165" i="1"/>
  <c r="X306" i="1"/>
  <c r="V168" i="1"/>
  <c r="T96" i="1"/>
  <c r="V99" i="1"/>
  <c r="U87" i="1"/>
  <c r="V25" i="1"/>
  <c r="H20" i="21" s="1"/>
  <c r="V149" i="1"/>
  <c r="T160" i="1"/>
  <c r="V93" i="1"/>
  <c r="W162" i="1"/>
  <c r="W46" i="1"/>
  <c r="U169" i="1"/>
  <c r="X33" i="1"/>
  <c r="X78" i="1"/>
  <c r="T190" i="1"/>
  <c r="W308" i="1"/>
  <c r="T224" i="1"/>
  <c r="W258" i="1"/>
  <c r="W29" i="1"/>
  <c r="T264" i="1"/>
  <c r="X231" i="1"/>
  <c r="U38" i="1"/>
  <c r="X303" i="1"/>
  <c r="V122" i="1"/>
  <c r="U165" i="1"/>
  <c r="X196" i="1"/>
  <c r="W167" i="1"/>
  <c r="T219" i="1"/>
  <c r="X109" i="1"/>
  <c r="V292" i="1"/>
  <c r="X183" i="1"/>
  <c r="T236" i="1"/>
  <c r="W222" i="1"/>
  <c r="U31" i="1"/>
  <c r="G23" i="21" s="1"/>
  <c r="X124" i="1"/>
  <c r="X53" i="1"/>
  <c r="W309" i="1"/>
  <c r="W124" i="1"/>
  <c r="T146" i="1"/>
  <c r="U75" i="1"/>
  <c r="X164" i="1"/>
  <c r="U62" i="1"/>
  <c r="X279" i="1"/>
  <c r="U171" i="1"/>
  <c r="T181" i="1"/>
  <c r="W307" i="1"/>
  <c r="U298" i="1"/>
  <c r="W173" i="1"/>
  <c r="V216" i="1"/>
  <c r="V63" i="1"/>
  <c r="W298" i="1"/>
  <c r="X113" i="1"/>
  <c r="U96" i="1"/>
  <c r="T69" i="1"/>
  <c r="U238" i="1"/>
  <c r="X125" i="1"/>
  <c r="U131" i="1"/>
  <c r="X145" i="1"/>
  <c r="X140" i="1"/>
  <c r="V144" i="1"/>
  <c r="W200" i="1"/>
  <c r="X127" i="1"/>
  <c r="X260" i="1"/>
  <c r="V211" i="1"/>
  <c r="V75" i="1"/>
  <c r="U120" i="1"/>
  <c r="V39" i="1"/>
  <c r="X154" i="1"/>
  <c r="U268" i="1"/>
  <c r="U146" i="1"/>
  <c r="V307" i="1"/>
  <c r="V148" i="1"/>
  <c r="X191" i="1"/>
  <c r="V224" i="1"/>
  <c r="X299" i="1"/>
  <c r="W96" i="1"/>
  <c r="X174" i="1"/>
  <c r="V195" i="1"/>
  <c r="W68" i="1"/>
  <c r="T98" i="1"/>
  <c r="X241" i="1"/>
  <c r="X75" i="1"/>
  <c r="X252" i="1"/>
  <c r="V70" i="1"/>
  <c r="T33" i="1"/>
  <c r="W122" i="1"/>
  <c r="U198" i="1"/>
  <c r="X270" i="1"/>
  <c r="X180" i="1"/>
  <c r="W217" i="1"/>
  <c r="X181" i="1"/>
  <c r="W148" i="1"/>
  <c r="W281" i="1"/>
  <c r="V154" i="1"/>
  <c r="W205" i="1"/>
  <c r="W251" i="1"/>
  <c r="T121" i="1"/>
  <c r="V72" i="1"/>
  <c r="H28" i="21" s="1"/>
  <c r="T189" i="1"/>
  <c r="W288" i="1"/>
  <c r="T291" i="1"/>
  <c r="X98" i="1"/>
  <c r="X256" i="1"/>
  <c r="T85" i="1"/>
  <c r="U305" i="1"/>
  <c r="U119" i="1"/>
  <c r="U85" i="1"/>
  <c r="T123" i="1"/>
  <c r="V268" i="1"/>
  <c r="X317" i="1"/>
  <c r="W39" i="1"/>
  <c r="W114" i="1"/>
  <c r="U254" i="1"/>
  <c r="X226" i="1"/>
  <c r="X121" i="1"/>
  <c r="U20" i="29"/>
  <c r="U19" i="1" s="1"/>
  <c r="U23" i="1"/>
  <c r="G19" i="21" s="1"/>
  <c r="W268" i="1"/>
  <c r="X92" i="1"/>
  <c r="W100" i="1"/>
  <c r="U174" i="1"/>
  <c r="T32" i="1"/>
  <c r="T167" i="1"/>
  <c r="T125" i="1"/>
  <c r="U32" i="1"/>
  <c r="W123" i="1"/>
  <c r="V32" i="1"/>
  <c r="U191" i="1"/>
  <c r="T158" i="1"/>
  <c r="X152" i="1"/>
  <c r="W230" i="1"/>
  <c r="W97" i="1"/>
  <c r="X144" i="1"/>
  <c r="W227" i="1"/>
  <c r="V127" i="1"/>
  <c r="U233" i="1"/>
  <c r="U133" i="1"/>
  <c r="T86" i="1"/>
  <c r="T208" i="1"/>
  <c r="V227" i="1"/>
  <c r="U224" i="1"/>
  <c r="T54" i="1"/>
  <c r="X87" i="1"/>
  <c r="W202" i="1"/>
  <c r="U180" i="1"/>
  <c r="T166" i="1"/>
  <c r="X242" i="1"/>
  <c r="X177" i="1"/>
  <c r="X85" i="1"/>
  <c r="X290" i="1"/>
  <c r="T241" i="1"/>
  <c r="V104" i="1"/>
  <c r="U255" i="1"/>
  <c r="W154" i="1"/>
  <c r="X46" i="1"/>
  <c r="T46" i="1"/>
  <c r="W57" i="1"/>
  <c r="V57" i="1"/>
  <c r="T301" i="1"/>
  <c r="T30" i="1"/>
  <c r="W248" i="1"/>
  <c r="U309" i="1"/>
  <c r="V234" i="1"/>
  <c r="X72" i="1"/>
  <c r="X100" i="1"/>
  <c r="W257" i="1"/>
  <c r="T114" i="1"/>
  <c r="W171" i="1"/>
  <c r="X141" i="1"/>
  <c r="T104" i="1"/>
  <c r="U117" i="1"/>
  <c r="W194" i="1"/>
  <c r="X182" i="1"/>
  <c r="W45" i="1"/>
  <c r="V115" i="1"/>
  <c r="W226" i="1"/>
  <c r="X227" i="1"/>
  <c r="U232" i="1"/>
  <c r="W303" i="1"/>
  <c r="T52" i="1"/>
  <c r="X179" i="1"/>
  <c r="T154" i="1"/>
  <c r="W24" i="1"/>
  <c r="X269" i="1"/>
  <c r="X58" i="1"/>
  <c r="T279" i="1"/>
  <c r="U69" i="1"/>
  <c r="W125" i="1"/>
  <c r="W142" i="1"/>
  <c r="X57" i="1"/>
  <c r="W161" i="1"/>
  <c r="W109" i="1"/>
  <c r="V173" i="1"/>
  <c r="V165" i="1"/>
  <c r="T106" i="1"/>
  <c r="T126" i="1"/>
  <c r="W260" i="1"/>
  <c r="U89" i="1"/>
  <c r="X230" i="1"/>
  <c r="T119" i="1"/>
  <c r="W112" i="1"/>
  <c r="I36" i="21" s="1"/>
  <c r="V139" i="1"/>
  <c r="U264" i="1"/>
  <c r="W119" i="1"/>
  <c r="W247" i="1"/>
  <c r="T133" i="1"/>
  <c r="X89" i="1"/>
  <c r="U234" i="1"/>
  <c r="X160" i="1"/>
  <c r="T45" i="1"/>
  <c r="W299" i="1"/>
  <c r="W65" i="1"/>
  <c r="W118" i="1"/>
  <c r="X249" i="1"/>
  <c r="W199" i="1"/>
  <c r="W70" i="1"/>
  <c r="X268" i="1"/>
  <c r="T201" i="1"/>
  <c r="T55" i="1"/>
  <c r="W145" i="1"/>
  <c r="X134" i="1"/>
  <c r="W265" i="1"/>
  <c r="T202" i="1"/>
  <c r="W30" i="1"/>
  <c r="T34" i="1"/>
  <c r="V239" i="1"/>
  <c r="W305" i="1"/>
  <c r="X120" i="1"/>
  <c r="W174" i="1"/>
  <c r="U34" i="1"/>
  <c r="V145" i="1"/>
  <c r="W159" i="1"/>
  <c r="V308" i="1"/>
  <c r="U147" i="1"/>
  <c r="T228" i="1"/>
  <c r="T248" i="1"/>
  <c r="T62" i="1"/>
  <c r="U124" i="1"/>
  <c r="V280" i="1"/>
  <c r="V171" i="1"/>
  <c r="U177" i="1"/>
  <c r="U65" i="1"/>
  <c r="X234" i="1"/>
  <c r="W181" i="1"/>
  <c r="V58" i="1"/>
  <c r="W75" i="1"/>
  <c r="V199" i="1"/>
  <c r="V283" i="1"/>
  <c r="V107" i="1"/>
  <c r="U27" i="1"/>
  <c r="U30" i="1"/>
  <c r="X150" i="1"/>
  <c r="W238" i="1"/>
  <c r="V55" i="1"/>
  <c r="W104" i="1"/>
  <c r="V274" i="1"/>
  <c r="X261" i="1"/>
  <c r="W105" i="1"/>
  <c r="W165" i="1"/>
  <c r="W54" i="1"/>
  <c r="W163" i="1"/>
  <c r="X106" i="1"/>
  <c r="V167" i="1"/>
  <c r="X274" i="1"/>
  <c r="U114" i="1"/>
  <c r="V140" i="1"/>
  <c r="X295" i="1"/>
  <c r="W277" i="1"/>
  <c r="W280" i="1"/>
  <c r="W187" i="1"/>
  <c r="U148" i="1"/>
  <c r="X233" i="1"/>
  <c r="T27" i="1"/>
  <c r="W55" i="1"/>
  <c r="W147" i="1"/>
  <c r="W191" i="1"/>
  <c r="T161" i="1"/>
  <c r="W196" i="1"/>
  <c r="T265" i="1"/>
  <c r="T163" i="1"/>
  <c r="T212" i="1"/>
  <c r="V315" i="1"/>
  <c r="U72" i="1"/>
  <c r="G28" i="21" s="1"/>
  <c r="V136" i="1"/>
  <c r="T43" i="1"/>
  <c r="X217" i="1"/>
  <c r="X199" i="1"/>
  <c r="W135" i="1"/>
  <c r="U175" i="1"/>
  <c r="V133" i="1"/>
  <c r="X139" i="1"/>
  <c r="W126" i="1"/>
  <c r="X304" i="1"/>
  <c r="X301" i="1"/>
  <c r="V298" i="1"/>
  <c r="W34" i="1"/>
  <c r="T278" i="1"/>
  <c r="V175" i="1"/>
  <c r="X142" i="1"/>
  <c r="U111" i="1"/>
  <c r="W71" i="1"/>
  <c r="W110" i="1"/>
  <c r="X224" i="1"/>
  <c r="V118" i="1"/>
  <c r="V71" i="1"/>
  <c r="U136" i="1"/>
  <c r="W27" i="1"/>
  <c r="I21" i="21" s="1"/>
  <c r="U29" i="1"/>
  <c r="V300" i="1"/>
  <c r="X176" i="1"/>
  <c r="W136" i="1"/>
  <c r="X69" i="1"/>
  <c r="U205" i="1"/>
  <c r="U25" i="1"/>
  <c r="G20" i="21" s="1"/>
  <c r="T247" i="1"/>
  <c r="X123" i="1"/>
  <c r="U248" i="1"/>
  <c r="V124" i="1"/>
  <c r="X208" i="1"/>
  <c r="V142" i="1"/>
  <c r="U104" i="1"/>
  <c r="W134" i="1"/>
  <c r="T233" i="1"/>
  <c r="X197" i="1"/>
  <c r="V191" i="1"/>
  <c r="X280" i="1"/>
  <c r="T283" i="1"/>
  <c r="X118" i="1"/>
  <c r="X149" i="1"/>
  <c r="X122" i="1"/>
  <c r="V112" i="1"/>
  <c r="V193" i="1"/>
  <c r="U236" i="1"/>
  <c r="W133" i="1"/>
  <c r="V64" i="1"/>
  <c r="W150" i="1"/>
  <c r="T185" i="1"/>
  <c r="X171" i="1"/>
  <c r="T315" i="1"/>
  <c r="X70" i="1"/>
  <c r="X192" i="1"/>
  <c r="W86" i="1"/>
  <c r="U135" i="1"/>
  <c r="X93" i="1"/>
  <c r="V306" i="1"/>
  <c r="X225" i="1"/>
  <c r="V119" i="1"/>
  <c r="U45" i="1"/>
  <c r="V255" i="1"/>
  <c r="T20" i="29"/>
  <c r="T23" i="1"/>
  <c r="U166" i="1"/>
  <c r="V278" i="1"/>
  <c r="W83" i="1"/>
  <c r="X32" i="1"/>
  <c r="X146" i="1"/>
  <c r="U39" i="1"/>
  <c r="W262" i="1"/>
  <c r="X155" i="1"/>
  <c r="X112" i="1"/>
  <c r="W178" i="1"/>
  <c r="W120" i="1"/>
  <c r="W169" i="1"/>
  <c r="U113" i="1"/>
  <c r="U112" i="1"/>
  <c r="V114" i="1"/>
  <c r="W25" i="1"/>
  <c r="I20" i="21" s="1"/>
  <c r="X38" i="1"/>
  <c r="U64" i="1"/>
  <c r="T77" i="1"/>
  <c r="V85" i="1"/>
  <c r="T124" i="1"/>
  <c r="X170" i="1"/>
  <c r="V296" i="1"/>
  <c r="W286" i="1"/>
  <c r="T68" i="1"/>
  <c r="W183" i="1"/>
  <c r="X132" i="1"/>
  <c r="T157" i="1"/>
  <c r="X99" i="1"/>
  <c r="W190" i="1"/>
  <c r="W106" i="1"/>
  <c r="W51" i="1"/>
  <c r="W302" i="1"/>
  <c r="T303" i="1"/>
  <c r="V214" i="1"/>
  <c r="U54" i="1"/>
  <c r="U291" i="1"/>
  <c r="V45" i="1"/>
  <c r="X248" i="1"/>
  <c r="V164" i="1"/>
  <c r="W62" i="1"/>
  <c r="X287" i="1"/>
  <c r="U287" i="1"/>
  <c r="T255" i="1"/>
  <c r="X135" i="1"/>
  <c r="X25" i="1"/>
  <c r="V135" i="1"/>
  <c r="V305" i="1"/>
  <c r="W246" i="1"/>
  <c r="U173" i="1"/>
  <c r="V141" i="1"/>
  <c r="U140" i="1"/>
  <c r="X203" i="1"/>
  <c r="U219" i="1"/>
  <c r="V34" i="1"/>
  <c r="X298" i="1"/>
  <c r="X190" i="1"/>
  <c r="U246" i="1"/>
  <c r="W193" i="1"/>
  <c r="T134" i="1"/>
  <c r="T93" i="1"/>
  <c r="V98" i="1"/>
  <c r="V69" i="1"/>
  <c r="X62" i="1"/>
  <c r="U157" i="1"/>
  <c r="T269" i="1"/>
  <c r="V31" i="1"/>
  <c r="V23" i="1"/>
  <c r="H19" i="21" s="1"/>
  <c r="V20" i="29"/>
  <c r="V19" i="1" s="1"/>
  <c r="W198" i="1"/>
  <c r="T155" i="1"/>
  <c r="H37" i="21"/>
  <c r="Y132" i="1" l="1"/>
  <c r="Y175" i="1"/>
  <c r="F39" i="21"/>
  <c r="F23" i="21"/>
  <c r="F35" i="21"/>
  <c r="H26" i="21"/>
  <c r="H39" i="21"/>
  <c r="G21" i="21"/>
  <c r="G39" i="21"/>
  <c r="G36" i="21"/>
  <c r="I27" i="21"/>
  <c r="G43" i="21"/>
  <c r="H43" i="21"/>
  <c r="I37" i="21"/>
  <c r="F36" i="21"/>
  <c r="H42" i="21"/>
  <c r="I24" i="21"/>
  <c r="W19" i="1"/>
  <c r="X19" i="1"/>
  <c r="G27" i="21"/>
  <c r="F27" i="21"/>
  <c r="F26" i="21"/>
  <c r="H33" i="21"/>
  <c r="G35" i="21"/>
  <c r="F19" i="21"/>
  <c r="F42" i="21"/>
  <c r="T19" i="1"/>
  <c r="G42" i="21"/>
  <c r="F21" i="21"/>
  <c r="Y20" i="29"/>
  <c r="H36" i="21"/>
  <c r="I33" i="21"/>
  <c r="F24" i="21"/>
  <c r="H35" i="21"/>
  <c r="I35" i="21"/>
  <c r="I42" i="21"/>
  <c r="F33" i="21"/>
  <c r="F28" i="21"/>
  <c r="I23" i="21"/>
  <c r="F37" i="21"/>
  <c r="I26" i="21"/>
  <c r="H23" i="21"/>
  <c r="G33" i="21"/>
  <c r="F20" i="21"/>
  <c r="G37" i="21"/>
  <c r="H21" i="21"/>
  <c r="I43" i="21"/>
  <c r="I28" i="21"/>
  <c r="J39" i="21" l="1"/>
  <c r="I45" i="21"/>
  <c r="H45" i="21"/>
  <c r="F45" i="21"/>
  <c r="G45" i="21"/>
  <c r="K61" i="8" l="1"/>
  <c r="K126" i="8" s="1"/>
  <c r="K60" i="8"/>
  <c r="K125" i="8" s="1"/>
  <c r="K59" i="8"/>
  <c r="K124" i="8" s="1"/>
  <c r="K58" i="8"/>
  <c r="K123" i="8" s="1"/>
  <c r="K57" i="8"/>
  <c r="K122" i="8" s="1"/>
  <c r="K56" i="8"/>
  <c r="K121" i="8" s="1"/>
  <c r="K55" i="8"/>
  <c r="K120" i="8" s="1"/>
  <c r="K54" i="8"/>
  <c r="K119" i="8" s="1"/>
  <c r="K53" i="8"/>
  <c r="K118" i="8" s="1"/>
  <c r="K52" i="8"/>
  <c r="K117" i="8" s="1"/>
  <c r="K51" i="8"/>
  <c r="K116" i="8" s="1"/>
  <c r="K50" i="8"/>
  <c r="K115" i="8" s="1"/>
  <c r="K49" i="8"/>
  <c r="K114" i="8" s="1"/>
  <c r="K48" i="8"/>
  <c r="K113" i="8" s="1"/>
  <c r="K47" i="8"/>
  <c r="K112" i="8" s="1"/>
  <c r="K46" i="8"/>
  <c r="K111" i="8" s="1"/>
  <c r="K45" i="8"/>
  <c r="K110" i="8" s="1"/>
  <c r="K44" i="8"/>
  <c r="K109" i="8" s="1"/>
  <c r="K43" i="8"/>
  <c r="K108" i="8" s="1"/>
  <c r="K42" i="8"/>
  <c r="K107" i="8" s="1"/>
  <c r="K41" i="8"/>
  <c r="K106" i="8" s="1"/>
  <c r="K40" i="8"/>
  <c r="K105" i="8" s="1"/>
  <c r="K39" i="8"/>
  <c r="K104" i="8" s="1"/>
  <c r="K9" i="8"/>
  <c r="K74" i="8" s="1"/>
  <c r="K10" i="8"/>
  <c r="K75" i="8" s="1"/>
  <c r="K11" i="8"/>
  <c r="K76" i="8" s="1"/>
  <c r="K12" i="8"/>
  <c r="K77" i="8" s="1"/>
  <c r="K13" i="8"/>
  <c r="K78" i="8" s="1"/>
  <c r="K14" i="8"/>
  <c r="K79" i="8" s="1"/>
  <c r="K15" i="8"/>
  <c r="K80" i="8" s="1"/>
  <c r="K16" i="8"/>
  <c r="K81" i="8" s="1"/>
  <c r="K17" i="8"/>
  <c r="K82" i="8" s="1"/>
  <c r="K18" i="8"/>
  <c r="K83" i="8" s="1"/>
  <c r="K19" i="8"/>
  <c r="K84" i="8" s="1"/>
  <c r="K20" i="8"/>
  <c r="K85" i="8" s="1"/>
  <c r="K21" i="8"/>
  <c r="K86" i="8" s="1"/>
  <c r="K22" i="8"/>
  <c r="K87" i="8" s="1"/>
  <c r="K23" i="8"/>
  <c r="K88" i="8" s="1"/>
  <c r="K24" i="8"/>
  <c r="K89" i="8" s="1"/>
  <c r="K25" i="8"/>
  <c r="K90" i="8" s="1"/>
  <c r="K26" i="8"/>
  <c r="K91" i="8" s="1"/>
  <c r="K27" i="8"/>
  <c r="K92" i="8" s="1"/>
  <c r="K28" i="8"/>
  <c r="K93" i="8" s="1"/>
  <c r="K29" i="8"/>
  <c r="K94" i="8" s="1"/>
  <c r="K30" i="8"/>
  <c r="K95" i="8" s="1"/>
  <c r="K8" i="8"/>
  <c r="K73" i="8" s="1"/>
  <c r="B64" i="8"/>
  <c r="B33" i="8"/>
  <c r="K98" i="8" l="1"/>
  <c r="K129" i="8"/>
  <c r="K64" i="8"/>
  <c r="K33" i="8"/>
  <c r="M43" i="21" l="1"/>
  <c r="M34" i="21"/>
  <c r="N34" i="21" s="1"/>
  <c r="M28" i="21"/>
  <c r="N28" i="21" s="1"/>
  <c r="M24" i="21"/>
  <c r="M23" i="21"/>
  <c r="M21" i="21"/>
  <c r="M20" i="21"/>
  <c r="M19" i="21"/>
  <c r="O2" i="21"/>
  <c r="O1" i="21"/>
  <c r="AL38" i="1"/>
  <c r="O37" i="21" l="1"/>
  <c r="O33" i="21"/>
  <c r="O32" i="21"/>
  <c r="O40" i="21"/>
  <c r="O44" i="21"/>
  <c r="O19" i="21"/>
  <c r="O26" i="21"/>
  <c r="O31" i="21"/>
  <c r="O27" i="21"/>
  <c r="P1" i="21"/>
  <c r="O41" i="21"/>
  <c r="O38" i="21"/>
  <c r="O39" i="21"/>
  <c r="O22" i="21"/>
  <c r="O29" i="21"/>
  <c r="O25" i="21"/>
  <c r="O30" i="21"/>
  <c r="O42" i="21"/>
  <c r="O35" i="21"/>
  <c r="Q1" i="21"/>
  <c r="P39" i="21"/>
  <c r="P22" i="21"/>
  <c r="P38" i="21"/>
  <c r="O20" i="21"/>
  <c r="O23" i="21"/>
  <c r="O36" i="21"/>
  <c r="P2" i="21"/>
  <c r="O24" i="21"/>
  <c r="N24" i="21"/>
  <c r="N19" i="21"/>
  <c r="O21" i="21"/>
  <c r="N21" i="21"/>
  <c r="N20" i="21"/>
  <c r="N23" i="21"/>
  <c r="N36" i="21"/>
  <c r="Q41" i="21" l="1"/>
  <c r="Q37" i="21"/>
  <c r="Q32" i="21"/>
  <c r="P41" i="21"/>
  <c r="P32" i="21"/>
  <c r="P37" i="21"/>
  <c r="P44" i="21"/>
  <c r="P40" i="21"/>
  <c r="P31" i="21"/>
  <c r="P33" i="21"/>
  <c r="P27" i="21"/>
  <c r="P24" i="21"/>
  <c r="P26" i="21"/>
  <c r="P36" i="21"/>
  <c r="P19" i="21"/>
  <c r="R1" i="21"/>
  <c r="Q22" i="21"/>
  <c r="Q38" i="21"/>
  <c r="Q39" i="21"/>
  <c r="P29" i="21"/>
  <c r="P30" i="21"/>
  <c r="P42" i="21"/>
  <c r="P25" i="21"/>
  <c r="Q2" i="21"/>
  <c r="P35" i="21"/>
  <c r="P21" i="21"/>
  <c r="P23" i="21"/>
  <c r="P20" i="21"/>
  <c r="R41" i="21" l="1"/>
  <c r="R37" i="21"/>
  <c r="R32" i="21"/>
  <c r="Q44" i="21"/>
  <c r="Q40" i="21"/>
  <c r="Q31" i="21"/>
  <c r="Q33" i="21"/>
  <c r="Q27" i="21"/>
  <c r="Q23" i="21"/>
  <c r="Q26" i="21"/>
  <c r="S1" i="21"/>
  <c r="R39" i="21"/>
  <c r="R22" i="21"/>
  <c r="R38" i="21"/>
  <c r="Q30" i="21"/>
  <c r="Q29" i="21"/>
  <c r="Q42" i="21"/>
  <c r="Q25" i="21"/>
  <c r="R2" i="21"/>
  <c r="R36" i="21" s="1"/>
  <c r="Q20" i="21"/>
  <c r="Q21" i="21"/>
  <c r="Q19" i="21"/>
  <c r="Q35" i="21"/>
  <c r="Q36" i="21"/>
  <c r="Q24" i="21"/>
  <c r="S2" i="21"/>
  <c r="S41" i="21" l="1"/>
  <c r="S37" i="21"/>
  <c r="S32" i="21"/>
  <c r="R44" i="21"/>
  <c r="R40" i="21"/>
  <c r="S44" i="21"/>
  <c r="S40" i="21"/>
  <c r="R23" i="21"/>
  <c r="S31" i="21"/>
  <c r="S33" i="21"/>
  <c r="R31" i="21"/>
  <c r="R33" i="21"/>
  <c r="R27" i="21"/>
  <c r="S26" i="21"/>
  <c r="S27" i="21"/>
  <c r="R24" i="21"/>
  <c r="R26" i="21"/>
  <c r="R21" i="21"/>
  <c r="R19" i="21"/>
  <c r="R20" i="21"/>
  <c r="S39" i="21"/>
  <c r="S22" i="21"/>
  <c r="S38" i="21"/>
  <c r="T1" i="21"/>
  <c r="R29" i="21"/>
  <c r="R30" i="21"/>
  <c r="S30" i="21"/>
  <c r="S29" i="21"/>
  <c r="R25" i="21"/>
  <c r="S25" i="21"/>
  <c r="S35" i="21"/>
  <c r="S42" i="21"/>
  <c r="R35" i="21"/>
  <c r="R42" i="21"/>
  <c r="S36" i="21"/>
  <c r="S24" i="21"/>
  <c r="S19" i="21"/>
  <c r="T2" i="21"/>
  <c r="S23" i="21"/>
  <c r="S20" i="21"/>
  <c r="S21" i="21"/>
  <c r="T41" i="21" l="1"/>
  <c r="T32" i="21"/>
  <c r="T37" i="21"/>
  <c r="T44" i="21"/>
  <c r="T40" i="21"/>
  <c r="T31" i="21"/>
  <c r="T33" i="21"/>
  <c r="T26" i="21"/>
  <c r="T27" i="21"/>
  <c r="U1" i="21"/>
  <c r="T22" i="21"/>
  <c r="T39" i="21"/>
  <c r="T38" i="21"/>
  <c r="T29" i="21"/>
  <c r="T30" i="21"/>
  <c r="T25" i="21"/>
  <c r="T35" i="21"/>
  <c r="T42" i="21"/>
  <c r="T19" i="21"/>
  <c r="T24" i="21"/>
  <c r="T36" i="21"/>
  <c r="U2" i="21"/>
  <c r="T21" i="21"/>
  <c r="T20" i="21"/>
  <c r="T23" i="21"/>
  <c r="U41" i="21" l="1"/>
  <c r="U32" i="21"/>
  <c r="U37" i="21"/>
  <c r="U40" i="21"/>
  <c r="U44" i="21"/>
  <c r="U31" i="21"/>
  <c r="U33" i="21"/>
  <c r="U26" i="21"/>
  <c r="U27" i="21"/>
  <c r="U38" i="21"/>
  <c r="U22" i="21"/>
  <c r="U39" i="21"/>
  <c r="V1" i="21"/>
  <c r="U29" i="21"/>
  <c r="U30" i="21"/>
  <c r="U25" i="21"/>
  <c r="U35" i="21"/>
  <c r="U42" i="21"/>
  <c r="U19" i="21"/>
  <c r="U24" i="21"/>
  <c r="U36" i="21"/>
  <c r="V2" i="21"/>
  <c r="U21" i="21"/>
  <c r="U20" i="21"/>
  <c r="U23" i="21"/>
  <c r="V41" i="21" l="1"/>
  <c r="V32" i="21"/>
  <c r="V37" i="21"/>
  <c r="V44" i="21"/>
  <c r="V40" i="21"/>
  <c r="V31" i="21"/>
  <c r="V33" i="21"/>
  <c r="V26" i="21"/>
  <c r="V27" i="21"/>
  <c r="V22" i="21"/>
  <c r="V39" i="21"/>
  <c r="V38" i="21"/>
  <c r="W1" i="21"/>
  <c r="V29" i="21"/>
  <c r="V30" i="21"/>
  <c r="V25" i="21"/>
  <c r="V35" i="21"/>
  <c r="V42" i="21"/>
  <c r="V24" i="21"/>
  <c r="V36" i="21"/>
  <c r="V19" i="21"/>
  <c r="W2" i="21"/>
  <c r="V21" i="21"/>
  <c r="V20" i="21"/>
  <c r="V23" i="21"/>
  <c r="W41" i="21" l="1"/>
  <c r="W37" i="21"/>
  <c r="W32" i="21"/>
  <c r="W44" i="21"/>
  <c r="W40" i="21"/>
  <c r="W31" i="21"/>
  <c r="W33" i="21"/>
  <c r="W26" i="21"/>
  <c r="W27" i="21"/>
  <c r="W38" i="21"/>
  <c r="W22" i="21"/>
  <c r="W39" i="21"/>
  <c r="X1" i="21"/>
  <c r="W29" i="21"/>
  <c r="W30" i="21"/>
  <c r="W25" i="21"/>
  <c r="W35" i="21"/>
  <c r="W42" i="21"/>
  <c r="W19" i="21"/>
  <c r="W36" i="21"/>
  <c r="W24" i="21"/>
  <c r="W20" i="21"/>
  <c r="X2" i="21"/>
  <c r="W23" i="21"/>
  <c r="W21" i="21"/>
  <c r="X41" i="21" l="1"/>
  <c r="X32" i="21"/>
  <c r="X37" i="21"/>
  <c r="X40" i="21"/>
  <c r="X44" i="21"/>
  <c r="X31" i="21"/>
  <c r="X33" i="21"/>
  <c r="X26" i="21"/>
  <c r="X27" i="21"/>
  <c r="X22" i="21"/>
  <c r="X38" i="21"/>
  <c r="X39" i="21"/>
  <c r="Y1" i="21"/>
  <c r="X29" i="21"/>
  <c r="X30" i="21"/>
  <c r="X25" i="21"/>
  <c r="X35" i="21"/>
  <c r="X42" i="21"/>
  <c r="X19" i="21"/>
  <c r="X24" i="21"/>
  <c r="X36" i="21"/>
  <c r="Y2" i="21"/>
  <c r="X21" i="21"/>
  <c r="X23" i="21"/>
  <c r="X20" i="21"/>
  <c r="Y41" i="21" l="1"/>
  <c r="Y37" i="21"/>
  <c r="Y32" i="21"/>
  <c r="Y40" i="21"/>
  <c r="Y44" i="21"/>
  <c r="Y31" i="21"/>
  <c r="Y33" i="21"/>
  <c r="Y26" i="21"/>
  <c r="Y27" i="21"/>
  <c r="Y39" i="21"/>
  <c r="Y22" i="21"/>
  <c r="Y38" i="21"/>
  <c r="Z1" i="21"/>
  <c r="Y29" i="21"/>
  <c r="Y30" i="21"/>
  <c r="Y25" i="21"/>
  <c r="Y35" i="21"/>
  <c r="Y42" i="21"/>
  <c r="Y24" i="21"/>
  <c r="Y19" i="21"/>
  <c r="Y36" i="21"/>
  <c r="Z2" i="21"/>
  <c r="Y21" i="21"/>
  <c r="Y20" i="21"/>
  <c r="Y23" i="21"/>
  <c r="Z41" i="21" l="1"/>
  <c r="Z32" i="21"/>
  <c r="Z37" i="21"/>
  <c r="Z44" i="21"/>
  <c r="Z40" i="21"/>
  <c r="Z31" i="21"/>
  <c r="Z33" i="21"/>
  <c r="Z26" i="21"/>
  <c r="Z27" i="21"/>
  <c r="Z39" i="21"/>
  <c r="Z38" i="21"/>
  <c r="Z22" i="21"/>
  <c r="AA1" i="21"/>
  <c r="Z29" i="21"/>
  <c r="Z30" i="21"/>
  <c r="Z25" i="21"/>
  <c r="Z35" i="21"/>
  <c r="Z42" i="21"/>
  <c r="Z19" i="21"/>
  <c r="Z36" i="21"/>
  <c r="Z24" i="21"/>
  <c r="AA2" i="21"/>
  <c r="Z23" i="21"/>
  <c r="Z21" i="21"/>
  <c r="Z20" i="21"/>
  <c r="AA41" i="21" l="1"/>
  <c r="AA37" i="21"/>
  <c r="AA32" i="21"/>
  <c r="AA40" i="21"/>
  <c r="AA44" i="21"/>
  <c r="AA31" i="21"/>
  <c r="AA33" i="21"/>
  <c r="AA26" i="21"/>
  <c r="AA27" i="21"/>
  <c r="AA38" i="21"/>
  <c r="AA39" i="21"/>
  <c r="AA22" i="21"/>
  <c r="AB1" i="21"/>
  <c r="AA30" i="21"/>
  <c r="AA29" i="21"/>
  <c r="AA25" i="21"/>
  <c r="AA35" i="21"/>
  <c r="AA42" i="21"/>
  <c r="AA19" i="21"/>
  <c r="AA24" i="21"/>
  <c r="AA36" i="21"/>
  <c r="AA20" i="21"/>
  <c r="AA23" i="21"/>
  <c r="AB2" i="21"/>
  <c r="AA21" i="21"/>
  <c r="AB41" i="21" l="1"/>
  <c r="AB32" i="21"/>
  <c r="AB37" i="21"/>
  <c r="AB44" i="21"/>
  <c r="AB40" i="21"/>
  <c r="AB31" i="21"/>
  <c r="AB33" i="21"/>
  <c r="AB26" i="21"/>
  <c r="AB27" i="21"/>
  <c r="AB38" i="21"/>
  <c r="AB39" i="21"/>
  <c r="AB22" i="21"/>
  <c r="AC1" i="21"/>
  <c r="AB30" i="21"/>
  <c r="AB29" i="21"/>
  <c r="AB25" i="21"/>
  <c r="AB35" i="21"/>
  <c r="AB42" i="21"/>
  <c r="AB24" i="21"/>
  <c r="AB19" i="21"/>
  <c r="AB36" i="21"/>
  <c r="AC2" i="21"/>
  <c r="AB23" i="21"/>
  <c r="AB20" i="21"/>
  <c r="AB21" i="21"/>
  <c r="AC41" i="21" l="1"/>
  <c r="AC37" i="21"/>
  <c r="AC32" i="21"/>
  <c r="AC44" i="21"/>
  <c r="AC40" i="21"/>
  <c r="AC31" i="21"/>
  <c r="AC33" i="21"/>
  <c r="AC26" i="21"/>
  <c r="AC27" i="21"/>
  <c r="AC39" i="21"/>
  <c r="AC22" i="21"/>
  <c r="AC38" i="21"/>
  <c r="AD1" i="21"/>
  <c r="AC30" i="21"/>
  <c r="AC29" i="21"/>
  <c r="AC25" i="21"/>
  <c r="AC35" i="21"/>
  <c r="AC42" i="21"/>
  <c r="AC19" i="21"/>
  <c r="AC36" i="21"/>
  <c r="AC24" i="21"/>
  <c r="AD2" i="21"/>
  <c r="AC20" i="21"/>
  <c r="AC21" i="21"/>
  <c r="AC23" i="21"/>
  <c r="AD41" i="21" l="1"/>
  <c r="AD37" i="21"/>
  <c r="AD32" i="21"/>
  <c r="AD44" i="21"/>
  <c r="AD40" i="21"/>
  <c r="AD31" i="21"/>
  <c r="AD33" i="21"/>
  <c r="AD26" i="21"/>
  <c r="AD27" i="21"/>
  <c r="AD38" i="21"/>
  <c r="AD39" i="21"/>
  <c r="AD22" i="21"/>
  <c r="AE1" i="21"/>
  <c r="AD29" i="21"/>
  <c r="AD30" i="21"/>
  <c r="AD25" i="21"/>
  <c r="AD35" i="21"/>
  <c r="AD42" i="21"/>
  <c r="AD36" i="21"/>
  <c r="AD19" i="21"/>
  <c r="AD24" i="21"/>
  <c r="AE2" i="21"/>
  <c r="AD21" i="21"/>
  <c r="AD20" i="21"/>
  <c r="AD23" i="21"/>
  <c r="AE41" i="21" l="1"/>
  <c r="AE37" i="21"/>
  <c r="AE32" i="21"/>
  <c r="AE44" i="21"/>
  <c r="AE40" i="21"/>
  <c r="AE31" i="21"/>
  <c r="AE33" i="21"/>
  <c r="AE26" i="21"/>
  <c r="AE27" i="21"/>
  <c r="AE39" i="21"/>
  <c r="AE22" i="21"/>
  <c r="AE38" i="21"/>
  <c r="AF1" i="21"/>
  <c r="AF37" i="21" s="1"/>
  <c r="AG37" i="21" s="1"/>
  <c r="AE30" i="21"/>
  <c r="AE29" i="21"/>
  <c r="AE25" i="21"/>
  <c r="AE35" i="21"/>
  <c r="AE42" i="21"/>
  <c r="AE36" i="21"/>
  <c r="AE24" i="21"/>
  <c r="AE19" i="21"/>
  <c r="AE23" i="21"/>
  <c r="AF2" i="21"/>
  <c r="AE20" i="21"/>
  <c r="AE21" i="21"/>
  <c r="AF40" i="21" l="1"/>
  <c r="AG40" i="21" s="1"/>
  <c r="AF44" i="21"/>
  <c r="AG44" i="21" s="1"/>
  <c r="AF31" i="21"/>
  <c r="AG31" i="21" s="1"/>
  <c r="AF33" i="21"/>
  <c r="AG33" i="21" s="1"/>
  <c r="AF41" i="21"/>
  <c r="AG41" i="21" s="1"/>
  <c r="AF32" i="21"/>
  <c r="AG32" i="21" s="1"/>
  <c r="AF26" i="21"/>
  <c r="AG26" i="21" s="1"/>
  <c r="AF27" i="21"/>
  <c r="AG27" i="21" s="1"/>
  <c r="AF39" i="21"/>
  <c r="AG39" i="21" s="1"/>
  <c r="AF38" i="21"/>
  <c r="AG38" i="21" s="1"/>
  <c r="AF22" i="21"/>
  <c r="AG22" i="21" s="1"/>
  <c r="AF29" i="21"/>
  <c r="AG29" i="21" s="1"/>
  <c r="AF30" i="21"/>
  <c r="AG30" i="21" s="1"/>
  <c r="AF25" i="21"/>
  <c r="AG25" i="21" s="1"/>
  <c r="AF35" i="21"/>
  <c r="AG35" i="21" s="1"/>
  <c r="AF42" i="21"/>
  <c r="AG42" i="21" s="1"/>
  <c r="AF24" i="21"/>
  <c r="AG24" i="21" s="1"/>
  <c r="AF19" i="21"/>
  <c r="AG19" i="21" s="1"/>
  <c r="AF36" i="21"/>
  <c r="AG36" i="21" s="1"/>
  <c r="AF20" i="21"/>
  <c r="AG20" i="21" s="1"/>
  <c r="AF23" i="21"/>
  <c r="AG23" i="21" s="1"/>
  <c r="AF21" i="21"/>
  <c r="AG21" i="21" s="1"/>
  <c r="N20" i="6" l="1"/>
  <c r="N42" i="6"/>
  <c r="N46" i="6"/>
  <c r="N58" i="6"/>
  <c r="N63" i="6"/>
  <c r="N74" i="6"/>
  <c r="N78" i="6"/>
  <c r="N81" i="6"/>
  <c r="N59" i="6" l="1"/>
  <c r="N43" i="6"/>
  <c r="N60" i="6"/>
  <c r="N79" i="6"/>
  <c r="N61" i="6"/>
  <c r="N55" i="6"/>
  <c r="N77" i="6"/>
  <c r="N51" i="6"/>
  <c r="N80" i="6"/>
  <c r="N75" i="6"/>
  <c r="N73" i="6"/>
  <c r="N44" i="6"/>
  <c r="N76" i="6"/>
  <c r="N56" i="6"/>
  <c r="N54" i="6"/>
  <c r="N52" i="6"/>
  <c r="N50" i="6"/>
  <c r="N47" i="6"/>
  <c r="N41" i="6"/>
  <c r="N36" i="6"/>
  <c r="N273" i="6"/>
  <c r="N262" i="6"/>
  <c r="N260" i="6"/>
  <c r="N175" i="6"/>
  <c r="N255" i="6"/>
  <c r="N254" i="6"/>
  <c r="N248" i="6"/>
  <c r="N244" i="6"/>
  <c r="N240" i="6"/>
  <c r="N236" i="6"/>
  <c r="N228" i="6"/>
  <c r="N204" i="6"/>
  <c r="N243" i="6"/>
  <c r="N239" i="6"/>
  <c r="N235" i="6"/>
  <c r="N106" i="6"/>
  <c r="N242" i="6"/>
  <c r="N234" i="6"/>
  <c r="N190" i="6"/>
  <c r="N161" i="6"/>
  <c r="N159" i="6"/>
  <c r="N114" i="6"/>
  <c r="N82" i="6"/>
  <c r="N250" i="6"/>
  <c r="N238" i="6"/>
  <c r="N194" i="6"/>
  <c r="N178" i="6"/>
  <c r="N174" i="6"/>
  <c r="N245" i="6"/>
  <c r="N241" i="6"/>
  <c r="N237" i="6"/>
  <c r="N233" i="6"/>
  <c r="N197" i="6"/>
  <c r="N127" i="6"/>
  <c r="N83" i="6"/>
  <c r="N172" i="6"/>
  <c r="N155" i="6"/>
  <c r="N137" i="6"/>
  <c r="N123" i="6"/>
  <c r="N117" i="6"/>
  <c r="N115" i="6"/>
  <c r="N95" i="6"/>
  <c r="N87" i="6"/>
  <c r="N48" i="6"/>
  <c r="N160" i="6"/>
  <c r="N148" i="6"/>
  <c r="N140" i="6"/>
  <c r="N126" i="6"/>
  <c r="N94" i="6"/>
  <c r="N86" i="6"/>
  <c r="N49" i="6"/>
  <c r="N113" i="6"/>
  <c r="N105" i="6"/>
  <c r="N101" i="6"/>
  <c r="N97" i="6"/>
  <c r="N93" i="6"/>
  <c r="N85" i="6"/>
  <c r="N65" i="6"/>
  <c r="N40" i="6"/>
  <c r="N136" i="6"/>
  <c r="N120" i="6"/>
  <c r="N116" i="6"/>
  <c r="N104" i="6"/>
  <c r="N100" i="6"/>
  <c r="N92" i="6"/>
  <c r="N88" i="6"/>
  <c r="N84" i="6"/>
  <c r="N57" i="6"/>
  <c r="N68" i="6"/>
  <c r="N64" i="6"/>
  <c r="N53" i="6"/>
  <c r="N45" i="6"/>
  <c r="N35" i="6"/>
  <c r="N32" i="6"/>
  <c r="N28" i="6"/>
  <c r="N39" i="6"/>
  <c r="N31" i="6"/>
  <c r="N27" i="6"/>
  <c r="N38" i="6"/>
  <c r="N34" i="6"/>
  <c r="N30" i="6"/>
  <c r="N37" i="6"/>
  <c r="N33" i="6"/>
  <c r="N29" i="6"/>
  <c r="N25" i="6"/>
  <c r="N22" i="6"/>
  <c r="N21" i="6"/>
  <c r="AL99" i="1" l="1"/>
  <c r="AL28" i="1" l="1"/>
  <c r="AL36" i="1"/>
  <c r="AL40" i="1"/>
  <c r="AL42" i="1"/>
  <c r="AL45" i="1"/>
  <c r="AL49" i="1"/>
  <c r="AL58" i="1"/>
  <c r="AL60" i="1"/>
  <c r="AL61" i="1"/>
  <c r="AL73" i="1"/>
  <c r="AL79" i="1"/>
  <c r="AL82" i="1"/>
  <c r="AL87" i="1"/>
  <c r="AL98" i="1"/>
  <c r="AL110" i="1"/>
  <c r="AL123" i="1"/>
  <c r="AL130" i="1"/>
  <c r="AL142" i="1"/>
  <c r="AL224" i="1"/>
  <c r="AL228" i="1"/>
  <c r="AL232" i="1"/>
  <c r="AL50" i="1"/>
  <c r="AL62" i="1"/>
  <c r="AL74" i="1"/>
  <c r="AL80" i="1"/>
  <c r="AL25" i="1"/>
  <c r="AL83" i="1"/>
  <c r="AL120" i="1"/>
  <c r="AL143" i="1"/>
  <c r="AL156" i="1"/>
  <c r="AL185" i="1"/>
  <c r="AL210" i="1"/>
  <c r="AL221" i="1"/>
  <c r="AL225" i="1"/>
  <c r="AL229" i="1"/>
  <c r="AL233" i="1"/>
  <c r="AL280" i="1"/>
  <c r="AL290" i="1"/>
  <c r="AL304" i="1"/>
  <c r="AL326" i="1"/>
  <c r="AL29" i="1"/>
  <c r="AL37" i="1"/>
  <c r="AL46" i="1"/>
  <c r="AL111" i="1"/>
  <c r="AL51" i="1"/>
  <c r="AL56" i="1"/>
  <c r="AL59" i="1"/>
  <c r="AL64" i="1"/>
  <c r="AL68" i="1"/>
  <c r="AL75" i="1"/>
  <c r="AL90" i="1"/>
  <c r="AL100" i="1"/>
  <c r="AL104" i="1"/>
  <c r="AL144" i="1"/>
  <c r="AL157" i="1"/>
  <c r="AL161" i="1"/>
  <c r="AL172" i="1"/>
  <c r="AL175" i="1"/>
  <c r="AL222" i="1"/>
  <c r="AL226" i="1"/>
  <c r="AL230" i="1"/>
  <c r="AL43" i="1"/>
  <c r="AL53" i="1"/>
  <c r="AL77" i="1"/>
  <c r="AL107" i="1"/>
  <c r="AL27" i="1"/>
  <c r="AL31" i="1"/>
  <c r="AL33" i="1"/>
  <c r="AL35" i="1"/>
  <c r="AL39" i="1"/>
  <c r="AL44" i="1"/>
  <c r="AL48" i="1"/>
  <c r="AL54" i="1"/>
  <c r="AL57" i="1"/>
  <c r="AL65" i="1"/>
  <c r="AL78" i="1"/>
  <c r="AL81" i="1"/>
  <c r="AL84" i="1"/>
  <c r="AL91" i="1"/>
  <c r="AL101" i="1"/>
  <c r="AL112" i="1"/>
  <c r="AL137" i="1"/>
  <c r="AL155" i="1"/>
  <c r="AL158" i="1"/>
  <c r="AL179" i="1"/>
  <c r="AL186" i="1"/>
  <c r="AL223" i="1"/>
  <c r="AL227" i="1"/>
  <c r="AL231" i="1"/>
  <c r="AL41" i="1"/>
  <c r="AL52" i="1"/>
  <c r="AL55" i="1"/>
  <c r="AL88" i="1"/>
  <c r="AL236" i="1"/>
  <c r="AL240" i="1"/>
  <c r="AL248" i="1"/>
  <c r="AL259" i="1"/>
  <c r="AL284" i="1"/>
  <c r="AL293" i="1"/>
  <c r="AL297" i="1"/>
  <c r="AL309" i="1"/>
  <c r="AL327" i="1"/>
  <c r="AL241" i="1"/>
  <c r="AL285" i="1"/>
  <c r="AL298" i="1"/>
  <c r="AL310" i="1"/>
  <c r="AL314" i="1"/>
  <c r="AL316" i="1"/>
  <c r="AL321" i="1"/>
  <c r="AL324" i="1"/>
  <c r="AL328" i="1"/>
  <c r="AL246" i="1"/>
  <c r="AL279" i="1"/>
  <c r="AL299" i="1"/>
  <c r="AL303" i="1"/>
  <c r="AL311" i="1"/>
  <c r="AL317" i="1"/>
  <c r="AL325" i="1"/>
  <c r="P368" i="1" l="1"/>
  <c r="J9" i="58" s="1"/>
  <c r="J27" i="58" s="1"/>
  <c r="P370" i="1"/>
  <c r="J8" i="58" s="1"/>
  <c r="J26" i="58" s="1"/>
  <c r="P372" i="1"/>
  <c r="J14" i="58" s="1"/>
  <c r="J32" i="58" s="1"/>
  <c r="P375" i="1"/>
  <c r="J13" i="58" s="1"/>
  <c r="J31" i="58" s="1"/>
  <c r="P371" i="1"/>
  <c r="J10" i="58" s="1"/>
  <c r="J28" i="58" s="1"/>
  <c r="P374" i="1"/>
  <c r="J12" i="58" s="1"/>
  <c r="J30" i="58" s="1"/>
  <c r="P366" i="1"/>
  <c r="J5" i="58" s="1"/>
  <c r="P369" i="1"/>
  <c r="J7" i="58" s="1"/>
  <c r="J25" i="58" s="1"/>
  <c r="P367" i="1"/>
  <c r="J6" i="58" s="1"/>
  <c r="J24" i="58" s="1"/>
  <c r="P373" i="1"/>
  <c r="J11" i="58" s="1"/>
  <c r="J29" i="58" s="1"/>
  <c r="J16" i="58" l="1"/>
  <c r="J23" i="58"/>
  <c r="J34" i="58" s="1"/>
  <c r="P376" i="1"/>
  <c r="P3" i="11" l="1"/>
  <c r="B32" i="11" l="1"/>
  <c r="I32" i="11" s="1"/>
  <c r="C32" i="11"/>
  <c r="J32" i="11" s="1"/>
  <c r="D32" i="11"/>
  <c r="K32" i="11" s="1"/>
  <c r="E32" i="11"/>
  <c r="L32" i="11" s="1"/>
  <c r="F32" i="11"/>
  <c r="M32" i="11" s="1"/>
  <c r="B63" i="11"/>
  <c r="C63" i="11"/>
  <c r="D63" i="11"/>
  <c r="E63" i="11"/>
  <c r="F63" i="11"/>
  <c r="A4" i="10"/>
  <c r="B4" i="10"/>
  <c r="C4" i="10"/>
  <c r="D4" i="10"/>
  <c r="A5" i="10"/>
  <c r="B5" i="10"/>
  <c r="C5" i="10"/>
  <c r="D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B30" i="10"/>
  <c r="C30" i="10"/>
  <c r="A31" i="10"/>
  <c r="A35" i="10"/>
  <c r="B35" i="10"/>
  <c r="C35" i="10"/>
  <c r="D35" i="10"/>
  <c r="A36" i="10"/>
  <c r="B36" i="10"/>
  <c r="C36" i="10"/>
  <c r="D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B60" i="10"/>
  <c r="C60" i="10"/>
  <c r="D60" i="10"/>
  <c r="B61" i="10"/>
  <c r="C61" i="10"/>
  <c r="D61" i="10"/>
  <c r="A62" i="10"/>
  <c r="J63" i="11" l="1"/>
  <c r="Q63" i="11" s="1"/>
  <c r="I63" i="11"/>
  <c r="P63" i="11" s="1"/>
  <c r="G63" i="11"/>
  <c r="G32" i="11"/>
  <c r="P32" i="11" l="1"/>
  <c r="Q32" i="11" l="1"/>
  <c r="K63" i="11"/>
  <c r="R63" i="11" s="1"/>
  <c r="R2" i="1"/>
  <c r="L63" i="11" l="1"/>
  <c r="S63" i="11" s="1"/>
  <c r="R32" i="11"/>
  <c r="S2" i="1"/>
  <c r="S32" i="11" l="1"/>
  <c r="M63" i="11"/>
  <c r="R367" i="1"/>
  <c r="L6" i="58" s="1"/>
  <c r="L24" i="58" s="1"/>
  <c r="S372" i="1"/>
  <c r="T2" i="1"/>
  <c r="N63" i="11" l="1"/>
  <c r="T63" i="11"/>
  <c r="T32" i="11"/>
  <c r="N32" i="11"/>
  <c r="S368" i="1"/>
  <c r="M9" i="58" s="1"/>
  <c r="M27" i="58" s="1"/>
  <c r="T372" i="1"/>
  <c r="U2" i="1"/>
  <c r="F20" i="1"/>
  <c r="G20" i="1"/>
  <c r="H20" i="1"/>
  <c r="I20" i="1"/>
  <c r="J20" i="1"/>
  <c r="K20" i="1"/>
  <c r="L20" i="1"/>
  <c r="M20" i="1"/>
  <c r="N20" i="1"/>
  <c r="O20" i="1"/>
  <c r="AF60" i="8"/>
  <c r="B58" i="10" s="1"/>
  <c r="AF59" i="8"/>
  <c r="B57" i="10" s="1"/>
  <c r="AF58" i="8"/>
  <c r="B56" i="10" s="1"/>
  <c r="AF57" i="8"/>
  <c r="B55" i="10" s="1"/>
  <c r="AF56" i="8"/>
  <c r="B54" i="10" s="1"/>
  <c r="AF52" i="8"/>
  <c r="B50" i="10" s="1"/>
  <c r="AF21" i="8"/>
  <c r="B19" i="10" s="1"/>
  <c r="AF25" i="8"/>
  <c r="B23" i="10" s="1"/>
  <c r="AF26" i="8"/>
  <c r="B24" i="10" s="1"/>
  <c r="AF27" i="8"/>
  <c r="B25" i="10" s="1"/>
  <c r="AF28" i="8"/>
  <c r="B26" i="10" s="1"/>
  <c r="AF29" i="8"/>
  <c r="B27" i="10" s="1"/>
  <c r="A20" i="1"/>
  <c r="U32" i="11" l="1"/>
  <c r="T368" i="1"/>
  <c r="N9" i="58" s="1"/>
  <c r="N27" i="58" s="1"/>
  <c r="U372" i="1"/>
  <c r="V2" i="1"/>
  <c r="P20" i="1"/>
  <c r="U368" i="1" l="1"/>
  <c r="O9" i="58" s="1"/>
  <c r="O27" i="58" s="1"/>
  <c r="V372" i="1"/>
  <c r="W2" i="1"/>
  <c r="O2" i="6"/>
  <c r="O1" i="6"/>
  <c r="R22" i="1"/>
  <c r="S22" i="1"/>
  <c r="T22" i="1"/>
  <c r="U22" i="1"/>
  <c r="V22" i="1"/>
  <c r="W22" i="1"/>
  <c r="Q22" i="1"/>
  <c r="F22" i="1"/>
  <c r="G22" i="1"/>
  <c r="H22" i="1"/>
  <c r="I22" i="1"/>
  <c r="J22" i="1"/>
  <c r="K22" i="1"/>
  <c r="L22" i="1"/>
  <c r="M22" i="1"/>
  <c r="N22" i="1"/>
  <c r="O22" i="1"/>
  <c r="P22" i="1"/>
  <c r="AL23" i="1"/>
  <c r="AM20" i="1"/>
  <c r="Z37" i="1"/>
  <c r="AI37" i="1" s="1"/>
  <c r="AD37" i="1" s="1"/>
  <c r="Z40" i="1"/>
  <c r="AI40" i="1" s="1"/>
  <c r="AD40" i="1" s="1"/>
  <c r="Z41" i="1"/>
  <c r="AI41" i="1" s="1"/>
  <c r="AD41" i="1" s="1"/>
  <c r="Z42" i="1"/>
  <c r="AI42" i="1" s="1"/>
  <c r="AD42" i="1" s="1"/>
  <c r="Z48" i="1"/>
  <c r="AI48" i="1" s="1"/>
  <c r="AD48" i="1" s="1"/>
  <c r="Z50" i="1"/>
  <c r="AI50" i="1" s="1"/>
  <c r="AD50" i="1" s="1"/>
  <c r="Z56" i="1"/>
  <c r="AI56" i="1" s="1"/>
  <c r="AD56" i="1" s="1"/>
  <c r="Z59" i="1"/>
  <c r="AI59" i="1" s="1"/>
  <c r="AD59" i="1" s="1"/>
  <c r="Z61" i="1"/>
  <c r="AI61" i="1" s="1"/>
  <c r="AD61" i="1" s="1"/>
  <c r="Z66" i="1"/>
  <c r="AI66" i="1" s="1"/>
  <c r="AD66" i="1" s="1"/>
  <c r="Z67" i="1"/>
  <c r="AI67" i="1" s="1"/>
  <c r="AD67" i="1" s="1"/>
  <c r="Z73" i="1"/>
  <c r="AI73" i="1" s="1"/>
  <c r="AD73" i="1" s="1"/>
  <c r="Z74" i="1"/>
  <c r="AI74" i="1" s="1"/>
  <c r="AD74" i="1" s="1"/>
  <c r="Z79" i="1"/>
  <c r="AI79" i="1" s="1"/>
  <c r="AD79" i="1" s="1"/>
  <c r="Z80" i="1"/>
  <c r="AI80" i="1" s="1"/>
  <c r="AD80" i="1" s="1"/>
  <c r="Z81" i="1"/>
  <c r="AI81" i="1" s="1"/>
  <c r="AD81" i="1" s="1"/>
  <c r="Z82" i="1"/>
  <c r="AI82" i="1" s="1"/>
  <c r="AD82" i="1" s="1"/>
  <c r="Z88" i="1"/>
  <c r="AI88" i="1" s="1"/>
  <c r="AD88" i="1" s="1"/>
  <c r="Z94" i="1"/>
  <c r="AI94" i="1" s="1"/>
  <c r="AD94" i="1" s="1"/>
  <c r="Z101" i="1"/>
  <c r="AI101" i="1" s="1"/>
  <c r="AD101" i="1" s="1"/>
  <c r="Z102" i="1"/>
  <c r="AI102" i="1" s="1"/>
  <c r="AD102" i="1" s="1"/>
  <c r="Z128" i="1"/>
  <c r="AI128" i="1" s="1"/>
  <c r="Z130" i="1"/>
  <c r="AI130" i="1" s="1"/>
  <c r="AD130" i="1" s="1"/>
  <c r="Z132" i="1"/>
  <c r="AI132" i="1" s="1"/>
  <c r="Z137" i="1"/>
  <c r="AI137" i="1" s="1"/>
  <c r="AD137" i="1" s="1"/>
  <c r="AM76" i="1" l="1"/>
  <c r="AM47" i="1"/>
  <c r="AI235" i="1"/>
  <c r="AM348" i="1"/>
  <c r="AM349" i="1"/>
  <c r="AM347" i="1"/>
  <c r="AM350" i="1"/>
  <c r="AM332" i="1"/>
  <c r="AD132" i="1"/>
  <c r="AD128" i="1"/>
  <c r="P1" i="6"/>
  <c r="AM38" i="1"/>
  <c r="AM42" i="1"/>
  <c r="AM58" i="1"/>
  <c r="AM79" i="1"/>
  <c r="AM82" i="1"/>
  <c r="AM87" i="1"/>
  <c r="AM98" i="1"/>
  <c r="AM224" i="1"/>
  <c r="AM40" i="1"/>
  <c r="AM90" i="1"/>
  <c r="AM49" i="1"/>
  <c r="AM61" i="1"/>
  <c r="AM73" i="1"/>
  <c r="AM110" i="1"/>
  <c r="AM123" i="1"/>
  <c r="AM130" i="1"/>
  <c r="AM28" i="1"/>
  <c r="AM36" i="1"/>
  <c r="AM45" i="1"/>
  <c r="AM60" i="1"/>
  <c r="AM142" i="1"/>
  <c r="AM25" i="1"/>
  <c r="AM64" i="1"/>
  <c r="AM62" i="1"/>
  <c r="AM83" i="1"/>
  <c r="AM143" i="1"/>
  <c r="AM156" i="1"/>
  <c r="AM326" i="1"/>
  <c r="AM56" i="1"/>
  <c r="AM120" i="1"/>
  <c r="AM221" i="1"/>
  <c r="AM46" i="1"/>
  <c r="AM280" i="1"/>
  <c r="AM304" i="1"/>
  <c r="AM111" i="1"/>
  <c r="AM144" i="1"/>
  <c r="AM157" i="1"/>
  <c r="AM172" i="1"/>
  <c r="AM175" i="1"/>
  <c r="AM51" i="1"/>
  <c r="AM37" i="1"/>
  <c r="AM52" i="1"/>
  <c r="AM80" i="1"/>
  <c r="AM222" i="1"/>
  <c r="AM100" i="1"/>
  <c r="AM29" i="1"/>
  <c r="AM43" i="1"/>
  <c r="AM74" i="1"/>
  <c r="AM50" i="1"/>
  <c r="AM77" i="1"/>
  <c r="AM27" i="1"/>
  <c r="AM35" i="1"/>
  <c r="AM44" i="1"/>
  <c r="AM54" i="1"/>
  <c r="AM81" i="1"/>
  <c r="AM101" i="1"/>
  <c r="AM137" i="1"/>
  <c r="AM227" i="1"/>
  <c r="AM59" i="1"/>
  <c r="AM248" i="1"/>
  <c r="AM259" i="1"/>
  <c r="AM327" i="1"/>
  <c r="AM285" i="1"/>
  <c r="AM310" i="1"/>
  <c r="AM324" i="1"/>
  <c r="AM78" i="1"/>
  <c r="AM112" i="1"/>
  <c r="AM223" i="1"/>
  <c r="AM240" i="1"/>
  <c r="AM297" i="1"/>
  <c r="AM41" i="1"/>
  <c r="AM99" i="1"/>
  <c r="AM31" i="1"/>
  <c r="AM33" i="1"/>
  <c r="AM48" i="1"/>
  <c r="AM57" i="1"/>
  <c r="AM65" i="1"/>
  <c r="AM84" i="1"/>
  <c r="AM231" i="1"/>
  <c r="AM293" i="1"/>
  <c r="AM309" i="1"/>
  <c r="AM241" i="1"/>
  <c r="AM316" i="1"/>
  <c r="AM88" i="1"/>
  <c r="AM91" i="1"/>
  <c r="AM155" i="1"/>
  <c r="AM68" i="1"/>
  <c r="AM298" i="1"/>
  <c r="AM314" i="1"/>
  <c r="AM328" i="1"/>
  <c r="AM299" i="1"/>
  <c r="AM311" i="1"/>
  <c r="AM325" i="1"/>
  <c r="AM246" i="1"/>
  <c r="AM279" i="1"/>
  <c r="AM317" i="1"/>
  <c r="O22" i="6"/>
  <c r="O21" i="6"/>
  <c r="O239" i="6"/>
  <c r="O174" i="6"/>
  <c r="O233" i="6"/>
  <c r="O235" i="6"/>
  <c r="O197" i="6"/>
  <c r="O238" i="6"/>
  <c r="O234" i="6"/>
  <c r="O245" i="6"/>
  <c r="O194" i="6"/>
  <c r="O237" i="6"/>
  <c r="O178" i="6"/>
  <c r="O243" i="6"/>
  <c r="O148" i="6"/>
  <c r="O262" i="6"/>
  <c r="O260" i="6"/>
  <c r="O241" i="6"/>
  <c r="O161" i="6"/>
  <c r="O250" i="6"/>
  <c r="O160" i="6"/>
  <c r="O25" i="6"/>
  <c r="O140" i="6"/>
  <c r="O242" i="6"/>
  <c r="O190" i="6"/>
  <c r="O273" i="6"/>
  <c r="O172" i="6"/>
  <c r="O20" i="6"/>
  <c r="O36" i="6"/>
  <c r="O41" i="6"/>
  <c r="O254" i="6"/>
  <c r="O244" i="6"/>
  <c r="O228" i="6"/>
  <c r="O159" i="6"/>
  <c r="O175" i="6"/>
  <c r="O255" i="6"/>
  <c r="O248" i="6"/>
  <c r="O236" i="6"/>
  <c r="O204" i="6"/>
  <c r="O106" i="6"/>
  <c r="O240" i="6"/>
  <c r="O127" i="6"/>
  <c r="O137" i="6"/>
  <c r="O117" i="6"/>
  <c r="O95" i="6"/>
  <c r="O113" i="6"/>
  <c r="O97" i="6"/>
  <c r="O56" i="6"/>
  <c r="O92" i="6"/>
  <c r="O53" i="6"/>
  <c r="O52" i="6"/>
  <c r="O44" i="6"/>
  <c r="O115" i="6"/>
  <c r="O94" i="6"/>
  <c r="O86" i="6"/>
  <c r="O101" i="6"/>
  <c r="O85" i="6"/>
  <c r="O65" i="6"/>
  <c r="O104" i="6"/>
  <c r="O88" i="6"/>
  <c r="O64" i="6"/>
  <c r="O114" i="6"/>
  <c r="O155" i="6"/>
  <c r="O48" i="6"/>
  <c r="O126" i="6"/>
  <c r="O105" i="6"/>
  <c r="O40" i="6"/>
  <c r="O116" i="6"/>
  <c r="O100" i="6"/>
  <c r="O84" i="6"/>
  <c r="O81" i="6"/>
  <c r="O80" i="6"/>
  <c r="O79" i="6"/>
  <c r="O82" i="6"/>
  <c r="O83" i="6"/>
  <c r="O123" i="6"/>
  <c r="O87" i="6"/>
  <c r="O49" i="6"/>
  <c r="O93" i="6"/>
  <c r="O136" i="6"/>
  <c r="O120" i="6"/>
  <c r="O57" i="6"/>
  <c r="O68" i="6"/>
  <c r="O45" i="6"/>
  <c r="O35" i="6"/>
  <c r="O32" i="6"/>
  <c r="O50" i="6"/>
  <c r="O38" i="6"/>
  <c r="O77" i="6"/>
  <c r="O75" i="6"/>
  <c r="O73" i="6"/>
  <c r="O47" i="6"/>
  <c r="O61" i="6"/>
  <c r="O54" i="6"/>
  <c r="O42" i="6"/>
  <c r="O39" i="6"/>
  <c r="O37" i="6"/>
  <c r="O33" i="6"/>
  <c r="O60" i="6"/>
  <c r="O59" i="6"/>
  <c r="O55" i="6"/>
  <c r="O28" i="6"/>
  <c r="O29" i="6"/>
  <c r="O78" i="6"/>
  <c r="O76" i="6"/>
  <c r="O74" i="6"/>
  <c r="O51" i="6"/>
  <c r="O43" i="6"/>
  <c r="O63" i="6"/>
  <c r="O34" i="6"/>
  <c r="O58" i="6"/>
  <c r="O46" i="6"/>
  <c r="O31" i="6"/>
  <c r="O27" i="6"/>
  <c r="O30" i="6"/>
  <c r="V368" i="1"/>
  <c r="P9" i="58" s="1"/>
  <c r="P27" i="58" s="1"/>
  <c r="P2" i="6"/>
  <c r="AN20" i="1"/>
  <c r="AM23" i="1"/>
  <c r="AM19" i="1"/>
  <c r="AM103" i="1" s="1"/>
  <c r="AN76" i="1" l="1"/>
  <c r="AN47" i="1"/>
  <c r="AM330" i="1"/>
  <c r="AM357" i="1"/>
  <c r="AM334" i="1"/>
  <c r="AM53" i="1"/>
  <c r="AM329" i="1"/>
  <c r="AM359" i="1"/>
  <c r="AM358" i="1"/>
  <c r="AM333" i="1"/>
  <c r="AM318" i="1"/>
  <c r="AD235" i="1"/>
  <c r="AI293" i="1"/>
  <c r="AI297" i="1"/>
  <c r="AN348" i="1"/>
  <c r="AN349" i="1"/>
  <c r="AN350" i="1"/>
  <c r="AN347" i="1"/>
  <c r="AM340" i="1"/>
  <c r="AM335" i="1"/>
  <c r="AM341" i="1"/>
  <c r="AM343" i="1"/>
  <c r="AM104" i="1"/>
  <c r="AM337" i="1"/>
  <c r="AM346" i="1"/>
  <c r="AM336" i="1"/>
  <c r="AM345" i="1"/>
  <c r="AM344" i="1"/>
  <c r="AM342" i="1"/>
  <c r="AM338" i="1"/>
  <c r="AM339" i="1"/>
  <c r="AM331" i="1"/>
  <c r="AN23" i="1"/>
  <c r="AN332" i="1"/>
  <c r="AM55" i="1"/>
  <c r="AM290" i="1"/>
  <c r="AM225" i="1"/>
  <c r="AM185" i="1"/>
  <c r="AM228" i="1"/>
  <c r="AM233" i="1"/>
  <c r="AM303" i="1"/>
  <c r="AM107" i="1"/>
  <c r="AM186" i="1"/>
  <c r="AM158" i="1"/>
  <c r="AM236" i="1"/>
  <c r="AM179" i="1"/>
  <c r="AM75" i="1"/>
  <c r="AM230" i="1"/>
  <c r="AM161" i="1"/>
  <c r="AM210" i="1"/>
  <c r="AM321" i="1"/>
  <c r="AM284" i="1"/>
  <c r="AM39" i="1"/>
  <c r="AM226" i="1"/>
  <c r="AM229" i="1"/>
  <c r="AM232" i="1"/>
  <c r="AN38" i="1"/>
  <c r="AN40" i="1"/>
  <c r="AN49" i="1"/>
  <c r="AN61" i="1"/>
  <c r="AN73" i="1"/>
  <c r="AN110" i="1"/>
  <c r="AN123" i="1"/>
  <c r="AN130" i="1"/>
  <c r="AN28" i="1"/>
  <c r="AN36" i="1"/>
  <c r="AN45" i="1"/>
  <c r="AN60" i="1"/>
  <c r="AN142" i="1"/>
  <c r="AN42" i="1"/>
  <c r="AN58" i="1"/>
  <c r="AN79" i="1"/>
  <c r="AN82" i="1"/>
  <c r="AN87" i="1"/>
  <c r="AN98" i="1"/>
  <c r="AN224" i="1"/>
  <c r="AN27" i="1"/>
  <c r="AN44" i="1"/>
  <c r="AN62" i="1"/>
  <c r="AN83" i="1"/>
  <c r="AN143" i="1"/>
  <c r="AN156" i="1"/>
  <c r="AN35" i="1"/>
  <c r="AN54" i="1"/>
  <c r="AN120" i="1"/>
  <c r="AN304" i="1"/>
  <c r="AN84" i="1"/>
  <c r="AN46" i="1"/>
  <c r="AN280" i="1"/>
  <c r="AN25" i="1"/>
  <c r="AN221" i="1"/>
  <c r="AN33" i="1"/>
  <c r="AN37" i="1"/>
  <c r="AN52" i="1"/>
  <c r="AN80" i="1"/>
  <c r="AN51" i="1"/>
  <c r="AN59" i="1"/>
  <c r="AN68" i="1"/>
  <c r="AN144" i="1"/>
  <c r="AN157" i="1"/>
  <c r="AN172" i="1"/>
  <c r="AN222" i="1"/>
  <c r="AN326" i="1"/>
  <c r="AN57" i="1"/>
  <c r="AN90" i="1"/>
  <c r="AN29" i="1"/>
  <c r="AN43" i="1"/>
  <c r="AN74" i="1"/>
  <c r="AN56" i="1"/>
  <c r="AN64" i="1"/>
  <c r="AN100" i="1"/>
  <c r="AN65" i="1"/>
  <c r="AN111" i="1"/>
  <c r="AN91" i="1"/>
  <c r="AN101" i="1"/>
  <c r="AN112" i="1"/>
  <c r="AN223" i="1"/>
  <c r="AN48" i="1"/>
  <c r="AN259" i="1"/>
  <c r="AN297" i="1"/>
  <c r="AN41" i="1"/>
  <c r="AN99" i="1"/>
  <c r="AN81" i="1"/>
  <c r="AN293" i="1"/>
  <c r="AN309" i="1"/>
  <c r="AN241" i="1"/>
  <c r="AN316" i="1"/>
  <c r="AN88" i="1"/>
  <c r="AN137" i="1"/>
  <c r="AN155" i="1"/>
  <c r="AN231" i="1"/>
  <c r="AN31" i="1"/>
  <c r="AN240" i="1"/>
  <c r="AN298" i="1"/>
  <c r="AN314" i="1"/>
  <c r="AN328" i="1"/>
  <c r="AN175" i="1"/>
  <c r="AN50" i="1"/>
  <c r="AN77" i="1"/>
  <c r="AN78" i="1"/>
  <c r="AN227" i="1"/>
  <c r="AN248" i="1"/>
  <c r="AN327" i="1"/>
  <c r="AN285" i="1"/>
  <c r="AN310" i="1"/>
  <c r="AN299" i="1"/>
  <c r="AN325" i="1"/>
  <c r="AN246" i="1"/>
  <c r="AN279" i="1"/>
  <c r="AN311" i="1"/>
  <c r="AN324" i="1"/>
  <c r="AN317" i="1"/>
  <c r="P254" i="6"/>
  <c r="P37" i="6"/>
  <c r="P92" i="6"/>
  <c r="P76" i="6"/>
  <c r="P114" i="6"/>
  <c r="P33" i="6"/>
  <c r="P104" i="6"/>
  <c r="P88" i="6"/>
  <c r="P35" i="6"/>
  <c r="P82" i="6"/>
  <c r="P101" i="6"/>
  <c r="P85" i="6"/>
  <c r="P29" i="6"/>
  <c r="P27" i="6"/>
  <c r="P63" i="6"/>
  <c r="P34" i="6"/>
  <c r="P97" i="6"/>
  <c r="P80" i="6"/>
  <c r="P38" i="6"/>
  <c r="P74" i="6"/>
  <c r="P68" i="6"/>
  <c r="P255" i="6"/>
  <c r="P39" i="6"/>
  <c r="P94" i="6"/>
  <c r="P260" i="6"/>
  <c r="P64" i="6"/>
  <c r="P116" i="6"/>
  <c r="P78" i="6"/>
  <c r="P75" i="6"/>
  <c r="P273" i="6"/>
  <c r="P113" i="6"/>
  <c r="P117" i="6"/>
  <c r="P30" i="6"/>
  <c r="P120" i="6"/>
  <c r="P105" i="6"/>
  <c r="P31" i="6"/>
  <c r="P86" i="6"/>
  <c r="P22" i="6"/>
  <c r="P262" i="6"/>
  <c r="P100" i="6"/>
  <c r="P93" i="6"/>
  <c r="P73" i="6"/>
  <c r="P20" i="6"/>
  <c r="P25" i="6"/>
  <c r="P79" i="6"/>
  <c r="P61" i="6"/>
  <c r="P126" i="6"/>
  <c r="P77" i="6"/>
  <c r="P136" i="6"/>
  <c r="P84" i="6"/>
  <c r="P81" i="6"/>
  <c r="P41" i="6"/>
  <c r="P65" i="6"/>
  <c r="P21" i="6"/>
  <c r="P36" i="6"/>
  <c r="P240" i="6"/>
  <c r="P243" i="6"/>
  <c r="P239" i="6"/>
  <c r="P235" i="6"/>
  <c r="P161" i="6"/>
  <c r="P244" i="6"/>
  <c r="P228" i="6"/>
  <c r="P159" i="6"/>
  <c r="P175" i="6"/>
  <c r="P248" i="6"/>
  <c r="P190" i="6"/>
  <c r="P236" i="6"/>
  <c r="P204" i="6"/>
  <c r="P106" i="6"/>
  <c r="P242" i="6"/>
  <c r="P234" i="6"/>
  <c r="P250" i="6"/>
  <c r="P178" i="6"/>
  <c r="P241" i="6"/>
  <c r="P115" i="6"/>
  <c r="P140" i="6"/>
  <c r="P56" i="6"/>
  <c r="P53" i="6"/>
  <c r="P52" i="6"/>
  <c r="P44" i="6"/>
  <c r="P174" i="6"/>
  <c r="P237" i="6"/>
  <c r="P172" i="6"/>
  <c r="P137" i="6"/>
  <c r="P160" i="6"/>
  <c r="P194" i="6"/>
  <c r="P233" i="6"/>
  <c r="P83" i="6"/>
  <c r="P123" i="6"/>
  <c r="P87" i="6"/>
  <c r="P48" i="6"/>
  <c r="P148" i="6"/>
  <c r="P40" i="6"/>
  <c r="P238" i="6"/>
  <c r="P245" i="6"/>
  <c r="P197" i="6"/>
  <c r="P127" i="6"/>
  <c r="P155" i="6"/>
  <c r="P95" i="6"/>
  <c r="P49" i="6"/>
  <c r="P57" i="6"/>
  <c r="P45" i="6"/>
  <c r="P50" i="6"/>
  <c r="P51" i="6"/>
  <c r="P43" i="6"/>
  <c r="P58" i="6"/>
  <c r="P46" i="6"/>
  <c r="P60" i="6"/>
  <c r="P59" i="6"/>
  <c r="P55" i="6"/>
  <c r="P47" i="6"/>
  <c r="P32" i="6"/>
  <c r="P28" i="6"/>
  <c r="P54" i="6"/>
  <c r="P42" i="6"/>
  <c r="Q1" i="6"/>
  <c r="W367" i="1"/>
  <c r="Q6" i="58" s="1"/>
  <c r="Q24" i="58" s="1"/>
  <c r="W372" i="1"/>
  <c r="W368" i="1"/>
  <c r="Q9" i="58" s="1"/>
  <c r="Q27" i="58" s="1"/>
  <c r="Z175" i="1"/>
  <c r="AI175" i="1" s="1"/>
  <c r="AD175" i="1" s="1"/>
  <c r="Z35" i="1"/>
  <c r="AI35" i="1" s="1"/>
  <c r="AD35" i="1" s="1"/>
  <c r="Z44" i="1"/>
  <c r="AI44" i="1" s="1"/>
  <c r="AD44" i="1" s="1"/>
  <c r="Z91" i="1"/>
  <c r="AI91" i="1" s="1"/>
  <c r="AD91" i="1" s="1"/>
  <c r="Z108" i="1"/>
  <c r="AI108" i="1" s="1"/>
  <c r="AD108" i="1" s="1"/>
  <c r="Q2" i="6"/>
  <c r="AO20" i="1"/>
  <c r="AN19" i="1"/>
  <c r="AN103" i="1" s="1"/>
  <c r="AO76" i="1" l="1"/>
  <c r="AO47" i="1"/>
  <c r="AN334" i="1"/>
  <c r="AN357" i="1"/>
  <c r="AC132" i="1"/>
  <c r="AC137" i="1"/>
  <c r="AN53" i="1"/>
  <c r="AN359" i="1"/>
  <c r="AN358" i="1"/>
  <c r="AN330" i="1"/>
  <c r="AN333" i="1"/>
  <c r="AN329" i="1"/>
  <c r="AN318" i="1"/>
  <c r="AD297" i="1"/>
  <c r="AD293" i="1"/>
  <c r="AI221" i="1"/>
  <c r="AO347" i="1"/>
  <c r="AO350" i="1"/>
  <c r="AO349" i="1"/>
  <c r="AO348" i="1"/>
  <c r="AN343" i="1"/>
  <c r="AN341" i="1"/>
  <c r="AN340" i="1"/>
  <c r="AN335" i="1"/>
  <c r="AN104" i="1"/>
  <c r="AN345" i="1"/>
  <c r="AN336" i="1"/>
  <c r="AN344" i="1"/>
  <c r="AN342" i="1"/>
  <c r="AN339" i="1"/>
  <c r="AN338" i="1"/>
  <c r="AN346" i="1"/>
  <c r="AN337" i="1"/>
  <c r="AN331" i="1"/>
  <c r="P252" i="6"/>
  <c r="AO332" i="1"/>
  <c r="AN303" i="1"/>
  <c r="AN186" i="1"/>
  <c r="AN161" i="1"/>
  <c r="AN39" i="1"/>
  <c r="AN75" i="1"/>
  <c r="AN233" i="1"/>
  <c r="AN290" i="1"/>
  <c r="AN236" i="1"/>
  <c r="AN158" i="1"/>
  <c r="AN321" i="1"/>
  <c r="AN230" i="1"/>
  <c r="AN225" i="1"/>
  <c r="AN185" i="1"/>
  <c r="AN232" i="1"/>
  <c r="AN179" i="1"/>
  <c r="AN226" i="1"/>
  <c r="AN210" i="1"/>
  <c r="AN229" i="1"/>
  <c r="AN228" i="1"/>
  <c r="AN107" i="1"/>
  <c r="AN55" i="1"/>
  <c r="AN284" i="1"/>
  <c r="AC28" i="21"/>
  <c r="P286" i="6"/>
  <c r="X34" i="21"/>
  <c r="P268" i="6"/>
  <c r="AM220" i="1"/>
  <c r="P224" i="6"/>
  <c r="P275" i="6"/>
  <c r="AL220" i="1"/>
  <c r="P230" i="6"/>
  <c r="P227" i="6"/>
  <c r="P258" i="6"/>
  <c r="P199" i="6"/>
  <c r="P196" i="6"/>
  <c r="P184" i="6"/>
  <c r="P279" i="6"/>
  <c r="P265" i="6"/>
  <c r="P209" i="6"/>
  <c r="AM189" i="1"/>
  <c r="P231" i="6"/>
  <c r="P220" i="6"/>
  <c r="P213" i="6"/>
  <c r="AL189" i="1"/>
  <c r="P139" i="6"/>
  <c r="P272" i="6"/>
  <c r="P180" i="6"/>
  <c r="P146" i="6"/>
  <c r="P110" i="6"/>
  <c r="P185" i="6"/>
  <c r="P163" i="6"/>
  <c r="P153" i="6"/>
  <c r="P142" i="6"/>
  <c r="P188" i="6"/>
  <c r="P176" i="6"/>
  <c r="P156" i="6"/>
  <c r="P165" i="6"/>
  <c r="P71" i="6"/>
  <c r="Z28" i="21"/>
  <c r="P34" i="21"/>
  <c r="P191" i="6"/>
  <c r="P112" i="6"/>
  <c r="P19" i="6"/>
  <c r="P66" i="6"/>
  <c r="AD28" i="21"/>
  <c r="P107" i="6"/>
  <c r="AF34" i="21"/>
  <c r="P283" i="6"/>
  <c r="AL26" i="1"/>
  <c r="R28" i="21"/>
  <c r="AM312" i="1"/>
  <c r="P285" i="6"/>
  <c r="AL312" i="1"/>
  <c r="P264" i="6"/>
  <c r="AL216" i="1"/>
  <c r="P226" i="6"/>
  <c r="P219" i="6"/>
  <c r="P212" i="6"/>
  <c r="AM188" i="1"/>
  <c r="P179" i="6"/>
  <c r="V28" i="21"/>
  <c r="AL219" i="1"/>
  <c r="AM216" i="1"/>
  <c r="AL188" i="1"/>
  <c r="P121" i="6"/>
  <c r="P278" i="6"/>
  <c r="P223" i="6"/>
  <c r="P217" i="6"/>
  <c r="P208" i="6"/>
  <c r="P198" i="6"/>
  <c r="P195" i="6"/>
  <c r="P270" i="6"/>
  <c r="P251" i="6"/>
  <c r="AL212" i="1"/>
  <c r="AD43" i="21"/>
  <c r="Q43" i="21"/>
  <c r="T43" i="21"/>
  <c r="AE43" i="21"/>
  <c r="P152" i="6"/>
  <c r="P141" i="6"/>
  <c r="P130" i="6"/>
  <c r="P96" i="6"/>
  <c r="P23" i="6"/>
  <c r="P70" i="6"/>
  <c r="W28" i="21"/>
  <c r="P108" i="6"/>
  <c r="P271" i="6"/>
  <c r="P263" i="6"/>
  <c r="AM215" i="1"/>
  <c r="AL215" i="1"/>
  <c r="P257" i="6"/>
  <c r="P177" i="6"/>
  <c r="P168" i="6"/>
  <c r="Z43" i="21"/>
  <c r="AC43" i="21"/>
  <c r="AF43" i="21"/>
  <c r="P43" i="21"/>
  <c r="S43" i="21"/>
  <c r="P145" i="6"/>
  <c r="P135" i="6"/>
  <c r="P109" i="6"/>
  <c r="AA28" i="21"/>
  <c r="W34" i="21"/>
  <c r="P249" i="6"/>
  <c r="P89" i="6"/>
  <c r="AM219" i="1"/>
  <c r="P171" i="6"/>
  <c r="P162" i="6"/>
  <c r="V43" i="21"/>
  <c r="Y43" i="21"/>
  <c r="AB43" i="21"/>
  <c r="AA43" i="21"/>
  <c r="P149" i="6"/>
  <c r="AE28" i="21"/>
  <c r="P284" i="6"/>
  <c r="P277" i="6"/>
  <c r="P267" i="6"/>
  <c r="P256" i="6"/>
  <c r="P229" i="6"/>
  <c r="P225" i="6"/>
  <c r="P202" i="6"/>
  <c r="X43" i="21"/>
  <c r="P128" i="6"/>
  <c r="P207" i="6"/>
  <c r="P280" i="6"/>
  <c r="P167" i="6"/>
  <c r="P144" i="6"/>
  <c r="P125" i="6"/>
  <c r="P183" i="6"/>
  <c r="W43" i="21"/>
  <c r="P98" i="6"/>
  <c r="P211" i="6"/>
  <c r="P201" i="6"/>
  <c r="P214" i="6"/>
  <c r="P182" i="6"/>
  <c r="P170" i="6"/>
  <c r="P158" i="6"/>
  <c r="P147" i="6"/>
  <c r="P129" i="6"/>
  <c r="P122" i="6"/>
  <c r="P274" i="6"/>
  <c r="R43" i="21"/>
  <c r="AM26" i="1"/>
  <c r="S28" i="21"/>
  <c r="P222" i="6"/>
  <c r="P216" i="6"/>
  <c r="P187" i="6"/>
  <c r="P173" i="6"/>
  <c r="P164" i="6"/>
  <c r="P132" i="6"/>
  <c r="P111" i="6"/>
  <c r="AM212" i="1"/>
  <c r="P133" i="6"/>
  <c r="P205" i="6"/>
  <c r="P189" i="6"/>
  <c r="P28" i="21"/>
  <c r="AF28" i="21"/>
  <c r="P102" i="6"/>
  <c r="P253" i="6"/>
  <c r="P210" i="6"/>
  <c r="AM151" i="1"/>
  <c r="P261" i="6"/>
  <c r="P169" i="6"/>
  <c r="P157" i="6"/>
  <c r="P119" i="6"/>
  <c r="R34" i="21"/>
  <c r="U34" i="21"/>
  <c r="AA34" i="21"/>
  <c r="Y28" i="21"/>
  <c r="P193" i="6"/>
  <c r="P138" i="6"/>
  <c r="P69" i="6"/>
  <c r="T28" i="21"/>
  <c r="AM283" i="1"/>
  <c r="P276" i="6"/>
  <c r="P215" i="6"/>
  <c r="P200" i="6"/>
  <c r="AL151" i="1"/>
  <c r="P192" i="6"/>
  <c r="P150" i="6"/>
  <c r="P131" i="6"/>
  <c r="P124" i="6"/>
  <c r="AD34" i="21"/>
  <c r="Q34" i="21"/>
  <c r="S34" i="21"/>
  <c r="P90" i="6"/>
  <c r="P103" i="6"/>
  <c r="AE34" i="21"/>
  <c r="P247" i="6"/>
  <c r="P151" i="6"/>
  <c r="P99" i="6"/>
  <c r="X28" i="21"/>
  <c r="AL283" i="1"/>
  <c r="P281" i="6"/>
  <c r="P259" i="6"/>
  <c r="P232" i="6"/>
  <c r="AM214" i="1"/>
  <c r="P218" i="6"/>
  <c r="AM258" i="1"/>
  <c r="P203" i="6"/>
  <c r="P181" i="6"/>
  <c r="P266" i="6"/>
  <c r="P246" i="6"/>
  <c r="AL214" i="1"/>
  <c r="P221" i="6"/>
  <c r="AL258" i="1"/>
  <c r="P166" i="6"/>
  <c r="P143" i="6"/>
  <c r="V34" i="21"/>
  <c r="T34" i="21"/>
  <c r="U28" i="21"/>
  <c r="P118" i="6"/>
  <c r="P91" i="6"/>
  <c r="P134" i="6"/>
  <c r="AB34" i="21"/>
  <c r="Q28" i="21"/>
  <c r="AC34" i="21"/>
  <c r="P72" i="6"/>
  <c r="P186" i="6"/>
  <c r="Z34" i="21"/>
  <c r="P24" i="6"/>
  <c r="U43" i="21"/>
  <c r="P269" i="6"/>
  <c r="P26" i="6"/>
  <c r="P154" i="6"/>
  <c r="Y34" i="21"/>
  <c r="P67" i="6"/>
  <c r="AB28" i="21"/>
  <c r="P206" i="6"/>
  <c r="AO38" i="1"/>
  <c r="AO130" i="1"/>
  <c r="AO142" i="1"/>
  <c r="AO110" i="1"/>
  <c r="AO123" i="1"/>
  <c r="AO224" i="1"/>
  <c r="AO49" i="1"/>
  <c r="AO82" i="1"/>
  <c r="AO120" i="1"/>
  <c r="AO304" i="1"/>
  <c r="AO36" i="1"/>
  <c r="AO73" i="1"/>
  <c r="AO46" i="1"/>
  <c r="AO280" i="1"/>
  <c r="AO326" i="1"/>
  <c r="AO28" i="1"/>
  <c r="AO45" i="1"/>
  <c r="AO221" i="1"/>
  <c r="AO61" i="1"/>
  <c r="AO62" i="1"/>
  <c r="AO83" i="1"/>
  <c r="AO143" i="1"/>
  <c r="AO156" i="1"/>
  <c r="AO90" i="1"/>
  <c r="AO60" i="1"/>
  <c r="AO29" i="1"/>
  <c r="AO43" i="1"/>
  <c r="AO74" i="1"/>
  <c r="AO56" i="1"/>
  <c r="AO64" i="1"/>
  <c r="AO100" i="1"/>
  <c r="AO98" i="1"/>
  <c r="AO111" i="1"/>
  <c r="AO175" i="1"/>
  <c r="AO222" i="1"/>
  <c r="AO37" i="1"/>
  <c r="AO52" i="1"/>
  <c r="AO80" i="1"/>
  <c r="AO51" i="1"/>
  <c r="AO59" i="1"/>
  <c r="AO68" i="1"/>
  <c r="AO144" i="1"/>
  <c r="AO157" i="1"/>
  <c r="AO172" i="1"/>
  <c r="AO42" i="1"/>
  <c r="AO41" i="1"/>
  <c r="AO99" i="1"/>
  <c r="AO91" i="1"/>
  <c r="AO155" i="1"/>
  <c r="AO314" i="1"/>
  <c r="AO316" i="1"/>
  <c r="AO324" i="1"/>
  <c r="AO328" i="1"/>
  <c r="AO88" i="1"/>
  <c r="AO27" i="1"/>
  <c r="AO35" i="1"/>
  <c r="AO44" i="1"/>
  <c r="AO54" i="1"/>
  <c r="AO81" i="1"/>
  <c r="AO101" i="1"/>
  <c r="AO137" i="1"/>
  <c r="AO240" i="1"/>
  <c r="AO327" i="1"/>
  <c r="AO298" i="1"/>
  <c r="AO25" i="1"/>
  <c r="AO50" i="1"/>
  <c r="AO77" i="1"/>
  <c r="AO112" i="1"/>
  <c r="AO223" i="1"/>
  <c r="AO227" i="1"/>
  <c r="AO79" i="1"/>
  <c r="AO248" i="1"/>
  <c r="AO285" i="1"/>
  <c r="AO310" i="1"/>
  <c r="AO58" i="1"/>
  <c r="AO87" i="1"/>
  <c r="AO31" i="1"/>
  <c r="AO33" i="1"/>
  <c r="AO48" i="1"/>
  <c r="AO57" i="1"/>
  <c r="AO65" i="1"/>
  <c r="AO78" i="1"/>
  <c r="AO84" i="1"/>
  <c r="AO231" i="1"/>
  <c r="AO40" i="1"/>
  <c r="AO259" i="1"/>
  <c r="AO293" i="1"/>
  <c r="AO297" i="1"/>
  <c r="AO309" i="1"/>
  <c r="AO241" i="1"/>
  <c r="AO246" i="1"/>
  <c r="AO311" i="1"/>
  <c r="AO279" i="1"/>
  <c r="AO317" i="1"/>
  <c r="AO299" i="1"/>
  <c r="AO325" i="1"/>
  <c r="Q81" i="6"/>
  <c r="Q123" i="6"/>
  <c r="Q241" i="6"/>
  <c r="Q58" i="6"/>
  <c r="Q242" i="6"/>
  <c r="Q273" i="6"/>
  <c r="Q159" i="6"/>
  <c r="Q63" i="6"/>
  <c r="Q233" i="6"/>
  <c r="Q194" i="6"/>
  <c r="Q22" i="6"/>
  <c r="Q68" i="6"/>
  <c r="Q34" i="6"/>
  <c r="Q234" i="6"/>
  <c r="Q20" i="6"/>
  <c r="Q38" i="6"/>
  <c r="Q237" i="6"/>
  <c r="Q105" i="6"/>
  <c r="Q74" i="6"/>
  <c r="Q250" i="6"/>
  <c r="Q115" i="6"/>
  <c r="Q245" i="6"/>
  <c r="Q117" i="6"/>
  <c r="Q137" i="6"/>
  <c r="Q73" i="6"/>
  <c r="Q178" i="6"/>
  <c r="Q113" i="6"/>
  <c r="Q148" i="6"/>
  <c r="Q78" i="6"/>
  <c r="Q59" i="6"/>
  <c r="Q160" i="6"/>
  <c r="Q140" i="6"/>
  <c r="Q75" i="6"/>
  <c r="Q92" i="6"/>
  <c r="Q172" i="6"/>
  <c r="Q79" i="6"/>
  <c r="Q61" i="6"/>
  <c r="Q155" i="6"/>
  <c r="Q77" i="6"/>
  <c r="Q97" i="6"/>
  <c r="Q88" i="6"/>
  <c r="Q80" i="6"/>
  <c r="Q54" i="6"/>
  <c r="Q50" i="6"/>
  <c r="Q43" i="6"/>
  <c r="Q136" i="6"/>
  <c r="Q84" i="6"/>
  <c r="Q55" i="6"/>
  <c r="Q64" i="6"/>
  <c r="Q37" i="6"/>
  <c r="Q33" i="6"/>
  <c r="Q29" i="6"/>
  <c r="Q262" i="6"/>
  <c r="Q197" i="6"/>
  <c r="Q260" i="6"/>
  <c r="Q238" i="6"/>
  <c r="Q190" i="6"/>
  <c r="Q100" i="6"/>
  <c r="Q51" i="6"/>
  <c r="Q120" i="6"/>
  <c r="Q85" i="6"/>
  <c r="Q46" i="6"/>
  <c r="Q255" i="6"/>
  <c r="Q116" i="6"/>
  <c r="Q76" i="6"/>
  <c r="Q47" i="6"/>
  <c r="Q25" i="6"/>
  <c r="Q36" i="6"/>
  <c r="Q104" i="6"/>
  <c r="Q30" i="6"/>
  <c r="Q254" i="6"/>
  <c r="Q41" i="6"/>
  <c r="Q93" i="6"/>
  <c r="Q101" i="6"/>
  <c r="Q21" i="6"/>
  <c r="Q42" i="6"/>
  <c r="Q236" i="6"/>
  <c r="Q204" i="6"/>
  <c r="Q240" i="6"/>
  <c r="Q106" i="6"/>
  <c r="Q244" i="6"/>
  <c r="Q228" i="6"/>
  <c r="Q175" i="6"/>
  <c r="Q248" i="6"/>
  <c r="Q243" i="6"/>
  <c r="Q239" i="6"/>
  <c r="Q235" i="6"/>
  <c r="Q83" i="6"/>
  <c r="Q174" i="6"/>
  <c r="Q87" i="6"/>
  <c r="Q94" i="6"/>
  <c r="Q86" i="6"/>
  <c r="Q49" i="6"/>
  <c r="Q65" i="6"/>
  <c r="Q57" i="6"/>
  <c r="Q45" i="6"/>
  <c r="Q114" i="6"/>
  <c r="Q127" i="6"/>
  <c r="Q95" i="6"/>
  <c r="Q48" i="6"/>
  <c r="Q126" i="6"/>
  <c r="Q40" i="6"/>
  <c r="Q53" i="6"/>
  <c r="Q82" i="6"/>
  <c r="Q161" i="6"/>
  <c r="Q56" i="6"/>
  <c r="Q60" i="6"/>
  <c r="Q52" i="6"/>
  <c r="Q44" i="6"/>
  <c r="Q28" i="6"/>
  <c r="Q39" i="6"/>
  <c r="Q27" i="6"/>
  <c r="Q32" i="6"/>
  <c r="Q31" i="6"/>
  <c r="Q35" i="6"/>
  <c r="R1" i="6"/>
  <c r="Q285" i="6"/>
  <c r="Q249" i="6"/>
  <c r="Q168" i="6"/>
  <c r="Q281" i="6"/>
  <c r="Q221" i="6"/>
  <c r="Q201" i="6"/>
  <c r="Q67" i="6"/>
  <c r="Q198" i="6"/>
  <c r="Q185" i="6"/>
  <c r="Q277" i="6"/>
  <c r="Q163" i="6"/>
  <c r="Q229" i="6"/>
  <c r="Q157" i="6"/>
  <c r="Q226" i="6"/>
  <c r="Q193" i="6"/>
  <c r="Q265" i="6"/>
  <c r="Q222" i="6"/>
  <c r="Q149" i="6"/>
  <c r="Q177" i="6"/>
  <c r="Q218" i="6"/>
  <c r="Q125" i="6"/>
  <c r="Q141" i="6"/>
  <c r="Q169" i="6"/>
  <c r="Q89" i="6"/>
  <c r="Q225" i="6"/>
  <c r="Q269" i="6"/>
  <c r="Q156" i="6"/>
  <c r="Q230" i="6"/>
  <c r="Q165" i="6"/>
  <c r="Q23" i="6"/>
  <c r="Q26" i="6"/>
  <c r="Q272" i="6"/>
  <c r="Q266" i="6"/>
  <c r="Q206" i="6"/>
  <c r="Q258" i="6"/>
  <c r="Q205" i="6"/>
  <c r="Q128" i="6"/>
  <c r="Q261" i="6"/>
  <c r="Q131" i="6"/>
  <c r="Q276" i="6"/>
  <c r="Q256" i="6"/>
  <c r="Q286" i="6"/>
  <c r="Q282" i="6"/>
  <c r="Q278" i="6"/>
  <c r="Q274" i="6"/>
  <c r="Q270" i="6"/>
  <c r="Q257" i="6"/>
  <c r="Q189" i="6"/>
  <c r="Q70" i="6"/>
  <c r="Q19" i="6"/>
  <c r="Q280" i="6"/>
  <c r="Q264" i="6"/>
  <c r="Q62" i="6"/>
  <c r="Q209" i="6"/>
  <c r="Q284" i="6"/>
  <c r="Q268" i="6"/>
  <c r="Q283" i="6"/>
  <c r="Q279" i="6"/>
  <c r="Q275" i="6"/>
  <c r="Q271" i="6"/>
  <c r="Q267" i="6"/>
  <c r="Q263" i="6"/>
  <c r="Q214" i="6"/>
  <c r="Q139" i="6"/>
  <c r="Q108" i="6"/>
  <c r="Q147" i="6"/>
  <c r="Q69" i="6"/>
  <c r="Q210" i="6"/>
  <c r="Q133" i="6"/>
  <c r="Q109" i="6"/>
  <c r="Q213" i="6"/>
  <c r="Q217" i="6"/>
  <c r="Q132" i="6"/>
  <c r="Q144" i="6"/>
  <c r="Q96" i="6"/>
  <c r="Q202" i="6"/>
  <c r="Q182" i="6"/>
  <c r="Q124" i="6"/>
  <c r="Q112" i="6"/>
  <c r="Q251" i="6"/>
  <c r="Q186" i="6"/>
  <c r="Q143" i="6"/>
  <c r="Q151" i="6"/>
  <c r="Q181" i="6"/>
  <c r="Q152" i="6"/>
  <c r="Q259" i="6"/>
  <c r="Q246" i="6"/>
  <c r="Q253" i="6"/>
  <c r="Q71" i="6"/>
  <c r="Q173" i="6"/>
  <c r="Q72" i="6"/>
  <c r="Q24" i="6"/>
  <c r="Q142" i="6"/>
  <c r="Q164" i="6"/>
  <c r="Q171" i="6"/>
  <c r="Q220" i="6"/>
  <c r="Q188" i="6"/>
  <c r="Q211" i="6"/>
  <c r="Q195" i="6"/>
  <c r="Q179" i="6"/>
  <c r="Q167" i="6"/>
  <c r="Q224" i="6"/>
  <c r="Q208" i="6"/>
  <c r="Q192" i="6"/>
  <c r="Q252" i="6"/>
  <c r="Q215" i="6"/>
  <c r="Q199" i="6"/>
  <c r="Q183" i="6"/>
  <c r="Q121" i="6"/>
  <c r="Q99" i="6"/>
  <c r="Q212" i="6"/>
  <c r="Q196" i="6"/>
  <c r="Q180" i="6"/>
  <c r="Q219" i="6"/>
  <c r="Q203" i="6"/>
  <c r="Q187" i="6"/>
  <c r="Q150" i="6"/>
  <c r="Q232" i="6"/>
  <c r="Q216" i="6"/>
  <c r="Q200" i="6"/>
  <c r="Q184" i="6"/>
  <c r="Q158" i="6"/>
  <c r="Q247" i="6"/>
  <c r="Q231" i="6"/>
  <c r="Q227" i="6"/>
  <c r="Q223" i="6"/>
  <c r="Q207" i="6"/>
  <c r="Q191" i="6"/>
  <c r="Q176" i="6"/>
  <c r="Q146" i="6"/>
  <c r="Q122" i="6"/>
  <c r="Q135" i="6"/>
  <c r="Q98" i="6"/>
  <c r="Q118" i="6"/>
  <c r="Q110" i="6"/>
  <c r="Q102" i="6"/>
  <c r="Q138" i="6"/>
  <c r="Q90" i="6"/>
  <c r="Q170" i="6"/>
  <c r="Q153" i="6"/>
  <c r="Q66" i="6"/>
  <c r="Q119" i="6"/>
  <c r="Q162" i="6"/>
  <c r="Q129" i="6"/>
  <c r="Q166" i="6"/>
  <c r="Q103" i="6"/>
  <c r="Q134" i="6"/>
  <c r="Q107" i="6"/>
  <c r="Q154" i="6"/>
  <c r="Q145" i="6"/>
  <c r="Q130" i="6"/>
  <c r="Q91" i="6"/>
  <c r="Q111" i="6"/>
  <c r="AN63" i="1"/>
  <c r="AN134" i="1"/>
  <c r="AN150" i="1"/>
  <c r="AN163" i="1"/>
  <c r="AN191" i="1"/>
  <c r="AN205" i="1"/>
  <c r="AN220" i="1"/>
  <c r="AN32" i="1"/>
  <c r="AN85" i="1"/>
  <c r="AN95" i="1"/>
  <c r="AN102" i="1"/>
  <c r="AN116" i="1"/>
  <c r="AN146" i="1"/>
  <c r="AN159" i="1"/>
  <c r="AN174" i="1"/>
  <c r="AN187" i="1"/>
  <c r="AN217" i="1"/>
  <c r="AN109" i="1"/>
  <c r="AN69" i="1"/>
  <c r="AN170" i="1"/>
  <c r="AN184" i="1"/>
  <c r="AN213" i="1"/>
  <c r="AN66" i="1"/>
  <c r="AN92" i="1"/>
  <c r="AN106" i="1"/>
  <c r="AN127" i="1"/>
  <c r="AN138" i="1"/>
  <c r="AN152" i="1"/>
  <c r="AN180" i="1"/>
  <c r="AN195" i="1"/>
  <c r="AN209" i="1"/>
  <c r="AN96" i="1"/>
  <c r="AN113" i="1"/>
  <c r="AN171" i="1"/>
  <c r="AN188" i="1"/>
  <c r="AN202" i="1"/>
  <c r="AN218" i="1"/>
  <c r="AN243" i="1"/>
  <c r="AN258" i="1"/>
  <c r="AN319" i="1"/>
  <c r="AN24" i="1"/>
  <c r="AN139" i="1"/>
  <c r="AN153" i="1"/>
  <c r="AN167" i="1"/>
  <c r="AN199" i="1"/>
  <c r="AN214" i="1"/>
  <c r="AN239" i="1"/>
  <c r="AN254" i="1"/>
  <c r="AN269" i="1"/>
  <c r="AN283" i="1"/>
  <c r="AN287" i="1"/>
  <c r="AN292" i="1"/>
  <c r="AN296" i="1"/>
  <c r="AN300" i="1"/>
  <c r="AN308" i="1"/>
  <c r="AN312" i="1"/>
  <c r="AN135" i="1"/>
  <c r="AN164" i="1"/>
  <c r="AN177" i="1"/>
  <c r="AN181" i="1"/>
  <c r="AN196" i="1"/>
  <c r="AN250" i="1"/>
  <c r="AN265" i="1"/>
  <c r="AN131" i="1"/>
  <c r="AN147" i="1"/>
  <c r="AN160" i="1"/>
  <c r="AN192" i="1"/>
  <c r="AN206" i="1"/>
  <c r="AN247" i="1"/>
  <c r="AN262" i="1"/>
  <c r="AN276" i="1"/>
  <c r="AN30" i="1"/>
  <c r="AN97" i="1"/>
  <c r="AN121" i="1"/>
  <c r="AN129" i="1"/>
  <c r="AN182" i="1"/>
  <c r="AN189" i="1"/>
  <c r="AN193" i="1"/>
  <c r="AN197" i="1"/>
  <c r="AN200" i="1"/>
  <c r="AN203" i="1"/>
  <c r="AN207" i="1"/>
  <c r="AN211" i="1"/>
  <c r="AN215" i="1"/>
  <c r="AN122" i="1"/>
  <c r="AN124" i="1"/>
  <c r="AN86" i="1"/>
  <c r="AN108" i="1"/>
  <c r="AN114" i="1"/>
  <c r="AN140" i="1"/>
  <c r="AN154" i="1"/>
  <c r="AN168" i="1"/>
  <c r="AN26" i="1"/>
  <c r="AN71" i="1"/>
  <c r="AN125" i="1"/>
  <c r="AN136" i="1"/>
  <c r="AN151" i="1"/>
  <c r="AN165" i="1"/>
  <c r="AN89" i="1"/>
  <c r="AN118" i="1"/>
  <c r="AN132" i="1"/>
  <c r="AN148" i="1"/>
  <c r="AN178" i="1"/>
  <c r="AN117" i="1"/>
  <c r="AN194" i="1"/>
  <c r="AN208" i="1"/>
  <c r="AN244" i="1"/>
  <c r="AN266" i="1"/>
  <c r="AN252" i="1"/>
  <c r="AN256" i="1"/>
  <c r="AN306" i="1"/>
  <c r="AN70" i="1"/>
  <c r="AN190" i="1"/>
  <c r="AN204" i="1"/>
  <c r="AN219" i="1"/>
  <c r="AN72" i="1"/>
  <c r="AN255" i="1"/>
  <c r="AN277" i="1"/>
  <c r="AN313" i="1"/>
  <c r="AN245" i="1"/>
  <c r="AN291" i="1"/>
  <c r="AN302" i="1"/>
  <c r="AN237" i="1"/>
  <c r="AN128" i="1"/>
  <c r="AN119" i="1"/>
  <c r="AN133" i="1"/>
  <c r="AN141" i="1"/>
  <c r="AN145" i="1"/>
  <c r="AN149" i="1"/>
  <c r="AN162" i="1"/>
  <c r="AN166" i="1"/>
  <c r="AN169" i="1"/>
  <c r="AN173" i="1"/>
  <c r="AN176" i="1"/>
  <c r="AN201" i="1"/>
  <c r="AN216" i="1"/>
  <c r="AN235" i="1"/>
  <c r="AN94" i="1"/>
  <c r="AN251" i="1"/>
  <c r="AN273" i="1"/>
  <c r="AN305" i="1"/>
  <c r="AN278" i="1"/>
  <c r="AN282" i="1"/>
  <c r="AN289" i="1"/>
  <c r="AN234" i="1"/>
  <c r="AN34" i="1"/>
  <c r="AN67" i="1"/>
  <c r="AN93" i="1"/>
  <c r="AN105" i="1"/>
  <c r="AN115" i="1"/>
  <c r="AN126" i="1"/>
  <c r="AN183" i="1"/>
  <c r="AN198" i="1"/>
  <c r="AN212" i="1"/>
  <c r="AN270" i="1"/>
  <c r="AN281" i="1"/>
  <c r="AN288" i="1"/>
  <c r="AN301" i="1"/>
  <c r="AN315" i="1"/>
  <c r="AN320" i="1"/>
  <c r="AN323" i="1"/>
  <c r="AN260" i="1"/>
  <c r="AN263" i="1"/>
  <c r="AN267" i="1"/>
  <c r="AN271" i="1"/>
  <c r="AN274" i="1"/>
  <c r="AN294" i="1"/>
  <c r="AN249" i="1"/>
  <c r="AN261" i="1"/>
  <c r="AN272" i="1"/>
  <c r="AN286" i="1"/>
  <c r="AN257" i="1"/>
  <c r="AN295" i="1"/>
  <c r="AN322" i="1"/>
  <c r="AN242" i="1"/>
  <c r="AN253" i="1"/>
  <c r="AN268" i="1"/>
  <c r="AN275" i="1"/>
  <c r="AN307" i="1"/>
  <c r="AN238" i="1"/>
  <c r="AN264" i="1"/>
  <c r="AC91" i="1"/>
  <c r="R2" i="6"/>
  <c r="AP20" i="1"/>
  <c r="AO23" i="1"/>
  <c r="AC94" i="1"/>
  <c r="AC50" i="1"/>
  <c r="AO19" i="1"/>
  <c r="AO103" i="1" s="1"/>
  <c r="AP76" i="1" l="1"/>
  <c r="AP47" i="1"/>
  <c r="Q10" i="6"/>
  <c r="Q12" i="6"/>
  <c r="Q9" i="6"/>
  <c r="Q11" i="6"/>
  <c r="Q13" i="6"/>
  <c r="Q8" i="6"/>
  <c r="Q14" i="6"/>
  <c r="AL346" i="1"/>
  <c r="AO318" i="1"/>
  <c r="AO357" i="1"/>
  <c r="AC293" i="1"/>
  <c r="AO329" i="1"/>
  <c r="AO359" i="1"/>
  <c r="AO358" i="1"/>
  <c r="AO330" i="1"/>
  <c r="AO53" i="1"/>
  <c r="AO334" i="1"/>
  <c r="AO333" i="1"/>
  <c r="AL351" i="1"/>
  <c r="AL353" i="1"/>
  <c r="AL352" i="1"/>
  <c r="AL355" i="1"/>
  <c r="AO351" i="1"/>
  <c r="AO352" i="1"/>
  <c r="AO355" i="1"/>
  <c r="AO353" i="1"/>
  <c r="AL354" i="1"/>
  <c r="AL356" i="1"/>
  <c r="AP352" i="1"/>
  <c r="AP355" i="1"/>
  <c r="AP351" i="1"/>
  <c r="AP353" i="1"/>
  <c r="AM356" i="1"/>
  <c r="AM354" i="1"/>
  <c r="AM351" i="1"/>
  <c r="AM353" i="1"/>
  <c r="AM355" i="1"/>
  <c r="AM352" i="1"/>
  <c r="AP356" i="1"/>
  <c r="AP354" i="1"/>
  <c r="P282" i="6"/>
  <c r="AN356" i="1"/>
  <c r="AN354" i="1"/>
  <c r="AN355" i="1"/>
  <c r="AN351" i="1"/>
  <c r="AN353" i="1"/>
  <c r="AN352" i="1"/>
  <c r="AO354" i="1"/>
  <c r="AO356" i="1"/>
  <c r="AD221" i="1"/>
  <c r="AP348" i="1"/>
  <c r="AP350" i="1"/>
  <c r="AP347" i="1"/>
  <c r="AP349" i="1"/>
  <c r="AO340" i="1"/>
  <c r="AO335" i="1"/>
  <c r="AO343" i="1"/>
  <c r="AO341" i="1"/>
  <c r="P62" i="6"/>
  <c r="AO104" i="1"/>
  <c r="AO345" i="1"/>
  <c r="AO344" i="1"/>
  <c r="AO337" i="1"/>
  <c r="AO342" i="1"/>
  <c r="AO346" i="1"/>
  <c r="AO336" i="1"/>
  <c r="AO338" i="1"/>
  <c r="AO339" i="1"/>
  <c r="AO331" i="1"/>
  <c r="AC37" i="1"/>
  <c r="AP332" i="1"/>
  <c r="AC40" i="1"/>
  <c r="AO303" i="1"/>
  <c r="AO230" i="1"/>
  <c r="AO75" i="1"/>
  <c r="AO229" i="1"/>
  <c r="AO210" i="1"/>
  <c r="AO185" i="1"/>
  <c r="AO158" i="1"/>
  <c r="AO236" i="1"/>
  <c r="AO161" i="1"/>
  <c r="AO233" i="1"/>
  <c r="AO232" i="1"/>
  <c r="AO186" i="1"/>
  <c r="AO55" i="1"/>
  <c r="AO228" i="1"/>
  <c r="AO284" i="1"/>
  <c r="AO179" i="1"/>
  <c r="AO39" i="1"/>
  <c r="AO107" i="1"/>
  <c r="AO321" i="1"/>
  <c r="AO226" i="1"/>
  <c r="AO225" i="1"/>
  <c r="AO290" i="1"/>
  <c r="O134" i="6"/>
  <c r="AM118" i="1"/>
  <c r="N99" i="6"/>
  <c r="O150" i="6"/>
  <c r="AM132" i="1"/>
  <c r="N70" i="6"/>
  <c r="AL69" i="1"/>
  <c r="N157" i="6"/>
  <c r="AL140" i="1"/>
  <c r="O72" i="6"/>
  <c r="AM71" i="1"/>
  <c r="N23" i="6"/>
  <c r="AL30" i="1"/>
  <c r="O66" i="6"/>
  <c r="AM66" i="1"/>
  <c r="O192" i="6"/>
  <c r="AM174" i="1"/>
  <c r="O200" i="6"/>
  <c r="AM182" i="1"/>
  <c r="O215" i="6"/>
  <c r="O281" i="6"/>
  <c r="AM266" i="1"/>
  <c r="AM288" i="1"/>
  <c r="X14" i="21"/>
  <c r="X12" i="21"/>
  <c r="X13" i="21"/>
  <c r="X11" i="21"/>
  <c r="O119" i="6"/>
  <c r="N143" i="6"/>
  <c r="AL126" i="1"/>
  <c r="O169" i="6"/>
  <c r="AM152" i="1"/>
  <c r="O253" i="6"/>
  <c r="AM239" i="1"/>
  <c r="O266" i="6"/>
  <c r="AM251" i="1"/>
  <c r="O96" i="6"/>
  <c r="AM85" i="1"/>
  <c r="N89" i="6"/>
  <c r="O67" i="6"/>
  <c r="AM67" i="1"/>
  <c r="O24" i="6"/>
  <c r="AM32" i="1"/>
  <c r="O108" i="6"/>
  <c r="AM93" i="1"/>
  <c r="N125" i="6"/>
  <c r="AL109" i="1"/>
  <c r="O282" i="6"/>
  <c r="AM267" i="1"/>
  <c r="N112" i="6"/>
  <c r="AL97" i="1"/>
  <c r="O217" i="6"/>
  <c r="AM200" i="1"/>
  <c r="O107" i="6"/>
  <c r="AM92" i="1"/>
  <c r="O154" i="6"/>
  <c r="AM136" i="1"/>
  <c r="O186" i="6"/>
  <c r="AM168" i="1"/>
  <c r="O206" i="6"/>
  <c r="AM190" i="1"/>
  <c r="N210" i="6"/>
  <c r="AL194" i="1"/>
  <c r="N276" i="6"/>
  <c r="AL262" i="1"/>
  <c r="N167" i="6"/>
  <c r="AL150" i="1"/>
  <c r="AL301" i="1"/>
  <c r="O125" i="6"/>
  <c r="AM109" i="1"/>
  <c r="O201" i="6"/>
  <c r="AM183" i="1"/>
  <c r="N256" i="6"/>
  <c r="AL242" i="1"/>
  <c r="N151" i="6"/>
  <c r="AL133" i="1"/>
  <c r="O189" i="6"/>
  <c r="AM171" i="1"/>
  <c r="N280" i="6"/>
  <c r="AL265" i="1"/>
  <c r="N229" i="6"/>
  <c r="AL211" i="1"/>
  <c r="O69" i="6"/>
  <c r="O132" i="6"/>
  <c r="AM116" i="1"/>
  <c r="N214" i="6"/>
  <c r="AL198" i="1"/>
  <c r="O269" i="6"/>
  <c r="AM254" i="1"/>
  <c r="AM320" i="1"/>
  <c r="O207" i="6"/>
  <c r="AM191" i="1"/>
  <c r="N211" i="6"/>
  <c r="AL195" i="1"/>
  <c r="O229" i="6"/>
  <c r="AM211" i="1"/>
  <c r="AM289" i="1"/>
  <c r="O222" i="6"/>
  <c r="AM204" i="1"/>
  <c r="AE12" i="21"/>
  <c r="AE11" i="21"/>
  <c r="AE13" i="21"/>
  <c r="AE14" i="21"/>
  <c r="O135" i="6"/>
  <c r="AM119" i="1"/>
  <c r="O271" i="6"/>
  <c r="AM256" i="1"/>
  <c r="AM292" i="1"/>
  <c r="N72" i="6"/>
  <c r="AL71" i="1"/>
  <c r="O145" i="6"/>
  <c r="AM128" i="1"/>
  <c r="N149" i="6"/>
  <c r="AL131" i="1"/>
  <c r="N179" i="6"/>
  <c r="AL162" i="1"/>
  <c r="N212" i="6"/>
  <c r="AL196" i="1"/>
  <c r="O225" i="6"/>
  <c r="AM207" i="1"/>
  <c r="O267" i="6"/>
  <c r="AM252" i="1"/>
  <c r="AL289" i="1"/>
  <c r="AL315" i="1"/>
  <c r="N90" i="6"/>
  <c r="N145" i="6"/>
  <c r="AL128" i="1"/>
  <c r="O171" i="6"/>
  <c r="AM154" i="1"/>
  <c r="AL302" i="1"/>
  <c r="AM277" i="1"/>
  <c r="O121" i="6"/>
  <c r="AM105" i="1"/>
  <c r="O212" i="6"/>
  <c r="AM196" i="1"/>
  <c r="N283" i="6"/>
  <c r="AL268" i="1"/>
  <c r="O23" i="6"/>
  <c r="AM30" i="1"/>
  <c r="O208" i="6"/>
  <c r="AM192" i="1"/>
  <c r="O251" i="6"/>
  <c r="AM237" i="1"/>
  <c r="O70" i="6"/>
  <c r="AM69" i="1"/>
  <c r="O195" i="6"/>
  <c r="AM177" i="1"/>
  <c r="O219" i="6"/>
  <c r="O257" i="6"/>
  <c r="AM243" i="1"/>
  <c r="O285" i="6"/>
  <c r="AM270" i="1"/>
  <c r="N146" i="6"/>
  <c r="AL129" i="1"/>
  <c r="AM286" i="1"/>
  <c r="O163" i="6"/>
  <c r="AM146" i="1"/>
  <c r="N156" i="6"/>
  <c r="AL139" i="1"/>
  <c r="N110" i="6"/>
  <c r="AL94" i="1"/>
  <c r="N118" i="6"/>
  <c r="AL102" i="1"/>
  <c r="O146" i="6"/>
  <c r="AM129" i="1"/>
  <c r="N180" i="6"/>
  <c r="AL163" i="1"/>
  <c r="O199" i="6"/>
  <c r="AM181" i="1"/>
  <c r="O213" i="6"/>
  <c r="AM197" i="1"/>
  <c r="N265" i="6"/>
  <c r="AL250" i="1"/>
  <c r="O118" i="6"/>
  <c r="AM102" i="1"/>
  <c r="O180" i="6"/>
  <c r="AM163" i="1"/>
  <c r="N163" i="6"/>
  <c r="AL146" i="1"/>
  <c r="N209" i="6"/>
  <c r="AL193" i="1"/>
  <c r="AL275" i="1"/>
  <c r="N213" i="6"/>
  <c r="AL197" i="1"/>
  <c r="AM295" i="1"/>
  <c r="O275" i="6"/>
  <c r="AM261" i="1"/>
  <c r="AL287" i="1"/>
  <c r="AL291" i="1"/>
  <c r="O252" i="6"/>
  <c r="AM238" i="1"/>
  <c r="O268" i="6"/>
  <c r="AM253" i="1"/>
  <c r="O265" i="6"/>
  <c r="AM250" i="1"/>
  <c r="AL323" i="1"/>
  <c r="O218" i="6"/>
  <c r="AM201" i="1"/>
  <c r="O259" i="6"/>
  <c r="AM245" i="1"/>
  <c r="Q12" i="21"/>
  <c r="Q11" i="21"/>
  <c r="Q14" i="21"/>
  <c r="Q13" i="21"/>
  <c r="N98" i="6"/>
  <c r="AL86" i="1"/>
  <c r="U13" i="21"/>
  <c r="U14" i="21"/>
  <c r="U12" i="21"/>
  <c r="U11" i="21"/>
  <c r="N221" i="6"/>
  <c r="AL203" i="1"/>
  <c r="N253" i="6"/>
  <c r="AL239" i="1"/>
  <c r="N266" i="6"/>
  <c r="AL251" i="1"/>
  <c r="O90" i="6"/>
  <c r="N144" i="6"/>
  <c r="AL127" i="1"/>
  <c r="O187" i="6"/>
  <c r="AM169" i="1"/>
  <c r="O89" i="6"/>
  <c r="O157" i="6"/>
  <c r="AM140" i="1"/>
  <c r="O261" i="6"/>
  <c r="AM247" i="1"/>
  <c r="O210" i="6"/>
  <c r="AM194" i="1"/>
  <c r="O276" i="6"/>
  <c r="AM262" i="1"/>
  <c r="N281" i="6"/>
  <c r="AL266" i="1"/>
  <c r="N207" i="6"/>
  <c r="AL191" i="1"/>
  <c r="O143" i="6"/>
  <c r="AM126" i="1"/>
  <c r="N203" i="6"/>
  <c r="AL300" i="1"/>
  <c r="N218" i="6"/>
  <c r="AL201" i="1"/>
  <c r="N232" i="6"/>
  <c r="AL218" i="1"/>
  <c r="AF14" i="21"/>
  <c r="AF13" i="21"/>
  <c r="AF12" i="21"/>
  <c r="AF11" i="21"/>
  <c r="N247" i="6"/>
  <c r="AL235" i="1"/>
  <c r="O170" i="6"/>
  <c r="AM153" i="1"/>
  <c r="O247" i="6"/>
  <c r="AM235" i="1"/>
  <c r="AM301" i="1"/>
  <c r="N122" i="6"/>
  <c r="AL106" i="1"/>
  <c r="O167" i="6"/>
  <c r="AM150" i="1"/>
  <c r="N170" i="6"/>
  <c r="AL153" i="1"/>
  <c r="O214" i="6"/>
  <c r="AM198" i="1"/>
  <c r="O280" i="6"/>
  <c r="AM265" i="1"/>
  <c r="N216" i="6"/>
  <c r="AL199" i="1"/>
  <c r="O256" i="6"/>
  <c r="AM242" i="1"/>
  <c r="O99" i="6"/>
  <c r="N138" i="6"/>
  <c r="AL121" i="1"/>
  <c r="O151" i="6"/>
  <c r="AM133" i="1"/>
  <c r="N182" i="6"/>
  <c r="AL165" i="1"/>
  <c r="O249" i="6"/>
  <c r="N271" i="6"/>
  <c r="AL256" i="1"/>
  <c r="AL292" i="1"/>
  <c r="O28" i="21"/>
  <c r="AG28" i="21" s="1"/>
  <c r="AM72" i="1"/>
  <c r="O43" i="21"/>
  <c r="AM138" i="1"/>
  <c r="N198" i="6"/>
  <c r="AL180" i="1"/>
  <c r="N284" i="6"/>
  <c r="AL269" i="1"/>
  <c r="O26" i="6"/>
  <c r="AM34" i="1"/>
  <c r="O109" i="6"/>
  <c r="O133" i="6"/>
  <c r="AM117" i="1"/>
  <c r="N121" i="6"/>
  <c r="AL105" i="1"/>
  <c r="N282" i="6"/>
  <c r="AL267" i="1"/>
  <c r="AL273" i="1"/>
  <c r="AM315" i="1"/>
  <c r="O130" i="6"/>
  <c r="AM114" i="1"/>
  <c r="O162" i="6"/>
  <c r="AM145" i="1"/>
  <c r="N223" i="6"/>
  <c r="AL205" i="1"/>
  <c r="N264" i="6"/>
  <c r="AL249" i="1"/>
  <c r="O176" i="6"/>
  <c r="AM159" i="1"/>
  <c r="N195" i="6"/>
  <c r="AL177" i="1"/>
  <c r="N219" i="6"/>
  <c r="N257" i="6"/>
  <c r="AL243" i="1"/>
  <c r="AL294" i="1"/>
  <c r="N274" i="6"/>
  <c r="AL260" i="1"/>
  <c r="O283" i="6"/>
  <c r="AM268" i="1"/>
  <c r="R11" i="21"/>
  <c r="R13" i="21"/>
  <c r="R14" i="21"/>
  <c r="R12" i="21"/>
  <c r="AL313" i="1"/>
  <c r="N185" i="6"/>
  <c r="AL167" i="1"/>
  <c r="N26" i="6"/>
  <c r="AL34" i="1"/>
  <c r="N153" i="6"/>
  <c r="AL135" i="1"/>
  <c r="O153" i="6"/>
  <c r="AM135" i="1"/>
  <c r="N176" i="6"/>
  <c r="AL159" i="1"/>
  <c r="N191" i="6"/>
  <c r="AL173" i="1"/>
  <c r="O139" i="6"/>
  <c r="AM122" i="1"/>
  <c r="N227" i="6"/>
  <c r="AL209" i="1"/>
  <c r="O191" i="6"/>
  <c r="AM173" i="1"/>
  <c r="AM308" i="1"/>
  <c r="O196" i="6"/>
  <c r="AM178" i="1"/>
  <c r="N275" i="6"/>
  <c r="AL261" i="1"/>
  <c r="N230" i="6"/>
  <c r="AL213" i="1"/>
  <c r="AL278" i="1"/>
  <c r="N224" i="6"/>
  <c r="AL206" i="1"/>
  <c r="O230" i="6"/>
  <c r="AM213" i="1"/>
  <c r="N220" i="6"/>
  <c r="AL202" i="1"/>
  <c r="N279" i="6"/>
  <c r="AL264" i="1"/>
  <c r="AM323" i="1"/>
  <c r="AM291" i="1"/>
  <c r="AL295" i="1"/>
  <c r="AC13" i="21"/>
  <c r="AC14" i="21"/>
  <c r="AC12" i="21"/>
  <c r="AC11" i="21"/>
  <c r="O71" i="6"/>
  <c r="AM70" i="1"/>
  <c r="AB12" i="21"/>
  <c r="AB11" i="21"/>
  <c r="AB14" i="21"/>
  <c r="AB13" i="21"/>
  <c r="O211" i="6"/>
  <c r="AM195" i="1"/>
  <c r="O19" i="6"/>
  <c r="AM24" i="1"/>
  <c r="O203" i="6"/>
  <c r="O232" i="6"/>
  <c r="AM218" i="1"/>
  <c r="AM272" i="1"/>
  <c r="O103" i="6"/>
  <c r="AM305" i="1"/>
  <c r="N200" i="6"/>
  <c r="AL182" i="1"/>
  <c r="N169" i="6"/>
  <c r="AL152" i="1"/>
  <c r="N186" i="6"/>
  <c r="AL168" i="1"/>
  <c r="N261" i="6"/>
  <c r="AL247" i="1"/>
  <c r="N206" i="6"/>
  <c r="AL190" i="1"/>
  <c r="O98" i="6"/>
  <c r="AM86" i="1"/>
  <c r="AL95" i="1"/>
  <c r="N131" i="6"/>
  <c r="AL115" i="1"/>
  <c r="N166" i="6"/>
  <c r="AL149" i="1"/>
  <c r="N246" i="6"/>
  <c r="AL234" i="1"/>
  <c r="N259" i="6"/>
  <c r="AL245" i="1"/>
  <c r="AL272" i="1"/>
  <c r="AM276" i="1"/>
  <c r="T13" i="21"/>
  <c r="T11" i="21"/>
  <c r="T14" i="21"/>
  <c r="T12" i="21"/>
  <c r="O164" i="6"/>
  <c r="AM147" i="1"/>
  <c r="N269" i="6"/>
  <c r="AL254" i="1"/>
  <c r="AM306" i="1"/>
  <c r="N201" i="6"/>
  <c r="AL183" i="1"/>
  <c r="O34" i="21"/>
  <c r="AG34" i="21" s="1"/>
  <c r="AM95" i="1"/>
  <c r="Y14" i="21"/>
  <c r="Y12" i="21"/>
  <c r="Y13" i="21"/>
  <c r="Y11" i="21"/>
  <c r="N134" i="6"/>
  <c r="AL118" i="1"/>
  <c r="N181" i="6"/>
  <c r="AL164" i="1"/>
  <c r="N109" i="6"/>
  <c r="P14" i="21"/>
  <c r="P13" i="21"/>
  <c r="P12" i="21"/>
  <c r="P11" i="21"/>
  <c r="N152" i="6"/>
  <c r="AL134" i="1"/>
  <c r="O122" i="6"/>
  <c r="AM106" i="1"/>
  <c r="O129" i="6"/>
  <c r="AM113" i="1"/>
  <c r="O158" i="6"/>
  <c r="AM141" i="1"/>
  <c r="N189" i="6"/>
  <c r="AL171" i="1"/>
  <c r="N205" i="6"/>
  <c r="AL187" i="1"/>
  <c r="O263" i="6"/>
  <c r="S13" i="21"/>
  <c r="S12" i="21"/>
  <c r="S14" i="21"/>
  <c r="S11" i="21"/>
  <c r="O183" i="6"/>
  <c r="AM166" i="1"/>
  <c r="N111" i="6"/>
  <c r="AL96" i="1"/>
  <c r="N158" i="6"/>
  <c r="AL141" i="1"/>
  <c r="O182" i="6"/>
  <c r="AM165" i="1"/>
  <c r="N187" i="6"/>
  <c r="AL169" i="1"/>
  <c r="O216" i="6"/>
  <c r="AM199" i="1"/>
  <c r="N277" i="6"/>
  <c r="N108" i="6"/>
  <c r="AL93" i="1"/>
  <c r="N129" i="6"/>
  <c r="AL113" i="1"/>
  <c r="O138" i="6"/>
  <c r="AM121" i="1"/>
  <c r="N164" i="6"/>
  <c r="AL147" i="1"/>
  <c r="N173" i="6"/>
  <c r="AL306" i="1"/>
  <c r="O193" i="6"/>
  <c r="AM176" i="1"/>
  <c r="N135" i="6"/>
  <c r="AL119" i="1"/>
  <c r="N133" i="6"/>
  <c r="AL117" i="1"/>
  <c r="O177" i="6"/>
  <c r="AM160" i="1"/>
  <c r="AL307" i="1"/>
  <c r="N225" i="6"/>
  <c r="AL207" i="1"/>
  <c r="N249" i="6"/>
  <c r="N267" i="6"/>
  <c r="AL252" i="1"/>
  <c r="AM296" i="1"/>
  <c r="O102" i="6"/>
  <c r="AM89" i="1"/>
  <c r="O91" i="6"/>
  <c r="AA14" i="21"/>
  <c r="AA13" i="21"/>
  <c r="AA11" i="21"/>
  <c r="AA12" i="21"/>
  <c r="O168" i="6"/>
  <c r="N171" i="6"/>
  <c r="AL154" i="1"/>
  <c r="N222" i="6"/>
  <c r="AL204" i="1"/>
  <c r="N263" i="6"/>
  <c r="O149" i="6"/>
  <c r="AM131" i="1"/>
  <c r="N168" i="6"/>
  <c r="N183" i="6"/>
  <c r="AL166" i="1"/>
  <c r="N208" i="6"/>
  <c r="AL192" i="1"/>
  <c r="N251" i="6"/>
  <c r="AL237" i="1"/>
  <c r="O270" i="6"/>
  <c r="AM255" i="1"/>
  <c r="O179" i="6"/>
  <c r="AM162" i="1"/>
  <c r="O202" i="6"/>
  <c r="AM184" i="1"/>
  <c r="N217" i="6"/>
  <c r="AL200" i="1"/>
  <c r="AM282" i="1"/>
  <c r="N69" i="6"/>
  <c r="O258" i="6"/>
  <c r="AM244" i="1"/>
  <c r="O278" i="6"/>
  <c r="AM263" i="1"/>
  <c r="AL319" i="1"/>
  <c r="AD14" i="21"/>
  <c r="AD13" i="21"/>
  <c r="AD12" i="21"/>
  <c r="AD11" i="21"/>
  <c r="N102" i="6"/>
  <c r="AL89" i="1"/>
  <c r="N199" i="6"/>
  <c r="AL181" i="1"/>
  <c r="N285" i="6"/>
  <c r="AL270" i="1"/>
  <c r="AM274" i="1"/>
  <c r="AL282" i="1"/>
  <c r="AM313" i="1"/>
  <c r="N91" i="6"/>
  <c r="Z12" i="21"/>
  <c r="Z14" i="21"/>
  <c r="Z13" i="21"/>
  <c r="Z11" i="21"/>
  <c r="N142" i="6"/>
  <c r="AL125" i="1"/>
  <c r="O185" i="6"/>
  <c r="AM167" i="1"/>
  <c r="N139" i="6"/>
  <c r="AL122" i="1"/>
  <c r="O142" i="6"/>
  <c r="AM125" i="1"/>
  <c r="N165" i="6"/>
  <c r="AL148" i="1"/>
  <c r="AM278" i="1"/>
  <c r="N196" i="6"/>
  <c r="AL178" i="1"/>
  <c r="O165" i="6"/>
  <c r="AM148" i="1"/>
  <c r="O209" i="6"/>
  <c r="AM193" i="1"/>
  <c r="AL322" i="1"/>
  <c r="N184" i="6"/>
  <c r="O184" i="6"/>
  <c r="N252" i="6"/>
  <c r="AL238" i="1"/>
  <c r="N258" i="6"/>
  <c r="AL244" i="1"/>
  <c r="N231" i="6"/>
  <c r="AL217" i="1"/>
  <c r="AM287" i="1"/>
  <c r="N286" i="6"/>
  <c r="AL271" i="1"/>
  <c r="AM275" i="1"/>
  <c r="N107" i="6"/>
  <c r="AL92" i="1"/>
  <c r="N19" i="6"/>
  <c r="AL24" i="1"/>
  <c r="N62" i="6"/>
  <c r="AL63" i="1"/>
  <c r="N150" i="6"/>
  <c r="AL132" i="1"/>
  <c r="AM300" i="1"/>
  <c r="N124" i="6"/>
  <c r="AL108" i="1"/>
  <c r="O181" i="6"/>
  <c r="AM164" i="1"/>
  <c r="N193" i="6"/>
  <c r="AL176" i="1"/>
  <c r="O131" i="6"/>
  <c r="AM115" i="1"/>
  <c r="N192" i="6"/>
  <c r="AL174" i="1"/>
  <c r="N215" i="6"/>
  <c r="AL276" i="1"/>
  <c r="AL288" i="1"/>
  <c r="O112" i="6"/>
  <c r="AM97" i="1"/>
  <c r="N71" i="6"/>
  <c r="AL70" i="1"/>
  <c r="N66" i="6"/>
  <c r="AL66" i="1"/>
  <c r="AM281" i="1"/>
  <c r="N154" i="6"/>
  <c r="AL136" i="1"/>
  <c r="O173" i="6"/>
  <c r="O205" i="6"/>
  <c r="AM187" i="1"/>
  <c r="N103" i="6"/>
  <c r="O124" i="6"/>
  <c r="AM108" i="1"/>
  <c r="O166" i="6"/>
  <c r="AM149" i="1"/>
  <c r="AL305" i="1"/>
  <c r="O221" i="6"/>
  <c r="AM203" i="1"/>
  <c r="O246" i="6"/>
  <c r="AM234" i="1"/>
  <c r="O147" i="6"/>
  <c r="N141" i="6"/>
  <c r="AL124" i="1"/>
  <c r="O152" i="6"/>
  <c r="AM134" i="1"/>
  <c r="N177" i="6"/>
  <c r="AL160" i="1"/>
  <c r="N132" i="6"/>
  <c r="AL116" i="1"/>
  <c r="O144" i="6"/>
  <c r="AM127" i="1"/>
  <c r="N147" i="6"/>
  <c r="AL320" i="1"/>
  <c r="O128" i="6"/>
  <c r="O111" i="6"/>
  <c r="AM96" i="1"/>
  <c r="AL286" i="1"/>
  <c r="O277" i="6"/>
  <c r="AM273" i="1"/>
  <c r="AL281" i="1"/>
  <c r="AL296" i="1"/>
  <c r="N96" i="6"/>
  <c r="AL85" i="1"/>
  <c r="N67" i="6"/>
  <c r="AL67" i="1"/>
  <c r="N226" i="6"/>
  <c r="AL208" i="1"/>
  <c r="N24" i="6"/>
  <c r="AL32" i="1"/>
  <c r="N130" i="6"/>
  <c r="AL114" i="1"/>
  <c r="O141" i="6"/>
  <c r="AM124" i="1"/>
  <c r="N162" i="6"/>
  <c r="AL145" i="1"/>
  <c r="O198" i="6"/>
  <c r="AM180" i="1"/>
  <c r="O284" i="6"/>
  <c r="AM269" i="1"/>
  <c r="W11" i="21"/>
  <c r="W12" i="21"/>
  <c r="W14" i="21"/>
  <c r="W13" i="21"/>
  <c r="N128" i="6"/>
  <c r="N43" i="21"/>
  <c r="AL138" i="1"/>
  <c r="O274" i="6"/>
  <c r="AM260" i="1"/>
  <c r="AL277" i="1"/>
  <c r="O226" i="6"/>
  <c r="AM208" i="1"/>
  <c r="AL274" i="1"/>
  <c r="N270" i="6"/>
  <c r="AL255" i="1"/>
  <c r="AM307" i="1"/>
  <c r="N202" i="6"/>
  <c r="AL184" i="1"/>
  <c r="O223" i="6"/>
  <c r="AM205" i="1"/>
  <c r="O264" i="6"/>
  <c r="AM249" i="1"/>
  <c r="V12" i="21"/>
  <c r="V14" i="21"/>
  <c r="V13" i="21"/>
  <c r="V11" i="21"/>
  <c r="O188" i="6"/>
  <c r="AM170" i="1"/>
  <c r="AM302" i="1"/>
  <c r="N278" i="6"/>
  <c r="AL263" i="1"/>
  <c r="N119" i="6"/>
  <c r="AM294" i="1"/>
  <c r="AL72" i="1"/>
  <c r="O110" i="6"/>
  <c r="AM94" i="1"/>
  <c r="AM319" i="1"/>
  <c r="O62" i="6"/>
  <c r="AM63" i="1"/>
  <c r="O156" i="6"/>
  <c r="AM139" i="1"/>
  <c r="O231" i="6"/>
  <c r="AM217" i="1"/>
  <c r="N188" i="6"/>
  <c r="AL170" i="1"/>
  <c r="N272" i="6"/>
  <c r="AL257" i="1"/>
  <c r="O272" i="6"/>
  <c r="AM257" i="1"/>
  <c r="AM322" i="1"/>
  <c r="AL308" i="1"/>
  <c r="O227" i="6"/>
  <c r="AM209" i="1"/>
  <c r="O279" i="6"/>
  <c r="AM264" i="1"/>
  <c r="O224" i="6"/>
  <c r="AM206" i="1"/>
  <c r="N268" i="6"/>
  <c r="AL253" i="1"/>
  <c r="O220" i="6"/>
  <c r="AM202" i="1"/>
  <c r="O286" i="6"/>
  <c r="AM271" i="1"/>
  <c r="AO272" i="1"/>
  <c r="AO102" i="1"/>
  <c r="AO116" i="1"/>
  <c r="AO134" i="1"/>
  <c r="AO138" i="1"/>
  <c r="AO146" i="1"/>
  <c r="AO150" i="1"/>
  <c r="AO152" i="1"/>
  <c r="AO159" i="1"/>
  <c r="AO163" i="1"/>
  <c r="AO170" i="1"/>
  <c r="AO174" i="1"/>
  <c r="AO187" i="1"/>
  <c r="AO217" i="1"/>
  <c r="AO184" i="1"/>
  <c r="AO213" i="1"/>
  <c r="AO85" i="1"/>
  <c r="AO95" i="1"/>
  <c r="AO180" i="1"/>
  <c r="AO195" i="1"/>
  <c r="AO209" i="1"/>
  <c r="AO92" i="1"/>
  <c r="AO106" i="1"/>
  <c r="AO191" i="1"/>
  <c r="AO205" i="1"/>
  <c r="AO220" i="1"/>
  <c r="AO139" i="1"/>
  <c r="AO153" i="1"/>
  <c r="AO167" i="1"/>
  <c r="AO199" i="1"/>
  <c r="AO214" i="1"/>
  <c r="AO239" i="1"/>
  <c r="AO254" i="1"/>
  <c r="AO269" i="1"/>
  <c r="AO283" i="1"/>
  <c r="AO135" i="1"/>
  <c r="AO164" i="1"/>
  <c r="AO181" i="1"/>
  <c r="AO196" i="1"/>
  <c r="AO250" i="1"/>
  <c r="AO265" i="1"/>
  <c r="AO287" i="1"/>
  <c r="AO300" i="1"/>
  <c r="AO32" i="1"/>
  <c r="AO131" i="1"/>
  <c r="AO147" i="1"/>
  <c r="AO160" i="1"/>
  <c r="AO177" i="1"/>
  <c r="AO192" i="1"/>
  <c r="AO206" i="1"/>
  <c r="AO247" i="1"/>
  <c r="AO262" i="1"/>
  <c r="AO276" i="1"/>
  <c r="AO296" i="1"/>
  <c r="AO312" i="1"/>
  <c r="AO96" i="1"/>
  <c r="AO113" i="1"/>
  <c r="AO171" i="1"/>
  <c r="AO188" i="1"/>
  <c r="AO202" i="1"/>
  <c r="AO218" i="1"/>
  <c r="AO243" i="1"/>
  <c r="AO258" i="1"/>
  <c r="AO292" i="1"/>
  <c r="AO308" i="1"/>
  <c r="AO319" i="1"/>
  <c r="AO69" i="1"/>
  <c r="AO124" i="1"/>
  <c r="AO86" i="1"/>
  <c r="AO108" i="1"/>
  <c r="AO114" i="1"/>
  <c r="AO140" i="1"/>
  <c r="AO154" i="1"/>
  <c r="AO168" i="1"/>
  <c r="AO200" i="1"/>
  <c r="AO215" i="1"/>
  <c r="AO26" i="1"/>
  <c r="AO71" i="1"/>
  <c r="AO125" i="1"/>
  <c r="AO136" i="1"/>
  <c r="AO151" i="1"/>
  <c r="AO165" i="1"/>
  <c r="AO178" i="1"/>
  <c r="AO182" i="1"/>
  <c r="AO197" i="1"/>
  <c r="AO211" i="1"/>
  <c r="AO89" i="1"/>
  <c r="AO118" i="1"/>
  <c r="AO132" i="1"/>
  <c r="AO148" i="1"/>
  <c r="AO193" i="1"/>
  <c r="AO207" i="1"/>
  <c r="AO30" i="1"/>
  <c r="AO97" i="1"/>
  <c r="AO121" i="1"/>
  <c r="AO129" i="1"/>
  <c r="AO234" i="1"/>
  <c r="AO70" i="1"/>
  <c r="AO115" i="1"/>
  <c r="AO122" i="1"/>
  <c r="AO141" i="1"/>
  <c r="AO169" i="1"/>
  <c r="AO63" i="1"/>
  <c r="AO255" i="1"/>
  <c r="AO277" i="1"/>
  <c r="AO315" i="1"/>
  <c r="AO252" i="1"/>
  <c r="AO260" i="1"/>
  <c r="AO274" i="1"/>
  <c r="AO291" i="1"/>
  <c r="AO302" i="1"/>
  <c r="AO189" i="1"/>
  <c r="AO66" i="1"/>
  <c r="AO128" i="1"/>
  <c r="AO109" i="1"/>
  <c r="AO126" i="1"/>
  <c r="AO166" i="1"/>
  <c r="AO127" i="1"/>
  <c r="AO251" i="1"/>
  <c r="AO273" i="1"/>
  <c r="AO237" i="1"/>
  <c r="AO271" i="1"/>
  <c r="AO282" i="1"/>
  <c r="AO289" i="1"/>
  <c r="AO34" i="1"/>
  <c r="AO67" i="1"/>
  <c r="AO93" i="1"/>
  <c r="AO94" i="1"/>
  <c r="AO119" i="1"/>
  <c r="AO133" i="1"/>
  <c r="AO149" i="1"/>
  <c r="AO162" i="1"/>
  <c r="AO176" i="1"/>
  <c r="AO183" i="1"/>
  <c r="AO190" i="1"/>
  <c r="AO194" i="1"/>
  <c r="AO198" i="1"/>
  <c r="AO201" i="1"/>
  <c r="AO204" i="1"/>
  <c r="AO208" i="1"/>
  <c r="AO212" i="1"/>
  <c r="AO216" i="1"/>
  <c r="AO219" i="1"/>
  <c r="AO235" i="1"/>
  <c r="AO270" i="1"/>
  <c r="AO281" i="1"/>
  <c r="AO323" i="1"/>
  <c r="AO245" i="1"/>
  <c r="AO256" i="1"/>
  <c r="AO267" i="1"/>
  <c r="AO278" i="1"/>
  <c r="AO294" i="1"/>
  <c r="AO203" i="1"/>
  <c r="AO117" i="1"/>
  <c r="AO24" i="1"/>
  <c r="AO72" i="1"/>
  <c r="AO105" i="1"/>
  <c r="AO145" i="1"/>
  <c r="AO173" i="1"/>
  <c r="AO244" i="1"/>
  <c r="AO266" i="1"/>
  <c r="AO288" i="1"/>
  <c r="AO301" i="1"/>
  <c r="AO305" i="1"/>
  <c r="AO313" i="1"/>
  <c r="AO320" i="1"/>
  <c r="AO263" i="1"/>
  <c r="AO306" i="1"/>
  <c r="AO238" i="1"/>
  <c r="AO242" i="1"/>
  <c r="AO249" i="1"/>
  <c r="AO295" i="1"/>
  <c r="AO322" i="1"/>
  <c r="AO275" i="1"/>
  <c r="AO307" i="1"/>
  <c r="AO253" i="1"/>
  <c r="AO257" i="1"/>
  <c r="AO261" i="1"/>
  <c r="AO264" i="1"/>
  <c r="AO268" i="1"/>
  <c r="AO286" i="1"/>
  <c r="R47" i="6"/>
  <c r="R87" i="6"/>
  <c r="R120" i="6"/>
  <c r="R45" i="6"/>
  <c r="R116" i="6"/>
  <c r="R92" i="6"/>
  <c r="R78" i="6"/>
  <c r="R73" i="6"/>
  <c r="R68" i="6"/>
  <c r="R115" i="6"/>
  <c r="R80" i="6"/>
  <c r="R58" i="6"/>
  <c r="R104" i="6"/>
  <c r="R81" i="6"/>
  <c r="R136" i="6"/>
  <c r="R74" i="6"/>
  <c r="R63" i="6"/>
  <c r="R59" i="6"/>
  <c r="R123" i="6"/>
  <c r="R88" i="6"/>
  <c r="R46" i="6"/>
  <c r="R79" i="6"/>
  <c r="R126" i="6"/>
  <c r="R100" i="6"/>
  <c r="R95" i="6"/>
  <c r="R51" i="6"/>
  <c r="R53" i="6"/>
  <c r="R42" i="6"/>
  <c r="R61" i="6"/>
  <c r="R77" i="6"/>
  <c r="R84" i="6"/>
  <c r="R55" i="6"/>
  <c r="R76" i="6"/>
  <c r="R41" i="6"/>
  <c r="R273" i="6"/>
  <c r="R262" i="6"/>
  <c r="R260" i="6"/>
  <c r="R64" i="6"/>
  <c r="R54" i="6"/>
  <c r="R36" i="6"/>
  <c r="R75" i="6"/>
  <c r="R50" i="6"/>
  <c r="R43" i="6"/>
  <c r="R236" i="6"/>
  <c r="R204" i="6"/>
  <c r="R242" i="6"/>
  <c r="R234" i="6"/>
  <c r="R254" i="6"/>
  <c r="R240" i="6"/>
  <c r="R243" i="6"/>
  <c r="R239" i="6"/>
  <c r="R235" i="6"/>
  <c r="R161" i="6"/>
  <c r="R255" i="6"/>
  <c r="R244" i="6"/>
  <c r="R228" i="6"/>
  <c r="R159" i="6"/>
  <c r="R175" i="6"/>
  <c r="R248" i="6"/>
  <c r="R106" i="6"/>
  <c r="R190" i="6"/>
  <c r="R82" i="6"/>
  <c r="R238" i="6"/>
  <c r="R245" i="6"/>
  <c r="R197" i="6"/>
  <c r="R155" i="6"/>
  <c r="R105" i="6"/>
  <c r="R35" i="6"/>
  <c r="R250" i="6"/>
  <c r="R178" i="6"/>
  <c r="R241" i="6"/>
  <c r="R140" i="6"/>
  <c r="R56" i="6"/>
  <c r="R101" i="6"/>
  <c r="R85" i="6"/>
  <c r="R174" i="6"/>
  <c r="R237" i="6"/>
  <c r="R83" i="6"/>
  <c r="R172" i="6"/>
  <c r="R160" i="6"/>
  <c r="R94" i="6"/>
  <c r="R86" i="6"/>
  <c r="R49" i="6"/>
  <c r="R65" i="6"/>
  <c r="R113" i="6"/>
  <c r="R97" i="6"/>
  <c r="R57" i="6"/>
  <c r="R114" i="6"/>
  <c r="R194" i="6"/>
  <c r="R233" i="6"/>
  <c r="R127" i="6"/>
  <c r="R137" i="6"/>
  <c r="R117" i="6"/>
  <c r="R48" i="6"/>
  <c r="R148" i="6"/>
  <c r="R40" i="6"/>
  <c r="R93" i="6"/>
  <c r="R28" i="6"/>
  <c r="R34" i="6"/>
  <c r="R37" i="6"/>
  <c r="R60" i="6"/>
  <c r="R44" i="6"/>
  <c r="R31" i="6"/>
  <c r="R27" i="6"/>
  <c r="R30" i="6"/>
  <c r="R33" i="6"/>
  <c r="R25" i="6"/>
  <c r="R22" i="6"/>
  <c r="R21" i="6"/>
  <c r="R32" i="6"/>
  <c r="R39" i="6"/>
  <c r="R38" i="6"/>
  <c r="R29" i="6"/>
  <c r="R20" i="6"/>
  <c r="R52" i="6"/>
  <c r="AP38" i="1"/>
  <c r="AP74" i="1"/>
  <c r="AP42" i="1"/>
  <c r="AP58" i="1"/>
  <c r="AP79" i="1"/>
  <c r="AP82" i="1"/>
  <c r="AP87" i="1"/>
  <c r="AP98" i="1"/>
  <c r="AP40" i="1"/>
  <c r="AP49" i="1"/>
  <c r="AP61" i="1"/>
  <c r="AP73" i="1"/>
  <c r="AP110" i="1"/>
  <c r="AP123" i="1"/>
  <c r="AP130" i="1"/>
  <c r="AP41" i="1"/>
  <c r="AP28" i="1"/>
  <c r="AP36" i="1"/>
  <c r="AP45" i="1"/>
  <c r="AP60" i="1"/>
  <c r="AP142" i="1"/>
  <c r="AP224" i="1"/>
  <c r="AP52" i="1"/>
  <c r="AP25" i="1"/>
  <c r="AP143" i="1"/>
  <c r="AP156" i="1"/>
  <c r="AP280" i="1"/>
  <c r="AP326" i="1"/>
  <c r="AP221" i="1"/>
  <c r="AP83" i="1"/>
  <c r="AP120" i="1"/>
  <c r="AP304" i="1"/>
  <c r="AP50" i="1"/>
  <c r="AP80" i="1"/>
  <c r="AP56" i="1"/>
  <c r="AP64" i="1"/>
  <c r="AP100" i="1"/>
  <c r="AP46" i="1"/>
  <c r="AP175" i="1"/>
  <c r="AP222" i="1"/>
  <c r="AP62" i="1"/>
  <c r="AP111" i="1"/>
  <c r="AP51" i="1"/>
  <c r="AP59" i="1"/>
  <c r="AP68" i="1"/>
  <c r="AP144" i="1"/>
  <c r="AP157" i="1"/>
  <c r="AP172" i="1"/>
  <c r="AP77" i="1"/>
  <c r="AP90" i="1"/>
  <c r="AP29" i="1"/>
  <c r="AP27" i="1"/>
  <c r="AP35" i="1"/>
  <c r="AP44" i="1"/>
  <c r="AP54" i="1"/>
  <c r="AP81" i="1"/>
  <c r="AP101" i="1"/>
  <c r="AP137" i="1"/>
  <c r="AP227" i="1"/>
  <c r="AP240" i="1"/>
  <c r="AP327" i="1"/>
  <c r="AP298" i="1"/>
  <c r="AP324" i="1"/>
  <c r="AP37" i="1"/>
  <c r="AP99" i="1"/>
  <c r="AP112" i="1"/>
  <c r="AP223" i="1"/>
  <c r="AP43" i="1"/>
  <c r="AP248" i="1"/>
  <c r="AP297" i="1"/>
  <c r="AP285" i="1"/>
  <c r="AP88" i="1"/>
  <c r="AP31" i="1"/>
  <c r="AP33" i="1"/>
  <c r="AP48" i="1"/>
  <c r="AP57" i="1"/>
  <c r="AP65" i="1"/>
  <c r="AP78" i="1"/>
  <c r="AP84" i="1"/>
  <c r="AP231" i="1"/>
  <c r="AP259" i="1"/>
  <c r="AP293" i="1"/>
  <c r="AP309" i="1"/>
  <c r="AP241" i="1"/>
  <c r="AP316" i="1"/>
  <c r="AP91" i="1"/>
  <c r="AP155" i="1"/>
  <c r="AP310" i="1"/>
  <c r="AP314" i="1"/>
  <c r="AP317" i="1"/>
  <c r="AP328" i="1"/>
  <c r="AP246" i="1"/>
  <c r="AP279" i="1"/>
  <c r="AP299" i="1"/>
  <c r="AP325" i="1"/>
  <c r="AP311" i="1"/>
  <c r="S1" i="6"/>
  <c r="R131" i="6"/>
  <c r="R72" i="6"/>
  <c r="R112" i="6"/>
  <c r="R103" i="6"/>
  <c r="R70" i="6"/>
  <c r="R62" i="6"/>
  <c r="R134" i="6"/>
  <c r="R128" i="6"/>
  <c r="R124" i="6"/>
  <c r="R111" i="6"/>
  <c r="R66" i="6"/>
  <c r="R108" i="6"/>
  <c r="R69" i="6"/>
  <c r="R132" i="6"/>
  <c r="R118" i="6"/>
  <c r="R142" i="6"/>
  <c r="R286" i="6"/>
  <c r="R285" i="6"/>
  <c r="R284" i="6"/>
  <c r="R283" i="6"/>
  <c r="R282" i="6"/>
  <c r="R281" i="6"/>
  <c r="R280" i="6"/>
  <c r="R279" i="6"/>
  <c r="R278" i="6"/>
  <c r="R277" i="6"/>
  <c r="R276" i="6"/>
  <c r="R275" i="6"/>
  <c r="R274" i="6"/>
  <c r="R272" i="6"/>
  <c r="R271" i="6"/>
  <c r="R270" i="6"/>
  <c r="R269" i="6"/>
  <c r="R268" i="6"/>
  <c r="R267" i="6"/>
  <c r="R266" i="6"/>
  <c r="R265" i="6"/>
  <c r="R264" i="6"/>
  <c r="R263" i="6"/>
  <c r="R261" i="6"/>
  <c r="R259" i="6"/>
  <c r="R258" i="6"/>
  <c r="R257" i="6"/>
  <c r="R256" i="6"/>
  <c r="R71" i="6"/>
  <c r="R96" i="6"/>
  <c r="R67" i="6"/>
  <c r="R252" i="6"/>
  <c r="R171" i="6"/>
  <c r="R99" i="6"/>
  <c r="R220" i="6"/>
  <c r="R188" i="6"/>
  <c r="R219" i="6"/>
  <c r="R203" i="6"/>
  <c r="R187" i="6"/>
  <c r="R150" i="6"/>
  <c r="R226" i="6"/>
  <c r="R151" i="6"/>
  <c r="R167" i="6"/>
  <c r="R253" i="6"/>
  <c r="R251" i="6"/>
  <c r="R224" i="6"/>
  <c r="R208" i="6"/>
  <c r="R192" i="6"/>
  <c r="R158" i="6"/>
  <c r="R247" i="6"/>
  <c r="R231" i="6"/>
  <c r="R227" i="6"/>
  <c r="R223" i="6"/>
  <c r="R207" i="6"/>
  <c r="R191" i="6"/>
  <c r="R145" i="6"/>
  <c r="R121" i="6"/>
  <c r="R212" i="6"/>
  <c r="R196" i="6"/>
  <c r="R180" i="6"/>
  <c r="R211" i="6"/>
  <c r="R195" i="6"/>
  <c r="R179" i="6"/>
  <c r="R166" i="6"/>
  <c r="R143" i="6"/>
  <c r="R232" i="6"/>
  <c r="R216" i="6"/>
  <c r="R200" i="6"/>
  <c r="R184" i="6"/>
  <c r="R215" i="6"/>
  <c r="R199" i="6"/>
  <c r="R183" i="6"/>
  <c r="R222" i="6"/>
  <c r="R214" i="6"/>
  <c r="R206" i="6"/>
  <c r="R198" i="6"/>
  <c r="R182" i="6"/>
  <c r="R170" i="6"/>
  <c r="R153" i="6"/>
  <c r="R119" i="6"/>
  <c r="R218" i="6"/>
  <c r="R186" i="6"/>
  <c r="R229" i="6"/>
  <c r="R213" i="6"/>
  <c r="R181" i="6"/>
  <c r="R162" i="6"/>
  <c r="R164" i="6"/>
  <c r="R139" i="6"/>
  <c r="R152" i="6"/>
  <c r="R89" i="6"/>
  <c r="R107" i="6"/>
  <c r="R230" i="6"/>
  <c r="R210" i="6"/>
  <c r="R225" i="6"/>
  <c r="R209" i="6"/>
  <c r="R193" i="6"/>
  <c r="R177" i="6"/>
  <c r="R169" i="6"/>
  <c r="R154" i="6"/>
  <c r="R176" i="6"/>
  <c r="R149" i="6"/>
  <c r="R130" i="6"/>
  <c r="R91" i="6"/>
  <c r="R125" i="6"/>
  <c r="R156" i="6"/>
  <c r="R202" i="6"/>
  <c r="R221" i="6"/>
  <c r="R205" i="6"/>
  <c r="R189" i="6"/>
  <c r="R146" i="6"/>
  <c r="R129" i="6"/>
  <c r="R122" i="6"/>
  <c r="R147" i="6"/>
  <c r="R135" i="6"/>
  <c r="R98" i="6"/>
  <c r="R144" i="6"/>
  <c r="R110" i="6"/>
  <c r="R102" i="6"/>
  <c r="R246" i="6"/>
  <c r="R249" i="6"/>
  <c r="R217" i="6"/>
  <c r="R201" i="6"/>
  <c r="R185" i="6"/>
  <c r="R173" i="6"/>
  <c r="R165" i="6"/>
  <c r="R138" i="6"/>
  <c r="R90" i="6"/>
  <c r="R168" i="6"/>
  <c r="R163" i="6"/>
  <c r="R157" i="6"/>
  <c r="R141" i="6"/>
  <c r="R133" i="6"/>
  <c r="R109" i="6"/>
  <c r="R24" i="6"/>
  <c r="R23" i="6"/>
  <c r="R19" i="6"/>
  <c r="R26" i="6"/>
  <c r="AC41" i="1"/>
  <c r="S2" i="6"/>
  <c r="AQ20" i="1"/>
  <c r="AP23" i="1"/>
  <c r="AP19" i="1"/>
  <c r="AP103" i="1" s="1"/>
  <c r="AQ76" i="1" l="1"/>
  <c r="AQ47" i="1"/>
  <c r="AQ356" i="1"/>
  <c r="P11" i="6"/>
  <c r="F62" i="8" s="1"/>
  <c r="F127" i="8" s="1"/>
  <c r="R8" i="6"/>
  <c r="R10" i="6"/>
  <c r="R12" i="6"/>
  <c r="G43" i="8" s="1"/>
  <c r="G108" i="8" s="1"/>
  <c r="R14" i="6"/>
  <c r="R9" i="6"/>
  <c r="R11" i="6"/>
  <c r="F43" i="8" s="1"/>
  <c r="F108" i="8" s="1"/>
  <c r="R13" i="6"/>
  <c r="O13" i="6"/>
  <c r="O8" i="6"/>
  <c r="O10" i="6"/>
  <c r="O12" i="6"/>
  <c r="O14" i="6"/>
  <c r="O9" i="6"/>
  <c r="O11" i="6"/>
  <c r="P10" i="6"/>
  <c r="P9" i="6"/>
  <c r="P8" i="6"/>
  <c r="P14" i="6"/>
  <c r="P13" i="6"/>
  <c r="H62" i="8" s="1"/>
  <c r="H127" i="8" s="1"/>
  <c r="N13" i="6"/>
  <c r="N11" i="6"/>
  <c r="N8" i="6"/>
  <c r="N12" i="6"/>
  <c r="N14" i="6"/>
  <c r="N9" i="6"/>
  <c r="N10" i="6"/>
  <c r="P12" i="6"/>
  <c r="G62" i="8" s="1"/>
  <c r="G127" i="8" s="1"/>
  <c r="AG43" i="21"/>
  <c r="AP329" i="1"/>
  <c r="AP357" i="1"/>
  <c r="AP334" i="1"/>
  <c r="AQ351" i="1"/>
  <c r="AQ354" i="1"/>
  <c r="AP330" i="1"/>
  <c r="AQ352" i="1"/>
  <c r="AP358" i="1"/>
  <c r="AP359" i="1"/>
  <c r="AP53" i="1"/>
  <c r="AP318" i="1"/>
  <c r="AQ355" i="1"/>
  <c r="AP333" i="1"/>
  <c r="AQ353" i="1"/>
  <c r="AC44" i="1"/>
  <c r="I42" i="8"/>
  <c r="I107" i="8" s="1"/>
  <c r="F42" i="8"/>
  <c r="F107" i="8" s="1"/>
  <c r="H42" i="8"/>
  <c r="H107" i="8" s="1"/>
  <c r="G42" i="8"/>
  <c r="G107" i="8" s="1"/>
  <c r="AP341" i="1"/>
  <c r="AP335" i="1"/>
  <c r="AP343" i="1"/>
  <c r="AP340" i="1"/>
  <c r="AQ349" i="1"/>
  <c r="AQ350" i="1"/>
  <c r="AQ347" i="1"/>
  <c r="AQ348" i="1"/>
  <c r="AP104" i="1"/>
  <c r="AP345" i="1"/>
  <c r="AP344" i="1"/>
  <c r="AP342" i="1"/>
  <c r="AP338" i="1"/>
  <c r="AP337" i="1"/>
  <c r="AP336" i="1"/>
  <c r="AP339" i="1"/>
  <c r="AP346" i="1"/>
  <c r="AP331" i="1"/>
  <c r="I62" i="8"/>
  <c r="I127" i="8" s="1"/>
  <c r="AC42" i="1"/>
  <c r="AQ332" i="1"/>
  <c r="AP303" i="1"/>
  <c r="AP284" i="1"/>
  <c r="AP186" i="1"/>
  <c r="AP185" i="1"/>
  <c r="AP225" i="1"/>
  <c r="AP158" i="1"/>
  <c r="AP321" i="1"/>
  <c r="AP179" i="1"/>
  <c r="AP230" i="1"/>
  <c r="AP75" i="1"/>
  <c r="AP236" i="1"/>
  <c r="AP39" i="1"/>
  <c r="AP107" i="1"/>
  <c r="AP290" i="1"/>
  <c r="AP229" i="1"/>
  <c r="AP228" i="1"/>
  <c r="AP55" i="1"/>
  <c r="AP161" i="1"/>
  <c r="AP226" i="1"/>
  <c r="AP233" i="1"/>
  <c r="AP210" i="1"/>
  <c r="AP232" i="1"/>
  <c r="N14" i="21"/>
  <c r="N11" i="21"/>
  <c r="N12" i="21"/>
  <c r="N13" i="21"/>
  <c r="O12" i="21"/>
  <c r="O14" i="21"/>
  <c r="O13" i="21"/>
  <c r="O11" i="21"/>
  <c r="AQ38" i="1"/>
  <c r="AQ40" i="1"/>
  <c r="AQ49" i="1"/>
  <c r="AQ61" i="1"/>
  <c r="AQ73" i="1"/>
  <c r="AQ110" i="1"/>
  <c r="AQ123" i="1"/>
  <c r="AQ130" i="1"/>
  <c r="AQ56" i="1"/>
  <c r="AQ64" i="1"/>
  <c r="AQ28" i="1"/>
  <c r="AQ36" i="1"/>
  <c r="AQ45" i="1"/>
  <c r="AQ60" i="1"/>
  <c r="AQ142" i="1"/>
  <c r="AQ42" i="1"/>
  <c r="AQ58" i="1"/>
  <c r="AQ79" i="1"/>
  <c r="AQ82" i="1"/>
  <c r="AQ87" i="1"/>
  <c r="AQ98" i="1"/>
  <c r="AQ224" i="1"/>
  <c r="AQ62" i="1"/>
  <c r="AQ83" i="1"/>
  <c r="AQ143" i="1"/>
  <c r="AQ156" i="1"/>
  <c r="AQ221" i="1"/>
  <c r="AQ120" i="1"/>
  <c r="AQ59" i="1"/>
  <c r="AQ68" i="1"/>
  <c r="AQ46" i="1"/>
  <c r="AQ280" i="1"/>
  <c r="AQ304" i="1"/>
  <c r="AQ25" i="1"/>
  <c r="AQ37" i="1"/>
  <c r="AQ52" i="1"/>
  <c r="AQ80" i="1"/>
  <c r="AQ90" i="1"/>
  <c r="AQ100" i="1"/>
  <c r="AQ222" i="1"/>
  <c r="AQ51" i="1"/>
  <c r="AQ326" i="1"/>
  <c r="AQ29" i="1"/>
  <c r="AQ43" i="1"/>
  <c r="AQ74" i="1"/>
  <c r="AQ144" i="1"/>
  <c r="AQ157" i="1"/>
  <c r="AQ172" i="1"/>
  <c r="AQ175" i="1"/>
  <c r="AQ111" i="1"/>
  <c r="AQ112" i="1"/>
  <c r="AQ223" i="1"/>
  <c r="AQ297" i="1"/>
  <c r="AQ41" i="1"/>
  <c r="AQ99" i="1"/>
  <c r="AQ31" i="1"/>
  <c r="AQ33" i="1"/>
  <c r="AQ48" i="1"/>
  <c r="AQ57" i="1"/>
  <c r="AQ65" i="1"/>
  <c r="AQ78" i="1"/>
  <c r="AQ84" i="1"/>
  <c r="AQ231" i="1"/>
  <c r="AQ293" i="1"/>
  <c r="AQ309" i="1"/>
  <c r="AQ241" i="1"/>
  <c r="AQ316" i="1"/>
  <c r="AQ88" i="1"/>
  <c r="AQ91" i="1"/>
  <c r="AQ155" i="1"/>
  <c r="AQ248" i="1"/>
  <c r="AQ259" i="1"/>
  <c r="AQ298" i="1"/>
  <c r="AQ314" i="1"/>
  <c r="AQ328" i="1"/>
  <c r="AQ50" i="1"/>
  <c r="AQ77" i="1"/>
  <c r="AQ27" i="1"/>
  <c r="AQ35" i="1"/>
  <c r="AQ44" i="1"/>
  <c r="AQ54" i="1"/>
  <c r="AQ81" i="1"/>
  <c r="AQ101" i="1"/>
  <c r="AQ137" i="1"/>
  <c r="AQ227" i="1"/>
  <c r="AQ240" i="1"/>
  <c r="AQ327" i="1"/>
  <c r="AQ285" i="1"/>
  <c r="AQ310" i="1"/>
  <c r="AQ325" i="1"/>
  <c r="AQ246" i="1"/>
  <c r="AQ279" i="1"/>
  <c r="AQ317" i="1"/>
  <c r="AQ324" i="1"/>
  <c r="AQ299" i="1"/>
  <c r="AQ311" i="1"/>
  <c r="S240" i="6"/>
  <c r="S160" i="6"/>
  <c r="S37" i="6"/>
  <c r="S197" i="6"/>
  <c r="S228" i="6"/>
  <c r="S33" i="6"/>
  <c r="S22" i="6"/>
  <c r="S29" i="6"/>
  <c r="S148" i="6"/>
  <c r="S140" i="6"/>
  <c r="S204" i="6"/>
  <c r="S233" i="6"/>
  <c r="S237" i="6"/>
  <c r="S273" i="6"/>
  <c r="S248" i="6"/>
  <c r="S28" i="6"/>
  <c r="S20" i="6"/>
  <c r="S236" i="6"/>
  <c r="S245" i="6"/>
  <c r="S241" i="6"/>
  <c r="S25" i="6"/>
  <c r="S21" i="6"/>
  <c r="S262" i="6"/>
  <c r="S260" i="6"/>
  <c r="S32" i="6"/>
  <c r="S155" i="6"/>
  <c r="S172" i="6"/>
  <c r="S244" i="6"/>
  <c r="S39" i="6"/>
  <c r="S41" i="6"/>
  <c r="S36" i="6"/>
  <c r="S175" i="6"/>
  <c r="S254" i="6"/>
  <c r="S243" i="6"/>
  <c r="S239" i="6"/>
  <c r="S235" i="6"/>
  <c r="S255" i="6"/>
  <c r="S106" i="6"/>
  <c r="S161" i="6"/>
  <c r="S82" i="6"/>
  <c r="S238" i="6"/>
  <c r="S190" i="6"/>
  <c r="S83" i="6"/>
  <c r="S123" i="6"/>
  <c r="S87" i="6"/>
  <c r="S49" i="6"/>
  <c r="S93" i="6"/>
  <c r="S136" i="6"/>
  <c r="S120" i="6"/>
  <c r="S57" i="6"/>
  <c r="S45" i="6"/>
  <c r="S35" i="6"/>
  <c r="S250" i="6"/>
  <c r="S234" i="6"/>
  <c r="S174" i="6"/>
  <c r="S127" i="6"/>
  <c r="S159" i="6"/>
  <c r="S137" i="6"/>
  <c r="S117" i="6"/>
  <c r="S95" i="6"/>
  <c r="S113" i="6"/>
  <c r="S97" i="6"/>
  <c r="S56" i="6"/>
  <c r="S92" i="6"/>
  <c r="S68" i="6"/>
  <c r="S53" i="6"/>
  <c r="S115" i="6"/>
  <c r="S94" i="6"/>
  <c r="S86" i="6"/>
  <c r="S101" i="6"/>
  <c r="S85" i="6"/>
  <c r="S65" i="6"/>
  <c r="S104" i="6"/>
  <c r="S88" i="6"/>
  <c r="S64" i="6"/>
  <c r="S114" i="6"/>
  <c r="S242" i="6"/>
  <c r="S194" i="6"/>
  <c r="S178" i="6"/>
  <c r="S48" i="6"/>
  <c r="S126" i="6"/>
  <c r="S105" i="6"/>
  <c r="S40" i="6"/>
  <c r="S116" i="6"/>
  <c r="S100" i="6"/>
  <c r="S84" i="6"/>
  <c r="S81" i="6"/>
  <c r="S80" i="6"/>
  <c r="S79" i="6"/>
  <c r="S78" i="6"/>
  <c r="S77" i="6"/>
  <c r="S76" i="6"/>
  <c r="S75" i="6"/>
  <c r="S74" i="6"/>
  <c r="S73" i="6"/>
  <c r="S59" i="6"/>
  <c r="S55" i="6"/>
  <c r="S51" i="6"/>
  <c r="S47" i="6"/>
  <c r="S43" i="6"/>
  <c r="S46" i="6"/>
  <c r="S58" i="6"/>
  <c r="S38" i="6"/>
  <c r="S30" i="6"/>
  <c r="S44" i="6"/>
  <c r="S61" i="6"/>
  <c r="S54" i="6"/>
  <c r="S42" i="6"/>
  <c r="S60" i="6"/>
  <c r="S50" i="6"/>
  <c r="S52" i="6"/>
  <c r="S63" i="6"/>
  <c r="S31" i="6"/>
  <c r="S27" i="6"/>
  <c r="S34" i="6"/>
  <c r="AP66" i="1"/>
  <c r="AP92" i="1"/>
  <c r="AP106" i="1"/>
  <c r="AP127" i="1"/>
  <c r="AP138" i="1"/>
  <c r="AP152" i="1"/>
  <c r="AP184" i="1"/>
  <c r="AP213" i="1"/>
  <c r="AP63" i="1"/>
  <c r="AP134" i="1"/>
  <c r="AP150" i="1"/>
  <c r="AP163" i="1"/>
  <c r="AP117" i="1"/>
  <c r="AP32" i="1"/>
  <c r="AP85" i="1"/>
  <c r="AP95" i="1"/>
  <c r="AP102" i="1"/>
  <c r="AP116" i="1"/>
  <c r="AP146" i="1"/>
  <c r="AP159" i="1"/>
  <c r="AP174" i="1"/>
  <c r="AP70" i="1"/>
  <c r="AP69" i="1"/>
  <c r="AP170" i="1"/>
  <c r="AP180" i="1"/>
  <c r="AP187" i="1"/>
  <c r="AP191" i="1"/>
  <c r="AP195" i="1"/>
  <c r="AP205" i="1"/>
  <c r="AP209" i="1"/>
  <c r="AP217" i="1"/>
  <c r="AP220" i="1"/>
  <c r="AP113" i="1"/>
  <c r="AP135" i="1"/>
  <c r="AP139" i="1"/>
  <c r="AP153" i="1"/>
  <c r="AP164" i="1"/>
  <c r="AP167" i="1"/>
  <c r="AP171" i="1"/>
  <c r="AP177" i="1"/>
  <c r="AP181" i="1"/>
  <c r="AP196" i="1"/>
  <c r="AP239" i="1"/>
  <c r="AP243" i="1"/>
  <c r="AP250" i="1"/>
  <c r="AP254" i="1"/>
  <c r="AP258" i="1"/>
  <c r="AP265" i="1"/>
  <c r="AP269" i="1"/>
  <c r="AP283" i="1"/>
  <c r="AP287" i="1"/>
  <c r="AP300" i="1"/>
  <c r="AP131" i="1"/>
  <c r="AP147" i="1"/>
  <c r="AP160" i="1"/>
  <c r="AP192" i="1"/>
  <c r="AP206" i="1"/>
  <c r="AP247" i="1"/>
  <c r="AP262" i="1"/>
  <c r="AP276" i="1"/>
  <c r="AP296" i="1"/>
  <c r="AP312" i="1"/>
  <c r="AP188" i="1"/>
  <c r="AP202" i="1"/>
  <c r="AP218" i="1"/>
  <c r="AP292" i="1"/>
  <c r="AP308" i="1"/>
  <c r="AP319" i="1"/>
  <c r="AP96" i="1"/>
  <c r="AP199" i="1"/>
  <c r="AP214" i="1"/>
  <c r="AP124" i="1"/>
  <c r="AP26" i="1"/>
  <c r="AP71" i="1"/>
  <c r="AP125" i="1"/>
  <c r="AP136" i="1"/>
  <c r="AP151" i="1"/>
  <c r="AP165" i="1"/>
  <c r="AP182" i="1"/>
  <c r="AP197" i="1"/>
  <c r="AP211" i="1"/>
  <c r="AP89" i="1"/>
  <c r="AP118" i="1"/>
  <c r="AP132" i="1"/>
  <c r="AP148" i="1"/>
  <c r="AP178" i="1"/>
  <c r="AP193" i="1"/>
  <c r="AP207" i="1"/>
  <c r="AP234" i="1"/>
  <c r="AP30" i="1"/>
  <c r="AP97" i="1"/>
  <c r="AP121" i="1"/>
  <c r="AP129" i="1"/>
  <c r="AP189" i="1"/>
  <c r="AP203" i="1"/>
  <c r="AP86" i="1"/>
  <c r="AP108" i="1"/>
  <c r="AP114" i="1"/>
  <c r="AP140" i="1"/>
  <c r="AP154" i="1"/>
  <c r="AP200" i="1"/>
  <c r="AP109" i="1"/>
  <c r="AP126" i="1"/>
  <c r="AP166" i="1"/>
  <c r="AP183" i="1"/>
  <c r="AP198" i="1"/>
  <c r="AP212" i="1"/>
  <c r="AP251" i="1"/>
  <c r="AP273" i="1"/>
  <c r="AP288" i="1"/>
  <c r="AP301" i="1"/>
  <c r="AP237" i="1"/>
  <c r="AP271" i="1"/>
  <c r="AP282" i="1"/>
  <c r="AP289" i="1"/>
  <c r="AP291" i="1"/>
  <c r="AP168" i="1"/>
  <c r="AP93" i="1"/>
  <c r="AP94" i="1"/>
  <c r="AP119" i="1"/>
  <c r="AP133" i="1"/>
  <c r="AP149" i="1"/>
  <c r="AP162" i="1"/>
  <c r="AP176" i="1"/>
  <c r="AP194" i="1"/>
  <c r="AP208" i="1"/>
  <c r="AP235" i="1"/>
  <c r="AP270" i="1"/>
  <c r="AP281" i="1"/>
  <c r="AP323" i="1"/>
  <c r="AP245" i="1"/>
  <c r="AP256" i="1"/>
  <c r="AP267" i="1"/>
  <c r="AP278" i="1"/>
  <c r="AP215" i="1"/>
  <c r="AP128" i="1"/>
  <c r="AP24" i="1"/>
  <c r="AP72" i="1"/>
  <c r="AP105" i="1"/>
  <c r="AP145" i="1"/>
  <c r="AP173" i="1"/>
  <c r="AP190" i="1"/>
  <c r="AP204" i="1"/>
  <c r="AP219" i="1"/>
  <c r="AP34" i="1"/>
  <c r="AP67" i="1"/>
  <c r="AP244" i="1"/>
  <c r="AP266" i="1"/>
  <c r="AP320" i="1"/>
  <c r="AP263" i="1"/>
  <c r="AP115" i="1"/>
  <c r="AP122" i="1"/>
  <c r="AP141" i="1"/>
  <c r="AP169" i="1"/>
  <c r="AP201" i="1"/>
  <c r="AP216" i="1"/>
  <c r="AP255" i="1"/>
  <c r="AP277" i="1"/>
  <c r="AP305" i="1"/>
  <c r="AP313" i="1"/>
  <c r="AP315" i="1"/>
  <c r="AP252" i="1"/>
  <c r="AP260" i="1"/>
  <c r="AP274" i="1"/>
  <c r="AP294" i="1"/>
  <c r="AP302" i="1"/>
  <c r="AP306" i="1"/>
  <c r="AP238" i="1"/>
  <c r="AP264" i="1"/>
  <c r="AP307" i="1"/>
  <c r="AP249" i="1"/>
  <c r="AP261" i="1"/>
  <c r="AP272" i="1"/>
  <c r="AP257" i="1"/>
  <c r="AP286" i="1"/>
  <c r="AP242" i="1"/>
  <c r="AP253" i="1"/>
  <c r="AP268" i="1"/>
  <c r="AP275" i="1"/>
  <c r="AP295" i="1"/>
  <c r="AP322" i="1"/>
  <c r="H43" i="8"/>
  <c r="H108" i="8" s="1"/>
  <c r="I43" i="8"/>
  <c r="I108" i="8" s="1"/>
  <c r="T1" i="6"/>
  <c r="S225" i="6"/>
  <c r="S209" i="6"/>
  <c r="S173" i="6"/>
  <c r="S284" i="6"/>
  <c r="S220" i="6"/>
  <c r="S200" i="6"/>
  <c r="S272" i="6"/>
  <c r="S232" i="6"/>
  <c r="S217" i="6"/>
  <c r="S212" i="6"/>
  <c r="S152" i="6"/>
  <c r="S154" i="6"/>
  <c r="S252" i="6"/>
  <c r="S224" i="6"/>
  <c r="S208" i="6"/>
  <c r="S188" i="6"/>
  <c r="S280" i="6"/>
  <c r="S23" i="6"/>
  <c r="S261" i="6"/>
  <c r="S146" i="6"/>
  <c r="S176" i="6"/>
  <c r="S169" i="6"/>
  <c r="S221" i="6"/>
  <c r="S268" i="6"/>
  <c r="S192" i="6"/>
  <c r="S276" i="6"/>
  <c r="S264" i="6"/>
  <c r="S257" i="6"/>
  <c r="S196" i="6"/>
  <c r="S285" i="6"/>
  <c r="S281" i="6"/>
  <c r="S277" i="6"/>
  <c r="S249" i="6"/>
  <c r="S269" i="6"/>
  <c r="S189" i="6"/>
  <c r="S279" i="6"/>
  <c r="S263" i="6"/>
  <c r="S229" i="6"/>
  <c r="S177" i="6"/>
  <c r="S184" i="6"/>
  <c r="S19" i="6"/>
  <c r="S283" i="6"/>
  <c r="S267" i="6"/>
  <c r="S259" i="6"/>
  <c r="S181" i="6"/>
  <c r="S165" i="6"/>
  <c r="S168" i="6"/>
  <c r="S271" i="6"/>
  <c r="S162" i="6"/>
  <c r="S144" i="6"/>
  <c r="S138" i="6"/>
  <c r="S180" i="6"/>
  <c r="S256" i="6"/>
  <c r="S265" i="6"/>
  <c r="S156" i="6"/>
  <c r="S275" i="6"/>
  <c r="S216" i="6"/>
  <c r="S201" i="6"/>
  <c r="S205" i="6"/>
  <c r="S24" i="6"/>
  <c r="S258" i="6"/>
  <c r="S139" i="6"/>
  <c r="S147" i="6"/>
  <c r="S286" i="6"/>
  <c r="S282" i="6"/>
  <c r="S278" i="6"/>
  <c r="S274" i="6"/>
  <c r="S270" i="6"/>
  <c r="S266" i="6"/>
  <c r="S213" i="6"/>
  <c r="S164" i="6"/>
  <c r="S185" i="6"/>
  <c r="S163" i="6"/>
  <c r="S142" i="6"/>
  <c r="S193" i="6"/>
  <c r="S251" i="6"/>
  <c r="S219" i="6"/>
  <c r="S203" i="6"/>
  <c r="S187" i="6"/>
  <c r="S253" i="6"/>
  <c r="S247" i="6"/>
  <c r="S231" i="6"/>
  <c r="S227" i="6"/>
  <c r="S223" i="6"/>
  <c r="S207" i="6"/>
  <c r="S191" i="6"/>
  <c r="S153" i="6"/>
  <c r="S171" i="6"/>
  <c r="S99" i="6"/>
  <c r="S211" i="6"/>
  <c r="S195" i="6"/>
  <c r="S179" i="6"/>
  <c r="S150" i="6"/>
  <c r="S167" i="6"/>
  <c r="S158" i="6"/>
  <c r="S215" i="6"/>
  <c r="S199" i="6"/>
  <c r="S183" i="6"/>
  <c r="S145" i="6"/>
  <c r="S121" i="6"/>
  <c r="S222" i="6"/>
  <c r="S206" i="6"/>
  <c r="S129" i="6"/>
  <c r="S135" i="6"/>
  <c r="S134" i="6"/>
  <c r="S109" i="6"/>
  <c r="S112" i="6"/>
  <c r="S96" i="6"/>
  <c r="S218" i="6"/>
  <c r="S202" i="6"/>
  <c r="S186" i="6"/>
  <c r="S166" i="6"/>
  <c r="S157" i="6"/>
  <c r="S143" i="6"/>
  <c r="S141" i="6"/>
  <c r="S130" i="6"/>
  <c r="S133" i="6"/>
  <c r="S66" i="6"/>
  <c r="S124" i="6"/>
  <c r="S108" i="6"/>
  <c r="S119" i="6"/>
  <c r="S246" i="6"/>
  <c r="S230" i="6"/>
  <c r="S214" i="6"/>
  <c r="S198" i="6"/>
  <c r="S182" i="6"/>
  <c r="S122" i="6"/>
  <c r="S98" i="6"/>
  <c r="S131" i="6"/>
  <c r="S103" i="6"/>
  <c r="S118" i="6"/>
  <c r="S110" i="6"/>
  <c r="S102" i="6"/>
  <c r="S128" i="6"/>
  <c r="S107" i="6"/>
  <c r="S226" i="6"/>
  <c r="S210" i="6"/>
  <c r="S170" i="6"/>
  <c r="S90" i="6"/>
  <c r="S151" i="6"/>
  <c r="S149" i="6"/>
  <c r="S91" i="6"/>
  <c r="S125" i="6"/>
  <c r="S111" i="6"/>
  <c r="S89" i="6"/>
  <c r="S132" i="6"/>
  <c r="S72" i="6"/>
  <c r="S71" i="6"/>
  <c r="S70" i="6"/>
  <c r="S69" i="6"/>
  <c r="S67" i="6"/>
  <c r="S26" i="6"/>
  <c r="S62" i="6"/>
  <c r="T2" i="6"/>
  <c r="AR20" i="1"/>
  <c r="AQ23" i="1"/>
  <c r="AL4" i="1"/>
  <c r="AN4" i="1"/>
  <c r="AF10" i="8" s="1"/>
  <c r="B8" i="10" s="1"/>
  <c r="AO4" i="1"/>
  <c r="AF11" i="8" s="1"/>
  <c r="B9" i="10" s="1"/>
  <c r="AM4" i="1"/>
  <c r="AF9" i="8" s="1"/>
  <c r="B7" i="10" s="1"/>
  <c r="AQ19" i="1"/>
  <c r="AQ103" i="1" s="1"/>
  <c r="AR76" i="1" l="1"/>
  <c r="AR47" i="1"/>
  <c r="S8" i="6"/>
  <c r="S10" i="6"/>
  <c r="S12" i="6"/>
  <c r="S14" i="6"/>
  <c r="I44" i="8" s="1"/>
  <c r="I109" i="8" s="1"/>
  <c r="S9" i="6"/>
  <c r="S11" i="6"/>
  <c r="S13" i="6"/>
  <c r="AQ330" i="1"/>
  <c r="AQ357" i="1"/>
  <c r="AQ334" i="1"/>
  <c r="AQ329" i="1"/>
  <c r="AR352" i="1"/>
  <c r="AR354" i="1"/>
  <c r="AR355" i="1"/>
  <c r="AR351" i="1"/>
  <c r="AR356" i="1"/>
  <c r="AR353" i="1"/>
  <c r="AQ359" i="1"/>
  <c r="AQ358" i="1"/>
  <c r="AQ53" i="1"/>
  <c r="AQ333" i="1"/>
  <c r="AQ318" i="1"/>
  <c r="AR347" i="1"/>
  <c r="AR348" i="1"/>
  <c r="AR350" i="1"/>
  <c r="AR349" i="1"/>
  <c r="AQ335" i="1"/>
  <c r="AQ343" i="1"/>
  <c r="AQ340" i="1"/>
  <c r="AQ341" i="1"/>
  <c r="I39" i="8"/>
  <c r="I104" i="8" s="1"/>
  <c r="AQ104" i="1"/>
  <c r="AQ346" i="1"/>
  <c r="AQ336" i="1"/>
  <c r="AQ345" i="1"/>
  <c r="AQ344" i="1"/>
  <c r="AQ342" i="1"/>
  <c r="AQ339" i="1"/>
  <c r="AQ337" i="1"/>
  <c r="AQ338" i="1"/>
  <c r="AQ331" i="1"/>
  <c r="AR332" i="1"/>
  <c r="G39" i="8"/>
  <c r="G104" i="8" s="1"/>
  <c r="AQ303" i="1"/>
  <c r="AQ107" i="1"/>
  <c r="AQ158" i="1"/>
  <c r="AQ321" i="1"/>
  <c r="AQ225" i="1"/>
  <c r="AQ39" i="1"/>
  <c r="AQ186" i="1"/>
  <c r="AQ75" i="1"/>
  <c r="AQ179" i="1"/>
  <c r="AQ284" i="1"/>
  <c r="AQ55" i="1"/>
  <c r="AQ230" i="1"/>
  <c r="AQ236" i="1"/>
  <c r="AQ161" i="1"/>
  <c r="AQ210" i="1"/>
  <c r="AQ228" i="1"/>
  <c r="AQ226" i="1"/>
  <c r="AQ233" i="1"/>
  <c r="AQ290" i="1"/>
  <c r="AQ229" i="1"/>
  <c r="AQ185" i="1"/>
  <c r="AQ232" i="1"/>
  <c r="H39" i="8"/>
  <c r="H104" i="8" s="1"/>
  <c r="F39" i="8"/>
  <c r="F104" i="8" s="1"/>
  <c r="H40" i="8"/>
  <c r="H105" i="8" s="1"/>
  <c r="F40" i="8"/>
  <c r="F105" i="8" s="1"/>
  <c r="H13" i="21"/>
  <c r="AH13" i="21"/>
  <c r="AH12" i="21"/>
  <c r="G12" i="21"/>
  <c r="I40" i="8"/>
  <c r="I105" i="8" s="1"/>
  <c r="AH11" i="21"/>
  <c r="F11" i="21"/>
  <c r="I14" i="21"/>
  <c r="AH14" i="21"/>
  <c r="G40" i="8"/>
  <c r="G105" i="8" s="1"/>
  <c r="T204" i="6"/>
  <c r="T140" i="6"/>
  <c r="T54" i="6"/>
  <c r="T50" i="6"/>
  <c r="T194" i="6"/>
  <c r="T148" i="6"/>
  <c r="T175" i="6"/>
  <c r="T46" i="6"/>
  <c r="T45" i="6"/>
  <c r="T58" i="6"/>
  <c r="T233" i="6"/>
  <c r="T59" i="6"/>
  <c r="T68" i="6"/>
  <c r="T237" i="6"/>
  <c r="T43" i="6"/>
  <c r="T160" i="6"/>
  <c r="T42" i="6"/>
  <c r="T245" i="6"/>
  <c r="T60" i="6"/>
  <c r="T262" i="6"/>
  <c r="T260" i="6"/>
  <c r="T241" i="6"/>
  <c r="T178" i="6"/>
  <c r="T273" i="6"/>
  <c r="T250" i="6"/>
  <c r="T243" i="6"/>
  <c r="T172" i="6"/>
  <c r="T51" i="6"/>
  <c r="T47" i="6"/>
  <c r="T239" i="6"/>
  <c r="T52" i="6"/>
  <c r="T20" i="6"/>
  <c r="T55" i="6"/>
  <c r="T155" i="6"/>
  <c r="T174" i="6"/>
  <c r="T238" i="6"/>
  <c r="T235" i="6"/>
  <c r="T44" i="6"/>
  <c r="T248" i="6"/>
  <c r="T53" i="6"/>
  <c r="T244" i="6"/>
  <c r="T228" i="6"/>
  <c r="T41" i="6"/>
  <c r="T36" i="6"/>
  <c r="T197" i="6"/>
  <c r="T240" i="6"/>
  <c r="T236" i="6"/>
  <c r="T254" i="6"/>
  <c r="T255" i="6"/>
  <c r="T106" i="6"/>
  <c r="T82" i="6"/>
  <c r="T161" i="6"/>
  <c r="T83" i="6"/>
  <c r="T123" i="6"/>
  <c r="T87" i="6"/>
  <c r="T93" i="6"/>
  <c r="T136" i="6"/>
  <c r="T120" i="6"/>
  <c r="T80" i="6"/>
  <c r="T78" i="6"/>
  <c r="T76" i="6"/>
  <c r="T74" i="6"/>
  <c r="T35" i="6"/>
  <c r="T159" i="6"/>
  <c r="T127" i="6"/>
  <c r="T137" i="6"/>
  <c r="T117" i="6"/>
  <c r="T95" i="6"/>
  <c r="T48" i="6"/>
  <c r="T113" i="6"/>
  <c r="T97" i="6"/>
  <c r="T40" i="6"/>
  <c r="T92" i="6"/>
  <c r="T242" i="6"/>
  <c r="T190" i="6"/>
  <c r="T115" i="6"/>
  <c r="T94" i="6"/>
  <c r="T86" i="6"/>
  <c r="T101" i="6"/>
  <c r="T85" i="6"/>
  <c r="T65" i="6"/>
  <c r="T104" i="6"/>
  <c r="T88" i="6"/>
  <c r="T81" i="6"/>
  <c r="T79" i="6"/>
  <c r="T77" i="6"/>
  <c r="T75" i="6"/>
  <c r="T73" i="6"/>
  <c r="T64" i="6"/>
  <c r="T114" i="6"/>
  <c r="T234" i="6"/>
  <c r="T126" i="6"/>
  <c r="T49" i="6"/>
  <c r="T105" i="6"/>
  <c r="T56" i="6"/>
  <c r="T116" i="6"/>
  <c r="T100" i="6"/>
  <c r="T84" i="6"/>
  <c r="T57" i="6"/>
  <c r="T28" i="6"/>
  <c r="T34" i="6"/>
  <c r="T37" i="6"/>
  <c r="T61" i="6"/>
  <c r="T31" i="6"/>
  <c r="T27" i="6"/>
  <c r="T30" i="6"/>
  <c r="T32" i="6"/>
  <c r="T39" i="6"/>
  <c r="T38" i="6"/>
  <c r="T33" i="6"/>
  <c r="T22" i="6"/>
  <c r="T63" i="6"/>
  <c r="T29" i="6"/>
  <c r="T25" i="6"/>
  <c r="T21" i="6"/>
  <c r="U1" i="6"/>
  <c r="T210" i="6"/>
  <c r="T189" i="6"/>
  <c r="T171" i="6"/>
  <c r="T199" i="6"/>
  <c r="T225" i="6"/>
  <c r="T249" i="6"/>
  <c r="T200" i="6"/>
  <c r="T195" i="6"/>
  <c r="T167" i="6"/>
  <c r="T221" i="6"/>
  <c r="T165" i="6"/>
  <c r="T192" i="6"/>
  <c r="T152" i="6"/>
  <c r="T179" i="6"/>
  <c r="T163" i="6"/>
  <c r="T220" i="6"/>
  <c r="T173" i="6"/>
  <c r="T218" i="6"/>
  <c r="T157" i="6"/>
  <c r="T188" i="6"/>
  <c r="T185" i="6"/>
  <c r="T217" i="6"/>
  <c r="T212" i="6"/>
  <c r="T230" i="6"/>
  <c r="T146" i="6"/>
  <c r="T208" i="6"/>
  <c r="T229" i="6"/>
  <c r="T156" i="6"/>
  <c r="T181" i="6"/>
  <c r="T144" i="6"/>
  <c r="T138" i="6"/>
  <c r="T180" i="6"/>
  <c r="T283" i="6"/>
  <c r="T267" i="6"/>
  <c r="T286" i="6"/>
  <c r="T270" i="6"/>
  <c r="T162" i="6"/>
  <c r="T196" i="6"/>
  <c r="T149" i="6"/>
  <c r="T271" i="6"/>
  <c r="T274" i="6"/>
  <c r="T184" i="6"/>
  <c r="T154" i="6"/>
  <c r="T168" i="6"/>
  <c r="T275" i="6"/>
  <c r="T278" i="6"/>
  <c r="T166" i="6"/>
  <c r="T183" i="6"/>
  <c r="T170" i="6"/>
  <c r="T209" i="6"/>
  <c r="T141" i="6"/>
  <c r="T279" i="6"/>
  <c r="T263" i="6"/>
  <c r="T282" i="6"/>
  <c r="T266" i="6"/>
  <c r="T285" i="6"/>
  <c r="T281" i="6"/>
  <c r="T277" i="6"/>
  <c r="T269" i="6"/>
  <c r="T265" i="6"/>
  <c r="T256" i="6"/>
  <c r="T227" i="6"/>
  <c r="T280" i="6"/>
  <c r="T264" i="6"/>
  <c r="T257" i="6"/>
  <c r="T231" i="6"/>
  <c r="T193" i="6"/>
  <c r="T202" i="6"/>
  <c r="T177" i="6"/>
  <c r="T276" i="6"/>
  <c r="T259" i="6"/>
  <c r="T247" i="6"/>
  <c r="T223" i="6"/>
  <c r="T216" i="6"/>
  <c r="T261" i="6"/>
  <c r="T186" i="6"/>
  <c r="T164" i="6"/>
  <c r="T272" i="6"/>
  <c r="T191" i="6"/>
  <c r="T187" i="6"/>
  <c r="T139" i="6"/>
  <c r="T147" i="6"/>
  <c r="T205" i="6"/>
  <c r="T176" i="6"/>
  <c r="T201" i="6"/>
  <c r="T169" i="6"/>
  <c r="T258" i="6"/>
  <c r="T284" i="6"/>
  <c r="T268" i="6"/>
  <c r="T246" i="6"/>
  <c r="T213" i="6"/>
  <c r="T232" i="6"/>
  <c r="T142" i="6"/>
  <c r="T19" i="6"/>
  <c r="T252" i="6"/>
  <c r="T224" i="6"/>
  <c r="T211" i="6"/>
  <c r="T207" i="6"/>
  <c r="T150" i="6"/>
  <c r="T203" i="6"/>
  <c r="T251" i="6"/>
  <c r="T158" i="6"/>
  <c r="T219" i="6"/>
  <c r="T99" i="6"/>
  <c r="T215" i="6"/>
  <c r="T253" i="6"/>
  <c r="T121" i="6"/>
  <c r="T226" i="6"/>
  <c r="T206" i="6"/>
  <c r="T129" i="6"/>
  <c r="T135" i="6"/>
  <c r="T134" i="6"/>
  <c r="T109" i="6"/>
  <c r="T112" i="6"/>
  <c r="T96" i="6"/>
  <c r="T72" i="6"/>
  <c r="T70" i="6"/>
  <c r="T198" i="6"/>
  <c r="T153" i="6"/>
  <c r="T130" i="6"/>
  <c r="T133" i="6"/>
  <c r="T66" i="6"/>
  <c r="T124" i="6"/>
  <c r="T108" i="6"/>
  <c r="T119" i="6"/>
  <c r="T222" i="6"/>
  <c r="T151" i="6"/>
  <c r="T145" i="6"/>
  <c r="T122" i="6"/>
  <c r="T98" i="6"/>
  <c r="T131" i="6"/>
  <c r="T103" i="6"/>
  <c r="T118" i="6"/>
  <c r="T110" i="6"/>
  <c r="T102" i="6"/>
  <c r="T128" i="6"/>
  <c r="T71" i="6"/>
  <c r="T69" i="6"/>
  <c r="T107" i="6"/>
  <c r="T214" i="6"/>
  <c r="T182" i="6"/>
  <c r="T143" i="6"/>
  <c r="T90" i="6"/>
  <c r="T91" i="6"/>
  <c r="T125" i="6"/>
  <c r="T111" i="6"/>
  <c r="T89" i="6"/>
  <c r="T132" i="6"/>
  <c r="T67" i="6"/>
  <c r="T62" i="6"/>
  <c r="T24" i="6"/>
  <c r="T26" i="6"/>
  <c r="T23" i="6"/>
  <c r="AQ63" i="1"/>
  <c r="AQ134" i="1"/>
  <c r="AQ150" i="1"/>
  <c r="AQ163" i="1"/>
  <c r="AQ191" i="1"/>
  <c r="AQ205" i="1"/>
  <c r="AQ220" i="1"/>
  <c r="AQ26" i="1"/>
  <c r="AQ108" i="1"/>
  <c r="AQ281" i="1"/>
  <c r="AQ32" i="1"/>
  <c r="AQ85" i="1"/>
  <c r="AQ95" i="1"/>
  <c r="AQ102" i="1"/>
  <c r="AQ116" i="1"/>
  <c r="AQ146" i="1"/>
  <c r="AQ159" i="1"/>
  <c r="AQ174" i="1"/>
  <c r="AQ187" i="1"/>
  <c r="AQ217" i="1"/>
  <c r="AQ69" i="1"/>
  <c r="AQ170" i="1"/>
  <c r="AQ184" i="1"/>
  <c r="AQ213" i="1"/>
  <c r="AQ121" i="1"/>
  <c r="AQ66" i="1"/>
  <c r="AQ92" i="1"/>
  <c r="AQ106" i="1"/>
  <c r="AQ127" i="1"/>
  <c r="AQ138" i="1"/>
  <c r="AQ152" i="1"/>
  <c r="AQ180" i="1"/>
  <c r="AQ195" i="1"/>
  <c r="AQ209" i="1"/>
  <c r="AQ96" i="1"/>
  <c r="AQ113" i="1"/>
  <c r="AQ171" i="1"/>
  <c r="AQ181" i="1"/>
  <c r="AQ192" i="1"/>
  <c r="AQ196" i="1"/>
  <c r="AQ199" i="1"/>
  <c r="AQ206" i="1"/>
  <c r="AQ214" i="1"/>
  <c r="AQ243" i="1"/>
  <c r="AQ258" i="1"/>
  <c r="AQ296" i="1"/>
  <c r="AQ312" i="1"/>
  <c r="AQ139" i="1"/>
  <c r="AQ153" i="1"/>
  <c r="AQ167" i="1"/>
  <c r="AQ188" i="1"/>
  <c r="AQ202" i="1"/>
  <c r="AQ218" i="1"/>
  <c r="AQ239" i="1"/>
  <c r="AQ254" i="1"/>
  <c r="AQ269" i="1"/>
  <c r="AQ283" i="1"/>
  <c r="AQ292" i="1"/>
  <c r="AQ308" i="1"/>
  <c r="AQ135" i="1"/>
  <c r="AQ164" i="1"/>
  <c r="AQ177" i="1"/>
  <c r="AQ250" i="1"/>
  <c r="AQ265" i="1"/>
  <c r="AQ131" i="1"/>
  <c r="AQ147" i="1"/>
  <c r="AQ160" i="1"/>
  <c r="AQ247" i="1"/>
  <c r="AQ262" i="1"/>
  <c r="AQ276" i="1"/>
  <c r="AQ287" i="1"/>
  <c r="AQ300" i="1"/>
  <c r="AQ319" i="1"/>
  <c r="AQ178" i="1"/>
  <c r="AQ193" i="1"/>
  <c r="AQ207" i="1"/>
  <c r="AQ124" i="1"/>
  <c r="AQ89" i="1"/>
  <c r="AQ97" i="1"/>
  <c r="AQ189" i="1"/>
  <c r="AQ203" i="1"/>
  <c r="AQ86" i="1"/>
  <c r="AQ118" i="1"/>
  <c r="AQ129" i="1"/>
  <c r="AQ132" i="1"/>
  <c r="AQ140" i="1"/>
  <c r="AQ148" i="1"/>
  <c r="AQ154" i="1"/>
  <c r="AQ168" i="1"/>
  <c r="AQ200" i="1"/>
  <c r="AQ215" i="1"/>
  <c r="AQ114" i="1"/>
  <c r="AQ125" i="1"/>
  <c r="AQ136" i="1"/>
  <c r="AQ151" i="1"/>
  <c r="AQ165" i="1"/>
  <c r="AQ234" i="1"/>
  <c r="AQ117" i="1"/>
  <c r="AQ94" i="1"/>
  <c r="AQ119" i="1"/>
  <c r="AQ133" i="1"/>
  <c r="AQ149" i="1"/>
  <c r="AQ162" i="1"/>
  <c r="AQ176" i="1"/>
  <c r="AQ194" i="1"/>
  <c r="AQ208" i="1"/>
  <c r="AQ235" i="1"/>
  <c r="AQ71" i="1"/>
  <c r="AQ270" i="1"/>
  <c r="AQ273" i="1"/>
  <c r="AQ277" i="1"/>
  <c r="AQ323" i="1"/>
  <c r="AQ245" i="1"/>
  <c r="AQ256" i="1"/>
  <c r="AQ267" i="1"/>
  <c r="AQ278" i="1"/>
  <c r="AQ306" i="1"/>
  <c r="AQ197" i="1"/>
  <c r="AQ70" i="1"/>
  <c r="AQ24" i="1"/>
  <c r="AQ72" i="1"/>
  <c r="AQ105" i="1"/>
  <c r="AQ145" i="1"/>
  <c r="AQ173" i="1"/>
  <c r="AQ190" i="1"/>
  <c r="AQ204" i="1"/>
  <c r="AQ219" i="1"/>
  <c r="AQ30" i="1"/>
  <c r="AQ266" i="1"/>
  <c r="AQ320" i="1"/>
  <c r="AQ263" i="1"/>
  <c r="AQ291" i="1"/>
  <c r="AQ302" i="1"/>
  <c r="AQ128" i="1"/>
  <c r="AQ115" i="1"/>
  <c r="AQ122" i="1"/>
  <c r="AQ141" i="1"/>
  <c r="AQ169" i="1"/>
  <c r="AQ201" i="1"/>
  <c r="AQ216" i="1"/>
  <c r="AQ244" i="1"/>
  <c r="AQ255" i="1"/>
  <c r="AQ305" i="1"/>
  <c r="AQ315" i="1"/>
  <c r="AQ252" i="1"/>
  <c r="AQ260" i="1"/>
  <c r="AQ274" i="1"/>
  <c r="AQ289" i="1"/>
  <c r="AQ182" i="1"/>
  <c r="AQ211" i="1"/>
  <c r="AQ34" i="1"/>
  <c r="AQ67" i="1"/>
  <c r="AQ93" i="1"/>
  <c r="AQ109" i="1"/>
  <c r="AQ126" i="1"/>
  <c r="AQ166" i="1"/>
  <c r="AQ183" i="1"/>
  <c r="AQ198" i="1"/>
  <c r="AQ212" i="1"/>
  <c r="AQ251" i="1"/>
  <c r="AQ288" i="1"/>
  <c r="AQ301" i="1"/>
  <c r="AQ313" i="1"/>
  <c r="AQ237" i="1"/>
  <c r="AQ271" i="1"/>
  <c r="AQ282" i="1"/>
  <c r="AQ294" i="1"/>
  <c r="AQ249" i="1"/>
  <c r="AQ261" i="1"/>
  <c r="AQ272" i="1"/>
  <c r="AQ257" i="1"/>
  <c r="AQ322" i="1"/>
  <c r="AQ242" i="1"/>
  <c r="AQ253" i="1"/>
  <c r="AQ268" i="1"/>
  <c r="AQ275" i="1"/>
  <c r="AQ238" i="1"/>
  <c r="AQ264" i="1"/>
  <c r="AQ286" i="1"/>
  <c r="AQ295" i="1"/>
  <c r="AQ307" i="1"/>
  <c r="AR38" i="1"/>
  <c r="AR57" i="1"/>
  <c r="AR65" i="1"/>
  <c r="AR49" i="1"/>
  <c r="AR61" i="1"/>
  <c r="AR73" i="1"/>
  <c r="AR110" i="1"/>
  <c r="AR123" i="1"/>
  <c r="AR130" i="1"/>
  <c r="AR33" i="1"/>
  <c r="AR78" i="1"/>
  <c r="AR28" i="1"/>
  <c r="AR36" i="1"/>
  <c r="AR45" i="1"/>
  <c r="AR60" i="1"/>
  <c r="AR142" i="1"/>
  <c r="AR42" i="1"/>
  <c r="AR58" i="1"/>
  <c r="AR79" i="1"/>
  <c r="AR82" i="1"/>
  <c r="AR87" i="1"/>
  <c r="AR98" i="1"/>
  <c r="AR224" i="1"/>
  <c r="AR31" i="1"/>
  <c r="AR40" i="1"/>
  <c r="AR120" i="1"/>
  <c r="AR27" i="1"/>
  <c r="AR44" i="1"/>
  <c r="AR46" i="1"/>
  <c r="AR280" i="1"/>
  <c r="AR326" i="1"/>
  <c r="AR54" i="1"/>
  <c r="AR25" i="1"/>
  <c r="AR221" i="1"/>
  <c r="AR48" i="1"/>
  <c r="AR62" i="1"/>
  <c r="AR83" i="1"/>
  <c r="AR143" i="1"/>
  <c r="AR156" i="1"/>
  <c r="AR304" i="1"/>
  <c r="AR90" i="1"/>
  <c r="AR29" i="1"/>
  <c r="AR43" i="1"/>
  <c r="AR74" i="1"/>
  <c r="AR56" i="1"/>
  <c r="AR64" i="1"/>
  <c r="AR100" i="1"/>
  <c r="AR35" i="1"/>
  <c r="AR111" i="1"/>
  <c r="AR175" i="1"/>
  <c r="AR37" i="1"/>
  <c r="AR52" i="1"/>
  <c r="AR80" i="1"/>
  <c r="AR51" i="1"/>
  <c r="AR59" i="1"/>
  <c r="AR68" i="1"/>
  <c r="AR144" i="1"/>
  <c r="AR157" i="1"/>
  <c r="AR222" i="1"/>
  <c r="AR41" i="1"/>
  <c r="AR99" i="1"/>
  <c r="AR137" i="1"/>
  <c r="AR231" i="1"/>
  <c r="AR112" i="1"/>
  <c r="AR293" i="1"/>
  <c r="AR309" i="1"/>
  <c r="AR241" i="1"/>
  <c r="AR316" i="1"/>
  <c r="AR172" i="1"/>
  <c r="AR88" i="1"/>
  <c r="AR155" i="1"/>
  <c r="AR240" i="1"/>
  <c r="AR298" i="1"/>
  <c r="AR314" i="1"/>
  <c r="AR328" i="1"/>
  <c r="AR50" i="1"/>
  <c r="AR77" i="1"/>
  <c r="AR84" i="1"/>
  <c r="AR91" i="1"/>
  <c r="AR101" i="1"/>
  <c r="AR227" i="1"/>
  <c r="AR248" i="1"/>
  <c r="AR327" i="1"/>
  <c r="AR285" i="1"/>
  <c r="AR310" i="1"/>
  <c r="AR324" i="1"/>
  <c r="AR81" i="1"/>
  <c r="AR223" i="1"/>
  <c r="AR259" i="1"/>
  <c r="AR297" i="1"/>
  <c r="AR246" i="1"/>
  <c r="AR279" i="1"/>
  <c r="AR311" i="1"/>
  <c r="AR317" i="1"/>
  <c r="AR299" i="1"/>
  <c r="AR325" i="1"/>
  <c r="H44" i="8"/>
  <c r="H109" i="8" s="1"/>
  <c r="F44" i="8"/>
  <c r="F109" i="8" s="1"/>
  <c r="G44" i="8"/>
  <c r="G109" i="8" s="1"/>
  <c r="AF44" i="8"/>
  <c r="B42" i="10" s="1"/>
  <c r="U2" i="6"/>
  <c r="AS20" i="1"/>
  <c r="AR23" i="1"/>
  <c r="AF40" i="8"/>
  <c r="B38" i="10" s="1"/>
  <c r="AF43" i="8"/>
  <c r="B41" i="10" s="1"/>
  <c r="AF41" i="8"/>
  <c r="B39" i="10" s="1"/>
  <c r="AF42" i="8"/>
  <c r="B40" i="10" s="1"/>
  <c r="AP4" i="1"/>
  <c r="AF12" i="8" s="1"/>
  <c r="B10" i="10" s="1"/>
  <c r="AR19" i="1"/>
  <c r="AR103" i="1" s="1"/>
  <c r="AS76" i="1" l="1"/>
  <c r="AS47" i="1"/>
  <c r="T9" i="6"/>
  <c r="T11" i="6"/>
  <c r="T13" i="6"/>
  <c r="T8" i="6"/>
  <c r="T10" i="6"/>
  <c r="T12" i="6"/>
  <c r="T14" i="6"/>
  <c r="AR334" i="1"/>
  <c r="AR357" i="1"/>
  <c r="AR53" i="1"/>
  <c r="AR330" i="1"/>
  <c r="AS352" i="1"/>
  <c r="AS356" i="1"/>
  <c r="AS353" i="1"/>
  <c r="AS354" i="1"/>
  <c r="AS355" i="1"/>
  <c r="AS351" i="1"/>
  <c r="AR358" i="1"/>
  <c r="AR359" i="1"/>
  <c r="AR333" i="1"/>
  <c r="AR329" i="1"/>
  <c r="AR318" i="1"/>
  <c r="AR341" i="1"/>
  <c r="AR340" i="1"/>
  <c r="AR335" i="1"/>
  <c r="AR343" i="1"/>
  <c r="AS348" i="1"/>
  <c r="AS347" i="1"/>
  <c r="AS350" i="1"/>
  <c r="AS349" i="1"/>
  <c r="AR104" i="1"/>
  <c r="AR344" i="1"/>
  <c r="AR342" i="1"/>
  <c r="AR338" i="1"/>
  <c r="AR337" i="1"/>
  <c r="AR345" i="1"/>
  <c r="AR336" i="1"/>
  <c r="AR339" i="1"/>
  <c r="AR346" i="1"/>
  <c r="AR331" i="1"/>
  <c r="AS332" i="1"/>
  <c r="AR321" i="1"/>
  <c r="AR284" i="1"/>
  <c r="AR158" i="1"/>
  <c r="AR185" i="1"/>
  <c r="AR236" i="1"/>
  <c r="AR55" i="1"/>
  <c r="AR107" i="1"/>
  <c r="AR290" i="1"/>
  <c r="AR303" i="1"/>
  <c r="AR179" i="1"/>
  <c r="AR226" i="1"/>
  <c r="AR225" i="1"/>
  <c r="AR232" i="1"/>
  <c r="AR39" i="1"/>
  <c r="AR186" i="1"/>
  <c r="AR230" i="1"/>
  <c r="AR75" i="1"/>
  <c r="AR161" i="1"/>
  <c r="AR229" i="1"/>
  <c r="AR233" i="1"/>
  <c r="AR210" i="1"/>
  <c r="AR228" i="1"/>
  <c r="J11" i="21"/>
  <c r="F15" i="21"/>
  <c r="J7" i="21"/>
  <c r="H15" i="21"/>
  <c r="J13" i="21"/>
  <c r="J5" i="21"/>
  <c r="I15" i="21"/>
  <c r="J14" i="21"/>
  <c r="G15" i="21"/>
  <c r="J12" i="21"/>
  <c r="J6" i="21"/>
  <c r="U85" i="6"/>
  <c r="U100" i="6"/>
  <c r="U84" i="6"/>
  <c r="U63" i="6"/>
  <c r="U80" i="6"/>
  <c r="U127" i="6"/>
  <c r="U29" i="6"/>
  <c r="U92" i="6"/>
  <c r="U21" i="6"/>
  <c r="U74" i="6"/>
  <c r="U22" i="6"/>
  <c r="U73" i="6"/>
  <c r="U33" i="6"/>
  <c r="U104" i="6"/>
  <c r="U273" i="6"/>
  <c r="U113" i="6"/>
  <c r="U30" i="6"/>
  <c r="U25" i="6"/>
  <c r="U120" i="6"/>
  <c r="U105" i="6"/>
  <c r="U75" i="6"/>
  <c r="U88" i="6"/>
  <c r="U101" i="6"/>
  <c r="U34" i="6"/>
  <c r="U78" i="6"/>
  <c r="U255" i="6"/>
  <c r="U94" i="6"/>
  <c r="U97" i="6"/>
  <c r="U68" i="6"/>
  <c r="U81" i="6"/>
  <c r="U116" i="6"/>
  <c r="U76" i="6"/>
  <c r="U262" i="6"/>
  <c r="U37" i="6"/>
  <c r="U38" i="6"/>
  <c r="U260" i="6"/>
  <c r="U254" i="6"/>
  <c r="U136" i="6"/>
  <c r="U77" i="6"/>
  <c r="U65" i="6"/>
  <c r="U20" i="6"/>
  <c r="U31" i="6"/>
  <c r="U93" i="6"/>
  <c r="U86" i="6"/>
  <c r="U87" i="6"/>
  <c r="U32" i="6"/>
  <c r="U79" i="6"/>
  <c r="U126" i="6"/>
  <c r="U95" i="6"/>
  <c r="U61" i="6"/>
  <c r="U137" i="6"/>
  <c r="U36" i="6"/>
  <c r="U39" i="6"/>
  <c r="U41" i="6"/>
  <c r="U64" i="6"/>
  <c r="U28" i="6"/>
  <c r="U27" i="6"/>
  <c r="U236" i="6"/>
  <c r="U204" i="6"/>
  <c r="U242" i="6"/>
  <c r="U234" i="6"/>
  <c r="U240" i="6"/>
  <c r="U243" i="6"/>
  <c r="U239" i="6"/>
  <c r="U235" i="6"/>
  <c r="U106" i="6"/>
  <c r="U161" i="6"/>
  <c r="U244" i="6"/>
  <c r="U228" i="6"/>
  <c r="U159" i="6"/>
  <c r="U175" i="6"/>
  <c r="U248" i="6"/>
  <c r="U190" i="6"/>
  <c r="U238" i="6"/>
  <c r="U245" i="6"/>
  <c r="U197" i="6"/>
  <c r="U155" i="6"/>
  <c r="U123" i="6"/>
  <c r="U49" i="6"/>
  <c r="U57" i="6"/>
  <c r="U45" i="6"/>
  <c r="U114" i="6"/>
  <c r="U250" i="6"/>
  <c r="U178" i="6"/>
  <c r="U241" i="6"/>
  <c r="U140" i="6"/>
  <c r="U56" i="6"/>
  <c r="U53" i="6"/>
  <c r="U82" i="6"/>
  <c r="U174" i="6"/>
  <c r="U237" i="6"/>
  <c r="U172" i="6"/>
  <c r="U160" i="6"/>
  <c r="U117" i="6"/>
  <c r="U194" i="6"/>
  <c r="U233" i="6"/>
  <c r="U83" i="6"/>
  <c r="U48" i="6"/>
  <c r="U148" i="6"/>
  <c r="U115" i="6"/>
  <c r="U40" i="6"/>
  <c r="U59" i="6"/>
  <c r="U55" i="6"/>
  <c r="U51" i="6"/>
  <c r="U47" i="6"/>
  <c r="U43" i="6"/>
  <c r="U46" i="6"/>
  <c r="U60" i="6"/>
  <c r="U54" i="6"/>
  <c r="U42" i="6"/>
  <c r="U52" i="6"/>
  <c r="U35" i="6"/>
  <c r="U50" i="6"/>
  <c r="U44" i="6"/>
  <c r="U58" i="6"/>
  <c r="F45" i="8"/>
  <c r="F110" i="8" s="1"/>
  <c r="G45" i="8"/>
  <c r="G110" i="8" s="1"/>
  <c r="H45" i="8"/>
  <c r="H110" i="8" s="1"/>
  <c r="I45" i="8"/>
  <c r="I110" i="8" s="1"/>
  <c r="V1" i="6"/>
  <c r="U129" i="6"/>
  <c r="U109" i="6"/>
  <c r="U267" i="6"/>
  <c r="U272" i="6"/>
  <c r="U282" i="6"/>
  <c r="U72" i="6"/>
  <c r="U263" i="6"/>
  <c r="U270" i="6"/>
  <c r="U134" i="6"/>
  <c r="U261" i="6"/>
  <c r="U121" i="6"/>
  <c r="U24" i="6"/>
  <c r="U119" i="6"/>
  <c r="U286" i="6"/>
  <c r="U278" i="6"/>
  <c r="U274" i="6"/>
  <c r="U70" i="6"/>
  <c r="U269" i="6"/>
  <c r="U89" i="6"/>
  <c r="U280" i="6"/>
  <c r="U96" i="6"/>
  <c r="U268" i="6"/>
  <c r="U265" i="6"/>
  <c r="U257" i="6"/>
  <c r="U264" i="6"/>
  <c r="U23" i="6"/>
  <c r="U276" i="6"/>
  <c r="U253" i="6"/>
  <c r="U284" i="6"/>
  <c r="U135" i="6"/>
  <c r="U112" i="6"/>
  <c r="U271" i="6"/>
  <c r="U266" i="6"/>
  <c r="U128" i="6"/>
  <c r="U258" i="6"/>
  <c r="U124" i="6"/>
  <c r="U275" i="6"/>
  <c r="U281" i="6"/>
  <c r="U279" i="6"/>
  <c r="U26" i="6"/>
  <c r="U283" i="6"/>
  <c r="U285" i="6"/>
  <c r="U277" i="6"/>
  <c r="U259" i="6"/>
  <c r="U256" i="6"/>
  <c r="U62" i="6"/>
  <c r="U69" i="6"/>
  <c r="U103" i="6"/>
  <c r="U67" i="6"/>
  <c r="U118" i="6"/>
  <c r="U102" i="6"/>
  <c r="U71" i="6"/>
  <c r="U132" i="6"/>
  <c r="U110" i="6"/>
  <c r="U142" i="6"/>
  <c r="U252" i="6"/>
  <c r="U108" i="6"/>
  <c r="U19" i="6"/>
  <c r="U111" i="6"/>
  <c r="U171" i="6"/>
  <c r="U251" i="6"/>
  <c r="U220" i="6"/>
  <c r="U188" i="6"/>
  <c r="U219" i="6"/>
  <c r="U203" i="6"/>
  <c r="U187" i="6"/>
  <c r="U150" i="6"/>
  <c r="U226" i="6"/>
  <c r="U151" i="6"/>
  <c r="U167" i="6"/>
  <c r="U99" i="6"/>
  <c r="U224" i="6"/>
  <c r="U208" i="6"/>
  <c r="U192" i="6"/>
  <c r="U158" i="6"/>
  <c r="U247" i="6"/>
  <c r="U231" i="6"/>
  <c r="U227" i="6"/>
  <c r="U223" i="6"/>
  <c r="U207" i="6"/>
  <c r="U191" i="6"/>
  <c r="U145" i="6"/>
  <c r="U212" i="6"/>
  <c r="U196" i="6"/>
  <c r="U180" i="6"/>
  <c r="U211" i="6"/>
  <c r="U195" i="6"/>
  <c r="U179" i="6"/>
  <c r="U166" i="6"/>
  <c r="U143" i="6"/>
  <c r="U232" i="6"/>
  <c r="U216" i="6"/>
  <c r="U200" i="6"/>
  <c r="U184" i="6"/>
  <c r="U215" i="6"/>
  <c r="U199" i="6"/>
  <c r="U183" i="6"/>
  <c r="U222" i="6"/>
  <c r="U214" i="6"/>
  <c r="U206" i="6"/>
  <c r="U198" i="6"/>
  <c r="U182" i="6"/>
  <c r="U170" i="6"/>
  <c r="U153" i="6"/>
  <c r="U218" i="6"/>
  <c r="U186" i="6"/>
  <c r="U229" i="6"/>
  <c r="U213" i="6"/>
  <c r="U181" i="6"/>
  <c r="U162" i="6"/>
  <c r="U122" i="6"/>
  <c r="U164" i="6"/>
  <c r="U163" i="6"/>
  <c r="U139" i="6"/>
  <c r="U98" i="6"/>
  <c r="U152" i="6"/>
  <c r="U133" i="6"/>
  <c r="U230" i="6"/>
  <c r="U210" i="6"/>
  <c r="U225" i="6"/>
  <c r="U209" i="6"/>
  <c r="U193" i="6"/>
  <c r="U177" i="6"/>
  <c r="U169" i="6"/>
  <c r="U154" i="6"/>
  <c r="U90" i="6"/>
  <c r="U176" i="6"/>
  <c r="U149" i="6"/>
  <c r="U156" i="6"/>
  <c r="U131" i="6"/>
  <c r="U66" i="6"/>
  <c r="U107" i="6"/>
  <c r="U202" i="6"/>
  <c r="U221" i="6"/>
  <c r="U205" i="6"/>
  <c r="U189" i="6"/>
  <c r="U146" i="6"/>
  <c r="U147" i="6"/>
  <c r="U91" i="6"/>
  <c r="U144" i="6"/>
  <c r="U246" i="6"/>
  <c r="U249" i="6"/>
  <c r="U217" i="6"/>
  <c r="U201" i="6"/>
  <c r="U185" i="6"/>
  <c r="U173" i="6"/>
  <c r="U165" i="6"/>
  <c r="U138" i="6"/>
  <c r="U168" i="6"/>
  <c r="U157" i="6"/>
  <c r="U141" i="6"/>
  <c r="U130" i="6"/>
  <c r="U125" i="6"/>
  <c r="AR32" i="1"/>
  <c r="AR85" i="1"/>
  <c r="AR95" i="1"/>
  <c r="AR102" i="1"/>
  <c r="AR116" i="1"/>
  <c r="AR146" i="1"/>
  <c r="AR159" i="1"/>
  <c r="AR174" i="1"/>
  <c r="AR187" i="1"/>
  <c r="AR217" i="1"/>
  <c r="AR69" i="1"/>
  <c r="AR170" i="1"/>
  <c r="AR184" i="1"/>
  <c r="AR213" i="1"/>
  <c r="AR126" i="1"/>
  <c r="AR66" i="1"/>
  <c r="AR92" i="1"/>
  <c r="AR106" i="1"/>
  <c r="AR127" i="1"/>
  <c r="AR138" i="1"/>
  <c r="AR152" i="1"/>
  <c r="AR180" i="1"/>
  <c r="AR195" i="1"/>
  <c r="AR209" i="1"/>
  <c r="AR24" i="1"/>
  <c r="AR256" i="1"/>
  <c r="AR63" i="1"/>
  <c r="AR134" i="1"/>
  <c r="AR150" i="1"/>
  <c r="AR163" i="1"/>
  <c r="AR191" i="1"/>
  <c r="AR205" i="1"/>
  <c r="AR220" i="1"/>
  <c r="AR72" i="1"/>
  <c r="AR139" i="1"/>
  <c r="AR153" i="1"/>
  <c r="AR167" i="1"/>
  <c r="AR199" i="1"/>
  <c r="AR214" i="1"/>
  <c r="AR239" i="1"/>
  <c r="AR254" i="1"/>
  <c r="AR269" i="1"/>
  <c r="AR283" i="1"/>
  <c r="AR292" i="1"/>
  <c r="AR308" i="1"/>
  <c r="AR135" i="1"/>
  <c r="AR164" i="1"/>
  <c r="AR177" i="1"/>
  <c r="AR181" i="1"/>
  <c r="AR196" i="1"/>
  <c r="AR250" i="1"/>
  <c r="AR265" i="1"/>
  <c r="AR131" i="1"/>
  <c r="AR147" i="1"/>
  <c r="AR160" i="1"/>
  <c r="AR192" i="1"/>
  <c r="AR206" i="1"/>
  <c r="AR247" i="1"/>
  <c r="AR262" i="1"/>
  <c r="AR276" i="1"/>
  <c r="AR96" i="1"/>
  <c r="AR113" i="1"/>
  <c r="AR171" i="1"/>
  <c r="AR188" i="1"/>
  <c r="AR202" i="1"/>
  <c r="AR218" i="1"/>
  <c r="AR243" i="1"/>
  <c r="AR258" i="1"/>
  <c r="AR287" i="1"/>
  <c r="AR296" i="1"/>
  <c r="AR300" i="1"/>
  <c r="AR312" i="1"/>
  <c r="AR319" i="1"/>
  <c r="AR124" i="1"/>
  <c r="AR86" i="1"/>
  <c r="AR108" i="1"/>
  <c r="AR114" i="1"/>
  <c r="AR140" i="1"/>
  <c r="AR154" i="1"/>
  <c r="AR168" i="1"/>
  <c r="AR26" i="1"/>
  <c r="AR71" i="1"/>
  <c r="AR125" i="1"/>
  <c r="AR136" i="1"/>
  <c r="AR151" i="1"/>
  <c r="AR165" i="1"/>
  <c r="AR89" i="1"/>
  <c r="AR118" i="1"/>
  <c r="AR132" i="1"/>
  <c r="AR148" i="1"/>
  <c r="AR182" i="1"/>
  <c r="AR189" i="1"/>
  <c r="AR197" i="1"/>
  <c r="AR200" i="1"/>
  <c r="AR203" i="1"/>
  <c r="AR211" i="1"/>
  <c r="AR215" i="1"/>
  <c r="AR30" i="1"/>
  <c r="AR97" i="1"/>
  <c r="AR121" i="1"/>
  <c r="AR129" i="1"/>
  <c r="AR193" i="1"/>
  <c r="AR70" i="1"/>
  <c r="AR109" i="1"/>
  <c r="AR119" i="1"/>
  <c r="AR133" i="1"/>
  <c r="AR145" i="1"/>
  <c r="AR149" i="1"/>
  <c r="AR162" i="1"/>
  <c r="AR166" i="1"/>
  <c r="AR173" i="1"/>
  <c r="AR176" i="1"/>
  <c r="AR190" i="1"/>
  <c r="AR204" i="1"/>
  <c r="AR219" i="1"/>
  <c r="AR235" i="1"/>
  <c r="AR255" i="1"/>
  <c r="AR277" i="1"/>
  <c r="AR237" i="1"/>
  <c r="AR278" i="1"/>
  <c r="AR282" i="1"/>
  <c r="AR291" i="1"/>
  <c r="AR302" i="1"/>
  <c r="AR128" i="1"/>
  <c r="AR94" i="1"/>
  <c r="AR105" i="1"/>
  <c r="AR115" i="1"/>
  <c r="AR141" i="1"/>
  <c r="AR169" i="1"/>
  <c r="AR201" i="1"/>
  <c r="AR216" i="1"/>
  <c r="AR251" i="1"/>
  <c r="AR273" i="1"/>
  <c r="AR305" i="1"/>
  <c r="AR315" i="1"/>
  <c r="AR320" i="1"/>
  <c r="AR323" i="1"/>
  <c r="AR260" i="1"/>
  <c r="AR263" i="1"/>
  <c r="AR267" i="1"/>
  <c r="AR274" i="1"/>
  <c r="AR289" i="1"/>
  <c r="AR178" i="1"/>
  <c r="AR207" i="1"/>
  <c r="AR234" i="1"/>
  <c r="AR34" i="1"/>
  <c r="AR67" i="1"/>
  <c r="AR93" i="1"/>
  <c r="AR183" i="1"/>
  <c r="AR198" i="1"/>
  <c r="AR212" i="1"/>
  <c r="AR270" i="1"/>
  <c r="AR281" i="1"/>
  <c r="AR288" i="1"/>
  <c r="AR301" i="1"/>
  <c r="AR313" i="1"/>
  <c r="AR271" i="1"/>
  <c r="AR294" i="1"/>
  <c r="AR117" i="1"/>
  <c r="AR122" i="1"/>
  <c r="AR194" i="1"/>
  <c r="AR208" i="1"/>
  <c r="AR244" i="1"/>
  <c r="AR266" i="1"/>
  <c r="AR245" i="1"/>
  <c r="AR252" i="1"/>
  <c r="AR306" i="1"/>
  <c r="AR257" i="1"/>
  <c r="AR295" i="1"/>
  <c r="AR322" i="1"/>
  <c r="AR242" i="1"/>
  <c r="AR253" i="1"/>
  <c r="AR268" i="1"/>
  <c r="AR275" i="1"/>
  <c r="AR307" i="1"/>
  <c r="AR238" i="1"/>
  <c r="AR264" i="1"/>
  <c r="AR249" i="1"/>
  <c r="AR261" i="1"/>
  <c r="AR272" i="1"/>
  <c r="AR286" i="1"/>
  <c r="AS38" i="1"/>
  <c r="AS79" i="1"/>
  <c r="AS87" i="1"/>
  <c r="AS98" i="1"/>
  <c r="AS110" i="1"/>
  <c r="AS123" i="1"/>
  <c r="AS224" i="1"/>
  <c r="AS82" i="1"/>
  <c r="AS130" i="1"/>
  <c r="AS142" i="1"/>
  <c r="AS46" i="1"/>
  <c r="AS280" i="1"/>
  <c r="AS326" i="1"/>
  <c r="AS221" i="1"/>
  <c r="AS49" i="1"/>
  <c r="AS62" i="1"/>
  <c r="AS83" i="1"/>
  <c r="AS143" i="1"/>
  <c r="AS156" i="1"/>
  <c r="AS40" i="1"/>
  <c r="AS120" i="1"/>
  <c r="AS304" i="1"/>
  <c r="AS73" i="1"/>
  <c r="AS29" i="1"/>
  <c r="AS43" i="1"/>
  <c r="AS74" i="1"/>
  <c r="AS56" i="1"/>
  <c r="AS64" i="1"/>
  <c r="AS100" i="1"/>
  <c r="AS61" i="1"/>
  <c r="AS111" i="1"/>
  <c r="AS175" i="1"/>
  <c r="AS222" i="1"/>
  <c r="AS28" i="1"/>
  <c r="AS37" i="1"/>
  <c r="AS52" i="1"/>
  <c r="AS80" i="1"/>
  <c r="AS51" i="1"/>
  <c r="AS59" i="1"/>
  <c r="AS68" i="1"/>
  <c r="AS144" i="1"/>
  <c r="AS157" i="1"/>
  <c r="AS172" i="1"/>
  <c r="AS90" i="1"/>
  <c r="AS36" i="1"/>
  <c r="AS45" i="1"/>
  <c r="AS88" i="1"/>
  <c r="AS27" i="1"/>
  <c r="AS35" i="1"/>
  <c r="AS44" i="1"/>
  <c r="AS54" i="1"/>
  <c r="AS81" i="1"/>
  <c r="AS101" i="1"/>
  <c r="AS137" i="1"/>
  <c r="AS42" i="1"/>
  <c r="AS240" i="1"/>
  <c r="AS327" i="1"/>
  <c r="AS298" i="1"/>
  <c r="AS50" i="1"/>
  <c r="AS112" i="1"/>
  <c r="AS223" i="1"/>
  <c r="AS227" i="1"/>
  <c r="AS248" i="1"/>
  <c r="AS285" i="1"/>
  <c r="AS310" i="1"/>
  <c r="AS31" i="1"/>
  <c r="AS33" i="1"/>
  <c r="AS48" i="1"/>
  <c r="AS57" i="1"/>
  <c r="AS65" i="1"/>
  <c r="AS78" i="1"/>
  <c r="AS84" i="1"/>
  <c r="AS231" i="1"/>
  <c r="AS25" i="1"/>
  <c r="AS58" i="1"/>
  <c r="AS259" i="1"/>
  <c r="AS293" i="1"/>
  <c r="AS297" i="1"/>
  <c r="AS309" i="1"/>
  <c r="AS241" i="1"/>
  <c r="AS60" i="1"/>
  <c r="AS41" i="1"/>
  <c r="AS77" i="1"/>
  <c r="AS99" i="1"/>
  <c r="AS91" i="1"/>
  <c r="AS155" i="1"/>
  <c r="AS314" i="1"/>
  <c r="AS328" i="1"/>
  <c r="AS279" i="1"/>
  <c r="AS317" i="1"/>
  <c r="AS325" i="1"/>
  <c r="AS324" i="1"/>
  <c r="AS299" i="1"/>
  <c r="AS316" i="1"/>
  <c r="AS246" i="1"/>
  <c r="AS311" i="1"/>
  <c r="V2" i="6"/>
  <c r="AT20" i="1"/>
  <c r="AS23" i="1"/>
  <c r="AF39" i="8"/>
  <c r="AQ4" i="1"/>
  <c r="AF8" i="8"/>
  <c r="B6" i="10" s="1"/>
  <c r="AS19" i="1"/>
  <c r="AS103" i="1" s="1"/>
  <c r="AT76" i="1" l="1"/>
  <c r="AT47" i="1"/>
  <c r="AS357" i="1"/>
  <c r="U8" i="6"/>
  <c r="U14" i="6"/>
  <c r="U9" i="6"/>
  <c r="U11" i="6"/>
  <c r="F46" i="8" s="1"/>
  <c r="F111" i="8" s="1"/>
  <c r="U13" i="6"/>
  <c r="U12" i="6"/>
  <c r="U10" i="6"/>
  <c r="I16" i="21"/>
  <c r="H16" i="21"/>
  <c r="G16" i="21"/>
  <c r="F16" i="21"/>
  <c r="AS358" i="1"/>
  <c r="AS359" i="1"/>
  <c r="AT355" i="1"/>
  <c r="AT351" i="1"/>
  <c r="AT354" i="1"/>
  <c r="AT353" i="1"/>
  <c r="AT352" i="1"/>
  <c r="AT356" i="1"/>
  <c r="AS334" i="1"/>
  <c r="AS333" i="1"/>
  <c r="AS53" i="1"/>
  <c r="AS329" i="1"/>
  <c r="AS318" i="1"/>
  <c r="AS330" i="1"/>
  <c r="AS343" i="1"/>
  <c r="AS341" i="1"/>
  <c r="AS340" i="1"/>
  <c r="AS335" i="1"/>
  <c r="AT347" i="1"/>
  <c r="AT349" i="1"/>
  <c r="AT350" i="1"/>
  <c r="AT348" i="1"/>
  <c r="AS104" i="1"/>
  <c r="AS346" i="1"/>
  <c r="AS337" i="1"/>
  <c r="AS344" i="1"/>
  <c r="AS345" i="1"/>
  <c r="AS336" i="1"/>
  <c r="AS342" i="1"/>
  <c r="AS339" i="1"/>
  <c r="AS338" i="1"/>
  <c r="AS331" i="1"/>
  <c r="AT332" i="1"/>
  <c r="AS179" i="1"/>
  <c r="AS210" i="1"/>
  <c r="AS303" i="1"/>
  <c r="AS158" i="1"/>
  <c r="AS284" i="1"/>
  <c r="AS75" i="1"/>
  <c r="AS290" i="1"/>
  <c r="AS233" i="1"/>
  <c r="AS230" i="1"/>
  <c r="AS55" i="1"/>
  <c r="AS39" i="1"/>
  <c r="AS107" i="1"/>
  <c r="AS226" i="1"/>
  <c r="AS185" i="1"/>
  <c r="AS232" i="1"/>
  <c r="AS321" i="1"/>
  <c r="AS236" i="1"/>
  <c r="AS186" i="1"/>
  <c r="AS161" i="1"/>
  <c r="AS229" i="1"/>
  <c r="AS225" i="1"/>
  <c r="AS228" i="1"/>
  <c r="AS127" i="1"/>
  <c r="AS184" i="1"/>
  <c r="AS213" i="1"/>
  <c r="AS85" i="1"/>
  <c r="AS95" i="1"/>
  <c r="AS180" i="1"/>
  <c r="AS195" i="1"/>
  <c r="AS209" i="1"/>
  <c r="AS92" i="1"/>
  <c r="AS106" i="1"/>
  <c r="AS191" i="1"/>
  <c r="AS205" i="1"/>
  <c r="AS220" i="1"/>
  <c r="AS134" i="1"/>
  <c r="AS138" i="1"/>
  <c r="AS146" i="1"/>
  <c r="AS150" i="1"/>
  <c r="AS152" i="1"/>
  <c r="AS159" i="1"/>
  <c r="AS163" i="1"/>
  <c r="AS170" i="1"/>
  <c r="AS174" i="1"/>
  <c r="AS187" i="1"/>
  <c r="AS217" i="1"/>
  <c r="AS135" i="1"/>
  <c r="AS164" i="1"/>
  <c r="AS181" i="1"/>
  <c r="AS196" i="1"/>
  <c r="AS250" i="1"/>
  <c r="AS265" i="1"/>
  <c r="AS287" i="1"/>
  <c r="AS300" i="1"/>
  <c r="AS32" i="1"/>
  <c r="AS131" i="1"/>
  <c r="AS147" i="1"/>
  <c r="AS160" i="1"/>
  <c r="AS177" i="1"/>
  <c r="AS192" i="1"/>
  <c r="AS206" i="1"/>
  <c r="AS247" i="1"/>
  <c r="AS262" i="1"/>
  <c r="AS276" i="1"/>
  <c r="AS296" i="1"/>
  <c r="AS312" i="1"/>
  <c r="AS96" i="1"/>
  <c r="AS113" i="1"/>
  <c r="AS171" i="1"/>
  <c r="AS188" i="1"/>
  <c r="AS202" i="1"/>
  <c r="AS218" i="1"/>
  <c r="AS243" i="1"/>
  <c r="AS258" i="1"/>
  <c r="AS292" i="1"/>
  <c r="AS308" i="1"/>
  <c r="AS319" i="1"/>
  <c r="AS63" i="1"/>
  <c r="AS139" i="1"/>
  <c r="AS153" i="1"/>
  <c r="AS167" i="1"/>
  <c r="AS199" i="1"/>
  <c r="AS214" i="1"/>
  <c r="AS239" i="1"/>
  <c r="AS254" i="1"/>
  <c r="AS269" i="1"/>
  <c r="AS283" i="1"/>
  <c r="AS116" i="1"/>
  <c r="AS26" i="1"/>
  <c r="AS71" i="1"/>
  <c r="AS125" i="1"/>
  <c r="AS136" i="1"/>
  <c r="AS151" i="1"/>
  <c r="AS165" i="1"/>
  <c r="AS178" i="1"/>
  <c r="AS182" i="1"/>
  <c r="AS197" i="1"/>
  <c r="AS211" i="1"/>
  <c r="AS89" i="1"/>
  <c r="AS118" i="1"/>
  <c r="AS132" i="1"/>
  <c r="AS148" i="1"/>
  <c r="AS193" i="1"/>
  <c r="AS207" i="1"/>
  <c r="AS234" i="1"/>
  <c r="AS30" i="1"/>
  <c r="AS97" i="1"/>
  <c r="AS121" i="1"/>
  <c r="AS129" i="1"/>
  <c r="AS189" i="1"/>
  <c r="AS203" i="1"/>
  <c r="AS124" i="1"/>
  <c r="AS86" i="1"/>
  <c r="AS108" i="1"/>
  <c r="AS114" i="1"/>
  <c r="AS140" i="1"/>
  <c r="AS154" i="1"/>
  <c r="AS215" i="1"/>
  <c r="AS69" i="1"/>
  <c r="AS128" i="1"/>
  <c r="AS109" i="1"/>
  <c r="AS126" i="1"/>
  <c r="AS166" i="1"/>
  <c r="AS251" i="1"/>
  <c r="AS273" i="1"/>
  <c r="AS237" i="1"/>
  <c r="AS271" i="1"/>
  <c r="AS282" i="1"/>
  <c r="AS289" i="1"/>
  <c r="AS34" i="1"/>
  <c r="AS67" i="1"/>
  <c r="AS93" i="1"/>
  <c r="AS94" i="1"/>
  <c r="AS119" i="1"/>
  <c r="AS133" i="1"/>
  <c r="AS149" i="1"/>
  <c r="AS162" i="1"/>
  <c r="AS176" i="1"/>
  <c r="AS183" i="1"/>
  <c r="AS190" i="1"/>
  <c r="AS194" i="1"/>
  <c r="AS198" i="1"/>
  <c r="AS201" i="1"/>
  <c r="AS204" i="1"/>
  <c r="AS208" i="1"/>
  <c r="AS212" i="1"/>
  <c r="AS216" i="1"/>
  <c r="AS219" i="1"/>
  <c r="AS235" i="1"/>
  <c r="AS66" i="1"/>
  <c r="AS270" i="1"/>
  <c r="AS281" i="1"/>
  <c r="AS323" i="1"/>
  <c r="AS245" i="1"/>
  <c r="AS256" i="1"/>
  <c r="AS267" i="1"/>
  <c r="AS278" i="1"/>
  <c r="AS294" i="1"/>
  <c r="AS200" i="1"/>
  <c r="AS117" i="1"/>
  <c r="AS24" i="1"/>
  <c r="AS72" i="1"/>
  <c r="AS105" i="1"/>
  <c r="AS145" i="1"/>
  <c r="AS173" i="1"/>
  <c r="AS244" i="1"/>
  <c r="AS266" i="1"/>
  <c r="AS288" i="1"/>
  <c r="AS301" i="1"/>
  <c r="AS305" i="1"/>
  <c r="AS313" i="1"/>
  <c r="AS320" i="1"/>
  <c r="AS263" i="1"/>
  <c r="AS306" i="1"/>
  <c r="AS168" i="1"/>
  <c r="AS102" i="1"/>
  <c r="AS70" i="1"/>
  <c r="AS115" i="1"/>
  <c r="AS122" i="1"/>
  <c r="AS141" i="1"/>
  <c r="AS169" i="1"/>
  <c r="AS255" i="1"/>
  <c r="AS277" i="1"/>
  <c r="AS315" i="1"/>
  <c r="AS252" i="1"/>
  <c r="AS260" i="1"/>
  <c r="AS274" i="1"/>
  <c r="AS291" i="1"/>
  <c r="AS302" i="1"/>
  <c r="AS275" i="1"/>
  <c r="AS307" i="1"/>
  <c r="AS272" i="1"/>
  <c r="AS253" i="1"/>
  <c r="AS257" i="1"/>
  <c r="AS261" i="1"/>
  <c r="AS264" i="1"/>
  <c r="AS268" i="1"/>
  <c r="AS286" i="1"/>
  <c r="AS238" i="1"/>
  <c r="AS242" i="1"/>
  <c r="AS249" i="1"/>
  <c r="AS295" i="1"/>
  <c r="AS322" i="1"/>
  <c r="V126" i="6"/>
  <c r="V93" i="6"/>
  <c r="V85" i="6"/>
  <c r="V74" i="6"/>
  <c r="V137" i="6"/>
  <c r="V63" i="6"/>
  <c r="V117" i="6"/>
  <c r="V80" i="6"/>
  <c r="V68" i="6"/>
  <c r="V101" i="6"/>
  <c r="V78" i="6"/>
  <c r="V105" i="6"/>
  <c r="V75" i="6"/>
  <c r="V97" i="6"/>
  <c r="V64" i="6"/>
  <c r="V43" i="6"/>
  <c r="V113" i="6"/>
  <c r="V94" i="6"/>
  <c r="V92" i="6"/>
  <c r="V60" i="6"/>
  <c r="V44" i="6"/>
  <c r="V76" i="6"/>
  <c r="V136" i="6"/>
  <c r="V84" i="6"/>
  <c r="V79" i="6"/>
  <c r="V116" i="6"/>
  <c r="V51" i="6"/>
  <c r="V81" i="6"/>
  <c r="V47" i="6"/>
  <c r="V59" i="6"/>
  <c r="V100" i="6"/>
  <c r="V86" i="6"/>
  <c r="V61" i="6"/>
  <c r="V55" i="6"/>
  <c r="V120" i="6"/>
  <c r="V52" i="6"/>
  <c r="V73" i="6"/>
  <c r="V41" i="6"/>
  <c r="V273" i="6"/>
  <c r="V262" i="6"/>
  <c r="V260" i="6"/>
  <c r="V77" i="6"/>
  <c r="V104" i="6"/>
  <c r="V36" i="6"/>
  <c r="V88" i="6"/>
  <c r="V175" i="6"/>
  <c r="V248" i="6"/>
  <c r="V190" i="6"/>
  <c r="V236" i="6"/>
  <c r="V204" i="6"/>
  <c r="V242" i="6"/>
  <c r="V234" i="6"/>
  <c r="V254" i="6"/>
  <c r="V240" i="6"/>
  <c r="V243" i="6"/>
  <c r="V239" i="6"/>
  <c r="V235" i="6"/>
  <c r="V106" i="6"/>
  <c r="V161" i="6"/>
  <c r="V255" i="6"/>
  <c r="V244" i="6"/>
  <c r="V228" i="6"/>
  <c r="V159" i="6"/>
  <c r="V194" i="6"/>
  <c r="V233" i="6"/>
  <c r="V127" i="6"/>
  <c r="V95" i="6"/>
  <c r="V148" i="6"/>
  <c r="V56" i="6"/>
  <c r="V53" i="6"/>
  <c r="V238" i="6"/>
  <c r="V245" i="6"/>
  <c r="V197" i="6"/>
  <c r="V155" i="6"/>
  <c r="V115" i="6"/>
  <c r="V250" i="6"/>
  <c r="V178" i="6"/>
  <c r="V241" i="6"/>
  <c r="V48" i="6"/>
  <c r="V140" i="6"/>
  <c r="V40" i="6"/>
  <c r="V65" i="6"/>
  <c r="V82" i="6"/>
  <c r="V174" i="6"/>
  <c r="V237" i="6"/>
  <c r="V83" i="6"/>
  <c r="V172" i="6"/>
  <c r="V114" i="6"/>
  <c r="V123" i="6"/>
  <c r="V87" i="6"/>
  <c r="V160" i="6"/>
  <c r="V49" i="6"/>
  <c r="V57" i="6"/>
  <c r="V45" i="6"/>
  <c r="V31" i="6"/>
  <c r="V30" i="6"/>
  <c r="V35" i="6"/>
  <c r="V58" i="6"/>
  <c r="V34" i="6"/>
  <c r="V54" i="6"/>
  <c r="V46" i="6"/>
  <c r="V20" i="6"/>
  <c r="V21" i="6"/>
  <c r="V27" i="6"/>
  <c r="V37" i="6"/>
  <c r="V33" i="6"/>
  <c r="V25" i="6"/>
  <c r="V22" i="6"/>
  <c r="V50" i="6"/>
  <c r="V42" i="6"/>
  <c r="V32" i="6"/>
  <c r="V28" i="6"/>
  <c r="V39" i="6"/>
  <c r="V38" i="6"/>
  <c r="V29" i="6"/>
  <c r="W1" i="6"/>
  <c r="V71" i="6"/>
  <c r="V129" i="6"/>
  <c r="V133" i="6"/>
  <c r="V125" i="6"/>
  <c r="V89" i="6"/>
  <c r="V70" i="6"/>
  <c r="V130" i="6"/>
  <c r="V72" i="6"/>
  <c r="V109" i="6"/>
  <c r="V134" i="6"/>
  <c r="V132" i="6"/>
  <c r="V122" i="6"/>
  <c r="V96" i="6"/>
  <c r="V112" i="6"/>
  <c r="V102" i="6"/>
  <c r="V118" i="6"/>
  <c r="V108" i="6"/>
  <c r="V69" i="6"/>
  <c r="V128" i="6"/>
  <c r="V142" i="6"/>
  <c r="V286" i="6"/>
  <c r="V285" i="6"/>
  <c r="V284" i="6"/>
  <c r="V283" i="6"/>
  <c r="V282" i="6"/>
  <c r="V281" i="6"/>
  <c r="V280" i="6"/>
  <c r="V279" i="6"/>
  <c r="V278" i="6"/>
  <c r="V277" i="6"/>
  <c r="V276" i="6"/>
  <c r="V275" i="6"/>
  <c r="V274" i="6"/>
  <c r="V272" i="6"/>
  <c r="V271" i="6"/>
  <c r="V270" i="6"/>
  <c r="V269" i="6"/>
  <c r="V268" i="6"/>
  <c r="V267" i="6"/>
  <c r="V266" i="6"/>
  <c r="V265" i="6"/>
  <c r="V264" i="6"/>
  <c r="V263" i="6"/>
  <c r="V261" i="6"/>
  <c r="V259" i="6"/>
  <c r="V258" i="6"/>
  <c r="V257" i="6"/>
  <c r="V256" i="6"/>
  <c r="V62" i="6"/>
  <c r="V110" i="6"/>
  <c r="V124" i="6"/>
  <c r="V252" i="6"/>
  <c r="V232" i="6"/>
  <c r="V216" i="6"/>
  <c r="V200" i="6"/>
  <c r="V184" i="6"/>
  <c r="V215" i="6"/>
  <c r="V199" i="6"/>
  <c r="V183" i="6"/>
  <c r="V222" i="6"/>
  <c r="V214" i="6"/>
  <c r="V206" i="6"/>
  <c r="V198" i="6"/>
  <c r="V182" i="6"/>
  <c r="V170" i="6"/>
  <c r="V153" i="6"/>
  <c r="V171" i="6"/>
  <c r="V99" i="6"/>
  <c r="V220" i="6"/>
  <c r="V188" i="6"/>
  <c r="V219" i="6"/>
  <c r="V203" i="6"/>
  <c r="V187" i="6"/>
  <c r="V150" i="6"/>
  <c r="V226" i="6"/>
  <c r="V151" i="6"/>
  <c r="V167" i="6"/>
  <c r="V253" i="6"/>
  <c r="V251" i="6"/>
  <c r="V224" i="6"/>
  <c r="V208" i="6"/>
  <c r="V192" i="6"/>
  <c r="V158" i="6"/>
  <c r="V247" i="6"/>
  <c r="V231" i="6"/>
  <c r="V227" i="6"/>
  <c r="V223" i="6"/>
  <c r="V207" i="6"/>
  <c r="V191" i="6"/>
  <c r="V145" i="6"/>
  <c r="V212" i="6"/>
  <c r="V196" i="6"/>
  <c r="V180" i="6"/>
  <c r="V211" i="6"/>
  <c r="V195" i="6"/>
  <c r="V179" i="6"/>
  <c r="V166" i="6"/>
  <c r="V143" i="6"/>
  <c r="V246" i="6"/>
  <c r="V249" i="6"/>
  <c r="V217" i="6"/>
  <c r="V201" i="6"/>
  <c r="V185" i="6"/>
  <c r="V173" i="6"/>
  <c r="V165" i="6"/>
  <c r="V138" i="6"/>
  <c r="V168" i="6"/>
  <c r="V163" i="6"/>
  <c r="V157" i="6"/>
  <c r="V141" i="6"/>
  <c r="V66" i="6"/>
  <c r="V67" i="6"/>
  <c r="V119" i="6"/>
  <c r="V218" i="6"/>
  <c r="V186" i="6"/>
  <c r="V229" i="6"/>
  <c r="V213" i="6"/>
  <c r="V181" i="6"/>
  <c r="V162" i="6"/>
  <c r="V164" i="6"/>
  <c r="V139" i="6"/>
  <c r="V121" i="6"/>
  <c r="V98" i="6"/>
  <c r="V131" i="6"/>
  <c r="V103" i="6"/>
  <c r="V152" i="6"/>
  <c r="V107" i="6"/>
  <c r="V230" i="6"/>
  <c r="V210" i="6"/>
  <c r="V225" i="6"/>
  <c r="V209" i="6"/>
  <c r="V193" i="6"/>
  <c r="V177" i="6"/>
  <c r="V169" i="6"/>
  <c r="V154" i="6"/>
  <c r="V90" i="6"/>
  <c r="V176" i="6"/>
  <c r="V149" i="6"/>
  <c r="V91" i="6"/>
  <c r="V111" i="6"/>
  <c r="V156" i="6"/>
  <c r="V202" i="6"/>
  <c r="V221" i="6"/>
  <c r="V205" i="6"/>
  <c r="V189" i="6"/>
  <c r="V146" i="6"/>
  <c r="V147" i="6"/>
  <c r="V135" i="6"/>
  <c r="V144" i="6"/>
  <c r="V26" i="6"/>
  <c r="V23" i="6"/>
  <c r="V24" i="6"/>
  <c r="V19" i="6"/>
  <c r="I46" i="8"/>
  <c r="I111" i="8" s="1"/>
  <c r="G46" i="8"/>
  <c r="G111" i="8" s="1"/>
  <c r="H46" i="8"/>
  <c r="H111" i="8" s="1"/>
  <c r="AT38" i="1"/>
  <c r="AT50" i="1"/>
  <c r="AT40" i="1"/>
  <c r="AT52" i="1"/>
  <c r="AT49" i="1"/>
  <c r="AT61" i="1"/>
  <c r="AT73" i="1"/>
  <c r="AT110" i="1"/>
  <c r="AT123" i="1"/>
  <c r="AT130" i="1"/>
  <c r="AT28" i="1"/>
  <c r="AT36" i="1"/>
  <c r="AT45" i="1"/>
  <c r="AT60" i="1"/>
  <c r="AT142" i="1"/>
  <c r="AT224" i="1"/>
  <c r="AT42" i="1"/>
  <c r="AT58" i="1"/>
  <c r="AT79" i="1"/>
  <c r="AT82" i="1"/>
  <c r="AT87" i="1"/>
  <c r="AT98" i="1"/>
  <c r="AT221" i="1"/>
  <c r="AT280" i="1"/>
  <c r="AT41" i="1"/>
  <c r="AT43" i="1"/>
  <c r="AT304" i="1"/>
  <c r="AT25" i="1"/>
  <c r="AT143" i="1"/>
  <c r="AT156" i="1"/>
  <c r="AT175" i="1"/>
  <c r="AT222" i="1"/>
  <c r="AT111" i="1"/>
  <c r="AT51" i="1"/>
  <c r="AT59" i="1"/>
  <c r="AT68" i="1"/>
  <c r="AT144" i="1"/>
  <c r="AT157" i="1"/>
  <c r="AT172" i="1"/>
  <c r="AT90" i="1"/>
  <c r="AT326" i="1"/>
  <c r="AT80" i="1"/>
  <c r="AT56" i="1"/>
  <c r="AT64" i="1"/>
  <c r="AT100" i="1"/>
  <c r="AT62" i="1"/>
  <c r="AT74" i="1"/>
  <c r="AT77" i="1"/>
  <c r="AT99" i="1"/>
  <c r="AT112" i="1"/>
  <c r="AT223" i="1"/>
  <c r="AT29" i="1"/>
  <c r="AT248" i="1"/>
  <c r="AT297" i="1"/>
  <c r="AT285" i="1"/>
  <c r="AT83" i="1"/>
  <c r="AT88" i="1"/>
  <c r="AT31" i="1"/>
  <c r="AT33" i="1"/>
  <c r="AT48" i="1"/>
  <c r="AT57" i="1"/>
  <c r="AT65" i="1"/>
  <c r="AT78" i="1"/>
  <c r="AT84" i="1"/>
  <c r="AT231" i="1"/>
  <c r="AT259" i="1"/>
  <c r="AT293" i="1"/>
  <c r="AT309" i="1"/>
  <c r="AT241" i="1"/>
  <c r="AT316" i="1"/>
  <c r="AT91" i="1"/>
  <c r="AT155" i="1"/>
  <c r="AT46" i="1"/>
  <c r="AT310" i="1"/>
  <c r="AT314" i="1"/>
  <c r="AT328" i="1"/>
  <c r="AT27" i="1"/>
  <c r="AT35" i="1"/>
  <c r="AT44" i="1"/>
  <c r="AT54" i="1"/>
  <c r="AT81" i="1"/>
  <c r="AT101" i="1"/>
  <c r="AT137" i="1"/>
  <c r="AT227" i="1"/>
  <c r="AT37" i="1"/>
  <c r="AT120" i="1"/>
  <c r="AT240" i="1"/>
  <c r="AT327" i="1"/>
  <c r="AT298" i="1"/>
  <c r="AT324" i="1"/>
  <c r="AT246" i="1"/>
  <c r="AT279" i="1"/>
  <c r="AT299" i="1"/>
  <c r="AT311" i="1"/>
  <c r="AT325" i="1"/>
  <c r="AT317" i="1"/>
  <c r="AF46" i="8"/>
  <c r="B44" i="10" s="1"/>
  <c r="W2" i="6"/>
  <c r="AU20" i="1"/>
  <c r="AT23" i="1"/>
  <c r="B37" i="10"/>
  <c r="AR4" i="1"/>
  <c r="AF14" i="8" s="1"/>
  <c r="B12" i="10" s="1"/>
  <c r="AT19" i="1"/>
  <c r="AT103" i="1" s="1"/>
  <c r="AU76" i="1" l="1"/>
  <c r="AU47" i="1"/>
  <c r="V8" i="6"/>
  <c r="V10" i="6"/>
  <c r="V12" i="6"/>
  <c r="V14" i="6"/>
  <c r="I47" i="8" s="1"/>
  <c r="I112" i="8" s="1"/>
  <c r="V9" i="6"/>
  <c r="V11" i="6"/>
  <c r="F47" i="8" s="1"/>
  <c r="F112" i="8" s="1"/>
  <c r="V13" i="6"/>
  <c r="AT318" i="1"/>
  <c r="AT357" i="1"/>
  <c r="AT334" i="1"/>
  <c r="AT330" i="1"/>
  <c r="AT329" i="1"/>
  <c r="AT359" i="1"/>
  <c r="AT358" i="1"/>
  <c r="AU354" i="1"/>
  <c r="AU351" i="1"/>
  <c r="AU356" i="1"/>
  <c r="AU353" i="1"/>
  <c r="AU355" i="1"/>
  <c r="AU352" i="1"/>
  <c r="AT53" i="1"/>
  <c r="AT333" i="1"/>
  <c r="AT343" i="1"/>
  <c r="AT341" i="1"/>
  <c r="AT340" i="1"/>
  <c r="AT335" i="1"/>
  <c r="AU350" i="1"/>
  <c r="AU349" i="1"/>
  <c r="AU348" i="1"/>
  <c r="AU347" i="1"/>
  <c r="AT104" i="1"/>
  <c r="AT345" i="1"/>
  <c r="AT344" i="1"/>
  <c r="AT342" i="1"/>
  <c r="AT346" i="1"/>
  <c r="AT338" i="1"/>
  <c r="AT337" i="1"/>
  <c r="AT336" i="1"/>
  <c r="AT339" i="1"/>
  <c r="AT331" i="1"/>
  <c r="AU332" i="1"/>
  <c r="AT186" i="1"/>
  <c r="AT303" i="1"/>
  <c r="AT284" i="1"/>
  <c r="AT39" i="1"/>
  <c r="AT236" i="1"/>
  <c r="AT179" i="1"/>
  <c r="AT225" i="1"/>
  <c r="AT290" i="1"/>
  <c r="AT228" i="1"/>
  <c r="AT232" i="1"/>
  <c r="AT158" i="1"/>
  <c r="AT230" i="1"/>
  <c r="AT161" i="1"/>
  <c r="AT55" i="1"/>
  <c r="AT210" i="1"/>
  <c r="AT185" i="1"/>
  <c r="AT107" i="1"/>
  <c r="AT321" i="1"/>
  <c r="AT226" i="1"/>
  <c r="AT75" i="1"/>
  <c r="AT229" i="1"/>
  <c r="AT233" i="1"/>
  <c r="W234" i="6"/>
  <c r="W262" i="6"/>
  <c r="W237" i="6"/>
  <c r="W194" i="6"/>
  <c r="W233" i="6"/>
  <c r="W245" i="6"/>
  <c r="W242" i="6"/>
  <c r="W20" i="6"/>
  <c r="W39" i="6"/>
  <c r="W197" i="6"/>
  <c r="W30" i="6"/>
  <c r="W38" i="6"/>
  <c r="W260" i="6"/>
  <c r="W273" i="6"/>
  <c r="W178" i="6"/>
  <c r="W34" i="6"/>
  <c r="W241" i="6"/>
  <c r="W161" i="6"/>
  <c r="W238" i="6"/>
  <c r="W235" i="6"/>
  <c r="W160" i="6"/>
  <c r="W250" i="6"/>
  <c r="W243" i="6"/>
  <c r="W190" i="6"/>
  <c r="W140" i="6"/>
  <c r="W33" i="6"/>
  <c r="W239" i="6"/>
  <c r="W31" i="6"/>
  <c r="W27" i="6"/>
  <c r="W25" i="6"/>
  <c r="W36" i="6"/>
  <c r="W174" i="6"/>
  <c r="W37" i="6"/>
  <c r="W21" i="6"/>
  <c r="W22" i="6"/>
  <c r="W148" i="6"/>
  <c r="W41" i="6"/>
  <c r="W240" i="6"/>
  <c r="W106" i="6"/>
  <c r="W244" i="6"/>
  <c r="W228" i="6"/>
  <c r="W159" i="6"/>
  <c r="W175" i="6"/>
  <c r="W254" i="6"/>
  <c r="W248" i="6"/>
  <c r="W255" i="6"/>
  <c r="W236" i="6"/>
  <c r="W204" i="6"/>
  <c r="W114" i="6"/>
  <c r="W48" i="6"/>
  <c r="W126" i="6"/>
  <c r="W105" i="6"/>
  <c r="W40" i="6"/>
  <c r="W116" i="6"/>
  <c r="W100" i="6"/>
  <c r="W84" i="6"/>
  <c r="W81" i="6"/>
  <c r="W80" i="6"/>
  <c r="W79" i="6"/>
  <c r="W78" i="6"/>
  <c r="W77" i="6"/>
  <c r="W76" i="6"/>
  <c r="W75" i="6"/>
  <c r="W74" i="6"/>
  <c r="W73" i="6"/>
  <c r="W59" i="6"/>
  <c r="W55" i="6"/>
  <c r="W82" i="6"/>
  <c r="W172" i="6"/>
  <c r="W83" i="6"/>
  <c r="W123" i="6"/>
  <c r="W87" i="6"/>
  <c r="W49" i="6"/>
  <c r="W93" i="6"/>
  <c r="W136" i="6"/>
  <c r="W120" i="6"/>
  <c r="W57" i="6"/>
  <c r="W45" i="6"/>
  <c r="W127" i="6"/>
  <c r="W137" i="6"/>
  <c r="W117" i="6"/>
  <c r="W95" i="6"/>
  <c r="W113" i="6"/>
  <c r="W97" i="6"/>
  <c r="W56" i="6"/>
  <c r="W92" i="6"/>
  <c r="W68" i="6"/>
  <c r="W53" i="6"/>
  <c r="W155" i="6"/>
  <c r="W115" i="6"/>
  <c r="W94" i="6"/>
  <c r="W86" i="6"/>
  <c r="W101" i="6"/>
  <c r="W85" i="6"/>
  <c r="W65" i="6"/>
  <c r="W104" i="6"/>
  <c r="W88" i="6"/>
  <c r="W64" i="6"/>
  <c r="W60" i="6"/>
  <c r="W35" i="6"/>
  <c r="W32" i="6"/>
  <c r="W63" i="6"/>
  <c r="W61" i="6"/>
  <c r="W58" i="6"/>
  <c r="W42" i="6"/>
  <c r="W52" i="6"/>
  <c r="W28" i="6"/>
  <c r="W46" i="6"/>
  <c r="W47" i="6"/>
  <c r="W29" i="6"/>
  <c r="W44" i="6"/>
  <c r="W54" i="6"/>
  <c r="W51" i="6"/>
  <c r="W43" i="6"/>
  <c r="W50" i="6"/>
  <c r="G47" i="8"/>
  <c r="G112" i="8" s="1"/>
  <c r="H47" i="8"/>
  <c r="H112" i="8" s="1"/>
  <c r="AT63" i="1"/>
  <c r="AT134" i="1"/>
  <c r="AT150" i="1"/>
  <c r="AT163" i="1"/>
  <c r="AT32" i="1"/>
  <c r="AT85" i="1"/>
  <c r="AT95" i="1"/>
  <c r="AT102" i="1"/>
  <c r="AT116" i="1"/>
  <c r="AT146" i="1"/>
  <c r="AT159" i="1"/>
  <c r="AT174" i="1"/>
  <c r="AT69" i="1"/>
  <c r="AT170" i="1"/>
  <c r="AT180" i="1"/>
  <c r="AT191" i="1"/>
  <c r="AT195" i="1"/>
  <c r="AT205" i="1"/>
  <c r="AT209" i="1"/>
  <c r="AT220" i="1"/>
  <c r="AT93" i="1"/>
  <c r="AT66" i="1"/>
  <c r="AT92" i="1"/>
  <c r="AT106" i="1"/>
  <c r="AT127" i="1"/>
  <c r="AT138" i="1"/>
  <c r="AT152" i="1"/>
  <c r="AT184" i="1"/>
  <c r="AT187" i="1"/>
  <c r="AT213" i="1"/>
  <c r="AT217" i="1"/>
  <c r="AT34" i="1"/>
  <c r="AT131" i="1"/>
  <c r="AT135" i="1"/>
  <c r="AT147" i="1"/>
  <c r="AT160" i="1"/>
  <c r="AT164" i="1"/>
  <c r="AT177" i="1"/>
  <c r="AT192" i="1"/>
  <c r="AT206" i="1"/>
  <c r="AT247" i="1"/>
  <c r="AT250" i="1"/>
  <c r="AT262" i="1"/>
  <c r="AT265" i="1"/>
  <c r="AT276" i="1"/>
  <c r="AT296" i="1"/>
  <c r="AT312" i="1"/>
  <c r="AT67" i="1"/>
  <c r="AT188" i="1"/>
  <c r="AT202" i="1"/>
  <c r="AT218" i="1"/>
  <c r="AT292" i="1"/>
  <c r="AT308" i="1"/>
  <c r="AT319" i="1"/>
  <c r="AT96" i="1"/>
  <c r="AT199" i="1"/>
  <c r="AT214" i="1"/>
  <c r="AT113" i="1"/>
  <c r="AT139" i="1"/>
  <c r="AT153" i="1"/>
  <c r="AT167" i="1"/>
  <c r="AT171" i="1"/>
  <c r="AT181" i="1"/>
  <c r="AT196" i="1"/>
  <c r="AT239" i="1"/>
  <c r="AT243" i="1"/>
  <c r="AT254" i="1"/>
  <c r="AT258" i="1"/>
  <c r="AT269" i="1"/>
  <c r="AT283" i="1"/>
  <c r="AT287" i="1"/>
  <c r="AT300" i="1"/>
  <c r="AT89" i="1"/>
  <c r="AT118" i="1"/>
  <c r="AT132" i="1"/>
  <c r="AT148" i="1"/>
  <c r="AT178" i="1"/>
  <c r="AT193" i="1"/>
  <c r="AT207" i="1"/>
  <c r="AT234" i="1"/>
  <c r="AT30" i="1"/>
  <c r="AT97" i="1"/>
  <c r="AT121" i="1"/>
  <c r="AT129" i="1"/>
  <c r="AT189" i="1"/>
  <c r="AT203" i="1"/>
  <c r="AT86" i="1"/>
  <c r="AT108" i="1"/>
  <c r="AT114" i="1"/>
  <c r="AT140" i="1"/>
  <c r="AT154" i="1"/>
  <c r="AT168" i="1"/>
  <c r="AT200" i="1"/>
  <c r="AT215" i="1"/>
  <c r="AT124" i="1"/>
  <c r="AT26" i="1"/>
  <c r="AT71" i="1"/>
  <c r="AT125" i="1"/>
  <c r="AT136" i="1"/>
  <c r="AT151" i="1"/>
  <c r="AT182" i="1"/>
  <c r="AT211" i="1"/>
  <c r="AT94" i="1"/>
  <c r="AT119" i="1"/>
  <c r="AT133" i="1"/>
  <c r="AT149" i="1"/>
  <c r="AT162" i="1"/>
  <c r="AT176" i="1"/>
  <c r="AT194" i="1"/>
  <c r="AT208" i="1"/>
  <c r="AT235" i="1"/>
  <c r="AT270" i="1"/>
  <c r="AT281" i="1"/>
  <c r="AT323" i="1"/>
  <c r="AT245" i="1"/>
  <c r="AT256" i="1"/>
  <c r="AT267" i="1"/>
  <c r="AT278" i="1"/>
  <c r="AT289" i="1"/>
  <c r="AT117" i="1"/>
  <c r="AT128" i="1"/>
  <c r="AT24" i="1"/>
  <c r="AT72" i="1"/>
  <c r="AT105" i="1"/>
  <c r="AT145" i="1"/>
  <c r="AT173" i="1"/>
  <c r="AT190" i="1"/>
  <c r="AT204" i="1"/>
  <c r="AT219" i="1"/>
  <c r="AT244" i="1"/>
  <c r="AT266" i="1"/>
  <c r="AT320" i="1"/>
  <c r="AT263" i="1"/>
  <c r="AT197" i="1"/>
  <c r="AT115" i="1"/>
  <c r="AT122" i="1"/>
  <c r="AT141" i="1"/>
  <c r="AT169" i="1"/>
  <c r="AT201" i="1"/>
  <c r="AT216" i="1"/>
  <c r="AT255" i="1"/>
  <c r="AT277" i="1"/>
  <c r="AT305" i="1"/>
  <c r="AT313" i="1"/>
  <c r="AT315" i="1"/>
  <c r="AT252" i="1"/>
  <c r="AT260" i="1"/>
  <c r="AT274" i="1"/>
  <c r="AT294" i="1"/>
  <c r="AT306" i="1"/>
  <c r="AT165" i="1"/>
  <c r="AT109" i="1"/>
  <c r="AT126" i="1"/>
  <c r="AT166" i="1"/>
  <c r="AT183" i="1"/>
  <c r="AT198" i="1"/>
  <c r="AT212" i="1"/>
  <c r="AT70" i="1"/>
  <c r="AT251" i="1"/>
  <c r="AT273" i="1"/>
  <c r="AT288" i="1"/>
  <c r="AT301" i="1"/>
  <c r="AT237" i="1"/>
  <c r="AT271" i="1"/>
  <c r="AT282" i="1"/>
  <c r="AT291" i="1"/>
  <c r="AT302" i="1"/>
  <c r="AT249" i="1"/>
  <c r="AT261" i="1"/>
  <c r="AT272" i="1"/>
  <c r="AT257" i="1"/>
  <c r="AT286" i="1"/>
  <c r="AT242" i="1"/>
  <c r="AT253" i="1"/>
  <c r="AT268" i="1"/>
  <c r="AT275" i="1"/>
  <c r="AT295" i="1"/>
  <c r="AT238" i="1"/>
  <c r="AT264" i="1"/>
  <c r="AT307" i="1"/>
  <c r="AT322" i="1"/>
  <c r="X1" i="6"/>
  <c r="W166" i="6"/>
  <c r="W150" i="6"/>
  <c r="W198" i="6"/>
  <c r="W249" i="6"/>
  <c r="W266" i="6"/>
  <c r="W226" i="6"/>
  <c r="W162" i="6"/>
  <c r="W270" i="6"/>
  <c r="W221" i="6"/>
  <c r="W222" i="6"/>
  <c r="W158" i="6"/>
  <c r="W181" i="6"/>
  <c r="W219" i="6"/>
  <c r="W173" i="6"/>
  <c r="W257" i="6"/>
  <c r="W145" i="6"/>
  <c r="W199" i="6"/>
  <c r="W265" i="6"/>
  <c r="W209" i="6"/>
  <c r="W214" i="6"/>
  <c r="W218" i="6"/>
  <c r="W278" i="6"/>
  <c r="W229" i="6"/>
  <c r="W207" i="6"/>
  <c r="W149" i="6"/>
  <c r="W274" i="6"/>
  <c r="W286" i="6"/>
  <c r="W269" i="6"/>
  <c r="W141" i="6"/>
  <c r="W185" i="6"/>
  <c r="W261" i="6"/>
  <c r="W19" i="6"/>
  <c r="W282" i="6"/>
  <c r="W225" i="6"/>
  <c r="W179" i="6"/>
  <c r="W146" i="6"/>
  <c r="W281" i="6"/>
  <c r="W183" i="6"/>
  <c r="W170" i="6"/>
  <c r="W258" i="6"/>
  <c r="W285" i="6"/>
  <c r="W202" i="6"/>
  <c r="W189" i="6"/>
  <c r="W154" i="6"/>
  <c r="W23" i="6"/>
  <c r="W201" i="6"/>
  <c r="W138" i="6"/>
  <c r="W206" i="6"/>
  <c r="W157" i="6"/>
  <c r="W26" i="6"/>
  <c r="W277" i="6"/>
  <c r="W259" i="6"/>
  <c r="W215" i="6"/>
  <c r="W165" i="6"/>
  <c r="W163" i="6"/>
  <c r="W153" i="6"/>
  <c r="W271" i="6"/>
  <c r="W246" i="6"/>
  <c r="W217" i="6"/>
  <c r="W205" i="6"/>
  <c r="W193" i="6"/>
  <c r="W182" i="6"/>
  <c r="W177" i="6"/>
  <c r="W144" i="6"/>
  <c r="W227" i="6"/>
  <c r="W283" i="6"/>
  <c r="W267" i="6"/>
  <c r="W191" i="6"/>
  <c r="W231" i="6"/>
  <c r="W210" i="6"/>
  <c r="W195" i="6"/>
  <c r="W152" i="6"/>
  <c r="W156" i="6"/>
  <c r="W24" i="6"/>
  <c r="W284" i="6"/>
  <c r="W280" i="6"/>
  <c r="W276" i="6"/>
  <c r="W272" i="6"/>
  <c r="W268" i="6"/>
  <c r="W264" i="6"/>
  <c r="W279" i="6"/>
  <c r="W263" i="6"/>
  <c r="W247" i="6"/>
  <c r="W223" i="6"/>
  <c r="W169" i="6"/>
  <c r="W230" i="6"/>
  <c r="W256" i="6"/>
  <c r="W275" i="6"/>
  <c r="W213" i="6"/>
  <c r="W211" i="6"/>
  <c r="W187" i="6"/>
  <c r="W186" i="6"/>
  <c r="W203" i="6"/>
  <c r="W252" i="6"/>
  <c r="W167" i="6"/>
  <c r="W224" i="6"/>
  <c r="W208" i="6"/>
  <c r="W192" i="6"/>
  <c r="W212" i="6"/>
  <c r="W196" i="6"/>
  <c r="W180" i="6"/>
  <c r="W142" i="6"/>
  <c r="W143" i="6"/>
  <c r="W253" i="6"/>
  <c r="W232" i="6"/>
  <c r="W216" i="6"/>
  <c r="W200" i="6"/>
  <c r="W184" i="6"/>
  <c r="W251" i="6"/>
  <c r="W171" i="6"/>
  <c r="W99" i="6"/>
  <c r="W220" i="6"/>
  <c r="W188" i="6"/>
  <c r="W151" i="6"/>
  <c r="W121" i="6"/>
  <c r="W107" i="6"/>
  <c r="W90" i="6"/>
  <c r="W91" i="6"/>
  <c r="W125" i="6"/>
  <c r="W111" i="6"/>
  <c r="W89" i="6"/>
  <c r="W132" i="6"/>
  <c r="W72" i="6"/>
  <c r="W71" i="6"/>
  <c r="W70" i="6"/>
  <c r="W69" i="6"/>
  <c r="W67" i="6"/>
  <c r="W164" i="6"/>
  <c r="W129" i="6"/>
  <c r="W147" i="6"/>
  <c r="W135" i="6"/>
  <c r="W134" i="6"/>
  <c r="W109" i="6"/>
  <c r="W112" i="6"/>
  <c r="W96" i="6"/>
  <c r="W130" i="6"/>
  <c r="W133" i="6"/>
  <c r="W66" i="6"/>
  <c r="W124" i="6"/>
  <c r="W108" i="6"/>
  <c r="W119" i="6"/>
  <c r="W176" i="6"/>
  <c r="W168" i="6"/>
  <c r="W122" i="6"/>
  <c r="W139" i="6"/>
  <c r="W98" i="6"/>
  <c r="W131" i="6"/>
  <c r="W103" i="6"/>
  <c r="W118" i="6"/>
  <c r="W110" i="6"/>
  <c r="W102" i="6"/>
  <c r="W128" i="6"/>
  <c r="W62" i="6"/>
  <c r="AU38" i="1"/>
  <c r="AU49" i="1"/>
  <c r="AU61" i="1"/>
  <c r="AU73" i="1"/>
  <c r="AU110" i="1"/>
  <c r="AU123" i="1"/>
  <c r="AU130" i="1"/>
  <c r="AU28" i="1"/>
  <c r="AU36" i="1"/>
  <c r="AU45" i="1"/>
  <c r="AU60" i="1"/>
  <c r="AU142" i="1"/>
  <c r="AU42" i="1"/>
  <c r="AU58" i="1"/>
  <c r="AU79" i="1"/>
  <c r="AU82" i="1"/>
  <c r="AU87" i="1"/>
  <c r="AU98" i="1"/>
  <c r="AU224" i="1"/>
  <c r="AU59" i="1"/>
  <c r="AU68" i="1"/>
  <c r="AU40" i="1"/>
  <c r="AU120" i="1"/>
  <c r="AU221" i="1"/>
  <c r="AU46" i="1"/>
  <c r="AU280" i="1"/>
  <c r="AU304" i="1"/>
  <c r="AU25" i="1"/>
  <c r="AU62" i="1"/>
  <c r="AU83" i="1"/>
  <c r="AU143" i="1"/>
  <c r="AU156" i="1"/>
  <c r="AU326" i="1"/>
  <c r="AU29" i="1"/>
  <c r="AU43" i="1"/>
  <c r="AU74" i="1"/>
  <c r="AU144" i="1"/>
  <c r="AU157" i="1"/>
  <c r="AU172" i="1"/>
  <c r="AU175" i="1"/>
  <c r="AU111" i="1"/>
  <c r="AU37" i="1"/>
  <c r="AU52" i="1"/>
  <c r="AU80" i="1"/>
  <c r="AU90" i="1"/>
  <c r="AU100" i="1"/>
  <c r="AU64" i="1"/>
  <c r="AU41" i="1"/>
  <c r="AU99" i="1"/>
  <c r="AU31" i="1"/>
  <c r="AU33" i="1"/>
  <c r="AU48" i="1"/>
  <c r="AU57" i="1"/>
  <c r="AU65" i="1"/>
  <c r="AU84" i="1"/>
  <c r="AU231" i="1"/>
  <c r="AU51" i="1"/>
  <c r="AU293" i="1"/>
  <c r="AU309" i="1"/>
  <c r="AU241" i="1"/>
  <c r="AU316" i="1"/>
  <c r="AU88" i="1"/>
  <c r="AU91" i="1"/>
  <c r="AU155" i="1"/>
  <c r="AU248" i="1"/>
  <c r="AU259" i="1"/>
  <c r="AU298" i="1"/>
  <c r="AU314" i="1"/>
  <c r="AU328" i="1"/>
  <c r="AU56" i="1"/>
  <c r="AU50" i="1"/>
  <c r="AU77" i="1"/>
  <c r="AU27" i="1"/>
  <c r="AU35" i="1"/>
  <c r="AU44" i="1"/>
  <c r="AU54" i="1"/>
  <c r="AU78" i="1"/>
  <c r="AU81" i="1"/>
  <c r="AU101" i="1"/>
  <c r="AU137" i="1"/>
  <c r="AU227" i="1"/>
  <c r="AU327" i="1"/>
  <c r="AU285" i="1"/>
  <c r="AU310" i="1"/>
  <c r="AU324" i="1"/>
  <c r="AU222" i="1"/>
  <c r="AU112" i="1"/>
  <c r="AU223" i="1"/>
  <c r="AU297" i="1"/>
  <c r="AU246" i="1"/>
  <c r="AU279" i="1"/>
  <c r="AU325" i="1"/>
  <c r="AU317" i="1"/>
  <c r="AU299" i="1"/>
  <c r="AU311" i="1"/>
  <c r="AU240" i="1"/>
  <c r="X2" i="6"/>
  <c r="AF45" i="8"/>
  <c r="AV20" i="1"/>
  <c r="AU23" i="1"/>
  <c r="AS4" i="1"/>
  <c r="AF15" i="8" s="1"/>
  <c r="B13" i="10" s="1"/>
  <c r="AF13" i="8"/>
  <c r="B11" i="10" s="1"/>
  <c r="AU19" i="1"/>
  <c r="AU103" i="1" s="1"/>
  <c r="AV76" i="1" l="1"/>
  <c r="AV47" i="1"/>
  <c r="W9" i="6"/>
  <c r="W11" i="6"/>
  <c r="W13" i="6"/>
  <c r="W8" i="6"/>
  <c r="W10" i="6"/>
  <c r="W12" i="6"/>
  <c r="W14" i="6"/>
  <c r="AU330" i="1"/>
  <c r="AU357" i="1"/>
  <c r="AU53" i="1"/>
  <c r="AU358" i="1"/>
  <c r="AU359" i="1"/>
  <c r="AV351" i="1"/>
  <c r="AV356" i="1"/>
  <c r="AV353" i="1"/>
  <c r="AV354" i="1"/>
  <c r="AV355" i="1"/>
  <c r="AV352" i="1"/>
  <c r="AU333" i="1"/>
  <c r="AU318" i="1"/>
  <c r="AU334" i="1"/>
  <c r="AU329" i="1"/>
  <c r="AU331" i="1"/>
  <c r="AU343" i="1"/>
  <c r="AU341" i="1"/>
  <c r="AU340" i="1"/>
  <c r="AU335" i="1"/>
  <c r="AV349" i="1"/>
  <c r="AV347" i="1"/>
  <c r="AV350" i="1"/>
  <c r="AV348" i="1"/>
  <c r="AU104" i="1"/>
  <c r="AU345" i="1"/>
  <c r="AU344" i="1"/>
  <c r="AU342" i="1"/>
  <c r="AU339" i="1"/>
  <c r="AU338" i="1"/>
  <c r="AU337" i="1"/>
  <c r="AU346" i="1"/>
  <c r="AU336" i="1"/>
  <c r="AV332" i="1"/>
  <c r="AU321" i="1"/>
  <c r="AU229" i="1"/>
  <c r="AU75" i="1"/>
  <c r="AU230" i="1"/>
  <c r="AU225" i="1"/>
  <c r="AU158" i="1"/>
  <c r="AU233" i="1"/>
  <c r="AU290" i="1"/>
  <c r="AU228" i="1"/>
  <c r="AU232" i="1"/>
  <c r="AU179" i="1"/>
  <c r="AU284" i="1"/>
  <c r="AU39" i="1"/>
  <c r="AU107" i="1"/>
  <c r="AU226" i="1"/>
  <c r="AU210" i="1"/>
  <c r="AU303" i="1"/>
  <c r="AU236" i="1"/>
  <c r="AU55" i="1"/>
  <c r="AU186" i="1"/>
  <c r="AU161" i="1"/>
  <c r="AU185" i="1"/>
  <c r="AU86" i="1"/>
  <c r="AU125" i="1"/>
  <c r="AU32" i="1"/>
  <c r="AU85" i="1"/>
  <c r="AU95" i="1"/>
  <c r="AU102" i="1"/>
  <c r="AU116" i="1"/>
  <c r="AU146" i="1"/>
  <c r="AU159" i="1"/>
  <c r="AU174" i="1"/>
  <c r="AU187" i="1"/>
  <c r="AU217" i="1"/>
  <c r="AU26" i="1"/>
  <c r="AU69" i="1"/>
  <c r="AU170" i="1"/>
  <c r="AU184" i="1"/>
  <c r="AU213" i="1"/>
  <c r="AU66" i="1"/>
  <c r="AU92" i="1"/>
  <c r="AU106" i="1"/>
  <c r="AU127" i="1"/>
  <c r="AU138" i="1"/>
  <c r="AU152" i="1"/>
  <c r="AU180" i="1"/>
  <c r="AU195" i="1"/>
  <c r="AU209" i="1"/>
  <c r="AU63" i="1"/>
  <c r="AU134" i="1"/>
  <c r="AU150" i="1"/>
  <c r="AU163" i="1"/>
  <c r="AU191" i="1"/>
  <c r="AU205" i="1"/>
  <c r="AU220" i="1"/>
  <c r="AU139" i="1"/>
  <c r="AU153" i="1"/>
  <c r="AU167" i="1"/>
  <c r="AU188" i="1"/>
  <c r="AU192" i="1"/>
  <c r="AU202" i="1"/>
  <c r="AU206" i="1"/>
  <c r="AU218" i="1"/>
  <c r="AU239" i="1"/>
  <c r="AU254" i="1"/>
  <c r="AU269" i="1"/>
  <c r="AU283" i="1"/>
  <c r="AU292" i="1"/>
  <c r="AU308" i="1"/>
  <c r="AU30" i="1"/>
  <c r="AU135" i="1"/>
  <c r="AU164" i="1"/>
  <c r="AU177" i="1"/>
  <c r="AU250" i="1"/>
  <c r="AU265" i="1"/>
  <c r="AU131" i="1"/>
  <c r="AU147" i="1"/>
  <c r="AU160" i="1"/>
  <c r="AU247" i="1"/>
  <c r="AU262" i="1"/>
  <c r="AU276" i="1"/>
  <c r="AU287" i="1"/>
  <c r="AU300" i="1"/>
  <c r="AU319" i="1"/>
  <c r="AU71" i="1"/>
  <c r="AU96" i="1"/>
  <c r="AU113" i="1"/>
  <c r="AU171" i="1"/>
  <c r="AU181" i="1"/>
  <c r="AU196" i="1"/>
  <c r="AU199" i="1"/>
  <c r="AU214" i="1"/>
  <c r="AU243" i="1"/>
  <c r="AU258" i="1"/>
  <c r="AU296" i="1"/>
  <c r="AU312" i="1"/>
  <c r="AU124" i="1"/>
  <c r="AU89" i="1"/>
  <c r="AU121" i="1"/>
  <c r="AU189" i="1"/>
  <c r="AU203" i="1"/>
  <c r="AU108" i="1"/>
  <c r="AU118" i="1"/>
  <c r="AU129" i="1"/>
  <c r="AU132" i="1"/>
  <c r="AU148" i="1"/>
  <c r="AU200" i="1"/>
  <c r="AU215" i="1"/>
  <c r="AU234" i="1"/>
  <c r="AU114" i="1"/>
  <c r="AU136" i="1"/>
  <c r="AU140" i="1"/>
  <c r="AU151" i="1"/>
  <c r="AU154" i="1"/>
  <c r="AU165" i="1"/>
  <c r="AU168" i="1"/>
  <c r="AU182" i="1"/>
  <c r="AU197" i="1"/>
  <c r="AU211" i="1"/>
  <c r="AU70" i="1"/>
  <c r="AU24" i="1"/>
  <c r="AU72" i="1"/>
  <c r="AU105" i="1"/>
  <c r="AU145" i="1"/>
  <c r="AU173" i="1"/>
  <c r="AU190" i="1"/>
  <c r="AU204" i="1"/>
  <c r="AU219" i="1"/>
  <c r="AU266" i="1"/>
  <c r="AU270" i="1"/>
  <c r="AU320" i="1"/>
  <c r="AU263" i="1"/>
  <c r="AU291" i="1"/>
  <c r="AU302" i="1"/>
  <c r="AU178" i="1"/>
  <c r="AU207" i="1"/>
  <c r="AU128" i="1"/>
  <c r="AU115" i="1"/>
  <c r="AU122" i="1"/>
  <c r="AU141" i="1"/>
  <c r="AU169" i="1"/>
  <c r="AU201" i="1"/>
  <c r="AU216" i="1"/>
  <c r="AU244" i="1"/>
  <c r="AU305" i="1"/>
  <c r="AU315" i="1"/>
  <c r="AU252" i="1"/>
  <c r="AU260" i="1"/>
  <c r="AU274" i="1"/>
  <c r="AU289" i="1"/>
  <c r="AU34" i="1"/>
  <c r="AU67" i="1"/>
  <c r="AU93" i="1"/>
  <c r="AU109" i="1"/>
  <c r="AU126" i="1"/>
  <c r="AU166" i="1"/>
  <c r="AU183" i="1"/>
  <c r="AU198" i="1"/>
  <c r="AU212" i="1"/>
  <c r="AU251" i="1"/>
  <c r="AU255" i="1"/>
  <c r="AU288" i="1"/>
  <c r="AU301" i="1"/>
  <c r="AU313" i="1"/>
  <c r="AU237" i="1"/>
  <c r="AU271" i="1"/>
  <c r="AU282" i="1"/>
  <c r="AU294" i="1"/>
  <c r="AU193" i="1"/>
  <c r="AU117" i="1"/>
  <c r="AU94" i="1"/>
  <c r="AU119" i="1"/>
  <c r="AU133" i="1"/>
  <c r="AU149" i="1"/>
  <c r="AU162" i="1"/>
  <c r="AU176" i="1"/>
  <c r="AU194" i="1"/>
  <c r="AU208" i="1"/>
  <c r="AU235" i="1"/>
  <c r="AU97" i="1"/>
  <c r="AU273" i="1"/>
  <c r="AU277" i="1"/>
  <c r="AU281" i="1"/>
  <c r="AU323" i="1"/>
  <c r="AU245" i="1"/>
  <c r="AU256" i="1"/>
  <c r="AU267" i="1"/>
  <c r="AU278" i="1"/>
  <c r="AU306" i="1"/>
  <c r="AU257" i="1"/>
  <c r="AU322" i="1"/>
  <c r="AU242" i="1"/>
  <c r="AU253" i="1"/>
  <c r="AU268" i="1"/>
  <c r="AU275" i="1"/>
  <c r="AU238" i="1"/>
  <c r="AU264" i="1"/>
  <c r="AU286" i="1"/>
  <c r="AU295" i="1"/>
  <c r="AU249" i="1"/>
  <c r="AU261" i="1"/>
  <c r="AU272" i="1"/>
  <c r="AU307" i="1"/>
  <c r="X155" i="6"/>
  <c r="X127" i="6"/>
  <c r="X63" i="6"/>
  <c r="X46" i="6"/>
  <c r="X178" i="6"/>
  <c r="X260" i="6"/>
  <c r="X123" i="6"/>
  <c r="X77" i="6"/>
  <c r="X58" i="6"/>
  <c r="X241" i="6"/>
  <c r="X242" i="6"/>
  <c r="X74" i="6"/>
  <c r="X42" i="6"/>
  <c r="X237" i="6"/>
  <c r="X148" i="6"/>
  <c r="X22" i="6"/>
  <c r="X20" i="6"/>
  <c r="X194" i="6"/>
  <c r="X81" i="6"/>
  <c r="X233" i="6"/>
  <c r="X159" i="6"/>
  <c r="X59" i="6"/>
  <c r="X115" i="6"/>
  <c r="X73" i="6"/>
  <c r="X161" i="6"/>
  <c r="X160" i="6"/>
  <c r="X245" i="6"/>
  <c r="X117" i="6"/>
  <c r="X78" i="6"/>
  <c r="X68" i="6"/>
  <c r="X140" i="6"/>
  <c r="X273" i="6"/>
  <c r="X234" i="6"/>
  <c r="X92" i="6"/>
  <c r="X250" i="6"/>
  <c r="X29" i="6"/>
  <c r="X262" i="6"/>
  <c r="X190" i="6"/>
  <c r="X172" i="6"/>
  <c r="X100" i="6"/>
  <c r="X51" i="6"/>
  <c r="X75" i="6"/>
  <c r="X54" i="6"/>
  <c r="X101" i="6"/>
  <c r="X76" i="6"/>
  <c r="X37" i="6"/>
  <c r="X33" i="6"/>
  <c r="X61" i="6"/>
  <c r="X116" i="6"/>
  <c r="X105" i="6"/>
  <c r="X80" i="6"/>
  <c r="X97" i="6"/>
  <c r="X43" i="6"/>
  <c r="X25" i="6"/>
  <c r="X21" i="6"/>
  <c r="X238" i="6"/>
  <c r="X136" i="6"/>
  <c r="X84" i="6"/>
  <c r="X55" i="6"/>
  <c r="X93" i="6"/>
  <c r="X79" i="6"/>
  <c r="X197" i="6"/>
  <c r="X85" i="6"/>
  <c r="X64" i="6"/>
  <c r="X34" i="6"/>
  <c r="X254" i="6"/>
  <c r="X104" i="6"/>
  <c r="X113" i="6"/>
  <c r="X88" i="6"/>
  <c r="X50" i="6"/>
  <c r="X47" i="6"/>
  <c r="X38" i="6"/>
  <c r="X30" i="6"/>
  <c r="X36" i="6"/>
  <c r="X120" i="6"/>
  <c r="X41" i="6"/>
  <c r="X255" i="6"/>
  <c r="X175" i="6"/>
  <c r="X248" i="6"/>
  <c r="X243" i="6"/>
  <c r="X239" i="6"/>
  <c r="X235" i="6"/>
  <c r="X236" i="6"/>
  <c r="X204" i="6"/>
  <c r="X240" i="6"/>
  <c r="X106" i="6"/>
  <c r="X244" i="6"/>
  <c r="X228" i="6"/>
  <c r="X56" i="6"/>
  <c r="X60" i="6"/>
  <c r="X52" i="6"/>
  <c r="X44" i="6"/>
  <c r="X83" i="6"/>
  <c r="X87" i="6"/>
  <c r="X94" i="6"/>
  <c r="X86" i="6"/>
  <c r="X49" i="6"/>
  <c r="X65" i="6"/>
  <c r="X57" i="6"/>
  <c r="X45" i="6"/>
  <c r="X114" i="6"/>
  <c r="X137" i="6"/>
  <c r="X95" i="6"/>
  <c r="X48" i="6"/>
  <c r="X126" i="6"/>
  <c r="X40" i="6"/>
  <c r="X53" i="6"/>
  <c r="X82" i="6"/>
  <c r="X174" i="6"/>
  <c r="X35" i="6"/>
  <c r="X32" i="6"/>
  <c r="X28" i="6"/>
  <c r="X31" i="6"/>
  <c r="X27" i="6"/>
  <c r="X39" i="6"/>
  <c r="H48" i="8"/>
  <c r="H113" i="8" s="1"/>
  <c r="I48" i="8"/>
  <c r="I113" i="8" s="1"/>
  <c r="G48" i="8"/>
  <c r="G113" i="8" s="1"/>
  <c r="F48" i="8"/>
  <c r="F113" i="8" s="1"/>
  <c r="AV38" i="1"/>
  <c r="AV27" i="1"/>
  <c r="AV44" i="1"/>
  <c r="AV101" i="1"/>
  <c r="AV28" i="1"/>
  <c r="AV36" i="1"/>
  <c r="AV45" i="1"/>
  <c r="AV60" i="1"/>
  <c r="AV142" i="1"/>
  <c r="AV42" i="1"/>
  <c r="AV58" i="1"/>
  <c r="AV79" i="1"/>
  <c r="AV82" i="1"/>
  <c r="AV87" i="1"/>
  <c r="AV98" i="1"/>
  <c r="AV224" i="1"/>
  <c r="AV35" i="1"/>
  <c r="AV54" i="1"/>
  <c r="AV40" i="1"/>
  <c r="AV49" i="1"/>
  <c r="AV61" i="1"/>
  <c r="AV73" i="1"/>
  <c r="AV110" i="1"/>
  <c r="AV123" i="1"/>
  <c r="AV130" i="1"/>
  <c r="AV46" i="1"/>
  <c r="AV280" i="1"/>
  <c r="AV326" i="1"/>
  <c r="AV48" i="1"/>
  <c r="AV25" i="1"/>
  <c r="AV221" i="1"/>
  <c r="AV62" i="1"/>
  <c r="AV83" i="1"/>
  <c r="AV143" i="1"/>
  <c r="AV156" i="1"/>
  <c r="AV304" i="1"/>
  <c r="AV120" i="1"/>
  <c r="AV31" i="1"/>
  <c r="AV29" i="1"/>
  <c r="AV43" i="1"/>
  <c r="AV74" i="1"/>
  <c r="AV56" i="1"/>
  <c r="AV64" i="1"/>
  <c r="AV100" i="1"/>
  <c r="AV111" i="1"/>
  <c r="AV175" i="1"/>
  <c r="AV37" i="1"/>
  <c r="AV52" i="1"/>
  <c r="AV80" i="1"/>
  <c r="AV51" i="1"/>
  <c r="AV59" i="1"/>
  <c r="AV68" i="1"/>
  <c r="AV144" i="1"/>
  <c r="AV157" i="1"/>
  <c r="AV172" i="1"/>
  <c r="AV222" i="1"/>
  <c r="AV90" i="1"/>
  <c r="AV88" i="1"/>
  <c r="AV78" i="1"/>
  <c r="AV155" i="1"/>
  <c r="AV231" i="1"/>
  <c r="AV33" i="1"/>
  <c r="AV65" i="1"/>
  <c r="AV240" i="1"/>
  <c r="AV298" i="1"/>
  <c r="AV314" i="1"/>
  <c r="AV328" i="1"/>
  <c r="AV50" i="1"/>
  <c r="AV77" i="1"/>
  <c r="AV84" i="1"/>
  <c r="AV91" i="1"/>
  <c r="AV227" i="1"/>
  <c r="AV57" i="1"/>
  <c r="AV248" i="1"/>
  <c r="AV327" i="1"/>
  <c r="AV285" i="1"/>
  <c r="AV310" i="1"/>
  <c r="AV324" i="1"/>
  <c r="AV81" i="1"/>
  <c r="AV112" i="1"/>
  <c r="AV223" i="1"/>
  <c r="AV259" i="1"/>
  <c r="AV297" i="1"/>
  <c r="AV41" i="1"/>
  <c r="AV99" i="1"/>
  <c r="AV137" i="1"/>
  <c r="AV293" i="1"/>
  <c r="AV309" i="1"/>
  <c r="AV241" i="1"/>
  <c r="AV316" i="1"/>
  <c r="AV317" i="1"/>
  <c r="AV299" i="1"/>
  <c r="AV325" i="1"/>
  <c r="AV246" i="1"/>
  <c r="AV279" i="1"/>
  <c r="AV311" i="1"/>
  <c r="Y1" i="6"/>
  <c r="X62" i="6"/>
  <c r="X153" i="6"/>
  <c r="X225" i="6"/>
  <c r="X206" i="6"/>
  <c r="X169" i="6"/>
  <c r="X69" i="6"/>
  <c r="X229" i="6"/>
  <c r="X147" i="6"/>
  <c r="X258" i="6"/>
  <c r="X193" i="6"/>
  <c r="X177" i="6"/>
  <c r="X133" i="6"/>
  <c r="X198" i="6"/>
  <c r="X249" i="6"/>
  <c r="X218" i="6"/>
  <c r="X266" i="6"/>
  <c r="X209" i="6"/>
  <c r="X185" i="6"/>
  <c r="X156" i="6"/>
  <c r="X19" i="6"/>
  <c r="X214" i="6"/>
  <c r="X201" i="6"/>
  <c r="X221" i="6"/>
  <c r="X210" i="6"/>
  <c r="X168" i="6"/>
  <c r="X135" i="6"/>
  <c r="X125" i="6"/>
  <c r="X128" i="6"/>
  <c r="X285" i="6"/>
  <c r="X277" i="6"/>
  <c r="X226" i="6"/>
  <c r="X145" i="6"/>
  <c r="X276" i="6"/>
  <c r="X265" i="6"/>
  <c r="X282" i="6"/>
  <c r="X274" i="6"/>
  <c r="X257" i="6"/>
  <c r="X165" i="6"/>
  <c r="X222" i="6"/>
  <c r="X280" i="6"/>
  <c r="X264" i="6"/>
  <c r="X205" i="6"/>
  <c r="X202" i="6"/>
  <c r="X281" i="6"/>
  <c r="X261" i="6"/>
  <c r="X131" i="6"/>
  <c r="X284" i="6"/>
  <c r="X268" i="6"/>
  <c r="X269" i="6"/>
  <c r="X256" i="6"/>
  <c r="X286" i="6"/>
  <c r="X278" i="6"/>
  <c r="X270" i="6"/>
  <c r="X189" i="6"/>
  <c r="X70" i="6"/>
  <c r="X230" i="6"/>
  <c r="X23" i="6"/>
  <c r="X272" i="6"/>
  <c r="X259" i="6"/>
  <c r="X246" i="6"/>
  <c r="X173" i="6"/>
  <c r="X124" i="6"/>
  <c r="X112" i="6"/>
  <c r="X72" i="6"/>
  <c r="X26" i="6"/>
  <c r="X252" i="6"/>
  <c r="X108" i="6"/>
  <c r="X186" i="6"/>
  <c r="X67" i="6"/>
  <c r="X213" i="6"/>
  <c r="X217" i="6"/>
  <c r="X132" i="6"/>
  <c r="X182" i="6"/>
  <c r="X144" i="6"/>
  <c r="X96" i="6"/>
  <c r="X71" i="6"/>
  <c r="X283" i="6"/>
  <c r="X279" i="6"/>
  <c r="X275" i="6"/>
  <c r="X271" i="6"/>
  <c r="X267" i="6"/>
  <c r="X263" i="6"/>
  <c r="X251" i="6"/>
  <c r="X143" i="6"/>
  <c r="X151" i="6"/>
  <c r="X152" i="6"/>
  <c r="X181" i="6"/>
  <c r="X139" i="6"/>
  <c r="X89" i="6"/>
  <c r="X109" i="6"/>
  <c r="X253" i="6"/>
  <c r="X164" i="6"/>
  <c r="X24" i="6"/>
  <c r="X142" i="6"/>
  <c r="X232" i="6"/>
  <c r="X216" i="6"/>
  <c r="X200" i="6"/>
  <c r="X184" i="6"/>
  <c r="X158" i="6"/>
  <c r="X247" i="6"/>
  <c r="X231" i="6"/>
  <c r="X227" i="6"/>
  <c r="X223" i="6"/>
  <c r="X207" i="6"/>
  <c r="X191" i="6"/>
  <c r="X171" i="6"/>
  <c r="X220" i="6"/>
  <c r="X188" i="6"/>
  <c r="X211" i="6"/>
  <c r="X195" i="6"/>
  <c r="X179" i="6"/>
  <c r="X167" i="6"/>
  <c r="X224" i="6"/>
  <c r="X208" i="6"/>
  <c r="X192" i="6"/>
  <c r="X215" i="6"/>
  <c r="X199" i="6"/>
  <c r="X183" i="6"/>
  <c r="X99" i="6"/>
  <c r="X212" i="6"/>
  <c r="X196" i="6"/>
  <c r="X180" i="6"/>
  <c r="X219" i="6"/>
  <c r="X203" i="6"/>
  <c r="X187" i="6"/>
  <c r="X150" i="6"/>
  <c r="X121" i="6"/>
  <c r="X107" i="6"/>
  <c r="X154" i="6"/>
  <c r="X141" i="6"/>
  <c r="X170" i="6"/>
  <c r="X130" i="6"/>
  <c r="X91" i="6"/>
  <c r="X111" i="6"/>
  <c r="X146" i="6"/>
  <c r="X129" i="6"/>
  <c r="X122" i="6"/>
  <c r="X166" i="6"/>
  <c r="X98" i="6"/>
  <c r="X118" i="6"/>
  <c r="X110" i="6"/>
  <c r="X102" i="6"/>
  <c r="X163" i="6"/>
  <c r="X157" i="6"/>
  <c r="X138" i="6"/>
  <c r="X90" i="6"/>
  <c r="X119" i="6"/>
  <c r="X66" i="6"/>
  <c r="X176" i="6"/>
  <c r="X162" i="6"/>
  <c r="X149" i="6"/>
  <c r="X103" i="6"/>
  <c r="X134" i="6"/>
  <c r="AF48" i="8"/>
  <c r="B46" i="10" s="1"/>
  <c r="B43" i="10"/>
  <c r="Y2" i="6"/>
  <c r="AW20" i="1"/>
  <c r="AV23" i="1"/>
  <c r="AT4" i="1"/>
  <c r="AV19" i="1"/>
  <c r="AV103" i="1" s="1"/>
  <c r="AW76" i="1" l="1"/>
  <c r="AW47" i="1"/>
  <c r="X9" i="6"/>
  <c r="X11" i="6"/>
  <c r="X13" i="6"/>
  <c r="X8" i="6"/>
  <c r="X10" i="6"/>
  <c r="X12" i="6"/>
  <c r="X14" i="6"/>
  <c r="I49" i="8" s="1"/>
  <c r="I114" i="8" s="1"/>
  <c r="AV330" i="1"/>
  <c r="AV357" i="1"/>
  <c r="AV53" i="1"/>
  <c r="AW354" i="1"/>
  <c r="AW351" i="1"/>
  <c r="AW356" i="1"/>
  <c r="AW353" i="1"/>
  <c r="AW355" i="1"/>
  <c r="AW352" i="1"/>
  <c r="AV358" i="1"/>
  <c r="AV359" i="1"/>
  <c r="AV333" i="1"/>
  <c r="AV329" i="1"/>
  <c r="AV318" i="1"/>
  <c r="AV334" i="1"/>
  <c r="AW348" i="1"/>
  <c r="AW349" i="1"/>
  <c r="AW347" i="1"/>
  <c r="AW350" i="1"/>
  <c r="AV340" i="1"/>
  <c r="AV335" i="1"/>
  <c r="AV343" i="1"/>
  <c r="AV341" i="1"/>
  <c r="AV104" i="1"/>
  <c r="AV338" i="1"/>
  <c r="AV337" i="1"/>
  <c r="AV346" i="1"/>
  <c r="AV345" i="1"/>
  <c r="AV336" i="1"/>
  <c r="AV344" i="1"/>
  <c r="AV342" i="1"/>
  <c r="AV339" i="1"/>
  <c r="AV331" i="1"/>
  <c r="AW332" i="1"/>
  <c r="AV158" i="1"/>
  <c r="AV179" i="1"/>
  <c r="AV210" i="1"/>
  <c r="AV303" i="1"/>
  <c r="AV284" i="1"/>
  <c r="AV161" i="1"/>
  <c r="AV185" i="1"/>
  <c r="AV233" i="1"/>
  <c r="AV39" i="1"/>
  <c r="AV236" i="1"/>
  <c r="AV230" i="1"/>
  <c r="AV75" i="1"/>
  <c r="AV290" i="1"/>
  <c r="AV321" i="1"/>
  <c r="AV226" i="1"/>
  <c r="AV55" i="1"/>
  <c r="AV186" i="1"/>
  <c r="AV107" i="1"/>
  <c r="AV229" i="1"/>
  <c r="AV225" i="1"/>
  <c r="AV232" i="1"/>
  <c r="AV228" i="1"/>
  <c r="H49" i="8"/>
  <c r="H114" i="8" s="1"/>
  <c r="G49" i="8"/>
  <c r="G114" i="8" s="1"/>
  <c r="F49" i="8"/>
  <c r="F114" i="8" s="1"/>
  <c r="Y197" i="6"/>
  <c r="Y58" i="6"/>
  <c r="Y49" i="6"/>
  <c r="Y237" i="6"/>
  <c r="Y233" i="6"/>
  <c r="Y68" i="6"/>
  <c r="Y47" i="6"/>
  <c r="Y159" i="6"/>
  <c r="Y241" i="6"/>
  <c r="Y160" i="6"/>
  <c r="Y140" i="6"/>
  <c r="Y262" i="6"/>
  <c r="Y59" i="6"/>
  <c r="Y245" i="6"/>
  <c r="Y148" i="6"/>
  <c r="Y260" i="6"/>
  <c r="Y55" i="6"/>
  <c r="Y273" i="6"/>
  <c r="Y172" i="6"/>
  <c r="Y204" i="6"/>
  <c r="Y54" i="6"/>
  <c r="Y50" i="6"/>
  <c r="Y42" i="6"/>
  <c r="Y51" i="6"/>
  <c r="Y57" i="6"/>
  <c r="Y43" i="6"/>
  <c r="Y254" i="6"/>
  <c r="Y41" i="6"/>
  <c r="Y36" i="6"/>
  <c r="Y46" i="6"/>
  <c r="Y20" i="6"/>
  <c r="Y255" i="6"/>
  <c r="Y106" i="6"/>
  <c r="Y161" i="6"/>
  <c r="Y175" i="6"/>
  <c r="Y243" i="6"/>
  <c r="Y239" i="6"/>
  <c r="Y235" i="6"/>
  <c r="Y248" i="6"/>
  <c r="Y244" i="6"/>
  <c r="Y240" i="6"/>
  <c r="Y236" i="6"/>
  <c r="Y228" i="6"/>
  <c r="Y114" i="6"/>
  <c r="Y250" i="6"/>
  <c r="Y234" i="6"/>
  <c r="Y174" i="6"/>
  <c r="Y48" i="6"/>
  <c r="Y126" i="6"/>
  <c r="Y105" i="6"/>
  <c r="Y40" i="6"/>
  <c r="Y116" i="6"/>
  <c r="Y100" i="6"/>
  <c r="Y84" i="6"/>
  <c r="Y63" i="6"/>
  <c r="Y61" i="6"/>
  <c r="Y82" i="6"/>
  <c r="Y83" i="6"/>
  <c r="Y123" i="6"/>
  <c r="Y87" i="6"/>
  <c r="Y93" i="6"/>
  <c r="Y136" i="6"/>
  <c r="Y120" i="6"/>
  <c r="Y81" i="6"/>
  <c r="Y79" i="6"/>
  <c r="Y77" i="6"/>
  <c r="Y75" i="6"/>
  <c r="Y73" i="6"/>
  <c r="Y242" i="6"/>
  <c r="Y194" i="6"/>
  <c r="Y178" i="6"/>
  <c r="Y127" i="6"/>
  <c r="Y137" i="6"/>
  <c r="Y117" i="6"/>
  <c r="Y95" i="6"/>
  <c r="Y113" i="6"/>
  <c r="Y97" i="6"/>
  <c r="Y56" i="6"/>
  <c r="Y92" i="6"/>
  <c r="Y238" i="6"/>
  <c r="Y190" i="6"/>
  <c r="Y155" i="6"/>
  <c r="Y115" i="6"/>
  <c r="Y94" i="6"/>
  <c r="Y86" i="6"/>
  <c r="Y101" i="6"/>
  <c r="Y85" i="6"/>
  <c r="Y65" i="6"/>
  <c r="Y104" i="6"/>
  <c r="Y88" i="6"/>
  <c r="Y80" i="6"/>
  <c r="Y78" i="6"/>
  <c r="Y76" i="6"/>
  <c r="Y74" i="6"/>
  <c r="Y64" i="6"/>
  <c r="Y53" i="6"/>
  <c r="Y45" i="6"/>
  <c r="Y31" i="6"/>
  <c r="Y30" i="6"/>
  <c r="Y52" i="6"/>
  <c r="Y22" i="6"/>
  <c r="Y27" i="6"/>
  <c r="Y37" i="6"/>
  <c r="Y60" i="6"/>
  <c r="Y44" i="6"/>
  <c r="Y35" i="6"/>
  <c r="Y32" i="6"/>
  <c r="Y28" i="6"/>
  <c r="Y39" i="6"/>
  <c r="Y38" i="6"/>
  <c r="Y33" i="6"/>
  <c r="Y25" i="6"/>
  <c r="Y21" i="6"/>
  <c r="Y34" i="6"/>
  <c r="Y29" i="6"/>
  <c r="AV69" i="1"/>
  <c r="AV170" i="1"/>
  <c r="AV184" i="1"/>
  <c r="AV213" i="1"/>
  <c r="AV66" i="1"/>
  <c r="AV92" i="1"/>
  <c r="AV106" i="1"/>
  <c r="AV127" i="1"/>
  <c r="AV138" i="1"/>
  <c r="AV152" i="1"/>
  <c r="AV180" i="1"/>
  <c r="AV195" i="1"/>
  <c r="AV209" i="1"/>
  <c r="AV63" i="1"/>
  <c r="AV134" i="1"/>
  <c r="AV150" i="1"/>
  <c r="AV163" i="1"/>
  <c r="AV191" i="1"/>
  <c r="AV205" i="1"/>
  <c r="AV220" i="1"/>
  <c r="AV115" i="1"/>
  <c r="AV32" i="1"/>
  <c r="AV85" i="1"/>
  <c r="AV95" i="1"/>
  <c r="AV102" i="1"/>
  <c r="AV116" i="1"/>
  <c r="AV146" i="1"/>
  <c r="AV159" i="1"/>
  <c r="AV174" i="1"/>
  <c r="AV187" i="1"/>
  <c r="AV217" i="1"/>
  <c r="AV135" i="1"/>
  <c r="AV164" i="1"/>
  <c r="AV177" i="1"/>
  <c r="AV181" i="1"/>
  <c r="AV196" i="1"/>
  <c r="AV250" i="1"/>
  <c r="AV265" i="1"/>
  <c r="AV131" i="1"/>
  <c r="AV147" i="1"/>
  <c r="AV160" i="1"/>
  <c r="AV192" i="1"/>
  <c r="AV206" i="1"/>
  <c r="AV247" i="1"/>
  <c r="AV262" i="1"/>
  <c r="AV276" i="1"/>
  <c r="AV96" i="1"/>
  <c r="AV113" i="1"/>
  <c r="AV171" i="1"/>
  <c r="AV188" i="1"/>
  <c r="AV202" i="1"/>
  <c r="AV218" i="1"/>
  <c r="AV243" i="1"/>
  <c r="AV258" i="1"/>
  <c r="AV287" i="1"/>
  <c r="AV300" i="1"/>
  <c r="AV319" i="1"/>
  <c r="AV139" i="1"/>
  <c r="AV153" i="1"/>
  <c r="AV167" i="1"/>
  <c r="AV199" i="1"/>
  <c r="AV214" i="1"/>
  <c r="AV239" i="1"/>
  <c r="AV254" i="1"/>
  <c r="AV269" i="1"/>
  <c r="AV283" i="1"/>
  <c r="AV292" i="1"/>
  <c r="AV296" i="1"/>
  <c r="AV308" i="1"/>
  <c r="AV312" i="1"/>
  <c r="AV26" i="1"/>
  <c r="AV71" i="1"/>
  <c r="AV125" i="1"/>
  <c r="AV136" i="1"/>
  <c r="AV151" i="1"/>
  <c r="AV165" i="1"/>
  <c r="AV89" i="1"/>
  <c r="AV118" i="1"/>
  <c r="AV132" i="1"/>
  <c r="AV148" i="1"/>
  <c r="AV189" i="1"/>
  <c r="AV200" i="1"/>
  <c r="AV203" i="1"/>
  <c r="AV215" i="1"/>
  <c r="AV234" i="1"/>
  <c r="AV30" i="1"/>
  <c r="AV97" i="1"/>
  <c r="AV121" i="1"/>
  <c r="AV129" i="1"/>
  <c r="AV178" i="1"/>
  <c r="AV182" i="1"/>
  <c r="AV193" i="1"/>
  <c r="AV197" i="1"/>
  <c r="AV207" i="1"/>
  <c r="AV211" i="1"/>
  <c r="AV72" i="1"/>
  <c r="AV124" i="1"/>
  <c r="AV86" i="1"/>
  <c r="AV108" i="1"/>
  <c r="AV114" i="1"/>
  <c r="AV140" i="1"/>
  <c r="AV154" i="1"/>
  <c r="AV168" i="1"/>
  <c r="AV128" i="1"/>
  <c r="AV94" i="1"/>
  <c r="AV105" i="1"/>
  <c r="AV141" i="1"/>
  <c r="AV145" i="1"/>
  <c r="AV169" i="1"/>
  <c r="AV173" i="1"/>
  <c r="AV201" i="1"/>
  <c r="AV216" i="1"/>
  <c r="AV251" i="1"/>
  <c r="AV273" i="1"/>
  <c r="AV305" i="1"/>
  <c r="AV313" i="1"/>
  <c r="AV320" i="1"/>
  <c r="AV323" i="1"/>
  <c r="AV263" i="1"/>
  <c r="AV267" i="1"/>
  <c r="AV289" i="1"/>
  <c r="AV34" i="1"/>
  <c r="AV67" i="1"/>
  <c r="AV93" i="1"/>
  <c r="AV126" i="1"/>
  <c r="AV183" i="1"/>
  <c r="AV198" i="1"/>
  <c r="AV212" i="1"/>
  <c r="AV24" i="1"/>
  <c r="AV270" i="1"/>
  <c r="AV281" i="1"/>
  <c r="AV288" i="1"/>
  <c r="AV301" i="1"/>
  <c r="AV315" i="1"/>
  <c r="AV260" i="1"/>
  <c r="AV271" i="1"/>
  <c r="AV294" i="1"/>
  <c r="AV117" i="1"/>
  <c r="AV122" i="1"/>
  <c r="AV194" i="1"/>
  <c r="AV208" i="1"/>
  <c r="AV244" i="1"/>
  <c r="AV266" i="1"/>
  <c r="AV252" i="1"/>
  <c r="AV256" i="1"/>
  <c r="AV306" i="1"/>
  <c r="AV70" i="1"/>
  <c r="AV109" i="1"/>
  <c r="AV119" i="1"/>
  <c r="AV133" i="1"/>
  <c r="AV149" i="1"/>
  <c r="AV162" i="1"/>
  <c r="AV166" i="1"/>
  <c r="AV176" i="1"/>
  <c r="AV190" i="1"/>
  <c r="AV204" i="1"/>
  <c r="AV219" i="1"/>
  <c r="AV235" i="1"/>
  <c r="AV255" i="1"/>
  <c r="AV277" i="1"/>
  <c r="AV237" i="1"/>
  <c r="AV245" i="1"/>
  <c r="AV278" i="1"/>
  <c r="AV282" i="1"/>
  <c r="AV291" i="1"/>
  <c r="AV302" i="1"/>
  <c r="AV242" i="1"/>
  <c r="AV253" i="1"/>
  <c r="AV268" i="1"/>
  <c r="AV275" i="1"/>
  <c r="AV307" i="1"/>
  <c r="AV274" i="1"/>
  <c r="AV238" i="1"/>
  <c r="AV264" i="1"/>
  <c r="AV249" i="1"/>
  <c r="AV261" i="1"/>
  <c r="AV272" i="1"/>
  <c r="AV286" i="1"/>
  <c r="AV257" i="1"/>
  <c r="AV295" i="1"/>
  <c r="AV322" i="1"/>
  <c r="AW38" i="1"/>
  <c r="AW110" i="1"/>
  <c r="AW123" i="1"/>
  <c r="AW224" i="1"/>
  <c r="AW25" i="1"/>
  <c r="AW130" i="1"/>
  <c r="AW142" i="1"/>
  <c r="AW42" i="1"/>
  <c r="AW58" i="1"/>
  <c r="AW79" i="1"/>
  <c r="AW87" i="1"/>
  <c r="AW98" i="1"/>
  <c r="AW221" i="1"/>
  <c r="AW62" i="1"/>
  <c r="AW83" i="1"/>
  <c r="AW143" i="1"/>
  <c r="AW156" i="1"/>
  <c r="AW120" i="1"/>
  <c r="AW304" i="1"/>
  <c r="AW46" i="1"/>
  <c r="AW280" i="1"/>
  <c r="AW82" i="1"/>
  <c r="AW111" i="1"/>
  <c r="AW175" i="1"/>
  <c r="AW222" i="1"/>
  <c r="AW37" i="1"/>
  <c r="AW52" i="1"/>
  <c r="AW80" i="1"/>
  <c r="AW51" i="1"/>
  <c r="AW59" i="1"/>
  <c r="AW68" i="1"/>
  <c r="AW144" i="1"/>
  <c r="AW157" i="1"/>
  <c r="AW172" i="1"/>
  <c r="AW326" i="1"/>
  <c r="AW90" i="1"/>
  <c r="AW40" i="1"/>
  <c r="AW29" i="1"/>
  <c r="AW43" i="1"/>
  <c r="AW74" i="1"/>
  <c r="AW56" i="1"/>
  <c r="AW64" i="1"/>
  <c r="AW100" i="1"/>
  <c r="AW50" i="1"/>
  <c r="AW112" i="1"/>
  <c r="AW223" i="1"/>
  <c r="AW227" i="1"/>
  <c r="AW248" i="1"/>
  <c r="AW285" i="1"/>
  <c r="AW310" i="1"/>
  <c r="AW77" i="1"/>
  <c r="AW31" i="1"/>
  <c r="AW33" i="1"/>
  <c r="AW48" i="1"/>
  <c r="AW57" i="1"/>
  <c r="AW65" i="1"/>
  <c r="AW78" i="1"/>
  <c r="AW84" i="1"/>
  <c r="AW231" i="1"/>
  <c r="AW45" i="1"/>
  <c r="AW259" i="1"/>
  <c r="AW293" i="1"/>
  <c r="AW297" i="1"/>
  <c r="AW309" i="1"/>
  <c r="AW241" i="1"/>
  <c r="AW41" i="1"/>
  <c r="AW99" i="1"/>
  <c r="AW91" i="1"/>
  <c r="AW155" i="1"/>
  <c r="AW36" i="1"/>
  <c r="AW314" i="1"/>
  <c r="AW316" i="1"/>
  <c r="AW324" i="1"/>
  <c r="AW328" i="1"/>
  <c r="AW49" i="1"/>
  <c r="AW61" i="1"/>
  <c r="AW73" i="1"/>
  <c r="AW88" i="1"/>
  <c r="AW27" i="1"/>
  <c r="AW35" i="1"/>
  <c r="AW44" i="1"/>
  <c r="AW54" i="1"/>
  <c r="AW81" i="1"/>
  <c r="AW101" i="1"/>
  <c r="AW137" i="1"/>
  <c r="AW28" i="1"/>
  <c r="AW60" i="1"/>
  <c r="AW240" i="1"/>
  <c r="AW327" i="1"/>
  <c r="AW298" i="1"/>
  <c r="AW299" i="1"/>
  <c r="AW325" i="1"/>
  <c r="AW246" i="1"/>
  <c r="AW311" i="1"/>
  <c r="AW279" i="1"/>
  <c r="AW317" i="1"/>
  <c r="Z1" i="6"/>
  <c r="Y176" i="6"/>
  <c r="Y156" i="6"/>
  <c r="Y151" i="6"/>
  <c r="Y200" i="6"/>
  <c r="Y220" i="6"/>
  <c r="Y169" i="6"/>
  <c r="Y152" i="6"/>
  <c r="Y173" i="6"/>
  <c r="Y168" i="6"/>
  <c r="Y177" i="6"/>
  <c r="Y229" i="6"/>
  <c r="Y225" i="6"/>
  <c r="Y221" i="6"/>
  <c r="Y217" i="6"/>
  <c r="Y193" i="6"/>
  <c r="Y208" i="6"/>
  <c r="Y279" i="6"/>
  <c r="Y263" i="6"/>
  <c r="Y282" i="6"/>
  <c r="Y266" i="6"/>
  <c r="Y181" i="6"/>
  <c r="Y249" i="6"/>
  <c r="Y189" i="6"/>
  <c r="Y283" i="6"/>
  <c r="Y267" i="6"/>
  <c r="Y286" i="6"/>
  <c r="Y270" i="6"/>
  <c r="Y162" i="6"/>
  <c r="Y180" i="6"/>
  <c r="Y271" i="6"/>
  <c r="Y274" i="6"/>
  <c r="Y184" i="6"/>
  <c r="Y196" i="6"/>
  <c r="Y205" i="6"/>
  <c r="Y165" i="6"/>
  <c r="Y163" i="6"/>
  <c r="Y275" i="6"/>
  <c r="Y278" i="6"/>
  <c r="Y258" i="6"/>
  <c r="Y284" i="6"/>
  <c r="Y268" i="6"/>
  <c r="Y213" i="6"/>
  <c r="Y192" i="6"/>
  <c r="Y185" i="6"/>
  <c r="Y146" i="6"/>
  <c r="Y285" i="6"/>
  <c r="Y281" i="6"/>
  <c r="Y277" i="6"/>
  <c r="Y269" i="6"/>
  <c r="Y265" i="6"/>
  <c r="Y256" i="6"/>
  <c r="Y280" i="6"/>
  <c r="Y264" i="6"/>
  <c r="Y257" i="6"/>
  <c r="Y164" i="6"/>
  <c r="Y201" i="6"/>
  <c r="Y209" i="6"/>
  <c r="Y188" i="6"/>
  <c r="Y144" i="6"/>
  <c r="Y276" i="6"/>
  <c r="Y259" i="6"/>
  <c r="Y216" i="6"/>
  <c r="Y261" i="6"/>
  <c r="Y143" i="6"/>
  <c r="Y154" i="6"/>
  <c r="Y138" i="6"/>
  <c r="Y272" i="6"/>
  <c r="Y19" i="6"/>
  <c r="Y142" i="6"/>
  <c r="Y212" i="6"/>
  <c r="Y253" i="6"/>
  <c r="Y252" i="6"/>
  <c r="Y167" i="6"/>
  <c r="Y215" i="6"/>
  <c r="Y199" i="6"/>
  <c r="Y183" i="6"/>
  <c r="Y219" i="6"/>
  <c r="Y203" i="6"/>
  <c r="Y187" i="6"/>
  <c r="Y150" i="6"/>
  <c r="Y251" i="6"/>
  <c r="Y158" i="6"/>
  <c r="Y247" i="6"/>
  <c r="Y231" i="6"/>
  <c r="Y227" i="6"/>
  <c r="Y223" i="6"/>
  <c r="Y207" i="6"/>
  <c r="Y191" i="6"/>
  <c r="Y153" i="6"/>
  <c r="Y171" i="6"/>
  <c r="Y99" i="6"/>
  <c r="Y232" i="6"/>
  <c r="Y224" i="6"/>
  <c r="Y211" i="6"/>
  <c r="Y195" i="6"/>
  <c r="Y179" i="6"/>
  <c r="Y145" i="6"/>
  <c r="Y107" i="6"/>
  <c r="Y218" i="6"/>
  <c r="Y202" i="6"/>
  <c r="Y186" i="6"/>
  <c r="Y166" i="6"/>
  <c r="Y147" i="6"/>
  <c r="Y90" i="6"/>
  <c r="Y149" i="6"/>
  <c r="Y91" i="6"/>
  <c r="Y125" i="6"/>
  <c r="Y111" i="6"/>
  <c r="Y89" i="6"/>
  <c r="Y132" i="6"/>
  <c r="Y67" i="6"/>
  <c r="Y246" i="6"/>
  <c r="Y230" i="6"/>
  <c r="Y214" i="6"/>
  <c r="Y198" i="6"/>
  <c r="Y182" i="6"/>
  <c r="Y139" i="6"/>
  <c r="Y129" i="6"/>
  <c r="Y135" i="6"/>
  <c r="Y134" i="6"/>
  <c r="Y109" i="6"/>
  <c r="Y112" i="6"/>
  <c r="Y96" i="6"/>
  <c r="Y71" i="6"/>
  <c r="Y69" i="6"/>
  <c r="Y121" i="6"/>
  <c r="Y226" i="6"/>
  <c r="Y210" i="6"/>
  <c r="Y170" i="6"/>
  <c r="Y157" i="6"/>
  <c r="Y141" i="6"/>
  <c r="Y130" i="6"/>
  <c r="Y133" i="6"/>
  <c r="Y66" i="6"/>
  <c r="Y124" i="6"/>
  <c r="Y108" i="6"/>
  <c r="Y119" i="6"/>
  <c r="Y222" i="6"/>
  <c r="Y206" i="6"/>
  <c r="Y122" i="6"/>
  <c r="Y98" i="6"/>
  <c r="Y131" i="6"/>
  <c r="Y103" i="6"/>
  <c r="Y118" i="6"/>
  <c r="Y110" i="6"/>
  <c r="Y102" i="6"/>
  <c r="Y128" i="6"/>
  <c r="Y72" i="6"/>
  <c r="Y70" i="6"/>
  <c r="Y26" i="6"/>
  <c r="Y24" i="6"/>
  <c r="Y23" i="6"/>
  <c r="Y62" i="6"/>
  <c r="AF47" i="8"/>
  <c r="Z2" i="6"/>
  <c r="AX20" i="1"/>
  <c r="AW23" i="1"/>
  <c r="AU4" i="1"/>
  <c r="AW19" i="1"/>
  <c r="AW103" i="1" s="1"/>
  <c r="AX76" i="1" l="1"/>
  <c r="AX47" i="1"/>
  <c r="Y9" i="6"/>
  <c r="Y11" i="6"/>
  <c r="Y13" i="6"/>
  <c r="H50" i="8" s="1"/>
  <c r="H115" i="8" s="1"/>
  <c r="Y10" i="6"/>
  <c r="Y8" i="6"/>
  <c r="Y12" i="6"/>
  <c r="G50" i="8" s="1"/>
  <c r="G115" i="8" s="1"/>
  <c r="Y14" i="6"/>
  <c r="I50" i="8" s="1"/>
  <c r="I115" i="8" s="1"/>
  <c r="AW318" i="1"/>
  <c r="AW357" i="1"/>
  <c r="AW53" i="1"/>
  <c r="AW334" i="1"/>
  <c r="AW333" i="1"/>
  <c r="AW329" i="1"/>
  <c r="AW358" i="1"/>
  <c r="AW359" i="1"/>
  <c r="AX355" i="1"/>
  <c r="AX351" i="1"/>
  <c r="AX354" i="1"/>
  <c r="AX352" i="1"/>
  <c r="AX356" i="1"/>
  <c r="AX353" i="1"/>
  <c r="AW330" i="1"/>
  <c r="AX350" i="1"/>
  <c r="AX347" i="1"/>
  <c r="AX349" i="1"/>
  <c r="AX348" i="1"/>
  <c r="AW340" i="1"/>
  <c r="AW335" i="1"/>
  <c r="AW343" i="1"/>
  <c r="AW341" i="1"/>
  <c r="AW104" i="1"/>
  <c r="AW339" i="1"/>
  <c r="AW342" i="1"/>
  <c r="AW337" i="1"/>
  <c r="AW345" i="1"/>
  <c r="AW336" i="1"/>
  <c r="AW338" i="1"/>
  <c r="AW344" i="1"/>
  <c r="AW346" i="1"/>
  <c r="AW331" i="1"/>
  <c r="AX332" i="1"/>
  <c r="AW39" i="1"/>
  <c r="AW107" i="1"/>
  <c r="AW236" i="1"/>
  <c r="AW186" i="1"/>
  <c r="AW75" i="1"/>
  <c r="AW225" i="1"/>
  <c r="AW229" i="1"/>
  <c r="AW233" i="1"/>
  <c r="AW228" i="1"/>
  <c r="AW321" i="1"/>
  <c r="AW179" i="1"/>
  <c r="AW161" i="1"/>
  <c r="AW210" i="1"/>
  <c r="AW303" i="1"/>
  <c r="AW226" i="1"/>
  <c r="AW284" i="1"/>
  <c r="AW290" i="1"/>
  <c r="AW158" i="1"/>
  <c r="AW55" i="1"/>
  <c r="AW230" i="1"/>
  <c r="AW185" i="1"/>
  <c r="AW232" i="1"/>
  <c r="AX38" i="1"/>
  <c r="AX49" i="1"/>
  <c r="AX61" i="1"/>
  <c r="AX73" i="1"/>
  <c r="AX110" i="1"/>
  <c r="AX123" i="1"/>
  <c r="AX130" i="1"/>
  <c r="AX29" i="1"/>
  <c r="AX41" i="1"/>
  <c r="AX111" i="1"/>
  <c r="AX28" i="1"/>
  <c r="AX36" i="1"/>
  <c r="AX45" i="1"/>
  <c r="AX60" i="1"/>
  <c r="AX142" i="1"/>
  <c r="AX224" i="1"/>
  <c r="AX43" i="1"/>
  <c r="AX77" i="1"/>
  <c r="AX42" i="1"/>
  <c r="AX58" i="1"/>
  <c r="AX79" i="1"/>
  <c r="AX82" i="1"/>
  <c r="AX87" i="1"/>
  <c r="AX98" i="1"/>
  <c r="AX37" i="1"/>
  <c r="AX46" i="1"/>
  <c r="AX40" i="1"/>
  <c r="AX83" i="1"/>
  <c r="AX304" i="1"/>
  <c r="AX25" i="1"/>
  <c r="AX120" i="1"/>
  <c r="AX143" i="1"/>
  <c r="AX156" i="1"/>
  <c r="AX221" i="1"/>
  <c r="AX280" i="1"/>
  <c r="AX51" i="1"/>
  <c r="AX59" i="1"/>
  <c r="AX68" i="1"/>
  <c r="AX144" i="1"/>
  <c r="AX157" i="1"/>
  <c r="AX172" i="1"/>
  <c r="AX90" i="1"/>
  <c r="AX326" i="1"/>
  <c r="AX80" i="1"/>
  <c r="AX56" i="1"/>
  <c r="AX64" i="1"/>
  <c r="AX100" i="1"/>
  <c r="AX222" i="1"/>
  <c r="AX88" i="1"/>
  <c r="AX31" i="1"/>
  <c r="AX33" i="1"/>
  <c r="AX48" i="1"/>
  <c r="AX57" i="1"/>
  <c r="AX65" i="1"/>
  <c r="AX78" i="1"/>
  <c r="AX84" i="1"/>
  <c r="AX231" i="1"/>
  <c r="AX74" i="1"/>
  <c r="AX259" i="1"/>
  <c r="AX293" i="1"/>
  <c r="AX309" i="1"/>
  <c r="AX241" i="1"/>
  <c r="AX316" i="1"/>
  <c r="AX91" i="1"/>
  <c r="AX155" i="1"/>
  <c r="AX62" i="1"/>
  <c r="AX310" i="1"/>
  <c r="AX314" i="1"/>
  <c r="AX328" i="1"/>
  <c r="AX52" i="1"/>
  <c r="AX27" i="1"/>
  <c r="AX35" i="1"/>
  <c r="AX44" i="1"/>
  <c r="AX54" i="1"/>
  <c r="AX81" i="1"/>
  <c r="AX101" i="1"/>
  <c r="AX137" i="1"/>
  <c r="AX227" i="1"/>
  <c r="AX240" i="1"/>
  <c r="AX327" i="1"/>
  <c r="AX298" i="1"/>
  <c r="AX324" i="1"/>
  <c r="AX175" i="1"/>
  <c r="AX99" i="1"/>
  <c r="AX112" i="1"/>
  <c r="AX223" i="1"/>
  <c r="AX50" i="1"/>
  <c r="AX248" i="1"/>
  <c r="AX297" i="1"/>
  <c r="AX285" i="1"/>
  <c r="AX246" i="1"/>
  <c r="AX279" i="1"/>
  <c r="AX299" i="1"/>
  <c r="AX311" i="1"/>
  <c r="AX325" i="1"/>
  <c r="AX317" i="1"/>
  <c r="F50" i="8"/>
  <c r="F115" i="8" s="1"/>
  <c r="AW85" i="1"/>
  <c r="AW95" i="1"/>
  <c r="AW180" i="1"/>
  <c r="AW195" i="1"/>
  <c r="AW209" i="1"/>
  <c r="AW191" i="1"/>
  <c r="AW205" i="1"/>
  <c r="AW220" i="1"/>
  <c r="AW249" i="1"/>
  <c r="AW102" i="1"/>
  <c r="AW116" i="1"/>
  <c r="AW134" i="1"/>
  <c r="AW138" i="1"/>
  <c r="AW146" i="1"/>
  <c r="AW150" i="1"/>
  <c r="AW152" i="1"/>
  <c r="AW159" i="1"/>
  <c r="AW163" i="1"/>
  <c r="AW170" i="1"/>
  <c r="AW174" i="1"/>
  <c r="AW187" i="1"/>
  <c r="AW217" i="1"/>
  <c r="AW127" i="1"/>
  <c r="AW184" i="1"/>
  <c r="AW213" i="1"/>
  <c r="AW66" i="1"/>
  <c r="AW131" i="1"/>
  <c r="AW147" i="1"/>
  <c r="AW160" i="1"/>
  <c r="AW177" i="1"/>
  <c r="AW192" i="1"/>
  <c r="AW206" i="1"/>
  <c r="AW247" i="1"/>
  <c r="AW262" i="1"/>
  <c r="AW276" i="1"/>
  <c r="AW296" i="1"/>
  <c r="AW312" i="1"/>
  <c r="AW96" i="1"/>
  <c r="AW113" i="1"/>
  <c r="AW171" i="1"/>
  <c r="AW188" i="1"/>
  <c r="AW202" i="1"/>
  <c r="AW218" i="1"/>
  <c r="AW243" i="1"/>
  <c r="AW258" i="1"/>
  <c r="AW292" i="1"/>
  <c r="AW308" i="1"/>
  <c r="AW319" i="1"/>
  <c r="AW139" i="1"/>
  <c r="AW153" i="1"/>
  <c r="AW167" i="1"/>
  <c r="AW199" i="1"/>
  <c r="AW214" i="1"/>
  <c r="AW239" i="1"/>
  <c r="AW254" i="1"/>
  <c r="AW269" i="1"/>
  <c r="AW283" i="1"/>
  <c r="AW92" i="1"/>
  <c r="AW135" i="1"/>
  <c r="AW164" i="1"/>
  <c r="AW181" i="1"/>
  <c r="AW196" i="1"/>
  <c r="AW250" i="1"/>
  <c r="AW265" i="1"/>
  <c r="AW287" i="1"/>
  <c r="AW300" i="1"/>
  <c r="AW89" i="1"/>
  <c r="AW118" i="1"/>
  <c r="AW132" i="1"/>
  <c r="AW148" i="1"/>
  <c r="AW193" i="1"/>
  <c r="AW207" i="1"/>
  <c r="AW234" i="1"/>
  <c r="AW63" i="1"/>
  <c r="AW30" i="1"/>
  <c r="AW97" i="1"/>
  <c r="AW121" i="1"/>
  <c r="AW129" i="1"/>
  <c r="AW189" i="1"/>
  <c r="AW203" i="1"/>
  <c r="AW124" i="1"/>
  <c r="AW86" i="1"/>
  <c r="AW108" i="1"/>
  <c r="AW114" i="1"/>
  <c r="AW140" i="1"/>
  <c r="AW154" i="1"/>
  <c r="AW168" i="1"/>
  <c r="AW200" i="1"/>
  <c r="AW215" i="1"/>
  <c r="AW26" i="1"/>
  <c r="AW71" i="1"/>
  <c r="AW125" i="1"/>
  <c r="AW136" i="1"/>
  <c r="AW151" i="1"/>
  <c r="AW197" i="1"/>
  <c r="AW34" i="1"/>
  <c r="AW67" i="1"/>
  <c r="AW93" i="1"/>
  <c r="AW94" i="1"/>
  <c r="AW119" i="1"/>
  <c r="AW133" i="1"/>
  <c r="AW149" i="1"/>
  <c r="AW162" i="1"/>
  <c r="AW176" i="1"/>
  <c r="AW183" i="1"/>
  <c r="AW190" i="1"/>
  <c r="AW194" i="1"/>
  <c r="AW198" i="1"/>
  <c r="AW201" i="1"/>
  <c r="AW204" i="1"/>
  <c r="AW208" i="1"/>
  <c r="AW212" i="1"/>
  <c r="AW216" i="1"/>
  <c r="AW219" i="1"/>
  <c r="AW235" i="1"/>
  <c r="AW270" i="1"/>
  <c r="AW281" i="1"/>
  <c r="AW323" i="1"/>
  <c r="AW245" i="1"/>
  <c r="AW256" i="1"/>
  <c r="AW267" i="1"/>
  <c r="AW278" i="1"/>
  <c r="AW294" i="1"/>
  <c r="AW165" i="1"/>
  <c r="AW117" i="1"/>
  <c r="AW24" i="1"/>
  <c r="AW72" i="1"/>
  <c r="AW105" i="1"/>
  <c r="AW145" i="1"/>
  <c r="AW173" i="1"/>
  <c r="AW244" i="1"/>
  <c r="AW266" i="1"/>
  <c r="AW288" i="1"/>
  <c r="AW301" i="1"/>
  <c r="AW305" i="1"/>
  <c r="AW313" i="1"/>
  <c r="AW320" i="1"/>
  <c r="AW263" i="1"/>
  <c r="AW306" i="1"/>
  <c r="AW182" i="1"/>
  <c r="AW211" i="1"/>
  <c r="AW32" i="1"/>
  <c r="AW70" i="1"/>
  <c r="AW115" i="1"/>
  <c r="AW122" i="1"/>
  <c r="AW141" i="1"/>
  <c r="AW169" i="1"/>
  <c r="AW69" i="1"/>
  <c r="AW106" i="1"/>
  <c r="AW255" i="1"/>
  <c r="AW277" i="1"/>
  <c r="AW315" i="1"/>
  <c r="AW252" i="1"/>
  <c r="AW260" i="1"/>
  <c r="AW274" i="1"/>
  <c r="AW291" i="1"/>
  <c r="AW302" i="1"/>
  <c r="AW178" i="1"/>
  <c r="AW128" i="1"/>
  <c r="AW109" i="1"/>
  <c r="AW126" i="1"/>
  <c r="AW166" i="1"/>
  <c r="AW251" i="1"/>
  <c r="AW273" i="1"/>
  <c r="AW237" i="1"/>
  <c r="AW271" i="1"/>
  <c r="AW282" i="1"/>
  <c r="AW289" i="1"/>
  <c r="AW272" i="1"/>
  <c r="AW253" i="1"/>
  <c r="AW257" i="1"/>
  <c r="AW261" i="1"/>
  <c r="AW264" i="1"/>
  <c r="AW268" i="1"/>
  <c r="AW286" i="1"/>
  <c r="AW238" i="1"/>
  <c r="AW242" i="1"/>
  <c r="AW295" i="1"/>
  <c r="AW322" i="1"/>
  <c r="AW275" i="1"/>
  <c r="AW307" i="1"/>
  <c r="Z60" i="6"/>
  <c r="Z83" i="6"/>
  <c r="Z115" i="6"/>
  <c r="Z68" i="6"/>
  <c r="Z80" i="6"/>
  <c r="Z120" i="6"/>
  <c r="Z88" i="6"/>
  <c r="Z92" i="6"/>
  <c r="Z81" i="6"/>
  <c r="Z123" i="6"/>
  <c r="Z116" i="6"/>
  <c r="Z78" i="6"/>
  <c r="Z104" i="6"/>
  <c r="Z74" i="6"/>
  <c r="Z63" i="6"/>
  <c r="Z84" i="6"/>
  <c r="Z61" i="6"/>
  <c r="Z136" i="6"/>
  <c r="Z76" i="6"/>
  <c r="Z64" i="6"/>
  <c r="Z79" i="6"/>
  <c r="Z77" i="6"/>
  <c r="Z73" i="6"/>
  <c r="Z100" i="6"/>
  <c r="Z126" i="6"/>
  <c r="Z273" i="6"/>
  <c r="Z262" i="6"/>
  <c r="Z260" i="6"/>
  <c r="Z75" i="6"/>
  <c r="Z41" i="6"/>
  <c r="Z36" i="6"/>
  <c r="Z255" i="6"/>
  <c r="Z244" i="6"/>
  <c r="Z228" i="6"/>
  <c r="Z106" i="6"/>
  <c r="Z159" i="6"/>
  <c r="Z175" i="6"/>
  <c r="Z248" i="6"/>
  <c r="Z190" i="6"/>
  <c r="Z236" i="6"/>
  <c r="Z204" i="6"/>
  <c r="Z242" i="6"/>
  <c r="Z234" i="6"/>
  <c r="Z254" i="6"/>
  <c r="Z240" i="6"/>
  <c r="Z243" i="6"/>
  <c r="Z239" i="6"/>
  <c r="Z235" i="6"/>
  <c r="Z161" i="6"/>
  <c r="Z174" i="6"/>
  <c r="Z237" i="6"/>
  <c r="Z172" i="6"/>
  <c r="Z137" i="6"/>
  <c r="Z117" i="6"/>
  <c r="Z48" i="6"/>
  <c r="Z160" i="6"/>
  <c r="Z95" i="6"/>
  <c r="Z87" i="6"/>
  <c r="Z40" i="6"/>
  <c r="Z101" i="6"/>
  <c r="Z85" i="6"/>
  <c r="Z59" i="6"/>
  <c r="Z82" i="6"/>
  <c r="Z194" i="6"/>
  <c r="Z233" i="6"/>
  <c r="Z114" i="6"/>
  <c r="Z148" i="6"/>
  <c r="Z49" i="6"/>
  <c r="Z113" i="6"/>
  <c r="Z97" i="6"/>
  <c r="Z57" i="6"/>
  <c r="Z45" i="6"/>
  <c r="Z238" i="6"/>
  <c r="Z245" i="6"/>
  <c r="Z197" i="6"/>
  <c r="Z127" i="6"/>
  <c r="Z155" i="6"/>
  <c r="Z56" i="6"/>
  <c r="Z93" i="6"/>
  <c r="Z53" i="6"/>
  <c r="Z250" i="6"/>
  <c r="Z178" i="6"/>
  <c r="Z241" i="6"/>
  <c r="Z140" i="6"/>
  <c r="Z94" i="6"/>
  <c r="Z86" i="6"/>
  <c r="Z65" i="6"/>
  <c r="Z105" i="6"/>
  <c r="Z58" i="6"/>
  <c r="Z42" i="6"/>
  <c r="Z39" i="6"/>
  <c r="Z27" i="6"/>
  <c r="Z44" i="6"/>
  <c r="Z55" i="6"/>
  <c r="Z47" i="6"/>
  <c r="Z32" i="6"/>
  <c r="Z28" i="6"/>
  <c r="Z38" i="6"/>
  <c r="Z29" i="6"/>
  <c r="Z35" i="6"/>
  <c r="Z54" i="6"/>
  <c r="Z34" i="6"/>
  <c r="Z52" i="6"/>
  <c r="Z51" i="6"/>
  <c r="Z43" i="6"/>
  <c r="Z50" i="6"/>
  <c r="Z31" i="6"/>
  <c r="Z30" i="6"/>
  <c r="Z46" i="6"/>
  <c r="Z37" i="6"/>
  <c r="Z33" i="6"/>
  <c r="Z25" i="6"/>
  <c r="Z22" i="6"/>
  <c r="Z21" i="6"/>
  <c r="Z20" i="6"/>
  <c r="AA1" i="6"/>
  <c r="Z107" i="6"/>
  <c r="Z128" i="6"/>
  <c r="Z130" i="6"/>
  <c r="Z134" i="6"/>
  <c r="Z72" i="6"/>
  <c r="Z62" i="6"/>
  <c r="Z124" i="6"/>
  <c r="Z70" i="6"/>
  <c r="Z112" i="6"/>
  <c r="Z67" i="6"/>
  <c r="Z131" i="6"/>
  <c r="Z132" i="6"/>
  <c r="Z96" i="6"/>
  <c r="Z71" i="6"/>
  <c r="Z91" i="6"/>
  <c r="Z69" i="6"/>
  <c r="Z118" i="6"/>
  <c r="Z108" i="6"/>
  <c r="Z252" i="6"/>
  <c r="Z142" i="6"/>
  <c r="Z286" i="6"/>
  <c r="Z285" i="6"/>
  <c r="Z284" i="6"/>
  <c r="Z283" i="6"/>
  <c r="Z282" i="6"/>
  <c r="Z281" i="6"/>
  <c r="Z280" i="6"/>
  <c r="Z279" i="6"/>
  <c r="Z278" i="6"/>
  <c r="Z277" i="6"/>
  <c r="Z276" i="6"/>
  <c r="Z275" i="6"/>
  <c r="Z274" i="6"/>
  <c r="Z272" i="6"/>
  <c r="Z271" i="6"/>
  <c r="Z270" i="6"/>
  <c r="Z269" i="6"/>
  <c r="Z268" i="6"/>
  <c r="Z267" i="6"/>
  <c r="Z266" i="6"/>
  <c r="Z265" i="6"/>
  <c r="Z264" i="6"/>
  <c r="Z263" i="6"/>
  <c r="Z261" i="6"/>
  <c r="Z259" i="6"/>
  <c r="Z258" i="6"/>
  <c r="Z257" i="6"/>
  <c r="Z256" i="6"/>
  <c r="Z212" i="6"/>
  <c r="Z196" i="6"/>
  <c r="Z180" i="6"/>
  <c r="Z211" i="6"/>
  <c r="Z195" i="6"/>
  <c r="Z179" i="6"/>
  <c r="Z166" i="6"/>
  <c r="Z232" i="6"/>
  <c r="Z216" i="6"/>
  <c r="Z200" i="6"/>
  <c r="Z184" i="6"/>
  <c r="Z215" i="6"/>
  <c r="Z199" i="6"/>
  <c r="Z183" i="6"/>
  <c r="Z222" i="6"/>
  <c r="Z214" i="6"/>
  <c r="Z206" i="6"/>
  <c r="Z198" i="6"/>
  <c r="Z182" i="6"/>
  <c r="Z170" i="6"/>
  <c r="Z153" i="6"/>
  <c r="Z171" i="6"/>
  <c r="Z99" i="6"/>
  <c r="Z220" i="6"/>
  <c r="Z188" i="6"/>
  <c r="Z219" i="6"/>
  <c r="Z203" i="6"/>
  <c r="Z187" i="6"/>
  <c r="Z150" i="6"/>
  <c r="Z226" i="6"/>
  <c r="Z151" i="6"/>
  <c r="Z167" i="6"/>
  <c r="Z253" i="6"/>
  <c r="Z251" i="6"/>
  <c r="Z224" i="6"/>
  <c r="Z208" i="6"/>
  <c r="Z192" i="6"/>
  <c r="Z158" i="6"/>
  <c r="Z247" i="6"/>
  <c r="Z231" i="6"/>
  <c r="Z227" i="6"/>
  <c r="Z223" i="6"/>
  <c r="Z207" i="6"/>
  <c r="Z191" i="6"/>
  <c r="Z145" i="6"/>
  <c r="Z202" i="6"/>
  <c r="Z221" i="6"/>
  <c r="Z205" i="6"/>
  <c r="Z189" i="6"/>
  <c r="Z146" i="6"/>
  <c r="Z90" i="6"/>
  <c r="Z147" i="6"/>
  <c r="Z122" i="6"/>
  <c r="Z133" i="6"/>
  <c r="Z144" i="6"/>
  <c r="Z111" i="6"/>
  <c r="Z103" i="6"/>
  <c r="Z66" i="6"/>
  <c r="Z246" i="6"/>
  <c r="Z249" i="6"/>
  <c r="Z217" i="6"/>
  <c r="Z201" i="6"/>
  <c r="Z185" i="6"/>
  <c r="Z173" i="6"/>
  <c r="Z165" i="6"/>
  <c r="Z138" i="6"/>
  <c r="Z168" i="6"/>
  <c r="Z163" i="6"/>
  <c r="Z157" i="6"/>
  <c r="Z141" i="6"/>
  <c r="Z135" i="6"/>
  <c r="Z143" i="6"/>
  <c r="Z218" i="6"/>
  <c r="Z186" i="6"/>
  <c r="Z229" i="6"/>
  <c r="Z213" i="6"/>
  <c r="Z181" i="6"/>
  <c r="Z162" i="6"/>
  <c r="Z164" i="6"/>
  <c r="Z139" i="6"/>
  <c r="Z125" i="6"/>
  <c r="Z152" i="6"/>
  <c r="Z109" i="6"/>
  <c r="Z121" i="6"/>
  <c r="Z119" i="6"/>
  <c r="Z230" i="6"/>
  <c r="Z210" i="6"/>
  <c r="Z225" i="6"/>
  <c r="Z209" i="6"/>
  <c r="Z193" i="6"/>
  <c r="Z177" i="6"/>
  <c r="Z169" i="6"/>
  <c r="Z154" i="6"/>
  <c r="Z129" i="6"/>
  <c r="Z176" i="6"/>
  <c r="Z149" i="6"/>
  <c r="Z98" i="6"/>
  <c r="Z156" i="6"/>
  <c r="Z110" i="6"/>
  <c r="Z102" i="6"/>
  <c r="Z89" i="6"/>
  <c r="Z26" i="6"/>
  <c r="Z19" i="6"/>
  <c r="Z24" i="6"/>
  <c r="Z23" i="6"/>
  <c r="AA2" i="6"/>
  <c r="AF50" i="8"/>
  <c r="B48" i="10" s="1"/>
  <c r="B45" i="10"/>
  <c r="AY20" i="1"/>
  <c r="AX23" i="1"/>
  <c r="AF17" i="8"/>
  <c r="B15" i="10" s="1"/>
  <c r="AV4" i="1"/>
  <c r="AF16" i="8"/>
  <c r="B14" i="10" s="1"/>
  <c r="AX19" i="1"/>
  <c r="AX103" i="1" s="1"/>
  <c r="AY76" i="1" l="1"/>
  <c r="AY47" i="1"/>
  <c r="Z8" i="6"/>
  <c r="Z10" i="6"/>
  <c r="Z12" i="6"/>
  <c r="Z14" i="6"/>
  <c r="I51" i="8" s="1"/>
  <c r="I116" i="8" s="1"/>
  <c r="Z9" i="6"/>
  <c r="Z11" i="6"/>
  <c r="F51" i="8" s="1"/>
  <c r="F116" i="8" s="1"/>
  <c r="Z13" i="6"/>
  <c r="AX333" i="1"/>
  <c r="AX357" i="1"/>
  <c r="AY355" i="1"/>
  <c r="AY356" i="1"/>
  <c r="AY351" i="1"/>
  <c r="AY353" i="1"/>
  <c r="AY354" i="1"/>
  <c r="AY352" i="1"/>
  <c r="AX318" i="1"/>
  <c r="AX53" i="1"/>
  <c r="AX358" i="1"/>
  <c r="AX359" i="1"/>
  <c r="AX334" i="1"/>
  <c r="AX330" i="1"/>
  <c r="AX329" i="1"/>
  <c r="AX335" i="1"/>
  <c r="AX343" i="1"/>
  <c r="AX341" i="1"/>
  <c r="AX340" i="1"/>
  <c r="AY349" i="1"/>
  <c r="AY350" i="1"/>
  <c r="AY348" i="1"/>
  <c r="AY347" i="1"/>
  <c r="AX104" i="1"/>
  <c r="AX346" i="1"/>
  <c r="AX338" i="1"/>
  <c r="AX337" i="1"/>
  <c r="AX336" i="1"/>
  <c r="AX339" i="1"/>
  <c r="AX345" i="1"/>
  <c r="AX344" i="1"/>
  <c r="AX342" i="1"/>
  <c r="AX331" i="1"/>
  <c r="AY332" i="1"/>
  <c r="AX303" i="1"/>
  <c r="AX107" i="1"/>
  <c r="AX161" i="1"/>
  <c r="AX75" i="1"/>
  <c r="AX229" i="1"/>
  <c r="AX321" i="1"/>
  <c r="AX284" i="1"/>
  <c r="AX186" i="1"/>
  <c r="AX158" i="1"/>
  <c r="AX233" i="1"/>
  <c r="AX225" i="1"/>
  <c r="AX228" i="1"/>
  <c r="AX179" i="1"/>
  <c r="AX226" i="1"/>
  <c r="AX39" i="1"/>
  <c r="AX210" i="1"/>
  <c r="AX290" i="1"/>
  <c r="AX232" i="1"/>
  <c r="AX236" i="1"/>
  <c r="AX230" i="1"/>
  <c r="AX185" i="1"/>
  <c r="AX55" i="1"/>
  <c r="AB1" i="6"/>
  <c r="AA264" i="6"/>
  <c r="AA256" i="6"/>
  <c r="AA280" i="6"/>
  <c r="AA268" i="6"/>
  <c r="AA284" i="6"/>
  <c r="AA272" i="6"/>
  <c r="AA23" i="6"/>
  <c r="AA276" i="6"/>
  <c r="AA265" i="6"/>
  <c r="AA283" i="6"/>
  <c r="AA267" i="6"/>
  <c r="AA257" i="6"/>
  <c r="AA269" i="6"/>
  <c r="AA271" i="6"/>
  <c r="AA261" i="6"/>
  <c r="AA275" i="6"/>
  <c r="AA285" i="6"/>
  <c r="AA281" i="6"/>
  <c r="AA277" i="6"/>
  <c r="AA279" i="6"/>
  <c r="AA263" i="6"/>
  <c r="AA286" i="6"/>
  <c r="AA282" i="6"/>
  <c r="AA278" i="6"/>
  <c r="AA274" i="6"/>
  <c r="AA270" i="6"/>
  <c r="AA266" i="6"/>
  <c r="AA259" i="6"/>
  <c r="AA24" i="6"/>
  <c r="AA258" i="6"/>
  <c r="AA19" i="6"/>
  <c r="AA142" i="6"/>
  <c r="AA252" i="6"/>
  <c r="AA99" i="6"/>
  <c r="AA232" i="6"/>
  <c r="AA216" i="6"/>
  <c r="AA200" i="6"/>
  <c r="AA184" i="6"/>
  <c r="AA215" i="6"/>
  <c r="AA199" i="6"/>
  <c r="AA183" i="6"/>
  <c r="AA222" i="6"/>
  <c r="AA214" i="6"/>
  <c r="AA206" i="6"/>
  <c r="AA198" i="6"/>
  <c r="AA182" i="6"/>
  <c r="AA170" i="6"/>
  <c r="AA153" i="6"/>
  <c r="AA171" i="6"/>
  <c r="AA251" i="6"/>
  <c r="AA220" i="6"/>
  <c r="AA188" i="6"/>
  <c r="AA219" i="6"/>
  <c r="AA203" i="6"/>
  <c r="AA187" i="6"/>
  <c r="AA150" i="6"/>
  <c r="AA226" i="6"/>
  <c r="AA151" i="6"/>
  <c r="AA121" i="6"/>
  <c r="AA167" i="6"/>
  <c r="AA224" i="6"/>
  <c r="AA208" i="6"/>
  <c r="AA192" i="6"/>
  <c r="AA158" i="6"/>
  <c r="AA247" i="6"/>
  <c r="AA231" i="6"/>
  <c r="AA227" i="6"/>
  <c r="AA223" i="6"/>
  <c r="AA207" i="6"/>
  <c r="AA191" i="6"/>
  <c r="AA145" i="6"/>
  <c r="AA253" i="6"/>
  <c r="AA212" i="6"/>
  <c r="AA196" i="6"/>
  <c r="AA180" i="6"/>
  <c r="AA211" i="6"/>
  <c r="AA195" i="6"/>
  <c r="AA179" i="6"/>
  <c r="AA166" i="6"/>
  <c r="AA143" i="6"/>
  <c r="AA119" i="6"/>
  <c r="AA246" i="6"/>
  <c r="AA249" i="6"/>
  <c r="AA217" i="6"/>
  <c r="AA201" i="6"/>
  <c r="AA185" i="6"/>
  <c r="AA173" i="6"/>
  <c r="AA165" i="6"/>
  <c r="AA138" i="6"/>
  <c r="AA122" i="6"/>
  <c r="AA168" i="6"/>
  <c r="AA157" i="6"/>
  <c r="AA141" i="6"/>
  <c r="AA98" i="6"/>
  <c r="AA131" i="6"/>
  <c r="AA103" i="6"/>
  <c r="AA118" i="6"/>
  <c r="AA110" i="6"/>
  <c r="AA102" i="6"/>
  <c r="AA128" i="6"/>
  <c r="AA107" i="6"/>
  <c r="AA218" i="6"/>
  <c r="AA186" i="6"/>
  <c r="AA229" i="6"/>
  <c r="AA213" i="6"/>
  <c r="AA181" i="6"/>
  <c r="AA162" i="6"/>
  <c r="AA90" i="6"/>
  <c r="AA164" i="6"/>
  <c r="AA163" i="6"/>
  <c r="AA139" i="6"/>
  <c r="AA91" i="6"/>
  <c r="AA125" i="6"/>
  <c r="AA111" i="6"/>
  <c r="AA152" i="6"/>
  <c r="AA89" i="6"/>
  <c r="AA132" i="6"/>
  <c r="AA230" i="6"/>
  <c r="AA210" i="6"/>
  <c r="AA225" i="6"/>
  <c r="AA209" i="6"/>
  <c r="AA193" i="6"/>
  <c r="AA177" i="6"/>
  <c r="AA169" i="6"/>
  <c r="AA154" i="6"/>
  <c r="AA129" i="6"/>
  <c r="AA176" i="6"/>
  <c r="AA149" i="6"/>
  <c r="AA135" i="6"/>
  <c r="AA156" i="6"/>
  <c r="AA134" i="6"/>
  <c r="AA109" i="6"/>
  <c r="AA112" i="6"/>
  <c r="AA96" i="6"/>
  <c r="AA202" i="6"/>
  <c r="AA221" i="6"/>
  <c r="AA205" i="6"/>
  <c r="AA189" i="6"/>
  <c r="AA146" i="6"/>
  <c r="AA147" i="6"/>
  <c r="AA130" i="6"/>
  <c r="AA133" i="6"/>
  <c r="AA144" i="6"/>
  <c r="AA66" i="6"/>
  <c r="AA124" i="6"/>
  <c r="AA108" i="6"/>
  <c r="AA26" i="6"/>
  <c r="AA71" i="6"/>
  <c r="AA69" i="6"/>
  <c r="AA72" i="6"/>
  <c r="AA70" i="6"/>
  <c r="AA67" i="6"/>
  <c r="AA62" i="6"/>
  <c r="AY38" i="1"/>
  <c r="AY28" i="1"/>
  <c r="AY36" i="1"/>
  <c r="AY45" i="1"/>
  <c r="AY60" i="1"/>
  <c r="AY142" i="1"/>
  <c r="AY42" i="1"/>
  <c r="AY58" i="1"/>
  <c r="AY79" i="1"/>
  <c r="AY82" i="1"/>
  <c r="AY87" i="1"/>
  <c r="AY98" i="1"/>
  <c r="AY224" i="1"/>
  <c r="AY40" i="1"/>
  <c r="AY100" i="1"/>
  <c r="AY49" i="1"/>
  <c r="AY61" i="1"/>
  <c r="AY73" i="1"/>
  <c r="AY110" i="1"/>
  <c r="AY123" i="1"/>
  <c r="AY130" i="1"/>
  <c r="AY46" i="1"/>
  <c r="AY280" i="1"/>
  <c r="AY304" i="1"/>
  <c r="AY25" i="1"/>
  <c r="AY51" i="1"/>
  <c r="AY62" i="1"/>
  <c r="AY83" i="1"/>
  <c r="AY143" i="1"/>
  <c r="AY156" i="1"/>
  <c r="AY120" i="1"/>
  <c r="AY221" i="1"/>
  <c r="AY29" i="1"/>
  <c r="AY43" i="1"/>
  <c r="AY74" i="1"/>
  <c r="AY175" i="1"/>
  <c r="AY111" i="1"/>
  <c r="AY144" i="1"/>
  <c r="AY157" i="1"/>
  <c r="AY172" i="1"/>
  <c r="AY37" i="1"/>
  <c r="AY52" i="1"/>
  <c r="AY80" i="1"/>
  <c r="AY90" i="1"/>
  <c r="AY222" i="1"/>
  <c r="AY326" i="1"/>
  <c r="AY88" i="1"/>
  <c r="AY91" i="1"/>
  <c r="AY155" i="1"/>
  <c r="AY56" i="1"/>
  <c r="AY248" i="1"/>
  <c r="AY298" i="1"/>
  <c r="AY314" i="1"/>
  <c r="AY328" i="1"/>
  <c r="AY50" i="1"/>
  <c r="AY77" i="1"/>
  <c r="AY27" i="1"/>
  <c r="AY35" i="1"/>
  <c r="AY44" i="1"/>
  <c r="AY54" i="1"/>
  <c r="AY78" i="1"/>
  <c r="AY81" i="1"/>
  <c r="AY101" i="1"/>
  <c r="AY137" i="1"/>
  <c r="AY227" i="1"/>
  <c r="AY327" i="1"/>
  <c r="AY285" i="1"/>
  <c r="AY310" i="1"/>
  <c r="AY324" i="1"/>
  <c r="AY59" i="1"/>
  <c r="AY112" i="1"/>
  <c r="AY223" i="1"/>
  <c r="AY240" i="1"/>
  <c r="AY297" i="1"/>
  <c r="AY68" i="1"/>
  <c r="AY41" i="1"/>
  <c r="AY99" i="1"/>
  <c r="AY31" i="1"/>
  <c r="AY33" i="1"/>
  <c r="AY48" i="1"/>
  <c r="AY57" i="1"/>
  <c r="AY65" i="1"/>
  <c r="AY84" i="1"/>
  <c r="AY231" i="1"/>
  <c r="AY64" i="1"/>
  <c r="AY293" i="1"/>
  <c r="AY309" i="1"/>
  <c r="AY259" i="1"/>
  <c r="AY241" i="1"/>
  <c r="AY316" i="1"/>
  <c r="AY317" i="1"/>
  <c r="AY299" i="1"/>
  <c r="AY325" i="1"/>
  <c r="AY311" i="1"/>
  <c r="AY246" i="1"/>
  <c r="AY279" i="1"/>
  <c r="AA33" i="6"/>
  <c r="AA21" i="6"/>
  <c r="AA22" i="6"/>
  <c r="AA37" i="6"/>
  <c r="AA25" i="6"/>
  <c r="AA28" i="6"/>
  <c r="AA273" i="6"/>
  <c r="AA29" i="6"/>
  <c r="AA262" i="6"/>
  <c r="AA260" i="6"/>
  <c r="AA20" i="6"/>
  <c r="AA41" i="6"/>
  <c r="AA32" i="6"/>
  <c r="AA36" i="6"/>
  <c r="AA175" i="6"/>
  <c r="AA248" i="6"/>
  <c r="AA190" i="6"/>
  <c r="AA236" i="6"/>
  <c r="AA204" i="6"/>
  <c r="AA106" i="6"/>
  <c r="AA250" i="6"/>
  <c r="AA242" i="6"/>
  <c r="AA234" i="6"/>
  <c r="AA240" i="6"/>
  <c r="AA255" i="6"/>
  <c r="AA243" i="6"/>
  <c r="AA239" i="6"/>
  <c r="AA235" i="6"/>
  <c r="AA161" i="6"/>
  <c r="AA254" i="6"/>
  <c r="AA244" i="6"/>
  <c r="AA228" i="6"/>
  <c r="AA159" i="6"/>
  <c r="AA194" i="6"/>
  <c r="AA233" i="6"/>
  <c r="AA115" i="6"/>
  <c r="AA148" i="6"/>
  <c r="AA94" i="6"/>
  <c r="AA86" i="6"/>
  <c r="AA101" i="6"/>
  <c r="AA85" i="6"/>
  <c r="AA65" i="6"/>
  <c r="AA104" i="6"/>
  <c r="AA88" i="6"/>
  <c r="AA64" i="6"/>
  <c r="AA60" i="6"/>
  <c r="AA114" i="6"/>
  <c r="AA238" i="6"/>
  <c r="AA245" i="6"/>
  <c r="AA197" i="6"/>
  <c r="AA155" i="6"/>
  <c r="AA48" i="6"/>
  <c r="AA126" i="6"/>
  <c r="AA105" i="6"/>
  <c r="AA40" i="6"/>
  <c r="AA116" i="6"/>
  <c r="AA100" i="6"/>
  <c r="AA84" i="6"/>
  <c r="AA81" i="6"/>
  <c r="AA80" i="6"/>
  <c r="AA79" i="6"/>
  <c r="AA82" i="6"/>
  <c r="AA178" i="6"/>
  <c r="AA241" i="6"/>
  <c r="AA83" i="6"/>
  <c r="AA123" i="6"/>
  <c r="AA87" i="6"/>
  <c r="AA140" i="6"/>
  <c r="AA49" i="6"/>
  <c r="AA93" i="6"/>
  <c r="AA136" i="6"/>
  <c r="AA120" i="6"/>
  <c r="AA57" i="6"/>
  <c r="AA45" i="6"/>
  <c r="AA174" i="6"/>
  <c r="AA237" i="6"/>
  <c r="AA127" i="6"/>
  <c r="AA172" i="6"/>
  <c r="AA137" i="6"/>
  <c r="AA117" i="6"/>
  <c r="AA95" i="6"/>
  <c r="AA160" i="6"/>
  <c r="AA113" i="6"/>
  <c r="AA97" i="6"/>
  <c r="AA56" i="6"/>
  <c r="AA92" i="6"/>
  <c r="AA68" i="6"/>
  <c r="AA53" i="6"/>
  <c r="AA52" i="6"/>
  <c r="AA44" i="6"/>
  <c r="AA54" i="6"/>
  <c r="AA31" i="6"/>
  <c r="AA35" i="6"/>
  <c r="AA51" i="6"/>
  <c r="AA43" i="6"/>
  <c r="AA39" i="6"/>
  <c r="AA63" i="6"/>
  <c r="AA50" i="6"/>
  <c r="AA27" i="6"/>
  <c r="AA77" i="6"/>
  <c r="AA75" i="6"/>
  <c r="AA73" i="6"/>
  <c r="AA58" i="6"/>
  <c r="AA46" i="6"/>
  <c r="AA59" i="6"/>
  <c r="AA55" i="6"/>
  <c r="AA47" i="6"/>
  <c r="AA61" i="6"/>
  <c r="AA42" i="6"/>
  <c r="AA34" i="6"/>
  <c r="AA78" i="6"/>
  <c r="AA76" i="6"/>
  <c r="AA74" i="6"/>
  <c r="AA38" i="6"/>
  <c r="AA30" i="6"/>
  <c r="H51" i="8"/>
  <c r="H116" i="8" s="1"/>
  <c r="G51" i="8"/>
  <c r="G116" i="8" s="1"/>
  <c r="AX32" i="1"/>
  <c r="AX85" i="1"/>
  <c r="AX95" i="1"/>
  <c r="AX102" i="1"/>
  <c r="AX116" i="1"/>
  <c r="AX146" i="1"/>
  <c r="AX159" i="1"/>
  <c r="AX174" i="1"/>
  <c r="AX69" i="1"/>
  <c r="AX170" i="1"/>
  <c r="AX180" i="1"/>
  <c r="AX195" i="1"/>
  <c r="AX209" i="1"/>
  <c r="AX66" i="1"/>
  <c r="AX92" i="1"/>
  <c r="AX106" i="1"/>
  <c r="AX127" i="1"/>
  <c r="AX138" i="1"/>
  <c r="AX152" i="1"/>
  <c r="AX184" i="1"/>
  <c r="AX187" i="1"/>
  <c r="AX191" i="1"/>
  <c r="AX205" i="1"/>
  <c r="AX213" i="1"/>
  <c r="AX217" i="1"/>
  <c r="AX220" i="1"/>
  <c r="AX124" i="1"/>
  <c r="AX63" i="1"/>
  <c r="AX134" i="1"/>
  <c r="AX150" i="1"/>
  <c r="AX163" i="1"/>
  <c r="AX188" i="1"/>
  <c r="AX202" i="1"/>
  <c r="AX218" i="1"/>
  <c r="AX292" i="1"/>
  <c r="AX308" i="1"/>
  <c r="AX319" i="1"/>
  <c r="AX199" i="1"/>
  <c r="AX214" i="1"/>
  <c r="AX70" i="1"/>
  <c r="AX113" i="1"/>
  <c r="AX171" i="1"/>
  <c r="AX181" i="1"/>
  <c r="AX196" i="1"/>
  <c r="AX243" i="1"/>
  <c r="AX258" i="1"/>
  <c r="AX287" i="1"/>
  <c r="AX300" i="1"/>
  <c r="AX131" i="1"/>
  <c r="AX135" i="1"/>
  <c r="AX139" i="1"/>
  <c r="AX147" i="1"/>
  <c r="AX153" i="1"/>
  <c r="AX160" i="1"/>
  <c r="AX164" i="1"/>
  <c r="AX167" i="1"/>
  <c r="AX177" i="1"/>
  <c r="AX192" i="1"/>
  <c r="AX206" i="1"/>
  <c r="AX239" i="1"/>
  <c r="AX247" i="1"/>
  <c r="AX250" i="1"/>
  <c r="AX254" i="1"/>
  <c r="AX262" i="1"/>
  <c r="AX265" i="1"/>
  <c r="AX269" i="1"/>
  <c r="AX276" i="1"/>
  <c r="AX283" i="1"/>
  <c r="AX296" i="1"/>
  <c r="AX312" i="1"/>
  <c r="AX30" i="1"/>
  <c r="AX97" i="1"/>
  <c r="AX121" i="1"/>
  <c r="AX129" i="1"/>
  <c r="AX189" i="1"/>
  <c r="AX203" i="1"/>
  <c r="AX34" i="1"/>
  <c r="AX86" i="1"/>
  <c r="AX108" i="1"/>
  <c r="AX114" i="1"/>
  <c r="AX140" i="1"/>
  <c r="AX154" i="1"/>
  <c r="AX168" i="1"/>
  <c r="AX200" i="1"/>
  <c r="AX215" i="1"/>
  <c r="AX67" i="1"/>
  <c r="AX26" i="1"/>
  <c r="AX71" i="1"/>
  <c r="AX125" i="1"/>
  <c r="AX136" i="1"/>
  <c r="AX151" i="1"/>
  <c r="AX165" i="1"/>
  <c r="AX182" i="1"/>
  <c r="AX197" i="1"/>
  <c r="AX211" i="1"/>
  <c r="AX89" i="1"/>
  <c r="AX118" i="1"/>
  <c r="AX132" i="1"/>
  <c r="AX148" i="1"/>
  <c r="AX193" i="1"/>
  <c r="AX93" i="1"/>
  <c r="AX117" i="1"/>
  <c r="AX128" i="1"/>
  <c r="AX24" i="1"/>
  <c r="AX72" i="1"/>
  <c r="AX105" i="1"/>
  <c r="AX145" i="1"/>
  <c r="AX173" i="1"/>
  <c r="AX190" i="1"/>
  <c r="AX204" i="1"/>
  <c r="AX219" i="1"/>
  <c r="AX244" i="1"/>
  <c r="AX266" i="1"/>
  <c r="AX320" i="1"/>
  <c r="AX263" i="1"/>
  <c r="AX291" i="1"/>
  <c r="AX234" i="1"/>
  <c r="AX115" i="1"/>
  <c r="AX122" i="1"/>
  <c r="AX141" i="1"/>
  <c r="AX169" i="1"/>
  <c r="AX201" i="1"/>
  <c r="AX216" i="1"/>
  <c r="AX255" i="1"/>
  <c r="AX277" i="1"/>
  <c r="AX305" i="1"/>
  <c r="AX313" i="1"/>
  <c r="AX315" i="1"/>
  <c r="AX252" i="1"/>
  <c r="AX260" i="1"/>
  <c r="AX274" i="1"/>
  <c r="AX294" i="1"/>
  <c r="AX178" i="1"/>
  <c r="AX207" i="1"/>
  <c r="AX96" i="1"/>
  <c r="AX109" i="1"/>
  <c r="AX126" i="1"/>
  <c r="AX166" i="1"/>
  <c r="AX183" i="1"/>
  <c r="AX198" i="1"/>
  <c r="AX212" i="1"/>
  <c r="AX251" i="1"/>
  <c r="AX273" i="1"/>
  <c r="AX288" i="1"/>
  <c r="AX301" i="1"/>
  <c r="AX237" i="1"/>
  <c r="AX271" i="1"/>
  <c r="AX282" i="1"/>
  <c r="AX302" i="1"/>
  <c r="AX306" i="1"/>
  <c r="AX94" i="1"/>
  <c r="AX119" i="1"/>
  <c r="AX133" i="1"/>
  <c r="AX149" i="1"/>
  <c r="AX162" i="1"/>
  <c r="AX176" i="1"/>
  <c r="AX194" i="1"/>
  <c r="AX208" i="1"/>
  <c r="AX235" i="1"/>
  <c r="AX270" i="1"/>
  <c r="AX281" i="1"/>
  <c r="AX323" i="1"/>
  <c r="AX245" i="1"/>
  <c r="AX256" i="1"/>
  <c r="AX267" i="1"/>
  <c r="AX278" i="1"/>
  <c r="AX289" i="1"/>
  <c r="AX257" i="1"/>
  <c r="AX286" i="1"/>
  <c r="AX242" i="1"/>
  <c r="AX253" i="1"/>
  <c r="AX268" i="1"/>
  <c r="AX275" i="1"/>
  <c r="AX295" i="1"/>
  <c r="AX238" i="1"/>
  <c r="AX264" i="1"/>
  <c r="AX307" i="1"/>
  <c r="AX322" i="1"/>
  <c r="AX249" i="1"/>
  <c r="AX261" i="1"/>
  <c r="AX272" i="1"/>
  <c r="AF51" i="8"/>
  <c r="B49" i="10" s="1"/>
  <c r="AB2" i="6"/>
  <c r="AF49" i="8"/>
  <c r="AZ20" i="1"/>
  <c r="AY23" i="1"/>
  <c r="AW4" i="1"/>
  <c r="AF19" i="8" s="1"/>
  <c r="B17" i="10" s="1"/>
  <c r="AY19" i="1"/>
  <c r="AY103" i="1" s="1"/>
  <c r="AZ76" i="1" l="1"/>
  <c r="AZ47" i="1"/>
  <c r="AA8" i="6"/>
  <c r="AA10" i="6"/>
  <c r="AA12" i="6"/>
  <c r="G52" i="8" s="1"/>
  <c r="G117" i="8" s="1"/>
  <c r="AA14" i="6"/>
  <c r="I52" i="8" s="1"/>
  <c r="I117" i="8" s="1"/>
  <c r="AA11" i="6"/>
  <c r="AA13" i="6"/>
  <c r="H52" i="8" s="1"/>
  <c r="H117" i="8" s="1"/>
  <c r="AA9" i="6"/>
  <c r="AY318" i="1"/>
  <c r="AY357" i="1"/>
  <c r="AY333" i="1"/>
  <c r="AY358" i="1"/>
  <c r="AY359" i="1"/>
  <c r="AY334" i="1"/>
  <c r="AY53" i="1"/>
  <c r="AY329" i="1"/>
  <c r="AZ355" i="1"/>
  <c r="AZ354" i="1"/>
  <c r="AZ352" i="1"/>
  <c r="AZ356" i="1"/>
  <c r="AZ351" i="1"/>
  <c r="AZ353" i="1"/>
  <c r="AY330" i="1"/>
  <c r="AZ350" i="1"/>
  <c r="AZ347" i="1"/>
  <c r="AZ349" i="1"/>
  <c r="AZ348" i="1"/>
  <c r="AY341" i="1"/>
  <c r="AY340" i="1"/>
  <c r="AY335" i="1"/>
  <c r="AY343" i="1"/>
  <c r="AY104" i="1"/>
  <c r="AY344" i="1"/>
  <c r="AY342" i="1"/>
  <c r="AY338" i="1"/>
  <c r="AY337" i="1"/>
  <c r="AY336" i="1"/>
  <c r="AY345" i="1"/>
  <c r="AY339" i="1"/>
  <c r="AY346" i="1"/>
  <c r="AY331" i="1"/>
  <c r="AZ332" i="1"/>
  <c r="AY158" i="1"/>
  <c r="AY39" i="1"/>
  <c r="AY226" i="1"/>
  <c r="AY161" i="1"/>
  <c r="AY210" i="1"/>
  <c r="AY232" i="1"/>
  <c r="AY303" i="1"/>
  <c r="AY284" i="1"/>
  <c r="AY55" i="1"/>
  <c r="AY229" i="1"/>
  <c r="AY236" i="1"/>
  <c r="AY179" i="1"/>
  <c r="AY107" i="1"/>
  <c r="AY225" i="1"/>
  <c r="AY185" i="1"/>
  <c r="AY75" i="1"/>
  <c r="AY321" i="1"/>
  <c r="AY186" i="1"/>
  <c r="AY230" i="1"/>
  <c r="AY233" i="1"/>
  <c r="AY290" i="1"/>
  <c r="AY228" i="1"/>
  <c r="AB73" i="6"/>
  <c r="AB57" i="6"/>
  <c r="AB40" i="6"/>
  <c r="AB197" i="6"/>
  <c r="AB33" i="6"/>
  <c r="AB86" i="6"/>
  <c r="AB105" i="6"/>
  <c r="AB53" i="6"/>
  <c r="AB32" i="6"/>
  <c r="AB120" i="6"/>
  <c r="AB34" i="6"/>
  <c r="AB65" i="6"/>
  <c r="AB172" i="6"/>
  <c r="AB100" i="6"/>
  <c r="AB55" i="6"/>
  <c r="AB94" i="6"/>
  <c r="AB61" i="6"/>
  <c r="AB25" i="6"/>
  <c r="AB52" i="6"/>
  <c r="AB255" i="6"/>
  <c r="AB75" i="6"/>
  <c r="AB51" i="6"/>
  <c r="AB87" i="6"/>
  <c r="AB233" i="6"/>
  <c r="AB47" i="6"/>
  <c r="AB92" i="6"/>
  <c r="AB148" i="6"/>
  <c r="AB45" i="6"/>
  <c r="AB78" i="6"/>
  <c r="AB20" i="6"/>
  <c r="AB155" i="6"/>
  <c r="AB250" i="6"/>
  <c r="AB68" i="6"/>
  <c r="AB27" i="6"/>
  <c r="AB115" i="6"/>
  <c r="AB74" i="6"/>
  <c r="AB58" i="6"/>
  <c r="AB160" i="6"/>
  <c r="AB140" i="6"/>
  <c r="AB237" i="6"/>
  <c r="AB63" i="6"/>
  <c r="AB46" i="6"/>
  <c r="AB21" i="6"/>
  <c r="AB80" i="6"/>
  <c r="AB22" i="6"/>
  <c r="AB37" i="6"/>
  <c r="AB38" i="6"/>
  <c r="AB29" i="6"/>
  <c r="AB240" i="6"/>
  <c r="AB44" i="6"/>
  <c r="AB59" i="6"/>
  <c r="AB104" i="6"/>
  <c r="AB228" i="6"/>
  <c r="AB248" i="6"/>
  <c r="AB243" i="6"/>
  <c r="AB136" i="6"/>
  <c r="AB60" i="6"/>
  <c r="AB137" i="6"/>
  <c r="AB262" i="6"/>
  <c r="AB123" i="6"/>
  <c r="AB88" i="6"/>
  <c r="AB245" i="6"/>
  <c r="AB241" i="6"/>
  <c r="AB39" i="6"/>
  <c r="AB81" i="6"/>
  <c r="AB64" i="6"/>
  <c r="AB43" i="6"/>
  <c r="AB273" i="6"/>
  <c r="AB113" i="6"/>
  <c r="AB116" i="6"/>
  <c r="AB28" i="6"/>
  <c r="AB236" i="6"/>
  <c r="AB93" i="6"/>
  <c r="AB117" i="6"/>
  <c r="AB83" i="6"/>
  <c r="AB42" i="6"/>
  <c r="AB235" i="6"/>
  <c r="AB79" i="6"/>
  <c r="AB126" i="6"/>
  <c r="AB101" i="6"/>
  <c r="AB239" i="6"/>
  <c r="AB260" i="6"/>
  <c r="AB244" i="6"/>
  <c r="AB174" i="6"/>
  <c r="AB31" i="6"/>
  <c r="AB204" i="6"/>
  <c r="AB84" i="6"/>
  <c r="AB97" i="6"/>
  <c r="AB30" i="6"/>
  <c r="AB54" i="6"/>
  <c r="AB36" i="6"/>
  <c r="AB95" i="6"/>
  <c r="AB77" i="6"/>
  <c r="AB85" i="6"/>
  <c r="AB76" i="6"/>
  <c r="AB56" i="6"/>
  <c r="AB50" i="6"/>
  <c r="AB35" i="6"/>
  <c r="AB41" i="6"/>
  <c r="AB254" i="6"/>
  <c r="AB175" i="6"/>
  <c r="AB106" i="6"/>
  <c r="AB194" i="6"/>
  <c r="AB178" i="6"/>
  <c r="AB238" i="6"/>
  <c r="AB114" i="6"/>
  <c r="AB127" i="6"/>
  <c r="AB159" i="6"/>
  <c r="AB48" i="6"/>
  <c r="AB49" i="6"/>
  <c r="AB242" i="6"/>
  <c r="AB190" i="6"/>
  <c r="AB234" i="6"/>
  <c r="AB161" i="6"/>
  <c r="AB82" i="6"/>
  <c r="F52" i="8"/>
  <c r="F117" i="8" s="1"/>
  <c r="AZ38" i="1"/>
  <c r="AZ42" i="1"/>
  <c r="AZ58" i="1"/>
  <c r="AZ79" i="1"/>
  <c r="AZ82" i="1"/>
  <c r="AZ87" i="1"/>
  <c r="AZ98" i="1"/>
  <c r="AZ224" i="1"/>
  <c r="AZ40" i="1"/>
  <c r="AZ81" i="1"/>
  <c r="AZ31" i="1"/>
  <c r="AZ48" i="1"/>
  <c r="AZ49" i="1"/>
  <c r="AZ61" i="1"/>
  <c r="AZ73" i="1"/>
  <c r="AZ110" i="1"/>
  <c r="AZ123" i="1"/>
  <c r="AZ130" i="1"/>
  <c r="AZ28" i="1"/>
  <c r="AZ36" i="1"/>
  <c r="AZ45" i="1"/>
  <c r="AZ60" i="1"/>
  <c r="AZ142" i="1"/>
  <c r="AZ57" i="1"/>
  <c r="AZ25" i="1"/>
  <c r="AZ221" i="1"/>
  <c r="AZ62" i="1"/>
  <c r="AZ83" i="1"/>
  <c r="AZ143" i="1"/>
  <c r="AZ156" i="1"/>
  <c r="AZ304" i="1"/>
  <c r="AZ120" i="1"/>
  <c r="AZ33" i="1"/>
  <c r="AZ65" i="1"/>
  <c r="AZ46" i="1"/>
  <c r="AZ280" i="1"/>
  <c r="AZ326" i="1"/>
  <c r="AZ111" i="1"/>
  <c r="AZ175" i="1"/>
  <c r="AZ37" i="1"/>
  <c r="AZ52" i="1"/>
  <c r="AZ80" i="1"/>
  <c r="AZ51" i="1"/>
  <c r="AZ59" i="1"/>
  <c r="AZ68" i="1"/>
  <c r="AZ144" i="1"/>
  <c r="AZ157" i="1"/>
  <c r="AZ172" i="1"/>
  <c r="AZ222" i="1"/>
  <c r="AZ90" i="1"/>
  <c r="AZ29" i="1"/>
  <c r="AZ43" i="1"/>
  <c r="AZ74" i="1"/>
  <c r="AZ56" i="1"/>
  <c r="AZ64" i="1"/>
  <c r="AZ100" i="1"/>
  <c r="AZ50" i="1"/>
  <c r="AZ77" i="1"/>
  <c r="AZ84" i="1"/>
  <c r="AZ227" i="1"/>
  <c r="AZ44" i="1"/>
  <c r="AZ248" i="1"/>
  <c r="AZ327" i="1"/>
  <c r="AZ285" i="1"/>
  <c r="AZ310" i="1"/>
  <c r="AZ324" i="1"/>
  <c r="AZ101" i="1"/>
  <c r="AZ112" i="1"/>
  <c r="AZ223" i="1"/>
  <c r="AZ35" i="1"/>
  <c r="AZ91" i="1"/>
  <c r="AZ259" i="1"/>
  <c r="AZ297" i="1"/>
  <c r="AZ41" i="1"/>
  <c r="AZ99" i="1"/>
  <c r="AZ78" i="1"/>
  <c r="AZ137" i="1"/>
  <c r="AZ27" i="1"/>
  <c r="AZ293" i="1"/>
  <c r="AZ309" i="1"/>
  <c r="AZ241" i="1"/>
  <c r="AZ316" i="1"/>
  <c r="AZ88" i="1"/>
  <c r="AZ155" i="1"/>
  <c r="AZ231" i="1"/>
  <c r="AZ54" i="1"/>
  <c r="AZ240" i="1"/>
  <c r="AZ298" i="1"/>
  <c r="AZ314" i="1"/>
  <c r="AZ299" i="1"/>
  <c r="AZ325" i="1"/>
  <c r="AZ246" i="1"/>
  <c r="AZ279" i="1"/>
  <c r="AZ311" i="1"/>
  <c r="AZ328" i="1"/>
  <c r="AZ317" i="1"/>
  <c r="AY71" i="1"/>
  <c r="AY69" i="1"/>
  <c r="AY170" i="1"/>
  <c r="AY184" i="1"/>
  <c r="AY213" i="1"/>
  <c r="AY89" i="1"/>
  <c r="AY66" i="1"/>
  <c r="AY92" i="1"/>
  <c r="AY106" i="1"/>
  <c r="AY127" i="1"/>
  <c r="AY138" i="1"/>
  <c r="AY152" i="1"/>
  <c r="AY180" i="1"/>
  <c r="AY195" i="1"/>
  <c r="AY209" i="1"/>
  <c r="AY30" i="1"/>
  <c r="AY63" i="1"/>
  <c r="AY134" i="1"/>
  <c r="AY150" i="1"/>
  <c r="AY163" i="1"/>
  <c r="AY191" i="1"/>
  <c r="AY205" i="1"/>
  <c r="AY220" i="1"/>
  <c r="AY32" i="1"/>
  <c r="AY85" i="1"/>
  <c r="AY95" i="1"/>
  <c r="AY102" i="1"/>
  <c r="AY116" i="1"/>
  <c r="AY146" i="1"/>
  <c r="AY159" i="1"/>
  <c r="AY174" i="1"/>
  <c r="AY187" i="1"/>
  <c r="AY217" i="1"/>
  <c r="AY135" i="1"/>
  <c r="AY164" i="1"/>
  <c r="AY177" i="1"/>
  <c r="AY250" i="1"/>
  <c r="AY265" i="1"/>
  <c r="AY131" i="1"/>
  <c r="AY147" i="1"/>
  <c r="AY160" i="1"/>
  <c r="AY247" i="1"/>
  <c r="AY262" i="1"/>
  <c r="AY276" i="1"/>
  <c r="AY287" i="1"/>
  <c r="AY300" i="1"/>
  <c r="AY319" i="1"/>
  <c r="AY96" i="1"/>
  <c r="AY113" i="1"/>
  <c r="AY171" i="1"/>
  <c r="AY199" i="1"/>
  <c r="AY214" i="1"/>
  <c r="AY243" i="1"/>
  <c r="AY258" i="1"/>
  <c r="AY296" i="1"/>
  <c r="AY312" i="1"/>
  <c r="AY139" i="1"/>
  <c r="AY153" i="1"/>
  <c r="AY167" i="1"/>
  <c r="AY181" i="1"/>
  <c r="AY188" i="1"/>
  <c r="AY192" i="1"/>
  <c r="AY196" i="1"/>
  <c r="AY202" i="1"/>
  <c r="AY206" i="1"/>
  <c r="AY218" i="1"/>
  <c r="AY239" i="1"/>
  <c r="AY254" i="1"/>
  <c r="AY269" i="1"/>
  <c r="AY283" i="1"/>
  <c r="AY292" i="1"/>
  <c r="AY308" i="1"/>
  <c r="AY97" i="1"/>
  <c r="AY108" i="1"/>
  <c r="AY118" i="1"/>
  <c r="AY132" i="1"/>
  <c r="AY148" i="1"/>
  <c r="AY200" i="1"/>
  <c r="AY215" i="1"/>
  <c r="AY234" i="1"/>
  <c r="AY26" i="1"/>
  <c r="AY86" i="1"/>
  <c r="AY129" i="1"/>
  <c r="AY136" i="1"/>
  <c r="AY140" i="1"/>
  <c r="AY151" i="1"/>
  <c r="AY154" i="1"/>
  <c r="AY165" i="1"/>
  <c r="AY168" i="1"/>
  <c r="AY182" i="1"/>
  <c r="AY197" i="1"/>
  <c r="AY211" i="1"/>
  <c r="AY125" i="1"/>
  <c r="AY178" i="1"/>
  <c r="AY193" i="1"/>
  <c r="AY207" i="1"/>
  <c r="AY124" i="1"/>
  <c r="AY121" i="1"/>
  <c r="AY203" i="1"/>
  <c r="AY128" i="1"/>
  <c r="AY115" i="1"/>
  <c r="AY122" i="1"/>
  <c r="AY141" i="1"/>
  <c r="AY169" i="1"/>
  <c r="AY201" i="1"/>
  <c r="AY216" i="1"/>
  <c r="AY305" i="1"/>
  <c r="AY315" i="1"/>
  <c r="AY252" i="1"/>
  <c r="AY260" i="1"/>
  <c r="AY274" i="1"/>
  <c r="AY289" i="1"/>
  <c r="AY34" i="1"/>
  <c r="AY67" i="1"/>
  <c r="AY93" i="1"/>
  <c r="AY109" i="1"/>
  <c r="AY126" i="1"/>
  <c r="AY166" i="1"/>
  <c r="AY183" i="1"/>
  <c r="AY198" i="1"/>
  <c r="AY212" i="1"/>
  <c r="AY114" i="1"/>
  <c r="AY244" i="1"/>
  <c r="AY251" i="1"/>
  <c r="AY255" i="1"/>
  <c r="AY288" i="1"/>
  <c r="AY301" i="1"/>
  <c r="AY313" i="1"/>
  <c r="AY237" i="1"/>
  <c r="AY271" i="1"/>
  <c r="AY282" i="1"/>
  <c r="AY294" i="1"/>
  <c r="AY189" i="1"/>
  <c r="AY117" i="1"/>
  <c r="AY94" i="1"/>
  <c r="AY119" i="1"/>
  <c r="AY133" i="1"/>
  <c r="AY149" i="1"/>
  <c r="AY162" i="1"/>
  <c r="AY176" i="1"/>
  <c r="AY194" i="1"/>
  <c r="AY208" i="1"/>
  <c r="AY235" i="1"/>
  <c r="AY277" i="1"/>
  <c r="AY281" i="1"/>
  <c r="AY323" i="1"/>
  <c r="AY245" i="1"/>
  <c r="AY256" i="1"/>
  <c r="AY267" i="1"/>
  <c r="AY278" i="1"/>
  <c r="AY306" i="1"/>
  <c r="AY70" i="1"/>
  <c r="AY24" i="1"/>
  <c r="AY72" i="1"/>
  <c r="AY105" i="1"/>
  <c r="AY145" i="1"/>
  <c r="AY173" i="1"/>
  <c r="AY190" i="1"/>
  <c r="AY204" i="1"/>
  <c r="AY219" i="1"/>
  <c r="AY266" i="1"/>
  <c r="AY270" i="1"/>
  <c r="AY273" i="1"/>
  <c r="AY320" i="1"/>
  <c r="AY263" i="1"/>
  <c r="AY291" i="1"/>
  <c r="AY302" i="1"/>
  <c r="AY242" i="1"/>
  <c r="AY253" i="1"/>
  <c r="AY268" i="1"/>
  <c r="AY275" i="1"/>
  <c r="AY238" i="1"/>
  <c r="AY264" i="1"/>
  <c r="AY286" i="1"/>
  <c r="AY249" i="1"/>
  <c r="AY261" i="1"/>
  <c r="AY272" i="1"/>
  <c r="AY295" i="1"/>
  <c r="AY307" i="1"/>
  <c r="AY257" i="1"/>
  <c r="AY322" i="1"/>
  <c r="AC1" i="6"/>
  <c r="AB269" i="6"/>
  <c r="AB184" i="6"/>
  <c r="AB283" i="6"/>
  <c r="AB272" i="6"/>
  <c r="AB232" i="6"/>
  <c r="AB146" i="6"/>
  <c r="AB185" i="6"/>
  <c r="AB216" i="6"/>
  <c r="AB279" i="6"/>
  <c r="AB166" i="6"/>
  <c r="AB72" i="6"/>
  <c r="AB110" i="6"/>
  <c r="AB275" i="6"/>
  <c r="AB200" i="6"/>
  <c r="AB221" i="6"/>
  <c r="AB265" i="6"/>
  <c r="AB170" i="6"/>
  <c r="AB213" i="6"/>
  <c r="AB268" i="6"/>
  <c r="AB96" i="6"/>
  <c r="AB271" i="6"/>
  <c r="AB203" i="6"/>
  <c r="AB199" i="6"/>
  <c r="AB280" i="6"/>
  <c r="AB264" i="6"/>
  <c r="AB220" i="6"/>
  <c r="AB189" i="6"/>
  <c r="AB267" i="6"/>
  <c r="AB276" i="6"/>
  <c r="AB261" i="6"/>
  <c r="AB249" i="6"/>
  <c r="AB89" i="6"/>
  <c r="AB177" i="6"/>
  <c r="AB263" i="6"/>
  <c r="AB219" i="6"/>
  <c r="AB229" i="6"/>
  <c r="AB217" i="6"/>
  <c r="AB169" i="6"/>
  <c r="AB24" i="6"/>
  <c r="AB225" i="6"/>
  <c r="AB284" i="6"/>
  <c r="AB201" i="6"/>
  <c r="AB26" i="6"/>
  <c r="AB152" i="6"/>
  <c r="AB162" i="6"/>
  <c r="AB281" i="6"/>
  <c r="AB256" i="6"/>
  <c r="AB215" i="6"/>
  <c r="AB111" i="6"/>
  <c r="AB208" i="6"/>
  <c r="AB156" i="6"/>
  <c r="AB149" i="6"/>
  <c r="AB259" i="6"/>
  <c r="AB23" i="6"/>
  <c r="AB138" i="6"/>
  <c r="AB183" i="6"/>
  <c r="AB180" i="6"/>
  <c r="AB165" i="6"/>
  <c r="AB286" i="6"/>
  <c r="AB282" i="6"/>
  <c r="AB278" i="6"/>
  <c r="AB274" i="6"/>
  <c r="AB270" i="6"/>
  <c r="AB257" i="6"/>
  <c r="AB103" i="6"/>
  <c r="AB168" i="6"/>
  <c r="AB157" i="6"/>
  <c r="AB141" i="6"/>
  <c r="AB19" i="6"/>
  <c r="AB173" i="6"/>
  <c r="AB266" i="6"/>
  <c r="AB144" i="6"/>
  <c r="AB285" i="6"/>
  <c r="AB277" i="6"/>
  <c r="AB258" i="6"/>
  <c r="AB128" i="6"/>
  <c r="AB124" i="6"/>
  <c r="AB62" i="6"/>
  <c r="AB209" i="6"/>
  <c r="AB134" i="6"/>
  <c r="AB70" i="6"/>
  <c r="AB112" i="6"/>
  <c r="AB181" i="6"/>
  <c r="AB154" i="6"/>
  <c r="AB211" i="6"/>
  <c r="AB187" i="6"/>
  <c r="AB164" i="6"/>
  <c r="AB118" i="6"/>
  <c r="AB98" i="6"/>
  <c r="AB212" i="6"/>
  <c r="AB108" i="6"/>
  <c r="AB71" i="6"/>
  <c r="AB196" i="6"/>
  <c r="AB147" i="6"/>
  <c r="AB102" i="6"/>
  <c r="AB192" i="6"/>
  <c r="AB132" i="6"/>
  <c r="AB176" i="6"/>
  <c r="AB131" i="6"/>
  <c r="AB90" i="6"/>
  <c r="AB133" i="6"/>
  <c r="AB227" i="6"/>
  <c r="AB224" i="6"/>
  <c r="AB247" i="6"/>
  <c r="AB231" i="6"/>
  <c r="AB91" i="6"/>
  <c r="AB195" i="6"/>
  <c r="AB188" i="6"/>
  <c r="AB179" i="6"/>
  <c r="AB207" i="6"/>
  <c r="AB193" i="6"/>
  <c r="AB66" i="6"/>
  <c r="AB163" i="6"/>
  <c r="AB223" i="6"/>
  <c r="AB191" i="6"/>
  <c r="AB69" i="6"/>
  <c r="AB139" i="6"/>
  <c r="AB205" i="6"/>
  <c r="AB109" i="6"/>
  <c r="AB125" i="6"/>
  <c r="AB67" i="6"/>
  <c r="AB142" i="6"/>
  <c r="AB158" i="6"/>
  <c r="AB252" i="6"/>
  <c r="AB251" i="6"/>
  <c r="AB171" i="6"/>
  <c r="AB218" i="6"/>
  <c r="AB210" i="6"/>
  <c r="AB202" i="6"/>
  <c r="AB186" i="6"/>
  <c r="AB253" i="6"/>
  <c r="AB167" i="6"/>
  <c r="AB246" i="6"/>
  <c r="AB230" i="6"/>
  <c r="AB99" i="6"/>
  <c r="AB150" i="6"/>
  <c r="AB198" i="6"/>
  <c r="AB153" i="6"/>
  <c r="AB143" i="6"/>
  <c r="AB107" i="6"/>
  <c r="AB121" i="6"/>
  <c r="AB119" i="6"/>
  <c r="AB222" i="6"/>
  <c r="AB214" i="6"/>
  <c r="AB182" i="6"/>
  <c r="AB151" i="6"/>
  <c r="AB145" i="6"/>
  <c r="AB130" i="6"/>
  <c r="AB226" i="6"/>
  <c r="AB206" i="6"/>
  <c r="AB129" i="6"/>
  <c r="AB122" i="6"/>
  <c r="AB135" i="6"/>
  <c r="AC2" i="6"/>
  <c r="B47" i="10"/>
  <c r="BA20" i="1"/>
  <c r="AZ23" i="1"/>
  <c r="AF18" i="8"/>
  <c r="B16" i="10" s="1"/>
  <c r="AX4" i="1"/>
  <c r="AF20" i="8" s="1"/>
  <c r="B18" i="10" s="1"/>
  <c r="AZ19" i="1"/>
  <c r="AZ103" i="1" s="1"/>
  <c r="BA76" i="1" l="1"/>
  <c r="BA47" i="1"/>
  <c r="AB9" i="6"/>
  <c r="AB11" i="6"/>
  <c r="AB13" i="6"/>
  <c r="H53" i="8" s="1"/>
  <c r="H118" i="8" s="1"/>
  <c r="AB8" i="6"/>
  <c r="AB10" i="6"/>
  <c r="AB12" i="6"/>
  <c r="G53" i="8" s="1"/>
  <c r="G118" i="8" s="1"/>
  <c r="AB14" i="6"/>
  <c r="I53" i="8" s="1"/>
  <c r="I118" i="8" s="1"/>
  <c r="AZ330" i="1"/>
  <c r="AZ357" i="1"/>
  <c r="AZ329" i="1"/>
  <c r="AZ318" i="1"/>
  <c r="AZ358" i="1"/>
  <c r="AZ359" i="1"/>
  <c r="BA352" i="1"/>
  <c r="BA354" i="1"/>
  <c r="BA351" i="1"/>
  <c r="BA356" i="1"/>
  <c r="BA353" i="1"/>
  <c r="BA355" i="1"/>
  <c r="AZ53" i="1"/>
  <c r="AZ334" i="1"/>
  <c r="AZ333" i="1"/>
  <c r="AZ335" i="1"/>
  <c r="AZ343" i="1"/>
  <c r="AZ341" i="1"/>
  <c r="AZ340" i="1"/>
  <c r="BA348" i="1"/>
  <c r="BA349" i="1"/>
  <c r="BA347" i="1"/>
  <c r="BA350" i="1"/>
  <c r="AZ104" i="1"/>
  <c r="AZ337" i="1"/>
  <c r="AZ346" i="1"/>
  <c r="AZ345" i="1"/>
  <c r="AZ339" i="1"/>
  <c r="AZ336" i="1"/>
  <c r="AZ344" i="1"/>
  <c r="AZ342" i="1"/>
  <c r="AZ338" i="1"/>
  <c r="AZ331" i="1"/>
  <c r="BA332" i="1"/>
  <c r="AZ303" i="1"/>
  <c r="AZ321" i="1"/>
  <c r="AZ232" i="1"/>
  <c r="AZ284" i="1"/>
  <c r="AZ186" i="1"/>
  <c r="AZ107" i="1"/>
  <c r="AZ39" i="1"/>
  <c r="AZ75" i="1"/>
  <c r="AZ161" i="1"/>
  <c r="AZ225" i="1"/>
  <c r="AZ229" i="1"/>
  <c r="AZ233" i="1"/>
  <c r="AZ228" i="1"/>
  <c r="AZ158" i="1"/>
  <c r="AZ179" i="1"/>
  <c r="AZ236" i="1"/>
  <c r="AZ230" i="1"/>
  <c r="AZ210" i="1"/>
  <c r="AZ55" i="1"/>
  <c r="AZ226" i="1"/>
  <c r="AZ185" i="1"/>
  <c r="AZ290" i="1"/>
  <c r="F53" i="8"/>
  <c r="F118" i="8" s="1"/>
  <c r="AD1" i="6"/>
  <c r="AC143" i="6"/>
  <c r="AC103" i="6"/>
  <c r="AC261" i="6"/>
  <c r="AC177" i="6"/>
  <c r="AC269" i="6"/>
  <c r="AC151" i="6"/>
  <c r="AC158" i="6"/>
  <c r="AC131" i="6"/>
  <c r="AC23" i="6"/>
  <c r="AC166" i="6"/>
  <c r="AC90" i="6"/>
  <c r="AC99" i="6"/>
  <c r="AC224" i="6"/>
  <c r="AC266" i="6"/>
  <c r="AC270" i="6"/>
  <c r="AC196" i="6"/>
  <c r="AC188" i="6"/>
  <c r="AC274" i="6"/>
  <c r="AC220" i="6"/>
  <c r="AC208" i="6"/>
  <c r="AC282" i="6"/>
  <c r="AC192" i="6"/>
  <c r="AC72" i="6"/>
  <c r="AC216" i="6"/>
  <c r="AC146" i="6"/>
  <c r="AC278" i="6"/>
  <c r="AC154" i="6"/>
  <c r="AC170" i="6"/>
  <c r="AC184" i="6"/>
  <c r="AC212" i="6"/>
  <c r="AC232" i="6"/>
  <c r="AC286" i="6"/>
  <c r="AC110" i="6"/>
  <c r="AC134" i="6"/>
  <c r="AC182" i="6"/>
  <c r="AC145" i="6"/>
  <c r="AC181" i="6"/>
  <c r="AC187" i="6"/>
  <c r="AC191" i="6"/>
  <c r="AC195" i="6"/>
  <c r="AC223" i="6"/>
  <c r="AC227" i="6"/>
  <c r="AC249" i="6"/>
  <c r="AC149" i="6"/>
  <c r="AC211" i="6"/>
  <c r="AC281" i="6"/>
  <c r="AC141" i="6"/>
  <c r="AC169" i="6"/>
  <c r="AC219" i="6"/>
  <c r="AC133" i="6"/>
  <c r="AC153" i="6"/>
  <c r="AC277" i="6"/>
  <c r="AC71" i="6"/>
  <c r="AC199" i="6"/>
  <c r="AC215" i="6"/>
  <c r="AC91" i="6"/>
  <c r="AC121" i="6"/>
  <c r="AC173" i="6"/>
  <c r="AC285" i="6"/>
  <c r="AC109" i="6"/>
  <c r="AC203" i="6"/>
  <c r="AC183" i="6"/>
  <c r="AC108" i="6"/>
  <c r="AC124" i="6"/>
  <c r="AC210" i="6"/>
  <c r="AC264" i="6"/>
  <c r="AC280" i="6"/>
  <c r="AC132" i="6"/>
  <c r="AC230" i="6"/>
  <c r="AC112" i="6"/>
  <c r="AC152" i="6"/>
  <c r="AC156" i="6"/>
  <c r="AC186" i="6"/>
  <c r="AC226" i="6"/>
  <c r="AC66" i="6"/>
  <c r="AC268" i="6"/>
  <c r="AC284" i="6"/>
  <c r="AC24" i="6"/>
  <c r="AC276" i="6"/>
  <c r="AC70" i="6"/>
  <c r="AC214" i="6"/>
  <c r="AC218" i="6"/>
  <c r="AC222" i="6"/>
  <c r="AC256" i="6"/>
  <c r="AC206" i="6"/>
  <c r="AC144" i="6"/>
  <c r="AC168" i="6"/>
  <c r="AC202" i="6"/>
  <c r="AC272" i="6"/>
  <c r="AC180" i="6"/>
  <c r="AC198" i="6"/>
  <c r="AC252" i="6"/>
  <c r="AC179" i="6"/>
  <c r="AC189" i="6"/>
  <c r="AC271" i="6"/>
  <c r="AC69" i="6"/>
  <c r="AC205" i="6"/>
  <c r="AC217" i="6"/>
  <c r="AC229" i="6"/>
  <c r="AC111" i="6"/>
  <c r="AC279" i="6"/>
  <c r="AC167" i="6"/>
  <c r="AC19" i="6"/>
  <c r="AC201" i="6"/>
  <c r="AC213" i="6"/>
  <c r="AC147" i="6"/>
  <c r="AC135" i="6"/>
  <c r="AC171" i="6"/>
  <c r="AC225" i="6"/>
  <c r="AC283" i="6"/>
  <c r="AC267" i="6"/>
  <c r="AC209" i="6"/>
  <c r="AC185" i="6"/>
  <c r="AC221" i="6"/>
  <c r="AC259" i="6"/>
  <c r="AZ119" i="1"/>
  <c r="AZ66" i="1"/>
  <c r="AZ92" i="1"/>
  <c r="AZ106" i="1"/>
  <c r="AZ127" i="1"/>
  <c r="AZ138" i="1"/>
  <c r="AZ152" i="1"/>
  <c r="AZ180" i="1"/>
  <c r="AZ195" i="1"/>
  <c r="AZ209" i="1"/>
  <c r="AZ105" i="1"/>
  <c r="AZ63" i="1"/>
  <c r="AZ134" i="1"/>
  <c r="AZ150" i="1"/>
  <c r="AZ163" i="1"/>
  <c r="AZ191" i="1"/>
  <c r="AZ205" i="1"/>
  <c r="AZ220" i="1"/>
  <c r="AZ72" i="1"/>
  <c r="AZ32" i="1"/>
  <c r="AZ85" i="1"/>
  <c r="AZ95" i="1"/>
  <c r="AZ102" i="1"/>
  <c r="AZ116" i="1"/>
  <c r="AZ146" i="1"/>
  <c r="AZ159" i="1"/>
  <c r="AZ174" i="1"/>
  <c r="AZ187" i="1"/>
  <c r="AZ217" i="1"/>
  <c r="AZ24" i="1"/>
  <c r="AZ69" i="1"/>
  <c r="AZ170" i="1"/>
  <c r="AZ184" i="1"/>
  <c r="AZ213" i="1"/>
  <c r="AZ131" i="1"/>
  <c r="AZ147" i="1"/>
  <c r="AZ160" i="1"/>
  <c r="AZ192" i="1"/>
  <c r="AZ206" i="1"/>
  <c r="AZ247" i="1"/>
  <c r="AZ262" i="1"/>
  <c r="AZ276" i="1"/>
  <c r="AZ96" i="1"/>
  <c r="AZ113" i="1"/>
  <c r="AZ171" i="1"/>
  <c r="AZ188" i="1"/>
  <c r="AZ202" i="1"/>
  <c r="AZ218" i="1"/>
  <c r="AZ243" i="1"/>
  <c r="AZ258" i="1"/>
  <c r="AZ319" i="1"/>
  <c r="AZ139" i="1"/>
  <c r="AZ153" i="1"/>
  <c r="AZ167" i="1"/>
  <c r="AZ199" i="1"/>
  <c r="AZ214" i="1"/>
  <c r="AZ239" i="1"/>
  <c r="AZ254" i="1"/>
  <c r="AZ269" i="1"/>
  <c r="AZ283" i="1"/>
  <c r="AZ287" i="1"/>
  <c r="AZ292" i="1"/>
  <c r="AZ296" i="1"/>
  <c r="AZ300" i="1"/>
  <c r="AZ308" i="1"/>
  <c r="AZ312" i="1"/>
  <c r="AZ135" i="1"/>
  <c r="AZ164" i="1"/>
  <c r="AZ177" i="1"/>
  <c r="AZ181" i="1"/>
  <c r="AZ196" i="1"/>
  <c r="AZ250" i="1"/>
  <c r="AZ265" i="1"/>
  <c r="AZ89" i="1"/>
  <c r="AZ118" i="1"/>
  <c r="AZ132" i="1"/>
  <c r="AZ148" i="1"/>
  <c r="AZ178" i="1"/>
  <c r="AZ189" i="1"/>
  <c r="AZ203" i="1"/>
  <c r="AZ234" i="1"/>
  <c r="AZ30" i="1"/>
  <c r="AZ97" i="1"/>
  <c r="AZ121" i="1"/>
  <c r="AZ129" i="1"/>
  <c r="AZ182" i="1"/>
  <c r="AZ193" i="1"/>
  <c r="AZ197" i="1"/>
  <c r="AZ200" i="1"/>
  <c r="AZ207" i="1"/>
  <c r="AZ211" i="1"/>
  <c r="AZ215" i="1"/>
  <c r="AZ124" i="1"/>
  <c r="AZ86" i="1"/>
  <c r="AZ108" i="1"/>
  <c r="AZ114" i="1"/>
  <c r="AZ140" i="1"/>
  <c r="AZ154" i="1"/>
  <c r="AZ168" i="1"/>
  <c r="AZ26" i="1"/>
  <c r="AZ71" i="1"/>
  <c r="AZ125" i="1"/>
  <c r="AZ136" i="1"/>
  <c r="AZ151" i="1"/>
  <c r="AZ34" i="1"/>
  <c r="AZ67" i="1"/>
  <c r="AZ93" i="1"/>
  <c r="AZ115" i="1"/>
  <c r="AZ126" i="1"/>
  <c r="AZ183" i="1"/>
  <c r="AZ198" i="1"/>
  <c r="AZ212" i="1"/>
  <c r="AZ270" i="1"/>
  <c r="AZ281" i="1"/>
  <c r="AZ288" i="1"/>
  <c r="AZ301" i="1"/>
  <c r="AZ315" i="1"/>
  <c r="AZ320" i="1"/>
  <c r="AZ260" i="1"/>
  <c r="AZ263" i="1"/>
  <c r="AZ271" i="1"/>
  <c r="AZ274" i="1"/>
  <c r="AZ294" i="1"/>
  <c r="AZ117" i="1"/>
  <c r="AZ122" i="1"/>
  <c r="AZ194" i="1"/>
  <c r="AZ208" i="1"/>
  <c r="AZ244" i="1"/>
  <c r="AZ266" i="1"/>
  <c r="AZ252" i="1"/>
  <c r="AZ256" i="1"/>
  <c r="AZ306" i="1"/>
  <c r="AZ165" i="1"/>
  <c r="AZ70" i="1"/>
  <c r="AZ109" i="1"/>
  <c r="AZ166" i="1"/>
  <c r="AZ190" i="1"/>
  <c r="AZ204" i="1"/>
  <c r="AZ219" i="1"/>
  <c r="AZ255" i="1"/>
  <c r="AZ277" i="1"/>
  <c r="AZ313" i="1"/>
  <c r="AZ237" i="1"/>
  <c r="AZ245" i="1"/>
  <c r="AZ282" i="1"/>
  <c r="AZ291" i="1"/>
  <c r="AZ302" i="1"/>
  <c r="AZ128" i="1"/>
  <c r="AZ94" i="1"/>
  <c r="AZ133" i="1"/>
  <c r="AZ141" i="1"/>
  <c r="AZ145" i="1"/>
  <c r="AZ149" i="1"/>
  <c r="AZ162" i="1"/>
  <c r="AZ169" i="1"/>
  <c r="AZ173" i="1"/>
  <c r="AZ176" i="1"/>
  <c r="AZ201" i="1"/>
  <c r="AZ216" i="1"/>
  <c r="AZ235" i="1"/>
  <c r="AZ251" i="1"/>
  <c r="AZ273" i="1"/>
  <c r="AZ305" i="1"/>
  <c r="AZ323" i="1"/>
  <c r="AZ267" i="1"/>
  <c r="AZ278" i="1"/>
  <c r="AZ289" i="1"/>
  <c r="AZ238" i="1"/>
  <c r="AZ264" i="1"/>
  <c r="AZ249" i="1"/>
  <c r="AZ261" i="1"/>
  <c r="AZ272" i="1"/>
  <c r="AZ286" i="1"/>
  <c r="AZ322" i="1"/>
  <c r="AZ257" i="1"/>
  <c r="AZ295" i="1"/>
  <c r="AZ242" i="1"/>
  <c r="AZ253" i="1"/>
  <c r="AZ268" i="1"/>
  <c r="AZ275" i="1"/>
  <c r="AZ307" i="1"/>
  <c r="AC61" i="6"/>
  <c r="AC97" i="6"/>
  <c r="AC65" i="6"/>
  <c r="AC68" i="6"/>
  <c r="AC120" i="6"/>
  <c r="AC234" i="6"/>
  <c r="AC174" i="6"/>
  <c r="AC228" i="6"/>
  <c r="AC114" i="6"/>
  <c r="AC262" i="6"/>
  <c r="AC250" i="6"/>
  <c r="AC204" i="6"/>
  <c r="AC92" i="6"/>
  <c r="AC254" i="6"/>
  <c r="AC126" i="6"/>
  <c r="AC113" i="6"/>
  <c r="AC137" i="6"/>
  <c r="AC273" i="6"/>
  <c r="AC161" i="6"/>
  <c r="AC148" i="6"/>
  <c r="AC235" i="6"/>
  <c r="AC260" i="6"/>
  <c r="AC100" i="6"/>
  <c r="AC190" i="6"/>
  <c r="AC104" i="6"/>
  <c r="AC194" i="6"/>
  <c r="AC136" i="6"/>
  <c r="AC160" i="6"/>
  <c r="AC140" i="6"/>
  <c r="AC172" i="6"/>
  <c r="AC127" i="6"/>
  <c r="AC255" i="6"/>
  <c r="AC159" i="6"/>
  <c r="AC155" i="6"/>
  <c r="AC123" i="6"/>
  <c r="AC233" i="6"/>
  <c r="BA38" i="1"/>
  <c r="BA82" i="1"/>
  <c r="BA130" i="1"/>
  <c r="BA142" i="1"/>
  <c r="BA79" i="1"/>
  <c r="BA87" i="1"/>
  <c r="BA98" i="1"/>
  <c r="BA224" i="1"/>
  <c r="BA28" i="1"/>
  <c r="BA60" i="1"/>
  <c r="BA62" i="1"/>
  <c r="BA83" i="1"/>
  <c r="BA143" i="1"/>
  <c r="BA156" i="1"/>
  <c r="BA45" i="1"/>
  <c r="BA110" i="1"/>
  <c r="BA120" i="1"/>
  <c r="BA304" i="1"/>
  <c r="BA36" i="1"/>
  <c r="BA46" i="1"/>
  <c r="BA280" i="1"/>
  <c r="BA221" i="1"/>
  <c r="BA37" i="1"/>
  <c r="BA52" i="1"/>
  <c r="BA80" i="1"/>
  <c r="BA51" i="1"/>
  <c r="BA59" i="1"/>
  <c r="BA68" i="1"/>
  <c r="BA144" i="1"/>
  <c r="BA157" i="1"/>
  <c r="BA172" i="1"/>
  <c r="BA326" i="1"/>
  <c r="BA25" i="1"/>
  <c r="BA42" i="1"/>
  <c r="BA90" i="1"/>
  <c r="BA29" i="1"/>
  <c r="BA43" i="1"/>
  <c r="BA74" i="1"/>
  <c r="BA56" i="1"/>
  <c r="BA64" i="1"/>
  <c r="BA100" i="1"/>
  <c r="BA58" i="1"/>
  <c r="BA111" i="1"/>
  <c r="BA31" i="1"/>
  <c r="BA33" i="1"/>
  <c r="BA48" i="1"/>
  <c r="BA57" i="1"/>
  <c r="BA65" i="1"/>
  <c r="BA78" i="1"/>
  <c r="BA84" i="1"/>
  <c r="BA231" i="1"/>
  <c r="BA61" i="1"/>
  <c r="BA123" i="1"/>
  <c r="BA259" i="1"/>
  <c r="BA293" i="1"/>
  <c r="BA297" i="1"/>
  <c r="BA309" i="1"/>
  <c r="BA241" i="1"/>
  <c r="BA175" i="1"/>
  <c r="BA41" i="1"/>
  <c r="BA99" i="1"/>
  <c r="BA91" i="1"/>
  <c r="BA155" i="1"/>
  <c r="BA314" i="1"/>
  <c r="BA316" i="1"/>
  <c r="BA324" i="1"/>
  <c r="BA328" i="1"/>
  <c r="BA222" i="1"/>
  <c r="BA40" i="1"/>
  <c r="BA77" i="1"/>
  <c r="BA88" i="1"/>
  <c r="BA27" i="1"/>
  <c r="BA35" i="1"/>
  <c r="BA44" i="1"/>
  <c r="BA54" i="1"/>
  <c r="BA81" i="1"/>
  <c r="BA101" i="1"/>
  <c r="BA137" i="1"/>
  <c r="BA49" i="1"/>
  <c r="BA240" i="1"/>
  <c r="BA327" i="1"/>
  <c r="BA298" i="1"/>
  <c r="BA50" i="1"/>
  <c r="BA112" i="1"/>
  <c r="BA223" i="1"/>
  <c r="BA227" i="1"/>
  <c r="BA73" i="1"/>
  <c r="BA248" i="1"/>
  <c r="BA285" i="1"/>
  <c r="BA310" i="1"/>
  <c r="BA299" i="1"/>
  <c r="BA325" i="1"/>
  <c r="BA246" i="1"/>
  <c r="BA311" i="1"/>
  <c r="BA279" i="1"/>
  <c r="BA317" i="1"/>
  <c r="AD2" i="6"/>
  <c r="AC106" i="6"/>
  <c r="AC85" i="6"/>
  <c r="AC50" i="6"/>
  <c r="AC46" i="6"/>
  <c r="AC32" i="6"/>
  <c r="AC28" i="6"/>
  <c r="AC89" i="6"/>
  <c r="AC55" i="6"/>
  <c r="AC22" i="6"/>
  <c r="AC77" i="6"/>
  <c r="AC81" i="6"/>
  <c r="AC41" i="6"/>
  <c r="AC37" i="6"/>
  <c r="AC163" i="6"/>
  <c r="AC96" i="6"/>
  <c r="AC49" i="6"/>
  <c r="AC45" i="6"/>
  <c r="AC83" i="6"/>
  <c r="AC74" i="6"/>
  <c r="AC48" i="6"/>
  <c r="AC26" i="6"/>
  <c r="AC119" i="6"/>
  <c r="AC80" i="6"/>
  <c r="AC58" i="6"/>
  <c r="AC54" i="6"/>
  <c r="AC40" i="6"/>
  <c r="AC165" i="6"/>
  <c r="AC87" i="6"/>
  <c r="AC63" i="6"/>
  <c r="AC53" i="6"/>
  <c r="AC35" i="6"/>
  <c r="AC30" i="6"/>
  <c r="AC84" i="6"/>
  <c r="AC36" i="6"/>
  <c r="AC88" i="6"/>
  <c r="AC64" i="6"/>
  <c r="AC31" i="6"/>
  <c r="AC21" i="6"/>
  <c r="AC130" i="6"/>
  <c r="AC79" i="6"/>
  <c r="AC20" i="6"/>
  <c r="AC29" i="6"/>
  <c r="AC102" i="6"/>
  <c r="AC56" i="6"/>
  <c r="AC57" i="6"/>
  <c r="AC39" i="6"/>
  <c r="AC164" i="6"/>
  <c r="AC86" i="6"/>
  <c r="AC82" i="6"/>
  <c r="AC78" i="6"/>
  <c r="AC47" i="6"/>
  <c r="AC38" i="6"/>
  <c r="AC27" i="6"/>
  <c r="AC129" i="6"/>
  <c r="AC42" i="6"/>
  <c r="AC139" i="6"/>
  <c r="AC75" i="6"/>
  <c r="AC116" i="6"/>
  <c r="AC200" i="6"/>
  <c r="AC51" i="6"/>
  <c r="AC107" i="6"/>
  <c r="AC33" i="6"/>
  <c r="AC242" i="6"/>
  <c r="AC94" i="6"/>
  <c r="AC240" i="6"/>
  <c r="AC43" i="6"/>
  <c r="AC59" i="6"/>
  <c r="AC118" i="6"/>
  <c r="AC60" i="6"/>
  <c r="AC44" i="6"/>
  <c r="AC95" i="6"/>
  <c r="AC247" i="6"/>
  <c r="AC52" i="6"/>
  <c r="AC207" i="6"/>
  <c r="AC239" i="6"/>
  <c r="AC258" i="6"/>
  <c r="AC265" i="6"/>
  <c r="AC138" i="6"/>
  <c r="AC176" i="6"/>
  <c r="AC122" i="6"/>
  <c r="AC263" i="6"/>
  <c r="AC67" i="6"/>
  <c r="AC128" i="6"/>
  <c r="AC73" i="6"/>
  <c r="AC117" i="6"/>
  <c r="AC25" i="6"/>
  <c r="AC105" i="6"/>
  <c r="AC162" i="6"/>
  <c r="AC76" i="6"/>
  <c r="AC231" i="6"/>
  <c r="AC125" i="6"/>
  <c r="AC178" i="6"/>
  <c r="AC150" i="6"/>
  <c r="AC275" i="6"/>
  <c r="AC197" i="6"/>
  <c r="AC93" i="6"/>
  <c r="AC244" i="6"/>
  <c r="AC193" i="6"/>
  <c r="AC62" i="6"/>
  <c r="AC142" i="6"/>
  <c r="AC238" i="6"/>
  <c r="AC257" i="6"/>
  <c r="AC115" i="6"/>
  <c r="AC236" i="6"/>
  <c r="AC251" i="6"/>
  <c r="AC241" i="6"/>
  <c r="AC248" i="6"/>
  <c r="AC253" i="6"/>
  <c r="AC101" i="6"/>
  <c r="AC98" i="6"/>
  <c r="AC34" i="6"/>
  <c r="AC245" i="6"/>
  <c r="AC157" i="6"/>
  <c r="AC243" i="6"/>
  <c r="AC246" i="6"/>
  <c r="AC175" i="6"/>
  <c r="AC237" i="6"/>
  <c r="BB20" i="1"/>
  <c r="BA23" i="1"/>
  <c r="AY4" i="1"/>
  <c r="BA19" i="1"/>
  <c r="BA103" i="1" s="1"/>
  <c r="BB76" i="1" l="1"/>
  <c r="BB47" i="1"/>
  <c r="AC8" i="6"/>
  <c r="AC10" i="6"/>
  <c r="AC14" i="6"/>
  <c r="AC9" i="6"/>
  <c r="AC11" i="6"/>
  <c r="AC13" i="6"/>
  <c r="AC12" i="6"/>
  <c r="BA318" i="1"/>
  <c r="BA357" i="1"/>
  <c r="BA329" i="1"/>
  <c r="BA359" i="1"/>
  <c r="BA358" i="1"/>
  <c r="BB355" i="1"/>
  <c r="BB351" i="1"/>
  <c r="BB354" i="1"/>
  <c r="BB352" i="1"/>
  <c r="BB356" i="1"/>
  <c r="BB353" i="1"/>
  <c r="BA330" i="1"/>
  <c r="BA53" i="1"/>
  <c r="BA334" i="1"/>
  <c r="BA333" i="1"/>
  <c r="BB349" i="1"/>
  <c r="BB348" i="1"/>
  <c r="BB350" i="1"/>
  <c r="BB347" i="1"/>
  <c r="BA341" i="1"/>
  <c r="BA340" i="1"/>
  <c r="BA343" i="1"/>
  <c r="BA335" i="1"/>
  <c r="BA104" i="1"/>
  <c r="BA345" i="1"/>
  <c r="BA338" i="1"/>
  <c r="BA336" i="1"/>
  <c r="BA344" i="1"/>
  <c r="BA337" i="1"/>
  <c r="BA342" i="1"/>
  <c r="BA339" i="1"/>
  <c r="BA346" i="1"/>
  <c r="BA331" i="1"/>
  <c r="BB332" i="1"/>
  <c r="BA233" i="1"/>
  <c r="BA236" i="1"/>
  <c r="BA55" i="1"/>
  <c r="BA161" i="1"/>
  <c r="BA39" i="1"/>
  <c r="BA107" i="1"/>
  <c r="BA226" i="1"/>
  <c r="BA321" i="1"/>
  <c r="BA158" i="1"/>
  <c r="BA210" i="1"/>
  <c r="BA232" i="1"/>
  <c r="BA290" i="1"/>
  <c r="BA228" i="1"/>
  <c r="BA75" i="1"/>
  <c r="BA225" i="1"/>
  <c r="BA229" i="1"/>
  <c r="BA186" i="1"/>
  <c r="BA185" i="1"/>
  <c r="BA303" i="1"/>
  <c r="BA284" i="1"/>
  <c r="BA179" i="1"/>
  <c r="BA230" i="1"/>
  <c r="BB38" i="1"/>
  <c r="BB62" i="1"/>
  <c r="BB29" i="1"/>
  <c r="BB28" i="1"/>
  <c r="BB36" i="1"/>
  <c r="BB45" i="1"/>
  <c r="BB60" i="1"/>
  <c r="BB142" i="1"/>
  <c r="BB224" i="1"/>
  <c r="BB88" i="1"/>
  <c r="BB42" i="1"/>
  <c r="BB58" i="1"/>
  <c r="BB79" i="1"/>
  <c r="BB82" i="1"/>
  <c r="BB87" i="1"/>
  <c r="BB98" i="1"/>
  <c r="BB40" i="1"/>
  <c r="BB37" i="1"/>
  <c r="BB80" i="1"/>
  <c r="BB49" i="1"/>
  <c r="BB61" i="1"/>
  <c r="BB73" i="1"/>
  <c r="BB110" i="1"/>
  <c r="BB123" i="1"/>
  <c r="BB130" i="1"/>
  <c r="BB120" i="1"/>
  <c r="BB304" i="1"/>
  <c r="BB50" i="1"/>
  <c r="BB25" i="1"/>
  <c r="BB143" i="1"/>
  <c r="BB156" i="1"/>
  <c r="BB280" i="1"/>
  <c r="BB326" i="1"/>
  <c r="BB221" i="1"/>
  <c r="BB74" i="1"/>
  <c r="BB83" i="1"/>
  <c r="BB90" i="1"/>
  <c r="BB56" i="1"/>
  <c r="BB64" i="1"/>
  <c r="BB100" i="1"/>
  <c r="BB175" i="1"/>
  <c r="BB222" i="1"/>
  <c r="BB46" i="1"/>
  <c r="BB111" i="1"/>
  <c r="BB51" i="1"/>
  <c r="BB59" i="1"/>
  <c r="BB68" i="1"/>
  <c r="BB144" i="1"/>
  <c r="BB157" i="1"/>
  <c r="BB91" i="1"/>
  <c r="BB155" i="1"/>
  <c r="BB52" i="1"/>
  <c r="BB99" i="1"/>
  <c r="BB298" i="1"/>
  <c r="BB314" i="1"/>
  <c r="BB328" i="1"/>
  <c r="BB27" i="1"/>
  <c r="BB35" i="1"/>
  <c r="BB44" i="1"/>
  <c r="BB54" i="1"/>
  <c r="BB81" i="1"/>
  <c r="BB101" i="1"/>
  <c r="BB137" i="1"/>
  <c r="BB227" i="1"/>
  <c r="BB41" i="1"/>
  <c r="BB240" i="1"/>
  <c r="BB327" i="1"/>
  <c r="BB285" i="1"/>
  <c r="BB310" i="1"/>
  <c r="BB324" i="1"/>
  <c r="BB172" i="1"/>
  <c r="BB43" i="1"/>
  <c r="BB112" i="1"/>
  <c r="BB223" i="1"/>
  <c r="BB248" i="1"/>
  <c r="BB297" i="1"/>
  <c r="BB77" i="1"/>
  <c r="BB31" i="1"/>
  <c r="BB33" i="1"/>
  <c r="BB48" i="1"/>
  <c r="BB57" i="1"/>
  <c r="BB65" i="1"/>
  <c r="BB78" i="1"/>
  <c r="BB84" i="1"/>
  <c r="BB231" i="1"/>
  <c r="BB259" i="1"/>
  <c r="BB293" i="1"/>
  <c r="BB309" i="1"/>
  <c r="BB241" i="1"/>
  <c r="BB316" i="1"/>
  <c r="BB311" i="1"/>
  <c r="BB317" i="1"/>
  <c r="BB325" i="1"/>
  <c r="BB246" i="1"/>
  <c r="BB279" i="1"/>
  <c r="BB299" i="1"/>
  <c r="AD68" i="6"/>
  <c r="AD65" i="6"/>
  <c r="AD61" i="6"/>
  <c r="AD97" i="6"/>
  <c r="AD120" i="6"/>
  <c r="AD127" i="6"/>
  <c r="AD235" i="6"/>
  <c r="AD255" i="6"/>
  <c r="AD159" i="6"/>
  <c r="AD155" i="6"/>
  <c r="AD123" i="6"/>
  <c r="AD174" i="6"/>
  <c r="AD228" i="6"/>
  <c r="AD114" i="6"/>
  <c r="AD262" i="6"/>
  <c r="AD250" i="6"/>
  <c r="AD204" i="6"/>
  <c r="AD92" i="6"/>
  <c r="AD254" i="6"/>
  <c r="AD126" i="6"/>
  <c r="AD113" i="6"/>
  <c r="AD137" i="6"/>
  <c r="AD273" i="6"/>
  <c r="AD161" i="6"/>
  <c r="AD233" i="6"/>
  <c r="AD234" i="6"/>
  <c r="AD148" i="6"/>
  <c r="AD260" i="6"/>
  <c r="AD100" i="6"/>
  <c r="AD190" i="6"/>
  <c r="AD104" i="6"/>
  <c r="AD194" i="6"/>
  <c r="AD136" i="6"/>
  <c r="AD160" i="6"/>
  <c r="AD140" i="6"/>
  <c r="AD172" i="6"/>
  <c r="AE1" i="6"/>
  <c r="AD261" i="6"/>
  <c r="AD151" i="6"/>
  <c r="AD103" i="6"/>
  <c r="AD23" i="6"/>
  <c r="AD143" i="6"/>
  <c r="AD131" i="6"/>
  <c r="AD99" i="6"/>
  <c r="AD166" i="6"/>
  <c r="AD177" i="6"/>
  <c r="AD269" i="6"/>
  <c r="AD90" i="6"/>
  <c r="AD158" i="6"/>
  <c r="AD183" i="6"/>
  <c r="AD189" i="6"/>
  <c r="AD271" i="6"/>
  <c r="AD69" i="6"/>
  <c r="AD205" i="6"/>
  <c r="AD217" i="6"/>
  <c r="AD229" i="6"/>
  <c r="AD111" i="6"/>
  <c r="AD279" i="6"/>
  <c r="AD167" i="6"/>
  <c r="AD19" i="6"/>
  <c r="AD201" i="6"/>
  <c r="AD213" i="6"/>
  <c r="AD147" i="6"/>
  <c r="AD135" i="6"/>
  <c r="AD171" i="6"/>
  <c r="AD225" i="6"/>
  <c r="AD283" i="6"/>
  <c r="AD267" i="6"/>
  <c r="AD209" i="6"/>
  <c r="AD185" i="6"/>
  <c r="AD221" i="6"/>
  <c r="AD259" i="6"/>
  <c r="AD224" i="6"/>
  <c r="AD266" i="6"/>
  <c r="AD270" i="6"/>
  <c r="AD196" i="6"/>
  <c r="AD188" i="6"/>
  <c r="AD274" i="6"/>
  <c r="AD220" i="6"/>
  <c r="AD208" i="6"/>
  <c r="AD282" i="6"/>
  <c r="AD192" i="6"/>
  <c r="AD72" i="6"/>
  <c r="AD216" i="6"/>
  <c r="AD146" i="6"/>
  <c r="AD278" i="6"/>
  <c r="AD154" i="6"/>
  <c r="AD170" i="6"/>
  <c r="AD184" i="6"/>
  <c r="AD212" i="6"/>
  <c r="AD232" i="6"/>
  <c r="AD286" i="6"/>
  <c r="AD110" i="6"/>
  <c r="AD134" i="6"/>
  <c r="AD182" i="6"/>
  <c r="AD252" i="6"/>
  <c r="AD179" i="6"/>
  <c r="AD145" i="6"/>
  <c r="AD181" i="6"/>
  <c r="AD187" i="6"/>
  <c r="AD191" i="6"/>
  <c r="AD195" i="6"/>
  <c r="AD223" i="6"/>
  <c r="AD227" i="6"/>
  <c r="AD249" i="6"/>
  <c r="AD149" i="6"/>
  <c r="AD211" i="6"/>
  <c r="AD281" i="6"/>
  <c r="AD141" i="6"/>
  <c r="AD169" i="6"/>
  <c r="AD219" i="6"/>
  <c r="AD133" i="6"/>
  <c r="AD153" i="6"/>
  <c r="AD277" i="6"/>
  <c r="AD71" i="6"/>
  <c r="AD199" i="6"/>
  <c r="AD215" i="6"/>
  <c r="AD91" i="6"/>
  <c r="AD121" i="6"/>
  <c r="AD173" i="6"/>
  <c r="AD285" i="6"/>
  <c r="AD109" i="6"/>
  <c r="AD203" i="6"/>
  <c r="AD108" i="6"/>
  <c r="AD124" i="6"/>
  <c r="AD210" i="6"/>
  <c r="AD264" i="6"/>
  <c r="AD280" i="6"/>
  <c r="AD132" i="6"/>
  <c r="AD230" i="6"/>
  <c r="AD112" i="6"/>
  <c r="AD152" i="6"/>
  <c r="AD156" i="6"/>
  <c r="AD186" i="6"/>
  <c r="AD226" i="6"/>
  <c r="AD66" i="6"/>
  <c r="AD268" i="6"/>
  <c r="AD284" i="6"/>
  <c r="AD24" i="6"/>
  <c r="AD276" i="6"/>
  <c r="AD70" i="6"/>
  <c r="AD214" i="6"/>
  <c r="AD218" i="6"/>
  <c r="AD222" i="6"/>
  <c r="AD256" i="6"/>
  <c r="AD206" i="6"/>
  <c r="AD144" i="6"/>
  <c r="AD168" i="6"/>
  <c r="AD202" i="6"/>
  <c r="AD272" i="6"/>
  <c r="AD180" i="6"/>
  <c r="AD198" i="6"/>
  <c r="BA92" i="1"/>
  <c r="BA106" i="1"/>
  <c r="BA191" i="1"/>
  <c r="BA205" i="1"/>
  <c r="BA220" i="1"/>
  <c r="BA102" i="1"/>
  <c r="BA116" i="1"/>
  <c r="BA134" i="1"/>
  <c r="BA138" i="1"/>
  <c r="BA146" i="1"/>
  <c r="BA150" i="1"/>
  <c r="BA152" i="1"/>
  <c r="BA159" i="1"/>
  <c r="BA163" i="1"/>
  <c r="BA170" i="1"/>
  <c r="BA174" i="1"/>
  <c r="BA187" i="1"/>
  <c r="BA217" i="1"/>
  <c r="BA127" i="1"/>
  <c r="BA184" i="1"/>
  <c r="BA213" i="1"/>
  <c r="BA268" i="1"/>
  <c r="BA180" i="1"/>
  <c r="BA195" i="1"/>
  <c r="BA209" i="1"/>
  <c r="BA96" i="1"/>
  <c r="BA113" i="1"/>
  <c r="BA171" i="1"/>
  <c r="BA188" i="1"/>
  <c r="BA202" i="1"/>
  <c r="BA218" i="1"/>
  <c r="BA243" i="1"/>
  <c r="BA258" i="1"/>
  <c r="BA292" i="1"/>
  <c r="BA308" i="1"/>
  <c r="BA319" i="1"/>
  <c r="BA69" i="1"/>
  <c r="BA139" i="1"/>
  <c r="BA153" i="1"/>
  <c r="BA167" i="1"/>
  <c r="BA199" i="1"/>
  <c r="BA214" i="1"/>
  <c r="BA239" i="1"/>
  <c r="BA254" i="1"/>
  <c r="BA269" i="1"/>
  <c r="BA283" i="1"/>
  <c r="BA135" i="1"/>
  <c r="BA164" i="1"/>
  <c r="BA181" i="1"/>
  <c r="BA196" i="1"/>
  <c r="BA250" i="1"/>
  <c r="BA265" i="1"/>
  <c r="BA287" i="1"/>
  <c r="BA300" i="1"/>
  <c r="BA131" i="1"/>
  <c r="BA147" i="1"/>
  <c r="BA160" i="1"/>
  <c r="BA177" i="1"/>
  <c r="BA192" i="1"/>
  <c r="BA206" i="1"/>
  <c r="BA247" i="1"/>
  <c r="BA262" i="1"/>
  <c r="BA276" i="1"/>
  <c r="BA296" i="1"/>
  <c r="BA312" i="1"/>
  <c r="BA30" i="1"/>
  <c r="BA97" i="1"/>
  <c r="BA121" i="1"/>
  <c r="BA129" i="1"/>
  <c r="BA189" i="1"/>
  <c r="BA203" i="1"/>
  <c r="BA66" i="1"/>
  <c r="BA95" i="1"/>
  <c r="BA124" i="1"/>
  <c r="BA86" i="1"/>
  <c r="BA108" i="1"/>
  <c r="BA114" i="1"/>
  <c r="BA140" i="1"/>
  <c r="BA154" i="1"/>
  <c r="BA168" i="1"/>
  <c r="BA200" i="1"/>
  <c r="BA215" i="1"/>
  <c r="BA26" i="1"/>
  <c r="BA71" i="1"/>
  <c r="BA125" i="1"/>
  <c r="BA136" i="1"/>
  <c r="BA151" i="1"/>
  <c r="BA165" i="1"/>
  <c r="BA178" i="1"/>
  <c r="BA182" i="1"/>
  <c r="BA197" i="1"/>
  <c r="BA211" i="1"/>
  <c r="BA89" i="1"/>
  <c r="BA118" i="1"/>
  <c r="BA132" i="1"/>
  <c r="BA148" i="1"/>
  <c r="BA207" i="1"/>
  <c r="BA117" i="1"/>
  <c r="BA24" i="1"/>
  <c r="BA72" i="1"/>
  <c r="BA105" i="1"/>
  <c r="BA145" i="1"/>
  <c r="BA173" i="1"/>
  <c r="BA32" i="1"/>
  <c r="BA244" i="1"/>
  <c r="BA266" i="1"/>
  <c r="BA288" i="1"/>
  <c r="BA301" i="1"/>
  <c r="BA305" i="1"/>
  <c r="BA313" i="1"/>
  <c r="BA320" i="1"/>
  <c r="BA263" i="1"/>
  <c r="BA306" i="1"/>
  <c r="BA70" i="1"/>
  <c r="BA115" i="1"/>
  <c r="BA122" i="1"/>
  <c r="BA141" i="1"/>
  <c r="BA169" i="1"/>
  <c r="BA255" i="1"/>
  <c r="BA277" i="1"/>
  <c r="BA315" i="1"/>
  <c r="BA252" i="1"/>
  <c r="BA260" i="1"/>
  <c r="BA274" i="1"/>
  <c r="BA291" i="1"/>
  <c r="BA302" i="1"/>
  <c r="BA193" i="1"/>
  <c r="BA85" i="1"/>
  <c r="BA128" i="1"/>
  <c r="BA109" i="1"/>
  <c r="BA126" i="1"/>
  <c r="BA166" i="1"/>
  <c r="BA251" i="1"/>
  <c r="BA273" i="1"/>
  <c r="BA237" i="1"/>
  <c r="BA271" i="1"/>
  <c r="BA282" i="1"/>
  <c r="BA289" i="1"/>
  <c r="BA234" i="1"/>
  <c r="BA63" i="1"/>
  <c r="BA34" i="1"/>
  <c r="BA67" i="1"/>
  <c r="BA93" i="1"/>
  <c r="BA94" i="1"/>
  <c r="BA119" i="1"/>
  <c r="BA133" i="1"/>
  <c r="BA149" i="1"/>
  <c r="BA162" i="1"/>
  <c r="BA176" i="1"/>
  <c r="BA183" i="1"/>
  <c r="BA190" i="1"/>
  <c r="BA194" i="1"/>
  <c r="BA198" i="1"/>
  <c r="BA201" i="1"/>
  <c r="BA204" i="1"/>
  <c r="BA208" i="1"/>
  <c r="BA212" i="1"/>
  <c r="BA216" i="1"/>
  <c r="BA219" i="1"/>
  <c r="BA235" i="1"/>
  <c r="BA270" i="1"/>
  <c r="BA281" i="1"/>
  <c r="BA323" i="1"/>
  <c r="BA245" i="1"/>
  <c r="BA256" i="1"/>
  <c r="BA267" i="1"/>
  <c r="BA278" i="1"/>
  <c r="BA294" i="1"/>
  <c r="BA253" i="1"/>
  <c r="BA257" i="1"/>
  <c r="BA261" i="1"/>
  <c r="BA264" i="1"/>
  <c r="BA286" i="1"/>
  <c r="BA238" i="1"/>
  <c r="BA242" i="1"/>
  <c r="BA249" i="1"/>
  <c r="BA295" i="1"/>
  <c r="BA322" i="1"/>
  <c r="BA275" i="1"/>
  <c r="BA307" i="1"/>
  <c r="BA272" i="1"/>
  <c r="F54" i="8"/>
  <c r="F119" i="8" s="1"/>
  <c r="I54" i="8"/>
  <c r="I119" i="8" s="1"/>
  <c r="H54" i="8"/>
  <c r="H119" i="8" s="1"/>
  <c r="G54" i="8"/>
  <c r="G119" i="8" s="1"/>
  <c r="AE2" i="6"/>
  <c r="AD81" i="6"/>
  <c r="AD46" i="6"/>
  <c r="AD37" i="6"/>
  <c r="AD163" i="6"/>
  <c r="AD106" i="6"/>
  <c r="AD85" i="6"/>
  <c r="AD55" i="6"/>
  <c r="AD41" i="6"/>
  <c r="AD89" i="6"/>
  <c r="AD28" i="6"/>
  <c r="AD22" i="6"/>
  <c r="AD77" i="6"/>
  <c r="AD50" i="6"/>
  <c r="AD32" i="6"/>
  <c r="AD96" i="6"/>
  <c r="AD88" i="6"/>
  <c r="AD64" i="6"/>
  <c r="AD49" i="6"/>
  <c r="AD31" i="6"/>
  <c r="AD130" i="6"/>
  <c r="AD48" i="6"/>
  <c r="AD39" i="6"/>
  <c r="AD54" i="6"/>
  <c r="AD36" i="6"/>
  <c r="AD87" i="6"/>
  <c r="AD83" i="6"/>
  <c r="AD79" i="6"/>
  <c r="AD74" i="6"/>
  <c r="AD26" i="6"/>
  <c r="AD119" i="6"/>
  <c r="AD80" i="6"/>
  <c r="AD58" i="6"/>
  <c r="AD40" i="6"/>
  <c r="AD84" i="6"/>
  <c r="AD45" i="6"/>
  <c r="AD27" i="6"/>
  <c r="AD21" i="6"/>
  <c r="AD165" i="6"/>
  <c r="AD102" i="6"/>
  <c r="AD63" i="6"/>
  <c r="AD57" i="6"/>
  <c r="AD35" i="6"/>
  <c r="AD20" i="6"/>
  <c r="AD164" i="6"/>
  <c r="AD78" i="6"/>
  <c r="AD47" i="6"/>
  <c r="AD30" i="6"/>
  <c r="AD82" i="6"/>
  <c r="AD42" i="6"/>
  <c r="AD38" i="6"/>
  <c r="AD129" i="6"/>
  <c r="AD86" i="6"/>
  <c r="AD56" i="6"/>
  <c r="AD29" i="6"/>
  <c r="AD53" i="6"/>
  <c r="AD75" i="6"/>
  <c r="AD51" i="6"/>
  <c r="AD107" i="6"/>
  <c r="AD33" i="6"/>
  <c r="AD240" i="6"/>
  <c r="AD43" i="6"/>
  <c r="AD200" i="6"/>
  <c r="AD116" i="6"/>
  <c r="AD139" i="6"/>
  <c r="AD94" i="6"/>
  <c r="AD59" i="6"/>
  <c r="AD242" i="6"/>
  <c r="AD105" i="6"/>
  <c r="AD193" i="6"/>
  <c r="AD231" i="6"/>
  <c r="AD117" i="6"/>
  <c r="AD25" i="6"/>
  <c r="AD142" i="6"/>
  <c r="AD238" i="6"/>
  <c r="AD115" i="6"/>
  <c r="AD207" i="6"/>
  <c r="AD251" i="6"/>
  <c r="AD265" i="6"/>
  <c r="AD118" i="6"/>
  <c r="AD60" i="6"/>
  <c r="AD44" i="6"/>
  <c r="AD95" i="6"/>
  <c r="AD67" i="6"/>
  <c r="AD247" i="6"/>
  <c r="AD52" i="6"/>
  <c r="AD257" i="6"/>
  <c r="AD239" i="6"/>
  <c r="AD258" i="6"/>
  <c r="AD93" i="6"/>
  <c r="AD176" i="6"/>
  <c r="AD244" i="6"/>
  <c r="AD122" i="6"/>
  <c r="AD263" i="6"/>
  <c r="AD128" i="6"/>
  <c r="AD73" i="6"/>
  <c r="AD125" i="6"/>
  <c r="AD162" i="6"/>
  <c r="AD76" i="6"/>
  <c r="AD178" i="6"/>
  <c r="AD62" i="6"/>
  <c r="AD150" i="6"/>
  <c r="AD275" i="6"/>
  <c r="AD197" i="6"/>
  <c r="AD236" i="6"/>
  <c r="AD248" i="6"/>
  <c r="AD237" i="6"/>
  <c r="AD98" i="6"/>
  <c r="AD157" i="6"/>
  <c r="AD34" i="6"/>
  <c r="AD245" i="6"/>
  <c r="AD243" i="6"/>
  <c r="AD246" i="6"/>
  <c r="AD241" i="6"/>
  <c r="AD138" i="6"/>
  <c r="AD253" i="6"/>
  <c r="AD101" i="6"/>
  <c r="AD175" i="6"/>
  <c r="AF53" i="8"/>
  <c r="AF54" i="8"/>
  <c r="B52" i="10" s="1"/>
  <c r="BC20" i="1"/>
  <c r="BB23" i="1"/>
  <c r="AZ4" i="1"/>
  <c r="AF22" i="8" s="1"/>
  <c r="B20" i="10" s="1"/>
  <c r="BB19" i="1"/>
  <c r="BB103" i="1" s="1"/>
  <c r="BC76" i="1" l="1"/>
  <c r="BC47" i="1"/>
  <c r="BB357" i="1"/>
  <c r="AD8" i="6"/>
  <c r="AD10" i="6"/>
  <c r="AD12" i="6"/>
  <c r="AD14" i="6"/>
  <c r="I55" i="8" s="1"/>
  <c r="I120" i="8" s="1"/>
  <c r="AD9" i="6"/>
  <c r="AD11" i="6"/>
  <c r="AD13" i="6"/>
  <c r="BC351" i="1"/>
  <c r="BC354" i="1"/>
  <c r="BC353" i="1"/>
  <c r="BC352" i="1"/>
  <c r="BC356" i="1"/>
  <c r="BC355" i="1"/>
  <c r="BB358" i="1"/>
  <c r="BB359" i="1"/>
  <c r="BB53" i="1"/>
  <c r="BB318" i="1"/>
  <c r="BB333" i="1"/>
  <c r="BB334" i="1"/>
  <c r="BB330" i="1"/>
  <c r="BB329" i="1"/>
  <c r="BC350" i="1"/>
  <c r="BC347" i="1"/>
  <c r="BC349" i="1"/>
  <c r="BC348" i="1"/>
  <c r="BB343" i="1"/>
  <c r="BB341" i="1"/>
  <c r="BB340" i="1"/>
  <c r="BB335" i="1"/>
  <c r="BB104" i="1"/>
  <c r="BB338" i="1"/>
  <c r="BB336" i="1"/>
  <c r="BB345" i="1"/>
  <c r="BB344" i="1"/>
  <c r="BB342" i="1"/>
  <c r="BB346" i="1"/>
  <c r="BB337" i="1"/>
  <c r="BB339" i="1"/>
  <c r="BB331" i="1"/>
  <c r="BC332" i="1"/>
  <c r="BB230" i="1"/>
  <c r="BB39" i="1"/>
  <c r="BB107" i="1"/>
  <c r="BB75" i="1"/>
  <c r="BB161" i="1"/>
  <c r="BB210" i="1"/>
  <c r="BB290" i="1"/>
  <c r="BB232" i="1"/>
  <c r="BB303" i="1"/>
  <c r="BB55" i="1"/>
  <c r="BB321" i="1"/>
  <c r="BB236" i="1"/>
  <c r="BB179" i="1"/>
  <c r="BB186" i="1"/>
  <c r="BB233" i="1"/>
  <c r="BB185" i="1"/>
  <c r="BB229" i="1"/>
  <c r="BB158" i="1"/>
  <c r="BB284" i="1"/>
  <c r="BB226" i="1"/>
  <c r="BB225" i="1"/>
  <c r="BB228" i="1"/>
  <c r="AF1" i="6"/>
  <c r="AE177" i="6"/>
  <c r="AE99" i="6"/>
  <c r="AE261" i="6"/>
  <c r="AE90" i="6"/>
  <c r="AE151" i="6"/>
  <c r="AE143" i="6"/>
  <c r="AE166" i="6"/>
  <c r="AE158" i="6"/>
  <c r="AE103" i="6"/>
  <c r="AE23" i="6"/>
  <c r="AE269" i="6"/>
  <c r="AE131" i="6"/>
  <c r="AE179" i="6"/>
  <c r="AE108" i="6"/>
  <c r="AE124" i="6"/>
  <c r="AE210" i="6"/>
  <c r="AE264" i="6"/>
  <c r="AE280" i="6"/>
  <c r="AE132" i="6"/>
  <c r="AE230" i="6"/>
  <c r="AE112" i="6"/>
  <c r="AE152" i="6"/>
  <c r="AE156" i="6"/>
  <c r="AE186" i="6"/>
  <c r="AE226" i="6"/>
  <c r="AE66" i="6"/>
  <c r="AE268" i="6"/>
  <c r="AE284" i="6"/>
  <c r="AE24" i="6"/>
  <c r="AE276" i="6"/>
  <c r="AE70" i="6"/>
  <c r="AE214" i="6"/>
  <c r="AE218" i="6"/>
  <c r="AE222" i="6"/>
  <c r="AE256" i="6"/>
  <c r="AE206" i="6"/>
  <c r="AE144" i="6"/>
  <c r="AE168" i="6"/>
  <c r="AE202" i="6"/>
  <c r="AE272" i="6"/>
  <c r="AE189" i="6"/>
  <c r="AE271" i="6"/>
  <c r="AE69" i="6"/>
  <c r="AE205" i="6"/>
  <c r="AE217" i="6"/>
  <c r="AE229" i="6"/>
  <c r="AE111" i="6"/>
  <c r="AE279" i="6"/>
  <c r="AE167" i="6"/>
  <c r="AE19" i="6"/>
  <c r="AE201" i="6"/>
  <c r="AE213" i="6"/>
  <c r="AE147" i="6"/>
  <c r="AE135" i="6"/>
  <c r="AE171" i="6"/>
  <c r="AE225" i="6"/>
  <c r="AE283" i="6"/>
  <c r="AE267" i="6"/>
  <c r="AE209" i="6"/>
  <c r="AE185" i="6"/>
  <c r="AE221" i="6"/>
  <c r="AE259" i="6"/>
  <c r="AE224" i="6"/>
  <c r="AE266" i="6"/>
  <c r="AE270" i="6"/>
  <c r="AE196" i="6"/>
  <c r="AE188" i="6"/>
  <c r="AE274" i="6"/>
  <c r="AE220" i="6"/>
  <c r="AE208" i="6"/>
  <c r="AE282" i="6"/>
  <c r="AE192" i="6"/>
  <c r="AE72" i="6"/>
  <c r="AE216" i="6"/>
  <c r="AE146" i="6"/>
  <c r="AE278" i="6"/>
  <c r="AE154" i="6"/>
  <c r="AE170" i="6"/>
  <c r="AE184" i="6"/>
  <c r="AE212" i="6"/>
  <c r="AE232" i="6"/>
  <c r="AE286" i="6"/>
  <c r="AE110" i="6"/>
  <c r="AE134" i="6"/>
  <c r="AE182" i="6"/>
  <c r="AE180" i="6"/>
  <c r="AE198" i="6"/>
  <c r="AE183" i="6"/>
  <c r="AE145" i="6"/>
  <c r="AE181" i="6"/>
  <c r="AE187" i="6"/>
  <c r="AE191" i="6"/>
  <c r="AE195" i="6"/>
  <c r="AE223" i="6"/>
  <c r="AE227" i="6"/>
  <c r="AE249" i="6"/>
  <c r="AE149" i="6"/>
  <c r="AE211" i="6"/>
  <c r="AE281" i="6"/>
  <c r="AE141" i="6"/>
  <c r="AE169" i="6"/>
  <c r="AE219" i="6"/>
  <c r="AE133" i="6"/>
  <c r="AE153" i="6"/>
  <c r="AE277" i="6"/>
  <c r="AE71" i="6"/>
  <c r="AE199" i="6"/>
  <c r="AE215" i="6"/>
  <c r="AE91" i="6"/>
  <c r="AE121" i="6"/>
  <c r="AE173" i="6"/>
  <c r="AE285" i="6"/>
  <c r="AE109" i="6"/>
  <c r="AE203" i="6"/>
  <c r="AE252" i="6"/>
  <c r="BB69" i="1"/>
  <c r="BB170" i="1"/>
  <c r="BB180" i="1"/>
  <c r="BB184" i="1"/>
  <c r="BB187" i="1"/>
  <c r="BB191" i="1"/>
  <c r="BB195" i="1"/>
  <c r="BB205" i="1"/>
  <c r="BB213" i="1"/>
  <c r="BB217" i="1"/>
  <c r="BB220" i="1"/>
  <c r="BB66" i="1"/>
  <c r="BB92" i="1"/>
  <c r="BB106" i="1"/>
  <c r="BB127" i="1"/>
  <c r="BB138" i="1"/>
  <c r="BB152" i="1"/>
  <c r="BB209" i="1"/>
  <c r="BB34" i="1"/>
  <c r="BB67" i="1"/>
  <c r="BB63" i="1"/>
  <c r="BB134" i="1"/>
  <c r="BB150" i="1"/>
  <c r="BB163" i="1"/>
  <c r="BB32" i="1"/>
  <c r="BB85" i="1"/>
  <c r="BB95" i="1"/>
  <c r="BB102" i="1"/>
  <c r="BB116" i="1"/>
  <c r="BB146" i="1"/>
  <c r="BB159" i="1"/>
  <c r="BB174" i="1"/>
  <c r="BB96" i="1"/>
  <c r="BB199" i="1"/>
  <c r="BB214" i="1"/>
  <c r="BB131" i="1"/>
  <c r="BB135" i="1"/>
  <c r="BB139" i="1"/>
  <c r="BB147" i="1"/>
  <c r="BB153" i="1"/>
  <c r="BB160" i="1"/>
  <c r="BB164" i="1"/>
  <c r="BB167" i="1"/>
  <c r="BB171" i="1"/>
  <c r="BB177" i="1"/>
  <c r="BB181" i="1"/>
  <c r="BB196" i="1"/>
  <c r="BB239" i="1"/>
  <c r="BB247" i="1"/>
  <c r="BB250" i="1"/>
  <c r="BB254" i="1"/>
  <c r="BB258" i="1"/>
  <c r="BB262" i="1"/>
  <c r="BB265" i="1"/>
  <c r="BB269" i="1"/>
  <c r="BB276" i="1"/>
  <c r="BB283" i="1"/>
  <c r="BB287" i="1"/>
  <c r="BB300" i="1"/>
  <c r="BB192" i="1"/>
  <c r="BB206" i="1"/>
  <c r="BB243" i="1"/>
  <c r="BB296" i="1"/>
  <c r="BB312" i="1"/>
  <c r="BB188" i="1"/>
  <c r="BB202" i="1"/>
  <c r="BB218" i="1"/>
  <c r="BB292" i="1"/>
  <c r="BB308" i="1"/>
  <c r="BB319" i="1"/>
  <c r="BB86" i="1"/>
  <c r="BB108" i="1"/>
  <c r="BB114" i="1"/>
  <c r="BB140" i="1"/>
  <c r="BB154" i="1"/>
  <c r="BB168" i="1"/>
  <c r="BB200" i="1"/>
  <c r="BB215" i="1"/>
  <c r="BB124" i="1"/>
  <c r="BB26" i="1"/>
  <c r="BB71" i="1"/>
  <c r="BB125" i="1"/>
  <c r="BB136" i="1"/>
  <c r="BB151" i="1"/>
  <c r="BB165" i="1"/>
  <c r="BB182" i="1"/>
  <c r="BB197" i="1"/>
  <c r="BB211" i="1"/>
  <c r="BB70" i="1"/>
  <c r="BB89" i="1"/>
  <c r="BB118" i="1"/>
  <c r="BB132" i="1"/>
  <c r="BB148" i="1"/>
  <c r="BB178" i="1"/>
  <c r="BB193" i="1"/>
  <c r="BB207" i="1"/>
  <c r="BB30" i="1"/>
  <c r="BB97" i="1"/>
  <c r="BB121" i="1"/>
  <c r="BB129" i="1"/>
  <c r="BB234" i="1"/>
  <c r="BB115" i="1"/>
  <c r="BB122" i="1"/>
  <c r="BB141" i="1"/>
  <c r="BB169" i="1"/>
  <c r="BB201" i="1"/>
  <c r="BB216" i="1"/>
  <c r="BB255" i="1"/>
  <c r="BB277" i="1"/>
  <c r="BB305" i="1"/>
  <c r="BB313" i="1"/>
  <c r="BB315" i="1"/>
  <c r="BB252" i="1"/>
  <c r="BB260" i="1"/>
  <c r="BB274" i="1"/>
  <c r="BB294" i="1"/>
  <c r="BB302" i="1"/>
  <c r="BB306" i="1"/>
  <c r="BB203" i="1"/>
  <c r="BB113" i="1"/>
  <c r="BB109" i="1"/>
  <c r="BB126" i="1"/>
  <c r="BB166" i="1"/>
  <c r="BB183" i="1"/>
  <c r="BB198" i="1"/>
  <c r="BB212" i="1"/>
  <c r="BB251" i="1"/>
  <c r="BB273" i="1"/>
  <c r="BB288" i="1"/>
  <c r="BB301" i="1"/>
  <c r="BB237" i="1"/>
  <c r="BB271" i="1"/>
  <c r="BB282" i="1"/>
  <c r="BB289" i="1"/>
  <c r="BB291" i="1"/>
  <c r="BB93" i="1"/>
  <c r="BB117" i="1"/>
  <c r="BB94" i="1"/>
  <c r="BB119" i="1"/>
  <c r="BB133" i="1"/>
  <c r="BB149" i="1"/>
  <c r="BB162" i="1"/>
  <c r="BB176" i="1"/>
  <c r="BB194" i="1"/>
  <c r="BB208" i="1"/>
  <c r="BB235" i="1"/>
  <c r="BB270" i="1"/>
  <c r="BB281" i="1"/>
  <c r="BB323" i="1"/>
  <c r="BB245" i="1"/>
  <c r="BB256" i="1"/>
  <c r="BB267" i="1"/>
  <c r="BB278" i="1"/>
  <c r="BB189" i="1"/>
  <c r="BB128" i="1"/>
  <c r="BB24" i="1"/>
  <c r="BB72" i="1"/>
  <c r="BB105" i="1"/>
  <c r="BB145" i="1"/>
  <c r="BB173" i="1"/>
  <c r="BB190" i="1"/>
  <c r="BB204" i="1"/>
  <c r="BB219" i="1"/>
  <c r="BB244" i="1"/>
  <c r="BB266" i="1"/>
  <c r="BB320" i="1"/>
  <c r="BB263" i="1"/>
  <c r="BB242" i="1"/>
  <c r="BB253" i="1"/>
  <c r="BB268" i="1"/>
  <c r="BB275" i="1"/>
  <c r="BB295" i="1"/>
  <c r="BB322" i="1"/>
  <c r="BB238" i="1"/>
  <c r="BB264" i="1"/>
  <c r="BB307" i="1"/>
  <c r="BB249" i="1"/>
  <c r="BB261" i="1"/>
  <c r="BB272" i="1"/>
  <c r="BB257" i="1"/>
  <c r="BB286" i="1"/>
  <c r="AE68" i="6"/>
  <c r="AE120" i="6"/>
  <c r="AE61" i="6"/>
  <c r="AE97" i="6"/>
  <c r="AE65" i="6"/>
  <c r="AE148" i="6"/>
  <c r="AE260" i="6"/>
  <c r="AE100" i="6"/>
  <c r="AE190" i="6"/>
  <c r="AE104" i="6"/>
  <c r="AE194" i="6"/>
  <c r="AE136" i="6"/>
  <c r="AE160" i="6"/>
  <c r="AE140" i="6"/>
  <c r="AE172" i="6"/>
  <c r="AE233" i="6"/>
  <c r="AE234" i="6"/>
  <c r="AE127" i="6"/>
  <c r="AE255" i="6"/>
  <c r="AE159" i="6"/>
  <c r="AE155" i="6"/>
  <c r="AE123" i="6"/>
  <c r="AE174" i="6"/>
  <c r="AE228" i="6"/>
  <c r="AE114" i="6"/>
  <c r="AE262" i="6"/>
  <c r="AE250" i="6"/>
  <c r="AE204" i="6"/>
  <c r="AE92" i="6"/>
  <c r="AE254" i="6"/>
  <c r="AE126" i="6"/>
  <c r="AE113" i="6"/>
  <c r="AE137" i="6"/>
  <c r="AE273" i="6"/>
  <c r="AE235" i="6"/>
  <c r="AE161" i="6"/>
  <c r="BC38" i="1"/>
  <c r="BC42" i="1"/>
  <c r="BC58" i="1"/>
  <c r="BC79" i="1"/>
  <c r="BC82" i="1"/>
  <c r="BC87" i="1"/>
  <c r="BC98" i="1"/>
  <c r="BC224" i="1"/>
  <c r="BC51" i="1"/>
  <c r="BC40" i="1"/>
  <c r="BC49" i="1"/>
  <c r="BC61" i="1"/>
  <c r="BC73" i="1"/>
  <c r="BC110" i="1"/>
  <c r="BC123" i="1"/>
  <c r="BC130" i="1"/>
  <c r="BC28" i="1"/>
  <c r="BC36" i="1"/>
  <c r="BC45" i="1"/>
  <c r="BC60" i="1"/>
  <c r="BC142" i="1"/>
  <c r="BC25" i="1"/>
  <c r="BC326" i="1"/>
  <c r="BC62" i="1"/>
  <c r="BC83" i="1"/>
  <c r="BC143" i="1"/>
  <c r="BC156" i="1"/>
  <c r="BC221" i="1"/>
  <c r="BC64" i="1"/>
  <c r="BC120" i="1"/>
  <c r="BC56" i="1"/>
  <c r="BC46" i="1"/>
  <c r="BC280" i="1"/>
  <c r="BC304" i="1"/>
  <c r="BC111" i="1"/>
  <c r="BC37" i="1"/>
  <c r="BC52" i="1"/>
  <c r="BC80" i="1"/>
  <c r="BC100" i="1"/>
  <c r="BC222" i="1"/>
  <c r="BC29" i="1"/>
  <c r="BC43" i="1"/>
  <c r="BC74" i="1"/>
  <c r="BC144" i="1"/>
  <c r="BC157" i="1"/>
  <c r="BC175" i="1"/>
  <c r="BC90" i="1"/>
  <c r="BC50" i="1"/>
  <c r="BC77" i="1"/>
  <c r="BC27" i="1"/>
  <c r="BC35" i="1"/>
  <c r="BC44" i="1"/>
  <c r="BC54" i="1"/>
  <c r="BC78" i="1"/>
  <c r="BC81" i="1"/>
  <c r="BC101" i="1"/>
  <c r="BC137" i="1"/>
  <c r="BC227" i="1"/>
  <c r="BC68" i="1"/>
  <c r="BC240" i="1"/>
  <c r="BC327" i="1"/>
  <c r="BC285" i="1"/>
  <c r="BC310" i="1"/>
  <c r="BC324" i="1"/>
  <c r="BC112" i="1"/>
  <c r="BC223" i="1"/>
  <c r="BC59" i="1"/>
  <c r="BC297" i="1"/>
  <c r="BC172" i="1"/>
  <c r="BC41" i="1"/>
  <c r="BC99" i="1"/>
  <c r="BC31" i="1"/>
  <c r="BC33" i="1"/>
  <c r="BC48" i="1"/>
  <c r="BC57" i="1"/>
  <c r="BC65" i="1"/>
  <c r="BC84" i="1"/>
  <c r="BC231" i="1"/>
  <c r="BC293" i="1"/>
  <c r="BC309" i="1"/>
  <c r="BC241" i="1"/>
  <c r="BC316" i="1"/>
  <c r="BC88" i="1"/>
  <c r="BC91" i="1"/>
  <c r="BC155" i="1"/>
  <c r="BC248" i="1"/>
  <c r="BC259" i="1"/>
  <c r="BC298" i="1"/>
  <c r="BC314" i="1"/>
  <c r="BC328" i="1"/>
  <c r="BC299" i="1"/>
  <c r="BC311" i="1"/>
  <c r="BC325" i="1"/>
  <c r="BC246" i="1"/>
  <c r="BC279" i="1"/>
  <c r="BC317" i="1"/>
  <c r="F55" i="8"/>
  <c r="F120" i="8" s="1"/>
  <c r="H55" i="8"/>
  <c r="H120" i="8" s="1"/>
  <c r="G55" i="8"/>
  <c r="G120" i="8" s="1"/>
  <c r="AF2" i="6"/>
  <c r="AE106" i="6"/>
  <c r="AE77" i="6"/>
  <c r="AE55" i="6"/>
  <c r="AE50" i="6"/>
  <c r="AE32" i="6"/>
  <c r="AE81" i="6"/>
  <c r="AE37" i="6"/>
  <c r="AE163" i="6"/>
  <c r="AE85" i="6"/>
  <c r="AE46" i="6"/>
  <c r="AE41" i="6"/>
  <c r="AE89" i="6"/>
  <c r="AE28" i="6"/>
  <c r="AE22" i="6"/>
  <c r="AE45" i="6"/>
  <c r="AE36" i="6"/>
  <c r="AE27" i="6"/>
  <c r="AE165" i="6"/>
  <c r="AE130" i="6"/>
  <c r="AE87" i="6"/>
  <c r="AE63" i="6"/>
  <c r="AE57" i="6"/>
  <c r="AE39" i="6"/>
  <c r="AE35" i="6"/>
  <c r="AE20" i="6"/>
  <c r="AE96" i="6"/>
  <c r="AE88" i="6"/>
  <c r="AE84" i="6"/>
  <c r="AE80" i="6"/>
  <c r="AE31" i="6"/>
  <c r="AE48" i="6"/>
  <c r="AE30" i="6"/>
  <c r="AE26" i="6"/>
  <c r="AE54" i="6"/>
  <c r="AE119" i="6"/>
  <c r="AE64" i="6"/>
  <c r="AE58" i="6"/>
  <c r="AE49" i="6"/>
  <c r="AE40" i="6"/>
  <c r="AE102" i="6"/>
  <c r="AE83" i="6"/>
  <c r="AE53" i="6"/>
  <c r="AE47" i="6"/>
  <c r="AE164" i="6"/>
  <c r="AE78" i="6"/>
  <c r="AE38" i="6"/>
  <c r="AE79" i="6"/>
  <c r="AE129" i="6"/>
  <c r="AE82" i="6"/>
  <c r="AE42" i="6"/>
  <c r="AE21" i="6"/>
  <c r="AE74" i="6"/>
  <c r="AE86" i="6"/>
  <c r="AE56" i="6"/>
  <c r="AE29" i="6"/>
  <c r="AE94" i="6"/>
  <c r="AE116" i="6"/>
  <c r="AE59" i="6"/>
  <c r="AE200" i="6"/>
  <c r="AE139" i="6"/>
  <c r="AE75" i="6"/>
  <c r="AE240" i="6"/>
  <c r="AE43" i="6"/>
  <c r="AE107" i="6"/>
  <c r="AE242" i="6"/>
  <c r="AE51" i="6"/>
  <c r="AE33" i="6"/>
  <c r="AE122" i="6"/>
  <c r="AE67" i="6"/>
  <c r="AE117" i="6"/>
  <c r="AE25" i="6"/>
  <c r="AE238" i="6"/>
  <c r="AE258" i="6"/>
  <c r="AE275" i="6"/>
  <c r="AE197" i="6"/>
  <c r="AE93" i="6"/>
  <c r="AE105" i="6"/>
  <c r="AE118" i="6"/>
  <c r="AE60" i="6"/>
  <c r="AE193" i="6"/>
  <c r="AE231" i="6"/>
  <c r="AE125" i="6"/>
  <c r="AE142" i="6"/>
  <c r="AE115" i="6"/>
  <c r="AE236" i="6"/>
  <c r="AE251" i="6"/>
  <c r="AE44" i="6"/>
  <c r="AE95" i="6"/>
  <c r="AE62" i="6"/>
  <c r="AE247" i="6"/>
  <c r="AE150" i="6"/>
  <c r="AE257" i="6"/>
  <c r="AE239" i="6"/>
  <c r="AE176" i="6"/>
  <c r="AE244" i="6"/>
  <c r="AE162" i="6"/>
  <c r="AE76" i="6"/>
  <c r="AE263" i="6"/>
  <c r="AE128" i="6"/>
  <c r="AE73" i="6"/>
  <c r="AE178" i="6"/>
  <c r="AE52" i="6"/>
  <c r="AE207" i="6"/>
  <c r="AE265" i="6"/>
  <c r="AE138" i="6"/>
  <c r="AE34" i="6"/>
  <c r="AE245" i="6"/>
  <c r="AE157" i="6"/>
  <c r="AE175" i="6"/>
  <c r="AE246" i="6"/>
  <c r="AE248" i="6"/>
  <c r="AE237" i="6"/>
  <c r="AE98" i="6"/>
  <c r="AE241" i="6"/>
  <c r="AE253" i="6"/>
  <c r="AE101" i="6"/>
  <c r="AE243" i="6"/>
  <c r="B51" i="10"/>
  <c r="BD20" i="1"/>
  <c r="BC23" i="1"/>
  <c r="BA4" i="1"/>
  <c r="AF23" i="8" s="1"/>
  <c r="B21" i="10" s="1"/>
  <c r="BC19" i="1"/>
  <c r="BC103" i="1" s="1"/>
  <c r="BD76" i="1" l="1"/>
  <c r="BE76" i="1" s="1"/>
  <c r="BD47" i="1"/>
  <c r="BE47" i="1" s="1"/>
  <c r="AE8" i="6"/>
  <c r="AE10" i="6"/>
  <c r="AE12" i="6"/>
  <c r="AE14" i="6"/>
  <c r="AE9" i="6"/>
  <c r="AE11" i="6"/>
  <c r="AE13" i="6"/>
  <c r="BC333" i="1"/>
  <c r="BC357" i="1"/>
  <c r="BC53" i="1"/>
  <c r="BC329" i="1"/>
  <c r="BC359" i="1"/>
  <c r="BC358" i="1"/>
  <c r="BC330" i="1"/>
  <c r="BD354" i="1"/>
  <c r="BE354" i="1" s="1"/>
  <c r="BD353" i="1"/>
  <c r="BE353" i="1" s="1"/>
  <c r="BD355" i="1"/>
  <c r="BE355" i="1" s="1"/>
  <c r="BD352" i="1"/>
  <c r="BE352" i="1" s="1"/>
  <c r="BD356" i="1"/>
  <c r="BE356" i="1" s="1"/>
  <c r="BD351" i="1"/>
  <c r="BE351" i="1" s="1"/>
  <c r="BC334" i="1"/>
  <c r="BC318" i="1"/>
  <c r="BC340" i="1"/>
  <c r="BC335" i="1"/>
  <c r="BC341" i="1"/>
  <c r="BC343" i="1"/>
  <c r="BD347" i="1"/>
  <c r="BE347" i="1" s="1"/>
  <c r="BD350" i="1"/>
  <c r="BE350" i="1" s="1"/>
  <c r="BD348" i="1"/>
  <c r="BE348" i="1" s="1"/>
  <c r="BD349" i="1"/>
  <c r="BE349" i="1" s="1"/>
  <c r="BC104" i="1"/>
  <c r="BC338" i="1"/>
  <c r="BC337" i="1"/>
  <c r="BC336" i="1"/>
  <c r="BC346" i="1"/>
  <c r="BC345" i="1"/>
  <c r="BC344" i="1"/>
  <c r="BC342" i="1"/>
  <c r="BC339" i="1"/>
  <c r="BC331" i="1"/>
  <c r="BD332" i="1"/>
  <c r="BE332" i="1" s="1"/>
  <c r="BC284" i="1"/>
  <c r="BC233" i="1"/>
  <c r="BC107" i="1"/>
  <c r="BC55" i="1"/>
  <c r="BC225" i="1"/>
  <c r="BC186" i="1"/>
  <c r="BC161" i="1"/>
  <c r="BC230" i="1"/>
  <c r="BC321" i="1"/>
  <c r="BC226" i="1"/>
  <c r="BC290" i="1"/>
  <c r="BC210" i="1"/>
  <c r="BC232" i="1"/>
  <c r="BC75" i="1"/>
  <c r="BC158" i="1"/>
  <c r="BC303" i="1"/>
  <c r="BC179" i="1"/>
  <c r="BC236" i="1"/>
  <c r="BC39" i="1"/>
  <c r="BC185" i="1"/>
  <c r="BC229" i="1"/>
  <c r="BC228" i="1"/>
  <c r="BD38" i="1"/>
  <c r="BE38" i="1" s="1"/>
  <c r="BD40" i="1"/>
  <c r="BE40" i="1" s="1"/>
  <c r="BD35" i="1"/>
  <c r="BE35" i="1" s="1"/>
  <c r="BD49" i="1"/>
  <c r="BE49" i="1" s="1"/>
  <c r="BD61" i="1"/>
  <c r="BE61" i="1" s="1"/>
  <c r="BD73" i="1"/>
  <c r="BE73" i="1" s="1"/>
  <c r="BD110" i="1"/>
  <c r="BE110" i="1" s="1"/>
  <c r="BD123" i="1"/>
  <c r="BE123" i="1" s="1"/>
  <c r="BD130" i="1"/>
  <c r="BE130" i="1" s="1"/>
  <c r="BD28" i="1"/>
  <c r="BE28" i="1" s="1"/>
  <c r="BD36" i="1"/>
  <c r="BE36" i="1" s="1"/>
  <c r="BD45" i="1"/>
  <c r="BE45" i="1" s="1"/>
  <c r="BD60" i="1"/>
  <c r="BE60" i="1" s="1"/>
  <c r="BD142" i="1"/>
  <c r="BE142" i="1" s="1"/>
  <c r="BD27" i="1"/>
  <c r="BE27" i="1" s="1"/>
  <c r="BD44" i="1"/>
  <c r="BE44" i="1" s="1"/>
  <c r="BD84" i="1"/>
  <c r="BE84" i="1" s="1"/>
  <c r="BD42" i="1"/>
  <c r="BE42" i="1" s="1"/>
  <c r="BD58" i="1"/>
  <c r="BE58" i="1" s="1"/>
  <c r="BD79" i="1"/>
  <c r="BE79" i="1" s="1"/>
  <c r="BD82" i="1"/>
  <c r="BE82" i="1" s="1"/>
  <c r="BD87" i="1"/>
  <c r="BE87" i="1" s="1"/>
  <c r="BD98" i="1"/>
  <c r="BE98" i="1" s="1"/>
  <c r="BD224" i="1"/>
  <c r="BE224" i="1" s="1"/>
  <c r="BD62" i="1"/>
  <c r="BE62" i="1" s="1"/>
  <c r="BD83" i="1"/>
  <c r="BE83" i="1" s="1"/>
  <c r="BD143" i="1"/>
  <c r="BE143" i="1" s="1"/>
  <c r="BD156" i="1"/>
  <c r="BE156" i="1" s="1"/>
  <c r="BD304" i="1"/>
  <c r="BE304" i="1" s="1"/>
  <c r="BD33" i="1"/>
  <c r="BE33" i="1" s="1"/>
  <c r="BD120" i="1"/>
  <c r="BE120" i="1" s="1"/>
  <c r="BD54" i="1"/>
  <c r="BE54" i="1" s="1"/>
  <c r="BD46" i="1"/>
  <c r="BE46" i="1" s="1"/>
  <c r="BD280" i="1"/>
  <c r="BE280" i="1" s="1"/>
  <c r="BD25" i="1"/>
  <c r="BE25" i="1" s="1"/>
  <c r="BD221" i="1"/>
  <c r="BE221" i="1" s="1"/>
  <c r="BD65" i="1"/>
  <c r="BE65" i="1" s="1"/>
  <c r="BD37" i="1"/>
  <c r="BE37" i="1" s="1"/>
  <c r="BD52" i="1"/>
  <c r="BE52" i="1" s="1"/>
  <c r="BD80" i="1"/>
  <c r="BE80" i="1" s="1"/>
  <c r="BD51" i="1"/>
  <c r="BE51" i="1" s="1"/>
  <c r="BD59" i="1"/>
  <c r="BE59" i="1" s="1"/>
  <c r="BD68" i="1"/>
  <c r="BE68" i="1" s="1"/>
  <c r="BD144" i="1"/>
  <c r="BE144" i="1" s="1"/>
  <c r="BD157" i="1"/>
  <c r="BE157" i="1" s="1"/>
  <c r="BD172" i="1"/>
  <c r="BE172" i="1" s="1"/>
  <c r="BD90" i="1"/>
  <c r="BE90" i="1" s="1"/>
  <c r="BD57" i="1"/>
  <c r="BE57" i="1" s="1"/>
  <c r="BD29" i="1"/>
  <c r="BE29" i="1" s="1"/>
  <c r="BD43" i="1"/>
  <c r="BE43" i="1" s="1"/>
  <c r="BD74" i="1"/>
  <c r="BE74" i="1" s="1"/>
  <c r="BD56" i="1"/>
  <c r="BE56" i="1" s="1"/>
  <c r="BD64" i="1"/>
  <c r="BE64" i="1" s="1"/>
  <c r="BD100" i="1"/>
  <c r="BE100" i="1" s="1"/>
  <c r="BD326" i="1"/>
  <c r="BE326" i="1" s="1"/>
  <c r="BD111" i="1"/>
  <c r="BE111" i="1" s="1"/>
  <c r="BD78" i="1"/>
  <c r="BE78" i="1" s="1"/>
  <c r="BD81" i="1"/>
  <c r="BE81" i="1" s="1"/>
  <c r="BD223" i="1"/>
  <c r="BE223" i="1" s="1"/>
  <c r="BD259" i="1"/>
  <c r="BE259" i="1" s="1"/>
  <c r="BD297" i="1"/>
  <c r="BE297" i="1" s="1"/>
  <c r="BD241" i="1"/>
  <c r="BE241" i="1" s="1"/>
  <c r="BD41" i="1"/>
  <c r="BE41" i="1" s="1"/>
  <c r="BD99" i="1"/>
  <c r="BE99" i="1" s="1"/>
  <c r="BD137" i="1"/>
  <c r="BE137" i="1" s="1"/>
  <c r="BD155" i="1"/>
  <c r="BE155" i="1" s="1"/>
  <c r="BD231" i="1"/>
  <c r="BE231" i="1" s="1"/>
  <c r="BD48" i="1"/>
  <c r="BE48" i="1" s="1"/>
  <c r="BD293" i="1"/>
  <c r="BE293" i="1" s="1"/>
  <c r="BD309" i="1"/>
  <c r="BE309" i="1" s="1"/>
  <c r="BD316" i="1"/>
  <c r="BE316" i="1" s="1"/>
  <c r="BD175" i="1"/>
  <c r="BE175" i="1" s="1"/>
  <c r="BD88" i="1"/>
  <c r="BE88" i="1" s="1"/>
  <c r="BD240" i="1"/>
  <c r="BE240" i="1" s="1"/>
  <c r="BD327" i="1"/>
  <c r="BE327" i="1" s="1"/>
  <c r="BD298" i="1"/>
  <c r="BE298" i="1" s="1"/>
  <c r="BD314" i="1"/>
  <c r="BE314" i="1" s="1"/>
  <c r="BD328" i="1"/>
  <c r="BE328" i="1" s="1"/>
  <c r="BD222" i="1"/>
  <c r="BE222" i="1" s="1"/>
  <c r="BD50" i="1"/>
  <c r="BE50" i="1" s="1"/>
  <c r="BD77" i="1"/>
  <c r="BE77" i="1" s="1"/>
  <c r="BD91" i="1"/>
  <c r="BE91" i="1" s="1"/>
  <c r="BD101" i="1"/>
  <c r="BE101" i="1" s="1"/>
  <c r="BD112" i="1"/>
  <c r="BE112" i="1" s="1"/>
  <c r="BD227" i="1"/>
  <c r="BE227" i="1" s="1"/>
  <c r="BD31" i="1"/>
  <c r="BE31" i="1" s="1"/>
  <c r="BD248" i="1"/>
  <c r="BE248" i="1" s="1"/>
  <c r="BD285" i="1"/>
  <c r="BE285" i="1" s="1"/>
  <c r="BD310" i="1"/>
  <c r="BE310" i="1" s="1"/>
  <c r="BD299" i="1"/>
  <c r="BE299" i="1" s="1"/>
  <c r="BD325" i="1"/>
  <c r="BE325" i="1" s="1"/>
  <c r="BD324" i="1"/>
  <c r="BE324" i="1" s="1"/>
  <c r="BD246" i="1"/>
  <c r="BE246" i="1" s="1"/>
  <c r="BD279" i="1"/>
  <c r="BE279" i="1" s="1"/>
  <c r="BD311" i="1"/>
  <c r="BE311" i="1" s="1"/>
  <c r="BD317" i="1"/>
  <c r="BE317" i="1" s="1"/>
  <c r="AF97" i="6"/>
  <c r="AG97" i="6" s="1"/>
  <c r="AF61" i="6"/>
  <c r="AG61" i="6" s="1"/>
  <c r="AF68" i="6"/>
  <c r="AG68" i="6" s="1"/>
  <c r="AF120" i="6"/>
  <c r="AG120" i="6" s="1"/>
  <c r="AF65" i="6"/>
  <c r="AG65" i="6" s="1"/>
  <c r="AF113" i="6"/>
  <c r="AG113" i="6" s="1"/>
  <c r="AF137" i="6"/>
  <c r="AG137" i="6" s="1"/>
  <c r="AF273" i="6"/>
  <c r="AG273" i="6" s="1"/>
  <c r="AF161" i="6"/>
  <c r="AG161" i="6" s="1"/>
  <c r="AF148" i="6"/>
  <c r="AG148" i="6" s="1"/>
  <c r="AF235" i="6"/>
  <c r="AG235" i="6" s="1"/>
  <c r="AF260" i="6"/>
  <c r="AG260" i="6" s="1"/>
  <c r="AF100" i="6"/>
  <c r="AG100" i="6" s="1"/>
  <c r="AF190" i="6"/>
  <c r="AG190" i="6" s="1"/>
  <c r="AF104" i="6"/>
  <c r="AG104" i="6" s="1"/>
  <c r="AF194" i="6"/>
  <c r="AG194" i="6" s="1"/>
  <c r="AF136" i="6"/>
  <c r="AG136" i="6" s="1"/>
  <c r="AF160" i="6"/>
  <c r="AG160" i="6" s="1"/>
  <c r="AF140" i="6"/>
  <c r="AG140" i="6" s="1"/>
  <c r="AF172" i="6"/>
  <c r="AG172" i="6" s="1"/>
  <c r="AF233" i="6"/>
  <c r="AG233" i="6" s="1"/>
  <c r="AF234" i="6"/>
  <c r="AG234" i="6" s="1"/>
  <c r="AF127" i="6"/>
  <c r="AG127" i="6" s="1"/>
  <c r="AF255" i="6"/>
  <c r="AG255" i="6" s="1"/>
  <c r="AF159" i="6"/>
  <c r="AG159" i="6" s="1"/>
  <c r="AF155" i="6"/>
  <c r="AG155" i="6" s="1"/>
  <c r="AF123" i="6"/>
  <c r="AG123" i="6" s="1"/>
  <c r="AF174" i="6"/>
  <c r="AG174" i="6" s="1"/>
  <c r="AF228" i="6"/>
  <c r="AG228" i="6" s="1"/>
  <c r="AF114" i="6"/>
  <c r="AG114" i="6" s="1"/>
  <c r="AF262" i="6"/>
  <c r="AG262" i="6" s="1"/>
  <c r="AF250" i="6"/>
  <c r="AG250" i="6" s="1"/>
  <c r="AF204" i="6"/>
  <c r="AG204" i="6" s="1"/>
  <c r="AF92" i="6"/>
  <c r="AG92" i="6" s="1"/>
  <c r="AF254" i="6"/>
  <c r="AG254" i="6" s="1"/>
  <c r="AF126" i="6"/>
  <c r="AG126" i="6" s="1"/>
  <c r="BC66" i="1"/>
  <c r="BC92" i="1"/>
  <c r="BC106" i="1"/>
  <c r="BC127" i="1"/>
  <c r="BC138" i="1"/>
  <c r="BC152" i="1"/>
  <c r="BC180" i="1"/>
  <c r="BC195" i="1"/>
  <c r="BC209" i="1"/>
  <c r="BC63" i="1"/>
  <c r="BC134" i="1"/>
  <c r="BC150" i="1"/>
  <c r="BC163" i="1"/>
  <c r="BC191" i="1"/>
  <c r="BC205" i="1"/>
  <c r="BC220" i="1"/>
  <c r="BC118" i="1"/>
  <c r="BC32" i="1"/>
  <c r="BC85" i="1"/>
  <c r="BC95" i="1"/>
  <c r="BC102" i="1"/>
  <c r="BC116" i="1"/>
  <c r="BC146" i="1"/>
  <c r="BC159" i="1"/>
  <c r="BC174" i="1"/>
  <c r="BC187" i="1"/>
  <c r="BC217" i="1"/>
  <c r="BC69" i="1"/>
  <c r="BC170" i="1"/>
  <c r="BC184" i="1"/>
  <c r="BC213" i="1"/>
  <c r="BC131" i="1"/>
  <c r="BC147" i="1"/>
  <c r="BC160" i="1"/>
  <c r="BC247" i="1"/>
  <c r="BC262" i="1"/>
  <c r="BC276" i="1"/>
  <c r="BC287" i="1"/>
  <c r="BC300" i="1"/>
  <c r="BC96" i="1"/>
  <c r="BC113" i="1"/>
  <c r="BC171" i="1"/>
  <c r="BC181" i="1"/>
  <c r="BC188" i="1"/>
  <c r="BC192" i="1"/>
  <c r="BC196" i="1"/>
  <c r="BC199" i="1"/>
  <c r="BC202" i="1"/>
  <c r="BC206" i="1"/>
  <c r="BC214" i="1"/>
  <c r="BC218" i="1"/>
  <c r="BC243" i="1"/>
  <c r="BC258" i="1"/>
  <c r="BC296" i="1"/>
  <c r="BC312" i="1"/>
  <c r="BC319" i="1"/>
  <c r="BC139" i="1"/>
  <c r="BC153" i="1"/>
  <c r="BC167" i="1"/>
  <c r="BC239" i="1"/>
  <c r="BC254" i="1"/>
  <c r="BC269" i="1"/>
  <c r="BC283" i="1"/>
  <c r="BC292" i="1"/>
  <c r="BC308" i="1"/>
  <c r="BC135" i="1"/>
  <c r="BC164" i="1"/>
  <c r="BC177" i="1"/>
  <c r="BC250" i="1"/>
  <c r="BC265" i="1"/>
  <c r="BC114" i="1"/>
  <c r="BC125" i="1"/>
  <c r="BC182" i="1"/>
  <c r="BC197" i="1"/>
  <c r="BC211" i="1"/>
  <c r="BC30" i="1"/>
  <c r="BC121" i="1"/>
  <c r="BC178" i="1"/>
  <c r="BC193" i="1"/>
  <c r="BC207" i="1"/>
  <c r="BC124" i="1"/>
  <c r="BC89" i="1"/>
  <c r="BC97" i="1"/>
  <c r="BC108" i="1"/>
  <c r="BC189" i="1"/>
  <c r="BC203" i="1"/>
  <c r="BC86" i="1"/>
  <c r="BC129" i="1"/>
  <c r="BC132" i="1"/>
  <c r="BC136" i="1"/>
  <c r="BC140" i="1"/>
  <c r="BC148" i="1"/>
  <c r="BC151" i="1"/>
  <c r="BC154" i="1"/>
  <c r="BC215" i="1"/>
  <c r="BC34" i="1"/>
  <c r="BC67" i="1"/>
  <c r="BC93" i="1"/>
  <c r="BC109" i="1"/>
  <c r="BC126" i="1"/>
  <c r="BC166" i="1"/>
  <c r="BC183" i="1"/>
  <c r="BC198" i="1"/>
  <c r="BC212" i="1"/>
  <c r="BC281" i="1"/>
  <c r="BC288" i="1"/>
  <c r="BC301" i="1"/>
  <c r="BC313" i="1"/>
  <c r="BC237" i="1"/>
  <c r="BC271" i="1"/>
  <c r="BC282" i="1"/>
  <c r="BC294" i="1"/>
  <c r="BC168" i="1"/>
  <c r="BC234" i="1"/>
  <c r="BC117" i="1"/>
  <c r="BC94" i="1"/>
  <c r="BC119" i="1"/>
  <c r="BC133" i="1"/>
  <c r="BC149" i="1"/>
  <c r="BC162" i="1"/>
  <c r="BC176" i="1"/>
  <c r="BC194" i="1"/>
  <c r="BC208" i="1"/>
  <c r="BC235" i="1"/>
  <c r="BC26" i="1"/>
  <c r="BC266" i="1"/>
  <c r="BC270" i="1"/>
  <c r="BC273" i="1"/>
  <c r="BC323" i="1"/>
  <c r="BC245" i="1"/>
  <c r="BC256" i="1"/>
  <c r="BC267" i="1"/>
  <c r="BC278" i="1"/>
  <c r="BC306" i="1"/>
  <c r="BC200" i="1"/>
  <c r="BC71" i="1"/>
  <c r="BC70" i="1"/>
  <c r="BC24" i="1"/>
  <c r="BC72" i="1"/>
  <c r="BC105" i="1"/>
  <c r="BC145" i="1"/>
  <c r="BC173" i="1"/>
  <c r="BC190" i="1"/>
  <c r="BC204" i="1"/>
  <c r="BC219" i="1"/>
  <c r="BC320" i="1"/>
  <c r="BC263" i="1"/>
  <c r="BC291" i="1"/>
  <c r="BC302" i="1"/>
  <c r="BC165" i="1"/>
  <c r="BC128" i="1"/>
  <c r="BC115" i="1"/>
  <c r="BC122" i="1"/>
  <c r="BC141" i="1"/>
  <c r="BC169" i="1"/>
  <c r="BC201" i="1"/>
  <c r="BC216" i="1"/>
  <c r="BC244" i="1"/>
  <c r="BC251" i="1"/>
  <c r="BC255" i="1"/>
  <c r="BC305" i="1"/>
  <c r="BC315" i="1"/>
  <c r="BC252" i="1"/>
  <c r="BC260" i="1"/>
  <c r="BC274" i="1"/>
  <c r="BC289" i="1"/>
  <c r="BC238" i="1"/>
  <c r="BC264" i="1"/>
  <c r="BC295" i="1"/>
  <c r="BC307" i="1"/>
  <c r="BC249" i="1"/>
  <c r="BC261" i="1"/>
  <c r="BC272" i="1"/>
  <c r="BC286" i="1"/>
  <c r="BC277" i="1"/>
  <c r="BC257" i="1"/>
  <c r="BC322" i="1"/>
  <c r="BC242" i="1"/>
  <c r="BC253" i="1"/>
  <c r="BC268" i="1"/>
  <c r="BC275" i="1"/>
  <c r="AF103" i="6"/>
  <c r="AG103" i="6" s="1"/>
  <c r="AF23" i="6"/>
  <c r="AG23" i="6" s="1"/>
  <c r="AF269" i="6"/>
  <c r="AG269" i="6" s="1"/>
  <c r="AF151" i="6"/>
  <c r="AG151" i="6" s="1"/>
  <c r="AF177" i="6"/>
  <c r="AG177" i="6" s="1"/>
  <c r="AF166" i="6"/>
  <c r="AG166" i="6" s="1"/>
  <c r="AF158" i="6"/>
  <c r="AG158" i="6" s="1"/>
  <c r="AF143" i="6"/>
  <c r="AG143" i="6" s="1"/>
  <c r="AF131" i="6"/>
  <c r="AG131" i="6" s="1"/>
  <c r="AF261" i="6"/>
  <c r="AG261" i="6" s="1"/>
  <c r="AF90" i="6"/>
  <c r="AG90" i="6" s="1"/>
  <c r="AF99" i="6"/>
  <c r="AG99" i="6" s="1"/>
  <c r="AF145" i="6"/>
  <c r="AG145" i="6" s="1"/>
  <c r="AF181" i="6"/>
  <c r="AG181" i="6" s="1"/>
  <c r="AF187" i="6"/>
  <c r="AG187" i="6" s="1"/>
  <c r="AF191" i="6"/>
  <c r="AG191" i="6" s="1"/>
  <c r="AF195" i="6"/>
  <c r="AG195" i="6" s="1"/>
  <c r="AF223" i="6"/>
  <c r="AG223" i="6" s="1"/>
  <c r="AF227" i="6"/>
  <c r="AG227" i="6" s="1"/>
  <c r="AF249" i="6"/>
  <c r="AG249" i="6" s="1"/>
  <c r="AF149" i="6"/>
  <c r="AG149" i="6" s="1"/>
  <c r="AF211" i="6"/>
  <c r="AG211" i="6" s="1"/>
  <c r="AF281" i="6"/>
  <c r="AG281" i="6" s="1"/>
  <c r="AF141" i="6"/>
  <c r="AG141" i="6" s="1"/>
  <c r="AF169" i="6"/>
  <c r="AG169" i="6" s="1"/>
  <c r="AF219" i="6"/>
  <c r="AG219" i="6" s="1"/>
  <c r="AF133" i="6"/>
  <c r="AG133" i="6" s="1"/>
  <c r="AF153" i="6"/>
  <c r="AG153" i="6" s="1"/>
  <c r="AF277" i="6"/>
  <c r="AG277" i="6" s="1"/>
  <c r="AF71" i="6"/>
  <c r="AG71" i="6" s="1"/>
  <c r="AF199" i="6"/>
  <c r="AG199" i="6" s="1"/>
  <c r="AF215" i="6"/>
  <c r="AG215" i="6" s="1"/>
  <c r="AF91" i="6"/>
  <c r="AG91" i="6" s="1"/>
  <c r="AF121" i="6"/>
  <c r="AG121" i="6" s="1"/>
  <c r="AF173" i="6"/>
  <c r="AG173" i="6" s="1"/>
  <c r="AF285" i="6"/>
  <c r="AG285" i="6" s="1"/>
  <c r="AF109" i="6"/>
  <c r="AG109" i="6" s="1"/>
  <c r="AF179" i="6"/>
  <c r="AG179" i="6" s="1"/>
  <c r="AF183" i="6"/>
  <c r="AG183" i="6" s="1"/>
  <c r="AF108" i="6"/>
  <c r="AG108" i="6" s="1"/>
  <c r="AF124" i="6"/>
  <c r="AG124" i="6" s="1"/>
  <c r="AF210" i="6"/>
  <c r="AG210" i="6" s="1"/>
  <c r="AF264" i="6"/>
  <c r="AG264" i="6" s="1"/>
  <c r="AF280" i="6"/>
  <c r="AG280" i="6" s="1"/>
  <c r="AF132" i="6"/>
  <c r="AG132" i="6" s="1"/>
  <c r="AF230" i="6"/>
  <c r="AG230" i="6" s="1"/>
  <c r="AF112" i="6"/>
  <c r="AG112" i="6" s="1"/>
  <c r="AF152" i="6"/>
  <c r="AG152" i="6" s="1"/>
  <c r="AF156" i="6"/>
  <c r="AG156" i="6" s="1"/>
  <c r="AF186" i="6"/>
  <c r="AG186" i="6" s="1"/>
  <c r="AF226" i="6"/>
  <c r="AG226" i="6" s="1"/>
  <c r="AF66" i="6"/>
  <c r="AG66" i="6" s="1"/>
  <c r="AF268" i="6"/>
  <c r="AG268" i="6" s="1"/>
  <c r="AF284" i="6"/>
  <c r="AG284" i="6" s="1"/>
  <c r="AF24" i="6"/>
  <c r="AG24" i="6" s="1"/>
  <c r="AF276" i="6"/>
  <c r="AG276" i="6" s="1"/>
  <c r="AF70" i="6"/>
  <c r="AG70" i="6" s="1"/>
  <c r="AF214" i="6"/>
  <c r="AG214" i="6" s="1"/>
  <c r="AF218" i="6"/>
  <c r="AG218" i="6" s="1"/>
  <c r="AF222" i="6"/>
  <c r="AG222" i="6" s="1"/>
  <c r="AF256" i="6"/>
  <c r="AG256" i="6" s="1"/>
  <c r="AF206" i="6"/>
  <c r="AG206" i="6" s="1"/>
  <c r="AF144" i="6"/>
  <c r="AG144" i="6" s="1"/>
  <c r="AF168" i="6"/>
  <c r="AG168" i="6" s="1"/>
  <c r="AF202" i="6"/>
  <c r="AG202" i="6" s="1"/>
  <c r="AF272" i="6"/>
  <c r="AG272" i="6" s="1"/>
  <c r="AF180" i="6"/>
  <c r="AG180" i="6" s="1"/>
  <c r="AF198" i="6"/>
  <c r="AG198" i="6" s="1"/>
  <c r="AF252" i="6"/>
  <c r="AG252" i="6" s="1"/>
  <c r="AF203" i="6"/>
  <c r="AG203" i="6" s="1"/>
  <c r="AF189" i="6"/>
  <c r="AG189" i="6" s="1"/>
  <c r="AF271" i="6"/>
  <c r="AG271" i="6" s="1"/>
  <c r="AF69" i="6"/>
  <c r="AG69" i="6" s="1"/>
  <c r="AF205" i="6"/>
  <c r="AG205" i="6" s="1"/>
  <c r="AF217" i="6"/>
  <c r="AG217" i="6" s="1"/>
  <c r="AF229" i="6"/>
  <c r="AG229" i="6" s="1"/>
  <c r="AF111" i="6"/>
  <c r="AG111" i="6" s="1"/>
  <c r="AF279" i="6"/>
  <c r="AG279" i="6" s="1"/>
  <c r="AF167" i="6"/>
  <c r="AG167" i="6" s="1"/>
  <c r="AF19" i="6"/>
  <c r="AF201" i="6"/>
  <c r="AG201" i="6" s="1"/>
  <c r="AF213" i="6"/>
  <c r="AG213" i="6" s="1"/>
  <c r="AF147" i="6"/>
  <c r="AG147" i="6" s="1"/>
  <c r="AF135" i="6"/>
  <c r="AG135" i="6" s="1"/>
  <c r="AF171" i="6"/>
  <c r="AG171" i="6" s="1"/>
  <c r="AF225" i="6"/>
  <c r="AG225" i="6" s="1"/>
  <c r="AF283" i="6"/>
  <c r="AG283" i="6" s="1"/>
  <c r="AF267" i="6"/>
  <c r="AG267" i="6" s="1"/>
  <c r="AF209" i="6"/>
  <c r="AG209" i="6" s="1"/>
  <c r="AF185" i="6"/>
  <c r="AG185" i="6" s="1"/>
  <c r="AF221" i="6"/>
  <c r="AG221" i="6" s="1"/>
  <c r="AF259" i="6"/>
  <c r="AG259" i="6" s="1"/>
  <c r="AF224" i="6"/>
  <c r="AG224" i="6" s="1"/>
  <c r="AF266" i="6"/>
  <c r="AG266" i="6" s="1"/>
  <c r="AF270" i="6"/>
  <c r="AG270" i="6" s="1"/>
  <c r="AF196" i="6"/>
  <c r="AG196" i="6" s="1"/>
  <c r="AF188" i="6"/>
  <c r="AG188" i="6" s="1"/>
  <c r="AF274" i="6"/>
  <c r="AG274" i="6" s="1"/>
  <c r="AF220" i="6"/>
  <c r="AG220" i="6" s="1"/>
  <c r="AF208" i="6"/>
  <c r="AG208" i="6" s="1"/>
  <c r="AF282" i="6"/>
  <c r="AG282" i="6" s="1"/>
  <c r="AF192" i="6"/>
  <c r="AG192" i="6" s="1"/>
  <c r="AF72" i="6"/>
  <c r="AG72" i="6" s="1"/>
  <c r="AF216" i="6"/>
  <c r="AG216" i="6" s="1"/>
  <c r="AF146" i="6"/>
  <c r="AG146" i="6" s="1"/>
  <c r="AF278" i="6"/>
  <c r="AG278" i="6" s="1"/>
  <c r="AF154" i="6"/>
  <c r="AG154" i="6" s="1"/>
  <c r="AF170" i="6"/>
  <c r="AG170" i="6" s="1"/>
  <c r="AF184" i="6"/>
  <c r="AG184" i="6" s="1"/>
  <c r="AF212" i="6"/>
  <c r="AG212" i="6" s="1"/>
  <c r="AF232" i="6"/>
  <c r="AG232" i="6" s="1"/>
  <c r="AF286" i="6"/>
  <c r="AG286" i="6" s="1"/>
  <c r="AF110" i="6"/>
  <c r="AG110" i="6" s="1"/>
  <c r="AF134" i="6"/>
  <c r="AG134" i="6" s="1"/>
  <c r="AF182" i="6"/>
  <c r="AG182" i="6" s="1"/>
  <c r="AF106" i="6"/>
  <c r="AG106" i="6" s="1"/>
  <c r="AF77" i="6"/>
  <c r="AG77" i="6" s="1"/>
  <c r="AF28" i="6"/>
  <c r="AG28" i="6" s="1"/>
  <c r="AF89" i="6"/>
  <c r="AG89" i="6" s="1"/>
  <c r="AF85" i="6"/>
  <c r="AG85" i="6" s="1"/>
  <c r="AF81" i="6"/>
  <c r="AG81" i="6" s="1"/>
  <c r="AF55" i="6"/>
  <c r="AG55" i="6" s="1"/>
  <c r="AF50" i="6"/>
  <c r="AG50" i="6" s="1"/>
  <c r="AF32" i="6"/>
  <c r="AG32" i="6" s="1"/>
  <c r="AF22" i="6"/>
  <c r="AG22" i="6" s="1"/>
  <c r="AF46" i="6"/>
  <c r="AG46" i="6" s="1"/>
  <c r="AF37" i="6"/>
  <c r="AG37" i="6" s="1"/>
  <c r="AF41" i="6"/>
  <c r="AG41" i="6" s="1"/>
  <c r="AF119" i="6"/>
  <c r="AG119" i="6" s="1"/>
  <c r="AF58" i="6"/>
  <c r="AG58" i="6" s="1"/>
  <c r="AF40" i="6"/>
  <c r="AG40" i="6" s="1"/>
  <c r="AF83" i="6"/>
  <c r="AG83" i="6" s="1"/>
  <c r="AF26" i="6"/>
  <c r="AG26" i="6" s="1"/>
  <c r="AF80" i="6"/>
  <c r="AG80" i="6" s="1"/>
  <c r="AF45" i="6"/>
  <c r="AG45" i="6" s="1"/>
  <c r="AF36" i="6"/>
  <c r="AG36" i="6" s="1"/>
  <c r="AF31" i="6"/>
  <c r="AG31" i="6" s="1"/>
  <c r="AF27" i="6"/>
  <c r="AG27" i="6" s="1"/>
  <c r="AF165" i="6"/>
  <c r="AG165" i="6" s="1"/>
  <c r="AF87" i="6"/>
  <c r="AG87" i="6" s="1"/>
  <c r="AF63" i="6"/>
  <c r="AG63" i="6" s="1"/>
  <c r="AF30" i="6"/>
  <c r="AG30" i="6" s="1"/>
  <c r="AF20" i="6"/>
  <c r="AG20" i="6" s="1"/>
  <c r="AF163" i="6"/>
  <c r="AG163" i="6" s="1"/>
  <c r="AF96" i="6"/>
  <c r="AG96" i="6" s="1"/>
  <c r="AF84" i="6"/>
  <c r="AG84" i="6" s="1"/>
  <c r="AF49" i="6"/>
  <c r="AG49" i="6" s="1"/>
  <c r="AF88" i="6"/>
  <c r="AG88" i="6" s="1"/>
  <c r="AF64" i="6"/>
  <c r="AG64" i="6" s="1"/>
  <c r="AF54" i="6"/>
  <c r="AG54" i="6" s="1"/>
  <c r="AF21" i="6"/>
  <c r="AG21" i="6" s="1"/>
  <c r="AF130" i="6"/>
  <c r="AG130" i="6" s="1"/>
  <c r="AF79" i="6"/>
  <c r="AG79" i="6" s="1"/>
  <c r="AF74" i="6"/>
  <c r="AG74" i="6" s="1"/>
  <c r="AF102" i="6"/>
  <c r="AG102" i="6" s="1"/>
  <c r="AF57" i="6"/>
  <c r="AG57" i="6" s="1"/>
  <c r="AF39" i="6"/>
  <c r="AG39" i="6" s="1"/>
  <c r="AF86" i="6"/>
  <c r="AG86" i="6" s="1"/>
  <c r="AF29" i="6"/>
  <c r="AG29" i="6" s="1"/>
  <c r="AF56" i="6"/>
  <c r="AG56" i="6" s="1"/>
  <c r="AF48" i="6"/>
  <c r="AG48" i="6" s="1"/>
  <c r="AF35" i="6"/>
  <c r="AG35" i="6" s="1"/>
  <c r="AF164" i="6"/>
  <c r="AG164" i="6" s="1"/>
  <c r="AF78" i="6"/>
  <c r="AG78" i="6" s="1"/>
  <c r="AF38" i="6"/>
  <c r="AG38" i="6" s="1"/>
  <c r="AF53" i="6"/>
  <c r="AG53" i="6" s="1"/>
  <c r="AF129" i="6"/>
  <c r="AG129" i="6" s="1"/>
  <c r="AF82" i="6"/>
  <c r="AG82" i="6" s="1"/>
  <c r="AF47" i="6"/>
  <c r="AG47" i="6" s="1"/>
  <c r="AF42" i="6"/>
  <c r="AG42" i="6" s="1"/>
  <c r="AF139" i="6"/>
  <c r="AG139" i="6" s="1"/>
  <c r="AF200" i="6"/>
  <c r="AG200" i="6" s="1"/>
  <c r="AF51" i="6"/>
  <c r="AG51" i="6" s="1"/>
  <c r="AF33" i="6"/>
  <c r="AG33" i="6" s="1"/>
  <c r="AF94" i="6"/>
  <c r="AG94" i="6" s="1"/>
  <c r="AF43" i="6"/>
  <c r="AG43" i="6" s="1"/>
  <c r="AF59" i="6"/>
  <c r="AG59" i="6" s="1"/>
  <c r="AF242" i="6"/>
  <c r="AG242" i="6" s="1"/>
  <c r="AF75" i="6"/>
  <c r="AG75" i="6" s="1"/>
  <c r="AF240" i="6"/>
  <c r="AG240" i="6" s="1"/>
  <c r="AF107" i="6"/>
  <c r="AG107" i="6" s="1"/>
  <c r="AF116" i="6"/>
  <c r="AG116" i="6" s="1"/>
  <c r="AF118" i="6"/>
  <c r="AG118" i="6" s="1"/>
  <c r="AF176" i="6"/>
  <c r="AG176" i="6" s="1"/>
  <c r="AF244" i="6"/>
  <c r="AG244" i="6" s="1"/>
  <c r="AF60" i="6"/>
  <c r="AG60" i="6" s="1"/>
  <c r="AF128" i="6"/>
  <c r="AG128" i="6" s="1"/>
  <c r="AF52" i="6"/>
  <c r="AG52" i="6" s="1"/>
  <c r="AF207" i="6"/>
  <c r="AG207" i="6" s="1"/>
  <c r="AF258" i="6"/>
  <c r="AG258" i="6" s="1"/>
  <c r="AF265" i="6"/>
  <c r="AG265" i="6" s="1"/>
  <c r="AF138" i="6"/>
  <c r="AG138" i="6" s="1"/>
  <c r="AF122" i="6"/>
  <c r="AG122" i="6" s="1"/>
  <c r="AF95" i="6"/>
  <c r="AG95" i="6" s="1"/>
  <c r="AF67" i="6"/>
  <c r="AG67" i="6" s="1"/>
  <c r="AF73" i="6"/>
  <c r="AG73" i="6" s="1"/>
  <c r="AF62" i="6"/>
  <c r="AG62" i="6" s="1"/>
  <c r="AF117" i="6"/>
  <c r="AG117" i="6" s="1"/>
  <c r="AF247" i="6"/>
  <c r="AG247" i="6" s="1"/>
  <c r="AF25" i="6"/>
  <c r="AG25" i="6" s="1"/>
  <c r="AF275" i="6"/>
  <c r="AG275" i="6" s="1"/>
  <c r="AF197" i="6"/>
  <c r="AG197" i="6" s="1"/>
  <c r="AF236" i="6"/>
  <c r="AG236" i="6" s="1"/>
  <c r="AF105" i="6"/>
  <c r="AG105" i="6" s="1"/>
  <c r="AF44" i="6"/>
  <c r="AG44" i="6" s="1"/>
  <c r="AF162" i="6"/>
  <c r="AG162" i="6" s="1"/>
  <c r="AF76" i="6"/>
  <c r="AG76" i="6" s="1"/>
  <c r="AF263" i="6"/>
  <c r="AG263" i="6" s="1"/>
  <c r="AF231" i="6"/>
  <c r="AG231" i="6" s="1"/>
  <c r="AF125" i="6"/>
  <c r="AG125" i="6" s="1"/>
  <c r="AF178" i="6"/>
  <c r="AG178" i="6" s="1"/>
  <c r="AF150" i="6"/>
  <c r="AG150" i="6" s="1"/>
  <c r="AF93" i="6"/>
  <c r="AG93" i="6" s="1"/>
  <c r="AF193" i="6"/>
  <c r="AG193" i="6" s="1"/>
  <c r="AF142" i="6"/>
  <c r="AG142" i="6" s="1"/>
  <c r="AF238" i="6"/>
  <c r="AG238" i="6" s="1"/>
  <c r="AF257" i="6"/>
  <c r="AG257" i="6" s="1"/>
  <c r="AF115" i="6"/>
  <c r="AG115" i="6" s="1"/>
  <c r="AF239" i="6"/>
  <c r="AG239" i="6" s="1"/>
  <c r="AF251" i="6"/>
  <c r="AG251" i="6" s="1"/>
  <c r="AF241" i="6"/>
  <c r="AG241" i="6" s="1"/>
  <c r="AF253" i="6"/>
  <c r="AG253" i="6" s="1"/>
  <c r="AF101" i="6"/>
  <c r="AG101" i="6" s="1"/>
  <c r="AF98" i="6"/>
  <c r="AG98" i="6" s="1"/>
  <c r="AF34" i="6"/>
  <c r="AG34" i="6" s="1"/>
  <c r="AF245" i="6"/>
  <c r="AG245" i="6" s="1"/>
  <c r="AF157" i="6"/>
  <c r="AG157" i="6" s="1"/>
  <c r="AF246" i="6"/>
  <c r="AG246" i="6" s="1"/>
  <c r="AF248" i="6"/>
  <c r="AG248" i="6" s="1"/>
  <c r="AF175" i="6"/>
  <c r="AG175" i="6" s="1"/>
  <c r="AF237" i="6"/>
  <c r="AG237" i="6" s="1"/>
  <c r="AF243" i="6"/>
  <c r="AG243" i="6" s="1"/>
  <c r="AF55" i="8"/>
  <c r="BD23" i="1"/>
  <c r="BE23" i="1" s="1"/>
  <c r="BB4" i="1"/>
  <c r="AF24" i="8" s="1"/>
  <c r="B22" i="10" s="1"/>
  <c r="BD19" i="1"/>
  <c r="BD103" i="1" s="1"/>
  <c r="BE103" i="1" s="1"/>
  <c r="AG19" i="6" l="1"/>
  <c r="AF9" i="6"/>
  <c r="AF11" i="6"/>
  <c r="F61" i="8" s="1"/>
  <c r="AF13" i="6"/>
  <c r="H61" i="8" s="1"/>
  <c r="AF8" i="6"/>
  <c r="AF10" i="6"/>
  <c r="AF12" i="6"/>
  <c r="G61" i="8" s="1"/>
  <c r="AF14" i="6"/>
  <c r="I61" i="8" s="1"/>
  <c r="BD318" i="1"/>
  <c r="BE318" i="1" s="1"/>
  <c r="BD357" i="1"/>
  <c r="BE357" i="1" s="1"/>
  <c r="BD329" i="1"/>
  <c r="BE329" i="1" s="1"/>
  <c r="BD359" i="1"/>
  <c r="BE359" i="1" s="1"/>
  <c r="BD358" i="1"/>
  <c r="BE358" i="1" s="1"/>
  <c r="BD334" i="1"/>
  <c r="BE334" i="1" s="1"/>
  <c r="BD53" i="1"/>
  <c r="BE53" i="1" s="1"/>
  <c r="BD330" i="1"/>
  <c r="BE330" i="1" s="1"/>
  <c r="BD333" i="1"/>
  <c r="BE333" i="1" s="1"/>
  <c r="BD343" i="1"/>
  <c r="BE343" i="1" s="1"/>
  <c r="BD341" i="1"/>
  <c r="BE341" i="1" s="1"/>
  <c r="BD340" i="1"/>
  <c r="BE340" i="1" s="1"/>
  <c r="BD335" i="1"/>
  <c r="BE335" i="1" s="1"/>
  <c r="BD104" i="1"/>
  <c r="BE104" i="1" s="1"/>
  <c r="BD346" i="1"/>
  <c r="BE346" i="1" s="1"/>
  <c r="BD345" i="1"/>
  <c r="BE345" i="1" s="1"/>
  <c r="BD339" i="1"/>
  <c r="BE339" i="1" s="1"/>
  <c r="BD336" i="1"/>
  <c r="BE336" i="1" s="1"/>
  <c r="BD344" i="1"/>
  <c r="BE344" i="1" s="1"/>
  <c r="BD342" i="1"/>
  <c r="BE342" i="1" s="1"/>
  <c r="BD338" i="1"/>
  <c r="BE338" i="1" s="1"/>
  <c r="BD337" i="1"/>
  <c r="BE337" i="1" s="1"/>
  <c r="BD331" i="1"/>
  <c r="BE331" i="1" s="1"/>
  <c r="BD210" i="1"/>
  <c r="BE210" i="1" s="1"/>
  <c r="BD185" i="1"/>
  <c r="BE185" i="1" s="1"/>
  <c r="BD290" i="1"/>
  <c r="BE290" i="1" s="1"/>
  <c r="BD232" i="1"/>
  <c r="BE232" i="1" s="1"/>
  <c r="BD303" i="1"/>
  <c r="BE303" i="1" s="1"/>
  <c r="BD186" i="1"/>
  <c r="BE186" i="1" s="1"/>
  <c r="BD230" i="1"/>
  <c r="BE230" i="1" s="1"/>
  <c r="BD39" i="1"/>
  <c r="BE39" i="1" s="1"/>
  <c r="BD228" i="1"/>
  <c r="BE228" i="1" s="1"/>
  <c r="BD236" i="1"/>
  <c r="BE236" i="1" s="1"/>
  <c r="BD55" i="1"/>
  <c r="BE55" i="1" s="1"/>
  <c r="BD107" i="1"/>
  <c r="BE107" i="1" s="1"/>
  <c r="BD226" i="1"/>
  <c r="BE226" i="1" s="1"/>
  <c r="BD284" i="1"/>
  <c r="BE284" i="1" s="1"/>
  <c r="BD179" i="1"/>
  <c r="BE179" i="1" s="1"/>
  <c r="BD161" i="1"/>
  <c r="BE161" i="1" s="1"/>
  <c r="BD75" i="1"/>
  <c r="BE75" i="1" s="1"/>
  <c r="BD229" i="1"/>
  <c r="BE229" i="1" s="1"/>
  <c r="BD158" i="1"/>
  <c r="BE158" i="1" s="1"/>
  <c r="BD321" i="1"/>
  <c r="BE321" i="1" s="1"/>
  <c r="BD233" i="1"/>
  <c r="BE233" i="1" s="1"/>
  <c r="BD225" i="1"/>
  <c r="BE225" i="1" s="1"/>
  <c r="BD63" i="1"/>
  <c r="BE63" i="1" s="1"/>
  <c r="BD134" i="1"/>
  <c r="BE134" i="1" s="1"/>
  <c r="BD150" i="1"/>
  <c r="BE150" i="1" s="1"/>
  <c r="BD163" i="1"/>
  <c r="BE163" i="1" s="1"/>
  <c r="BD191" i="1"/>
  <c r="BE191" i="1" s="1"/>
  <c r="BD205" i="1"/>
  <c r="BE205" i="1" s="1"/>
  <c r="BD220" i="1"/>
  <c r="BE220" i="1" s="1"/>
  <c r="BD122" i="1"/>
  <c r="BE122" i="1" s="1"/>
  <c r="BD32" i="1"/>
  <c r="BE32" i="1" s="1"/>
  <c r="BD85" i="1"/>
  <c r="BE85" i="1" s="1"/>
  <c r="BD95" i="1"/>
  <c r="BE95" i="1" s="1"/>
  <c r="BD102" i="1"/>
  <c r="BE102" i="1" s="1"/>
  <c r="BD116" i="1"/>
  <c r="BE116" i="1" s="1"/>
  <c r="BD146" i="1"/>
  <c r="BE146" i="1" s="1"/>
  <c r="BD159" i="1"/>
  <c r="BE159" i="1" s="1"/>
  <c r="BD174" i="1"/>
  <c r="BE174" i="1" s="1"/>
  <c r="BD187" i="1"/>
  <c r="BE187" i="1" s="1"/>
  <c r="BD217" i="1"/>
  <c r="BE217" i="1" s="1"/>
  <c r="BD94" i="1"/>
  <c r="BE94" i="1" s="1"/>
  <c r="BD69" i="1"/>
  <c r="BE69" i="1" s="1"/>
  <c r="BD170" i="1"/>
  <c r="BE170" i="1" s="1"/>
  <c r="BD184" i="1"/>
  <c r="BE184" i="1" s="1"/>
  <c r="BD213" i="1"/>
  <c r="BE213" i="1" s="1"/>
  <c r="BD66" i="1"/>
  <c r="BE66" i="1" s="1"/>
  <c r="BD92" i="1"/>
  <c r="BE92" i="1" s="1"/>
  <c r="BD106" i="1"/>
  <c r="BE106" i="1" s="1"/>
  <c r="BD127" i="1"/>
  <c r="BE127" i="1" s="1"/>
  <c r="BD138" i="1"/>
  <c r="BE138" i="1" s="1"/>
  <c r="BD152" i="1"/>
  <c r="BE152" i="1" s="1"/>
  <c r="BD180" i="1"/>
  <c r="BE180" i="1" s="1"/>
  <c r="BD195" i="1"/>
  <c r="BE195" i="1" s="1"/>
  <c r="BD209" i="1"/>
  <c r="BE209" i="1" s="1"/>
  <c r="BD96" i="1"/>
  <c r="BE96" i="1" s="1"/>
  <c r="BD113" i="1"/>
  <c r="BE113" i="1" s="1"/>
  <c r="BD171" i="1"/>
  <c r="BE171" i="1" s="1"/>
  <c r="BD188" i="1"/>
  <c r="BE188" i="1" s="1"/>
  <c r="BD202" i="1"/>
  <c r="BE202" i="1" s="1"/>
  <c r="BD218" i="1"/>
  <c r="BE218" i="1" s="1"/>
  <c r="BD243" i="1"/>
  <c r="BE243" i="1" s="1"/>
  <c r="BD258" i="1"/>
  <c r="BE258" i="1" s="1"/>
  <c r="BD287" i="1"/>
  <c r="BE287" i="1" s="1"/>
  <c r="BD292" i="1"/>
  <c r="BE292" i="1" s="1"/>
  <c r="BD296" i="1"/>
  <c r="BE296" i="1" s="1"/>
  <c r="BD300" i="1"/>
  <c r="BE300" i="1" s="1"/>
  <c r="BD308" i="1"/>
  <c r="BE308" i="1" s="1"/>
  <c r="BD312" i="1"/>
  <c r="BE312" i="1" s="1"/>
  <c r="BD319" i="1"/>
  <c r="BE319" i="1" s="1"/>
  <c r="BD139" i="1"/>
  <c r="BE139" i="1" s="1"/>
  <c r="BD153" i="1"/>
  <c r="BE153" i="1" s="1"/>
  <c r="BD167" i="1"/>
  <c r="BE167" i="1" s="1"/>
  <c r="BD199" i="1"/>
  <c r="BE199" i="1" s="1"/>
  <c r="BD214" i="1"/>
  <c r="BE214" i="1" s="1"/>
  <c r="BD239" i="1"/>
  <c r="BE239" i="1" s="1"/>
  <c r="BD254" i="1"/>
  <c r="BE254" i="1" s="1"/>
  <c r="BD269" i="1"/>
  <c r="BE269" i="1" s="1"/>
  <c r="BD283" i="1"/>
  <c r="BE283" i="1" s="1"/>
  <c r="BD24" i="1"/>
  <c r="BE24" i="1" s="1"/>
  <c r="BD135" i="1"/>
  <c r="BE135" i="1" s="1"/>
  <c r="BD164" i="1"/>
  <c r="BE164" i="1" s="1"/>
  <c r="BD177" i="1"/>
  <c r="BE177" i="1" s="1"/>
  <c r="BD181" i="1"/>
  <c r="BE181" i="1" s="1"/>
  <c r="BD196" i="1"/>
  <c r="BE196" i="1" s="1"/>
  <c r="BD250" i="1"/>
  <c r="BE250" i="1" s="1"/>
  <c r="BD265" i="1"/>
  <c r="BE265" i="1" s="1"/>
  <c r="BD131" i="1"/>
  <c r="BE131" i="1" s="1"/>
  <c r="BD147" i="1"/>
  <c r="BE147" i="1" s="1"/>
  <c r="BD160" i="1"/>
  <c r="BE160" i="1" s="1"/>
  <c r="BD192" i="1"/>
  <c r="BE192" i="1" s="1"/>
  <c r="BD206" i="1"/>
  <c r="BE206" i="1" s="1"/>
  <c r="BD247" i="1"/>
  <c r="BE247" i="1" s="1"/>
  <c r="BD262" i="1"/>
  <c r="BE262" i="1" s="1"/>
  <c r="BD276" i="1"/>
  <c r="BE276" i="1" s="1"/>
  <c r="BD30" i="1"/>
  <c r="BE30" i="1" s="1"/>
  <c r="BD97" i="1"/>
  <c r="BE97" i="1" s="1"/>
  <c r="BD121" i="1"/>
  <c r="BE121" i="1" s="1"/>
  <c r="BD129" i="1"/>
  <c r="BE129" i="1" s="1"/>
  <c r="BD124" i="1"/>
  <c r="BE124" i="1" s="1"/>
  <c r="BD86" i="1"/>
  <c r="BE86" i="1" s="1"/>
  <c r="BD108" i="1"/>
  <c r="BE108" i="1" s="1"/>
  <c r="BD114" i="1"/>
  <c r="BE114" i="1" s="1"/>
  <c r="BD140" i="1"/>
  <c r="BE140" i="1" s="1"/>
  <c r="BD154" i="1"/>
  <c r="BE154" i="1" s="1"/>
  <c r="BD168" i="1"/>
  <c r="BE168" i="1" s="1"/>
  <c r="BD26" i="1"/>
  <c r="BE26" i="1" s="1"/>
  <c r="BD71" i="1"/>
  <c r="BE71" i="1" s="1"/>
  <c r="BD125" i="1"/>
  <c r="BE125" i="1" s="1"/>
  <c r="BD136" i="1"/>
  <c r="BE136" i="1" s="1"/>
  <c r="BD151" i="1"/>
  <c r="BE151" i="1" s="1"/>
  <c r="BD165" i="1"/>
  <c r="BE165" i="1" s="1"/>
  <c r="BD178" i="1"/>
  <c r="BE178" i="1" s="1"/>
  <c r="BD89" i="1"/>
  <c r="BE89" i="1" s="1"/>
  <c r="BD118" i="1"/>
  <c r="BE118" i="1" s="1"/>
  <c r="BD132" i="1"/>
  <c r="BE132" i="1" s="1"/>
  <c r="BD148" i="1"/>
  <c r="BE148" i="1" s="1"/>
  <c r="BD203" i="1"/>
  <c r="BE203" i="1" s="1"/>
  <c r="BD117" i="1"/>
  <c r="BE117" i="1" s="1"/>
  <c r="BD194" i="1"/>
  <c r="BE194" i="1" s="1"/>
  <c r="BD208" i="1"/>
  <c r="BE208" i="1" s="1"/>
  <c r="BD244" i="1"/>
  <c r="BE244" i="1" s="1"/>
  <c r="BD266" i="1"/>
  <c r="BE266" i="1" s="1"/>
  <c r="BD313" i="1"/>
  <c r="BE313" i="1" s="1"/>
  <c r="BD245" i="1"/>
  <c r="BE245" i="1" s="1"/>
  <c r="BD306" i="1"/>
  <c r="BE306" i="1" s="1"/>
  <c r="BD197" i="1"/>
  <c r="BE197" i="1" s="1"/>
  <c r="BD207" i="1"/>
  <c r="BE207" i="1" s="1"/>
  <c r="BD215" i="1"/>
  <c r="BE215" i="1" s="1"/>
  <c r="BD234" i="1"/>
  <c r="BE234" i="1" s="1"/>
  <c r="BD70" i="1"/>
  <c r="BE70" i="1" s="1"/>
  <c r="BD119" i="1"/>
  <c r="BE119" i="1" s="1"/>
  <c r="BD133" i="1"/>
  <c r="BE133" i="1" s="1"/>
  <c r="BD141" i="1"/>
  <c r="BE141" i="1" s="1"/>
  <c r="BD145" i="1"/>
  <c r="BE145" i="1" s="1"/>
  <c r="BD149" i="1"/>
  <c r="BE149" i="1" s="1"/>
  <c r="BD162" i="1"/>
  <c r="BE162" i="1" s="1"/>
  <c r="BD166" i="1"/>
  <c r="BE166" i="1" s="1"/>
  <c r="BD169" i="1"/>
  <c r="BE169" i="1" s="1"/>
  <c r="BD173" i="1"/>
  <c r="BE173" i="1" s="1"/>
  <c r="BD176" i="1"/>
  <c r="BE176" i="1" s="1"/>
  <c r="BD190" i="1"/>
  <c r="BE190" i="1" s="1"/>
  <c r="BD204" i="1"/>
  <c r="BE204" i="1" s="1"/>
  <c r="BD219" i="1"/>
  <c r="BE219" i="1" s="1"/>
  <c r="BD235" i="1"/>
  <c r="BE235" i="1" s="1"/>
  <c r="BD255" i="1"/>
  <c r="BE255" i="1" s="1"/>
  <c r="BD277" i="1"/>
  <c r="BE277" i="1" s="1"/>
  <c r="BD237" i="1"/>
  <c r="BE237" i="1" s="1"/>
  <c r="BD278" i="1"/>
  <c r="BE278" i="1" s="1"/>
  <c r="BD282" i="1"/>
  <c r="BE282" i="1" s="1"/>
  <c r="BD291" i="1"/>
  <c r="BE291" i="1" s="1"/>
  <c r="BD302" i="1"/>
  <c r="BE302" i="1" s="1"/>
  <c r="BD189" i="1"/>
  <c r="BE189" i="1" s="1"/>
  <c r="BD128" i="1"/>
  <c r="BE128" i="1" s="1"/>
  <c r="BD105" i="1"/>
  <c r="BE105" i="1" s="1"/>
  <c r="BD115" i="1"/>
  <c r="BE115" i="1" s="1"/>
  <c r="BD126" i="1"/>
  <c r="BE126" i="1" s="1"/>
  <c r="BD201" i="1"/>
  <c r="BE201" i="1" s="1"/>
  <c r="BD216" i="1"/>
  <c r="BE216" i="1" s="1"/>
  <c r="BD72" i="1"/>
  <c r="BE72" i="1" s="1"/>
  <c r="BD251" i="1"/>
  <c r="BE251" i="1" s="1"/>
  <c r="BD273" i="1"/>
  <c r="BE273" i="1" s="1"/>
  <c r="BD305" i="1"/>
  <c r="BE305" i="1" s="1"/>
  <c r="BD315" i="1"/>
  <c r="BE315" i="1" s="1"/>
  <c r="BD320" i="1"/>
  <c r="BE320" i="1" s="1"/>
  <c r="BD323" i="1"/>
  <c r="BE323" i="1" s="1"/>
  <c r="BD260" i="1"/>
  <c r="BE260" i="1" s="1"/>
  <c r="BD263" i="1"/>
  <c r="BE263" i="1" s="1"/>
  <c r="BD267" i="1"/>
  <c r="BE267" i="1" s="1"/>
  <c r="BD271" i="1"/>
  <c r="BE271" i="1" s="1"/>
  <c r="BD274" i="1"/>
  <c r="BE274" i="1" s="1"/>
  <c r="BD289" i="1"/>
  <c r="BE289" i="1" s="1"/>
  <c r="BD182" i="1"/>
  <c r="BE182" i="1" s="1"/>
  <c r="BD193" i="1"/>
  <c r="BE193" i="1" s="1"/>
  <c r="BD200" i="1"/>
  <c r="BE200" i="1" s="1"/>
  <c r="BD211" i="1"/>
  <c r="BE211" i="1" s="1"/>
  <c r="BD34" i="1"/>
  <c r="BE34" i="1" s="1"/>
  <c r="BD67" i="1"/>
  <c r="BE67" i="1" s="1"/>
  <c r="BD93" i="1"/>
  <c r="BE93" i="1" s="1"/>
  <c r="BD183" i="1"/>
  <c r="BE183" i="1" s="1"/>
  <c r="BD198" i="1"/>
  <c r="BE198" i="1" s="1"/>
  <c r="BD212" i="1"/>
  <c r="BE212" i="1" s="1"/>
  <c r="BD109" i="1"/>
  <c r="BE109" i="1" s="1"/>
  <c r="BD270" i="1"/>
  <c r="BE270" i="1" s="1"/>
  <c r="BD281" i="1"/>
  <c r="BE281" i="1" s="1"/>
  <c r="BD288" i="1"/>
  <c r="BE288" i="1" s="1"/>
  <c r="BD301" i="1"/>
  <c r="BE301" i="1" s="1"/>
  <c r="BD256" i="1"/>
  <c r="BE256" i="1" s="1"/>
  <c r="BD294" i="1"/>
  <c r="BE294" i="1" s="1"/>
  <c r="BD249" i="1"/>
  <c r="BE249" i="1" s="1"/>
  <c r="BD261" i="1"/>
  <c r="BE261" i="1" s="1"/>
  <c r="BD272" i="1"/>
  <c r="BE272" i="1" s="1"/>
  <c r="BD286" i="1"/>
  <c r="BE286" i="1" s="1"/>
  <c r="BD252" i="1"/>
  <c r="BE252" i="1" s="1"/>
  <c r="BD257" i="1"/>
  <c r="BE257" i="1" s="1"/>
  <c r="BD295" i="1"/>
  <c r="BE295" i="1" s="1"/>
  <c r="BD322" i="1"/>
  <c r="BE322" i="1" s="1"/>
  <c r="BD242" i="1"/>
  <c r="BE242" i="1" s="1"/>
  <c r="BD253" i="1"/>
  <c r="BE253" i="1" s="1"/>
  <c r="BD268" i="1"/>
  <c r="BE268" i="1" s="1"/>
  <c r="BD275" i="1"/>
  <c r="BE275" i="1" s="1"/>
  <c r="BD307" i="1"/>
  <c r="BE307" i="1" s="1"/>
  <c r="BD238" i="1"/>
  <c r="BE238" i="1" s="1"/>
  <c r="BD264" i="1"/>
  <c r="BE264" i="1" s="1"/>
  <c r="B53" i="10"/>
  <c r="BC4" i="1"/>
  <c r="F64" i="8" l="1"/>
  <c r="F126" i="8"/>
  <c r="F129" i="8" s="1"/>
  <c r="H64" i="8"/>
  <c r="H126" i="8"/>
  <c r="H129" i="8" s="1"/>
  <c r="G64" i="8"/>
  <c r="G126" i="8"/>
  <c r="G129" i="8" s="1"/>
  <c r="I64" i="8"/>
  <c r="I126" i="8"/>
  <c r="I129" i="8" s="1"/>
  <c r="AG14" i="6"/>
  <c r="I14" i="6"/>
  <c r="AG13" i="6"/>
  <c r="H13" i="6"/>
  <c r="AG9" i="6"/>
  <c r="D9" i="6"/>
  <c r="AG12" i="6"/>
  <c r="G12" i="6"/>
  <c r="C8" i="6"/>
  <c r="AG8" i="6"/>
  <c r="AG11" i="6"/>
  <c r="F11" i="6"/>
  <c r="AG10" i="6"/>
  <c r="E10" i="6"/>
  <c r="BD4" i="1"/>
  <c r="P4" i="1" s="1"/>
  <c r="P12" i="1" l="1"/>
  <c r="P13" i="1" s="1"/>
  <c r="Y4" i="1"/>
  <c r="P60" i="8"/>
  <c r="P125" i="8" s="1"/>
  <c r="R55" i="8"/>
  <c r="R120" i="8" s="1"/>
  <c r="Q62" i="8"/>
  <c r="Q127" i="8" s="1"/>
  <c r="O43" i="8"/>
  <c r="O108" i="8" s="1"/>
  <c r="K41" i="11"/>
  <c r="R41" i="11" s="1"/>
  <c r="L41" i="11"/>
  <c r="S41" i="11" s="1"/>
  <c r="J41" i="11"/>
  <c r="Q41" i="11" s="1"/>
  <c r="M41" i="11"/>
  <c r="T41" i="11" s="1"/>
  <c r="J5" i="6"/>
  <c r="E15" i="6"/>
  <c r="J10" i="6"/>
  <c r="AC7" i="1" s="1"/>
  <c r="G15" i="6"/>
  <c r="G3" i="6" s="1"/>
  <c r="J12" i="6"/>
  <c r="AC9" i="1" s="1"/>
  <c r="I15" i="6"/>
  <c r="I3" i="6" s="1"/>
  <c r="J14" i="6"/>
  <c r="AC11" i="1" s="1"/>
  <c r="AG15" i="6"/>
  <c r="AF61" i="8"/>
  <c r="U64" i="8"/>
  <c r="H15" i="6"/>
  <c r="H3" i="6" s="1"/>
  <c r="J13" i="6"/>
  <c r="AC10" i="1" s="1"/>
  <c r="J6" i="6"/>
  <c r="F15" i="6"/>
  <c r="F3" i="6" s="1"/>
  <c r="J11" i="6"/>
  <c r="AC8" i="1" s="1"/>
  <c r="C15" i="6"/>
  <c r="J8" i="6"/>
  <c r="AC5" i="1" s="1"/>
  <c r="D15" i="6"/>
  <c r="J9" i="6"/>
  <c r="AC6" i="1" s="1"/>
  <c r="U33" i="8"/>
  <c r="BE4" i="1"/>
  <c r="D16" i="6" l="1"/>
  <c r="D3" i="6"/>
  <c r="E16" i="6"/>
  <c r="E3" i="6"/>
  <c r="C16" i="6"/>
  <c r="C3" i="6"/>
  <c r="H16" i="6"/>
  <c r="F16" i="6"/>
  <c r="I16" i="6"/>
  <c r="G16" i="6"/>
  <c r="O53" i="8"/>
  <c r="Y53" i="8" s="1"/>
  <c r="AJ53" i="8" s="1"/>
  <c r="C53" i="11" s="1"/>
  <c r="P42" i="8"/>
  <c r="Z42" i="8" s="1"/>
  <c r="AK42" i="8" s="1"/>
  <c r="D42" i="11" s="1"/>
  <c r="Q56" i="8"/>
  <c r="Q121" i="8" s="1"/>
  <c r="R60" i="8"/>
  <c r="AB60" i="8" s="1"/>
  <c r="R51" i="8"/>
  <c r="AB51" i="8" s="1"/>
  <c r="O46" i="8"/>
  <c r="Y46" i="8" s="1"/>
  <c r="AJ46" i="8" s="1"/>
  <c r="C46" i="11" s="1"/>
  <c r="R59" i="8"/>
  <c r="R124" i="8" s="1"/>
  <c r="R44" i="8"/>
  <c r="AB44" i="8" s="1"/>
  <c r="AB109" i="8" s="1"/>
  <c r="P44" i="8"/>
  <c r="Z44" i="8" s="1"/>
  <c r="AK44" i="8" s="1"/>
  <c r="D44" i="11" s="1"/>
  <c r="O49" i="8"/>
  <c r="O114" i="8" s="1"/>
  <c r="R40" i="8"/>
  <c r="R105" i="8" s="1"/>
  <c r="Q61" i="8"/>
  <c r="Q126" i="8" s="1"/>
  <c r="P49" i="8"/>
  <c r="P114" i="8" s="1"/>
  <c r="R42" i="8"/>
  <c r="AB42" i="8" s="1"/>
  <c r="R56" i="8"/>
  <c r="AB56" i="8" s="1"/>
  <c r="Q45" i="8"/>
  <c r="Q110" i="8" s="1"/>
  <c r="P47" i="8"/>
  <c r="Z47" i="8" s="1"/>
  <c r="Z112" i="8" s="1"/>
  <c r="P55" i="8"/>
  <c r="Z55" i="8" s="1"/>
  <c r="AK55" i="8" s="1"/>
  <c r="D55" i="11" s="1"/>
  <c r="O60" i="8"/>
  <c r="Y60" i="8" s="1"/>
  <c r="AJ60" i="8" s="1"/>
  <c r="C60" i="11" s="1"/>
  <c r="O40" i="8"/>
  <c r="Y40" i="8" s="1"/>
  <c r="AJ40" i="8" s="1"/>
  <c r="C40" i="11" s="1"/>
  <c r="AA62" i="8"/>
  <c r="AL62" i="8" s="1"/>
  <c r="E62" i="11" s="1"/>
  <c r="R61" i="8"/>
  <c r="AB61" i="8" s="1"/>
  <c r="AB126" i="8" s="1"/>
  <c r="Q55" i="8"/>
  <c r="Q120" i="8" s="1"/>
  <c r="Q59" i="8"/>
  <c r="AA59" i="8" s="1"/>
  <c r="AL59" i="8" s="1"/>
  <c r="E59" i="11" s="1"/>
  <c r="Q51" i="8"/>
  <c r="Q116" i="8" s="1"/>
  <c r="O61" i="8"/>
  <c r="Y61" i="8" s="1"/>
  <c r="Y126" i="8" s="1"/>
  <c r="Y43" i="8"/>
  <c r="AJ43" i="8" s="1"/>
  <c r="C43" i="11" s="1"/>
  <c r="R45" i="8"/>
  <c r="AB45" i="8" s="1"/>
  <c r="AM45" i="8" s="1"/>
  <c r="F45" i="11" s="1"/>
  <c r="P45" i="8"/>
  <c r="P110" i="8" s="1"/>
  <c r="Q58" i="8"/>
  <c r="AA58" i="8" s="1"/>
  <c r="AA123" i="8" s="1"/>
  <c r="P56" i="8"/>
  <c r="P121" i="8" s="1"/>
  <c r="Q46" i="8"/>
  <c r="AA46" i="8" s="1"/>
  <c r="AA111" i="8" s="1"/>
  <c r="R53" i="8"/>
  <c r="R118" i="8" s="1"/>
  <c r="P40" i="8"/>
  <c r="P105" i="8" s="1"/>
  <c r="O39" i="8"/>
  <c r="O104" i="8" s="1"/>
  <c r="O54" i="8"/>
  <c r="Y54" i="8" s="1"/>
  <c r="AJ54" i="8" s="1"/>
  <c r="C54" i="11" s="1"/>
  <c r="O45" i="8"/>
  <c r="O110" i="8" s="1"/>
  <c r="Z60" i="8"/>
  <c r="AK60" i="8" s="1"/>
  <c r="D60" i="11" s="1"/>
  <c r="AB55" i="8"/>
  <c r="AB120" i="8" s="1"/>
  <c r="Q60" i="8"/>
  <c r="AA60" i="8" s="1"/>
  <c r="AA125" i="8" s="1"/>
  <c r="P57" i="8"/>
  <c r="P122" i="8" s="1"/>
  <c r="P50" i="8"/>
  <c r="P115" i="8" s="1"/>
  <c r="Q49" i="8"/>
  <c r="AA49" i="8" s="1"/>
  <c r="AA114" i="8" s="1"/>
  <c r="P54" i="8"/>
  <c r="Z54" i="8" s="1"/>
  <c r="AK54" i="8" s="1"/>
  <c r="D54" i="11" s="1"/>
  <c r="P46" i="8"/>
  <c r="P111" i="8" s="1"/>
  <c r="R50" i="8"/>
  <c r="R115" i="8" s="1"/>
  <c r="O56" i="8"/>
  <c r="Y56" i="8" s="1"/>
  <c r="AJ56" i="8" s="1"/>
  <c r="C56" i="11" s="1"/>
  <c r="O52" i="8"/>
  <c r="Y52" i="8" s="1"/>
  <c r="AJ52" i="8" s="1"/>
  <c r="C52" i="11" s="1"/>
  <c r="R43" i="8"/>
  <c r="AB43" i="8" s="1"/>
  <c r="R48" i="8"/>
  <c r="AB48" i="8" s="1"/>
  <c r="R46" i="8"/>
  <c r="AB46" i="8" s="1"/>
  <c r="R54" i="8"/>
  <c r="AB54" i="8" s="1"/>
  <c r="AM54" i="8" s="1"/>
  <c r="F54" i="11" s="1"/>
  <c r="R49" i="8"/>
  <c r="AB49" i="8" s="1"/>
  <c r="AM49" i="8" s="1"/>
  <c r="F49" i="11" s="1"/>
  <c r="Q47" i="8"/>
  <c r="AA47" i="8" s="1"/>
  <c r="AA112" i="8" s="1"/>
  <c r="P59" i="8"/>
  <c r="Z59" i="8" s="1"/>
  <c r="AK59" i="8" s="1"/>
  <c r="D59" i="11" s="1"/>
  <c r="R58" i="8"/>
  <c r="AB58" i="8" s="1"/>
  <c r="AM58" i="8" s="1"/>
  <c r="F58" i="11" s="1"/>
  <c r="Q39" i="8"/>
  <c r="Q104" i="8" s="1"/>
  <c r="P48" i="8"/>
  <c r="Z48" i="8" s="1"/>
  <c r="AK48" i="8" s="1"/>
  <c r="D48" i="11" s="1"/>
  <c r="P39" i="8"/>
  <c r="P104" i="8" s="1"/>
  <c r="Q50" i="8"/>
  <c r="AA50" i="8" s="1"/>
  <c r="AL50" i="8" s="1"/>
  <c r="E50" i="11" s="1"/>
  <c r="Q44" i="8"/>
  <c r="AA44" i="8" s="1"/>
  <c r="AL44" i="8" s="1"/>
  <c r="E44" i="11" s="1"/>
  <c r="P52" i="8"/>
  <c r="Z52" i="8" s="1"/>
  <c r="AK52" i="8" s="1"/>
  <c r="D52" i="11" s="1"/>
  <c r="R57" i="8"/>
  <c r="AB57" i="8" s="1"/>
  <c r="AM57" i="8" s="1"/>
  <c r="F57" i="11" s="1"/>
  <c r="Q52" i="8"/>
  <c r="AA52" i="8" s="1"/>
  <c r="AA117" i="8" s="1"/>
  <c r="P53" i="8"/>
  <c r="Z53" i="8" s="1"/>
  <c r="AK53" i="8" s="1"/>
  <c r="D53" i="11" s="1"/>
  <c r="O59" i="8"/>
  <c r="Y59" i="8" s="1"/>
  <c r="AJ59" i="8" s="1"/>
  <c r="C59" i="11" s="1"/>
  <c r="O51" i="8"/>
  <c r="O116" i="8" s="1"/>
  <c r="O44" i="8"/>
  <c r="O109" i="8" s="1"/>
  <c r="O62" i="8"/>
  <c r="O127" i="8" s="1"/>
  <c r="Q43" i="8"/>
  <c r="Q108" i="8" s="1"/>
  <c r="O48" i="8"/>
  <c r="Y48" i="8" s="1"/>
  <c r="Y113" i="8" s="1"/>
  <c r="R52" i="8"/>
  <c r="AB52" i="8" s="1"/>
  <c r="R39" i="8"/>
  <c r="R104" i="8" s="1"/>
  <c r="R62" i="8"/>
  <c r="R127" i="8" s="1"/>
  <c r="Q48" i="8"/>
  <c r="Q113" i="8" s="1"/>
  <c r="Q42" i="8"/>
  <c r="AA42" i="8" s="1"/>
  <c r="AL42" i="8" s="1"/>
  <c r="E42" i="11" s="1"/>
  <c r="P62" i="8"/>
  <c r="Z62" i="8" s="1"/>
  <c r="AK62" i="8" s="1"/>
  <c r="D62" i="11" s="1"/>
  <c r="Q53" i="8"/>
  <c r="AA53" i="8" s="1"/>
  <c r="AA118" i="8" s="1"/>
  <c r="Q54" i="8"/>
  <c r="AA54" i="8" s="1"/>
  <c r="AA119" i="8" s="1"/>
  <c r="P58" i="8"/>
  <c r="Z58" i="8" s="1"/>
  <c r="AK58" i="8" s="1"/>
  <c r="D58" i="11" s="1"/>
  <c r="R47" i="8"/>
  <c r="AB47" i="8" s="1"/>
  <c r="AB112" i="8" s="1"/>
  <c r="Q57" i="8"/>
  <c r="AA57" i="8" s="1"/>
  <c r="AL57" i="8" s="1"/>
  <c r="E57" i="11" s="1"/>
  <c r="P61" i="8"/>
  <c r="Z61" i="8" s="1"/>
  <c r="AK61" i="8" s="1"/>
  <c r="D61" i="11" s="1"/>
  <c r="P43" i="8"/>
  <c r="Z43" i="8" s="1"/>
  <c r="AK43" i="8" s="1"/>
  <c r="D43" i="11" s="1"/>
  <c r="P51" i="8"/>
  <c r="Z51" i="8" s="1"/>
  <c r="AK51" i="8" s="1"/>
  <c r="D51" i="11" s="1"/>
  <c r="Q40" i="8"/>
  <c r="AA40" i="8" s="1"/>
  <c r="AL40" i="8" s="1"/>
  <c r="E40" i="11" s="1"/>
  <c r="O50" i="8"/>
  <c r="Y50" i="8" s="1"/>
  <c r="AJ50" i="8" s="1"/>
  <c r="C50" i="11" s="1"/>
  <c r="O58" i="8"/>
  <c r="Y58" i="8" s="1"/>
  <c r="AJ58" i="8" s="1"/>
  <c r="C58" i="11" s="1"/>
  <c r="O42" i="8"/>
  <c r="O107" i="8" s="1"/>
  <c r="O55" i="8"/>
  <c r="O120" i="8" s="1"/>
  <c r="O47" i="8"/>
  <c r="Y47" i="8" s="1"/>
  <c r="AJ47" i="8" s="1"/>
  <c r="C47" i="11" s="1"/>
  <c r="O57" i="8"/>
  <c r="Y57" i="8" s="1"/>
  <c r="AJ57" i="8" s="1"/>
  <c r="C57" i="11" s="1"/>
  <c r="I66" i="8"/>
  <c r="G41" i="11"/>
  <c r="I41" i="11"/>
  <c r="B59" i="10"/>
  <c r="AF64" i="8"/>
  <c r="J15" i="6"/>
  <c r="J3" i="6" s="1"/>
  <c r="AF30" i="8"/>
  <c r="O117" i="8" l="1"/>
  <c r="Y111" i="8"/>
  <c r="AL49" i="8"/>
  <c r="E49" i="11" s="1"/>
  <c r="Y118" i="8"/>
  <c r="O118" i="8"/>
  <c r="P124" i="8"/>
  <c r="O113" i="8"/>
  <c r="AB40" i="8"/>
  <c r="AB105" i="8" s="1"/>
  <c r="Y39" i="8"/>
  <c r="Y104" i="8" s="1"/>
  <c r="Z124" i="8"/>
  <c r="AL54" i="8"/>
  <c r="E54" i="11" s="1"/>
  <c r="L54" i="11" s="1"/>
  <c r="S54" i="11" s="1"/>
  <c r="R121" i="8"/>
  <c r="Y108" i="8"/>
  <c r="Y125" i="8"/>
  <c r="O125" i="8"/>
  <c r="AM55" i="8"/>
  <c r="F55" i="11" s="1"/>
  <c r="R111" i="8"/>
  <c r="Z56" i="8"/>
  <c r="AK56" i="8" s="1"/>
  <c r="D56" i="11" s="1"/>
  <c r="K56" i="11" s="1"/>
  <c r="R56" i="11" s="1"/>
  <c r="Y51" i="8"/>
  <c r="AJ51" i="8" s="1"/>
  <c r="C51" i="11" s="1"/>
  <c r="O115" i="8"/>
  <c r="Y115" i="8"/>
  <c r="Y121" i="8"/>
  <c r="Q114" i="8"/>
  <c r="Z126" i="8"/>
  <c r="AB122" i="8"/>
  <c r="Z39" i="8"/>
  <c r="AK39" i="8" s="1"/>
  <c r="D39" i="11" s="1"/>
  <c r="AA48" i="8"/>
  <c r="AL48" i="8" s="1"/>
  <c r="E48" i="11" s="1"/>
  <c r="L48" i="11" s="1"/>
  <c r="S48" i="11" s="1"/>
  <c r="R107" i="8"/>
  <c r="AM61" i="8"/>
  <c r="F61" i="11" s="1"/>
  <c r="O111" i="8"/>
  <c r="AA115" i="8"/>
  <c r="AJ61" i="8"/>
  <c r="C61" i="11" s="1"/>
  <c r="J61" i="11" s="1"/>
  <c r="AA124" i="8"/>
  <c r="AL52" i="8"/>
  <c r="E52" i="11" s="1"/>
  <c r="AB110" i="8"/>
  <c r="Z107" i="8"/>
  <c r="R126" i="8"/>
  <c r="Y49" i="8"/>
  <c r="AJ49" i="8" s="1"/>
  <c r="C49" i="11" s="1"/>
  <c r="AL58" i="8"/>
  <c r="E58" i="11" s="1"/>
  <c r="Z125" i="8"/>
  <c r="Z120" i="8"/>
  <c r="AL53" i="8"/>
  <c r="E53" i="11" s="1"/>
  <c r="Q112" i="8"/>
  <c r="P107" i="8"/>
  <c r="O126" i="8"/>
  <c r="P120" i="8"/>
  <c r="Y124" i="8"/>
  <c r="AL60" i="8"/>
  <c r="E60" i="11" s="1"/>
  <c r="R117" i="8"/>
  <c r="Y119" i="8"/>
  <c r="AL47" i="8"/>
  <c r="E47" i="11" s="1"/>
  <c r="L47" i="11" s="1"/>
  <c r="S47" i="11" s="1"/>
  <c r="O105" i="8"/>
  <c r="Q109" i="8"/>
  <c r="Z119" i="8"/>
  <c r="AB123" i="8"/>
  <c r="P119" i="8"/>
  <c r="AA61" i="8"/>
  <c r="AA126" i="8" s="1"/>
  <c r="AA45" i="8"/>
  <c r="AL45" i="8" s="1"/>
  <c r="E45" i="11" s="1"/>
  <c r="L45" i="11" s="1"/>
  <c r="S45" i="11" s="1"/>
  <c r="Y123" i="8"/>
  <c r="AL46" i="8"/>
  <c r="E46" i="11" s="1"/>
  <c r="L46" i="11" s="1"/>
  <c r="S46" i="11" s="1"/>
  <c r="Y117" i="8"/>
  <c r="AM44" i="8"/>
  <c r="F44" i="11" s="1"/>
  <c r="Y112" i="8"/>
  <c r="AJ48" i="8"/>
  <c r="C48" i="11" s="1"/>
  <c r="J48" i="11" s="1"/>
  <c r="Q48" i="11" s="1"/>
  <c r="Q111" i="8"/>
  <c r="AB59" i="8"/>
  <c r="AM59" i="8" s="1"/>
  <c r="F59" i="11" s="1"/>
  <c r="M59" i="11" s="1"/>
  <c r="T59" i="11" s="1"/>
  <c r="P126" i="8"/>
  <c r="Q122" i="8"/>
  <c r="Y105" i="8"/>
  <c r="R125" i="8"/>
  <c r="R110" i="8"/>
  <c r="R109" i="8"/>
  <c r="O119" i="8"/>
  <c r="AK47" i="8"/>
  <c r="D47" i="11" s="1"/>
  <c r="K47" i="11" s="1"/>
  <c r="R47" i="11" s="1"/>
  <c r="Z116" i="8"/>
  <c r="AM47" i="8"/>
  <c r="F47" i="11" s="1"/>
  <c r="Q125" i="8"/>
  <c r="R122" i="8"/>
  <c r="AA56" i="8"/>
  <c r="AA121" i="8" s="1"/>
  <c r="P116" i="8"/>
  <c r="Q119" i="8"/>
  <c r="AA55" i="8"/>
  <c r="AA120" i="8" s="1"/>
  <c r="Q124" i="8"/>
  <c r="O121" i="8"/>
  <c r="Q105" i="8"/>
  <c r="AA127" i="8"/>
  <c r="Z109" i="8"/>
  <c r="AA109" i="8"/>
  <c r="R108" i="8"/>
  <c r="R114" i="8"/>
  <c r="Z45" i="8"/>
  <c r="Z110" i="8" s="1"/>
  <c r="AA51" i="8"/>
  <c r="AL51" i="8" s="1"/>
  <c r="E51" i="11" s="1"/>
  <c r="L51" i="11" s="1"/>
  <c r="S51" i="11" s="1"/>
  <c r="AB53" i="8"/>
  <c r="AM53" i="8" s="1"/>
  <c r="F53" i="11" s="1"/>
  <c r="Y62" i="8"/>
  <c r="AJ62" i="8" s="1"/>
  <c r="C62" i="11" s="1"/>
  <c r="Z127" i="8"/>
  <c r="AB114" i="8"/>
  <c r="Z118" i="8"/>
  <c r="R116" i="8"/>
  <c r="AA39" i="8"/>
  <c r="AA104" i="8" s="1"/>
  <c r="Z49" i="8"/>
  <c r="AK49" i="8" s="1"/>
  <c r="D49" i="11" s="1"/>
  <c r="P112" i="8"/>
  <c r="R112" i="8"/>
  <c r="P109" i="8"/>
  <c r="AB39" i="8"/>
  <c r="AM39" i="8" s="1"/>
  <c r="F39" i="11" s="1"/>
  <c r="M39" i="11" s="1"/>
  <c r="T39" i="11" s="1"/>
  <c r="O64" i="8"/>
  <c r="Z57" i="8"/>
  <c r="Z122" i="8" s="1"/>
  <c r="Y45" i="8"/>
  <c r="Y110" i="8" s="1"/>
  <c r="Z108" i="8"/>
  <c r="AA107" i="8"/>
  <c r="R64" i="8"/>
  <c r="AA105" i="8"/>
  <c r="Z113" i="8"/>
  <c r="Q123" i="8"/>
  <c r="P113" i="8"/>
  <c r="Z50" i="8"/>
  <c r="AK50" i="8" s="1"/>
  <c r="D50" i="11" s="1"/>
  <c r="K50" i="11" s="1"/>
  <c r="R50" i="11" s="1"/>
  <c r="AA43" i="8"/>
  <c r="AA108" i="8" s="1"/>
  <c r="Z117" i="8"/>
  <c r="AA122" i="8"/>
  <c r="Q118" i="8"/>
  <c r="AB62" i="8"/>
  <c r="AM62" i="8" s="1"/>
  <c r="F62" i="11" s="1"/>
  <c r="R113" i="8"/>
  <c r="P117" i="8"/>
  <c r="P127" i="8"/>
  <c r="Z46" i="8"/>
  <c r="AK46" i="8" s="1"/>
  <c r="D46" i="11" s="1"/>
  <c r="K46" i="11" s="1"/>
  <c r="R46" i="11" s="1"/>
  <c r="AB50" i="8"/>
  <c r="AB115" i="8" s="1"/>
  <c r="Z40" i="8"/>
  <c r="Z105" i="8" s="1"/>
  <c r="O124" i="8"/>
  <c r="Q64" i="8"/>
  <c r="Q115" i="8"/>
  <c r="Q107" i="8"/>
  <c r="O122" i="8"/>
  <c r="Y55" i="8"/>
  <c r="Y120" i="8" s="1"/>
  <c r="Y122" i="8"/>
  <c r="Z123" i="8"/>
  <c r="AB119" i="8"/>
  <c r="P64" i="8"/>
  <c r="Q117" i="8"/>
  <c r="Y44" i="8"/>
  <c r="Y109" i="8" s="1"/>
  <c r="P123" i="8"/>
  <c r="P108" i="8"/>
  <c r="R123" i="8"/>
  <c r="R119" i="8"/>
  <c r="O123" i="8"/>
  <c r="Y42" i="8"/>
  <c r="Y107" i="8" s="1"/>
  <c r="O112" i="8"/>
  <c r="P118" i="8"/>
  <c r="J50" i="11"/>
  <c r="Q50" i="11" s="1"/>
  <c r="M49" i="11"/>
  <c r="T49" i="11" s="1"/>
  <c r="K53" i="11"/>
  <c r="R53" i="11" s="1"/>
  <c r="L40" i="11"/>
  <c r="S40" i="11" s="1"/>
  <c r="J54" i="11"/>
  <c r="Q54" i="11" s="1"/>
  <c r="AM51" i="8"/>
  <c r="F51" i="11" s="1"/>
  <c r="AB116" i="8"/>
  <c r="K42" i="11"/>
  <c r="R42" i="11" s="1"/>
  <c r="L42" i="11"/>
  <c r="S42" i="11" s="1"/>
  <c r="AM60" i="8"/>
  <c r="F60" i="11" s="1"/>
  <c r="AB125" i="8"/>
  <c r="K52" i="11"/>
  <c r="R52" i="11" s="1"/>
  <c r="L57" i="11"/>
  <c r="S57" i="11" s="1"/>
  <c r="AM48" i="8"/>
  <c r="F48" i="11" s="1"/>
  <c r="AB113" i="8"/>
  <c r="K48" i="11"/>
  <c r="R48" i="11" s="1"/>
  <c r="AM43" i="8"/>
  <c r="F43" i="11" s="1"/>
  <c r="AB108" i="8"/>
  <c r="M54" i="11"/>
  <c r="T54" i="11" s="1"/>
  <c r="AM56" i="8"/>
  <c r="F56" i="11" s="1"/>
  <c r="AB121" i="8"/>
  <c r="J58" i="11"/>
  <c r="Q58" i="11" s="1"/>
  <c r="M57" i="11"/>
  <c r="T57" i="11" s="1"/>
  <c r="K59" i="11"/>
  <c r="R59" i="11" s="1"/>
  <c r="L62" i="11"/>
  <c r="S62" i="11" s="1"/>
  <c r="J57" i="11"/>
  <c r="Q57" i="11" s="1"/>
  <c r="AM42" i="8"/>
  <c r="F42" i="11" s="1"/>
  <c r="AB107" i="8"/>
  <c r="K54" i="11"/>
  <c r="R54" i="11" s="1"/>
  <c r="AM52" i="8"/>
  <c r="F52" i="11" s="1"/>
  <c r="AB117" i="8"/>
  <c r="M45" i="11"/>
  <c r="T45" i="11" s="1"/>
  <c r="K51" i="11"/>
  <c r="R51" i="11" s="1"/>
  <c r="J47" i="11"/>
  <c r="Q47" i="11" s="1"/>
  <c r="J60" i="11"/>
  <c r="Q60" i="11" s="1"/>
  <c r="M58" i="11"/>
  <c r="T58" i="11" s="1"/>
  <c r="J56" i="11"/>
  <c r="Q56" i="11" s="1"/>
  <c r="K43" i="11"/>
  <c r="R43" i="11" s="1"/>
  <c r="L44" i="11"/>
  <c r="S44" i="11" s="1"/>
  <c r="L50" i="11"/>
  <c r="S50" i="11" s="1"/>
  <c r="AM46" i="8"/>
  <c r="F46" i="11" s="1"/>
  <c r="AB111" i="8"/>
  <c r="K58" i="11"/>
  <c r="R58" i="11" s="1"/>
  <c r="J53" i="11"/>
  <c r="Q53" i="11" s="1"/>
  <c r="J40" i="11"/>
  <c r="Q40" i="11" s="1"/>
  <c r="J59" i="11"/>
  <c r="Q59" i="11" s="1"/>
  <c r="K62" i="11"/>
  <c r="R62" i="11" s="1"/>
  <c r="K60" i="11"/>
  <c r="R60" i="11" s="1"/>
  <c r="J46" i="11"/>
  <c r="Q46" i="11" s="1"/>
  <c r="J43" i="11"/>
  <c r="Q43" i="11" s="1"/>
  <c r="K55" i="11"/>
  <c r="R55" i="11" s="1"/>
  <c r="K44" i="11"/>
  <c r="R44" i="11" s="1"/>
  <c r="L59" i="11"/>
  <c r="S59" i="11" s="1"/>
  <c r="J52" i="11"/>
  <c r="Q52" i="11" s="1"/>
  <c r="K61" i="11"/>
  <c r="P41" i="11"/>
  <c r="N41" i="11"/>
  <c r="B62" i="10"/>
  <c r="AF33" i="8"/>
  <c r="B31" i="10" s="1"/>
  <c r="B28" i="10"/>
  <c r="L49" i="11" l="1"/>
  <c r="S49" i="11" s="1"/>
  <c r="AM40" i="8"/>
  <c r="F40" i="11" s="1"/>
  <c r="M55" i="11"/>
  <c r="T55" i="11" s="1"/>
  <c r="M61" i="11"/>
  <c r="T61" i="11" s="1"/>
  <c r="AJ39" i="8"/>
  <c r="C39" i="11" s="1"/>
  <c r="J51" i="11"/>
  <c r="Q51" i="11" s="1"/>
  <c r="Z121" i="8"/>
  <c r="AA113" i="8"/>
  <c r="Y116" i="8"/>
  <c r="Z104" i="8"/>
  <c r="K39" i="11"/>
  <c r="R39" i="11" s="1"/>
  <c r="AK45" i="8"/>
  <c r="D45" i="11" s="1"/>
  <c r="Y114" i="8"/>
  <c r="L52" i="11"/>
  <c r="S52" i="11" s="1"/>
  <c r="J62" i="11"/>
  <c r="Q62" i="11" s="1"/>
  <c r="J49" i="11"/>
  <c r="Q49" i="11" s="1"/>
  <c r="L53" i="11"/>
  <c r="S53" i="11" s="1"/>
  <c r="M44" i="11"/>
  <c r="T44" i="11" s="1"/>
  <c r="AA110" i="8"/>
  <c r="L60" i="11"/>
  <c r="S60" i="11" s="1"/>
  <c r="AL61" i="8"/>
  <c r="E61" i="11" s="1"/>
  <c r="L61" i="11" s="1"/>
  <c r="S61" i="11" s="1"/>
  <c r="M53" i="11"/>
  <c r="T53" i="11" s="1"/>
  <c r="L58" i="11"/>
  <c r="S58" i="11" s="1"/>
  <c r="M62" i="11"/>
  <c r="T62" i="11" s="1"/>
  <c r="Z115" i="8"/>
  <c r="AL56" i="8"/>
  <c r="E56" i="11" s="1"/>
  <c r="AJ45" i="8"/>
  <c r="C45" i="11" s="1"/>
  <c r="K49" i="11"/>
  <c r="R49" i="11" s="1"/>
  <c r="AL55" i="8"/>
  <c r="E55" i="11" s="1"/>
  <c r="AB124" i="8"/>
  <c r="AM50" i="8"/>
  <c r="F50" i="11" s="1"/>
  <c r="M50" i="11" s="1"/>
  <c r="T50" i="11" s="1"/>
  <c r="AB104" i="8"/>
  <c r="Y127" i="8"/>
  <c r="AK57" i="8"/>
  <c r="D57" i="11" s="1"/>
  <c r="AB64" i="8"/>
  <c r="M47" i="11"/>
  <c r="T47" i="11" s="1"/>
  <c r="AA116" i="8"/>
  <c r="AA64" i="8"/>
  <c r="AL39" i="8"/>
  <c r="E39" i="11" s="1"/>
  <c r="L39" i="11" s="1"/>
  <c r="S39" i="11" s="1"/>
  <c r="AB127" i="8"/>
  <c r="Z114" i="8"/>
  <c r="R129" i="8"/>
  <c r="AB118" i="8"/>
  <c r="AK40" i="8"/>
  <c r="D40" i="11" s="1"/>
  <c r="AL43" i="8"/>
  <c r="E43" i="11" s="1"/>
  <c r="L43" i="11" s="1"/>
  <c r="S43" i="11" s="1"/>
  <c r="Q129" i="8"/>
  <c r="Z111" i="8"/>
  <c r="AJ55" i="8"/>
  <c r="C55" i="11" s="1"/>
  <c r="J55" i="11" s="1"/>
  <c r="Q55" i="11" s="1"/>
  <c r="Y64" i="8"/>
  <c r="Z64" i="8"/>
  <c r="AJ44" i="8"/>
  <c r="C44" i="11" s="1"/>
  <c r="J44" i="11" s="1"/>
  <c r="Q44" i="11" s="1"/>
  <c r="P129" i="8"/>
  <c r="O129" i="8"/>
  <c r="AJ42" i="8"/>
  <c r="C42" i="11" s="1"/>
  <c r="M56" i="11"/>
  <c r="T56" i="11" s="1"/>
  <c r="M43" i="11"/>
  <c r="T43" i="11" s="1"/>
  <c r="M48" i="11"/>
  <c r="T48" i="11" s="1"/>
  <c r="M60" i="11"/>
  <c r="T60" i="11" s="1"/>
  <c r="M46" i="11"/>
  <c r="T46" i="11" s="1"/>
  <c r="M52" i="11"/>
  <c r="T52" i="11" s="1"/>
  <c r="M42" i="11"/>
  <c r="T42" i="11" s="1"/>
  <c r="M51" i="11"/>
  <c r="T51" i="11" s="1"/>
  <c r="R61" i="11"/>
  <c r="Q61" i="11"/>
  <c r="AA129" i="8" l="1"/>
  <c r="J39" i="11"/>
  <c r="Q39" i="11" s="1"/>
  <c r="K45" i="11"/>
  <c r="R45" i="11" s="1"/>
  <c r="Y129" i="8"/>
  <c r="AM64" i="8"/>
  <c r="F64" i="11" s="1"/>
  <c r="J45" i="11"/>
  <c r="Q45" i="11" s="1"/>
  <c r="K57" i="11"/>
  <c r="R57" i="11" s="1"/>
  <c r="L56" i="11"/>
  <c r="S56" i="11" s="1"/>
  <c r="AK64" i="8"/>
  <c r="D64" i="11" s="1"/>
  <c r="L55" i="11"/>
  <c r="S55" i="11" s="1"/>
  <c r="K40" i="11"/>
  <c r="R40" i="11" s="1"/>
  <c r="Z129" i="8"/>
  <c r="AB129" i="8"/>
  <c r="AJ64" i="8"/>
  <c r="C64" i="11" s="1"/>
  <c r="AL64" i="8"/>
  <c r="E64" i="11" s="1"/>
  <c r="J42" i="11"/>
  <c r="Q42" i="11" s="1"/>
  <c r="M40" i="11"/>
  <c r="L64" i="11" l="1"/>
  <c r="K64" i="11"/>
  <c r="J64" i="11"/>
  <c r="T40" i="11"/>
  <c r="M64" i="11"/>
  <c r="P10" i="11" l="1"/>
  <c r="Q10" i="11" l="1"/>
  <c r="R10" i="11" l="1"/>
  <c r="S10" i="11" l="1"/>
  <c r="G10" i="11" l="1"/>
  <c r="T10" i="11" l="1"/>
  <c r="N10" i="11"/>
  <c r="U10" i="11" l="1"/>
  <c r="AC61" i="1" l="1"/>
  <c r="P16" i="1" l="1"/>
  <c r="AC66" i="1"/>
  <c r="AC297" i="1"/>
  <c r="AC48" i="1"/>
  <c r="AC235" i="1"/>
  <c r="AC81" i="1"/>
  <c r="AC102" i="1"/>
  <c r="AC128" i="1"/>
  <c r="AC73" i="1"/>
  <c r="AC101" i="1"/>
  <c r="AC80" i="1" l="1"/>
  <c r="AC108" i="1"/>
  <c r="AC221" i="1"/>
  <c r="AC82" i="1"/>
  <c r="AC130" i="1"/>
  <c r="AC35" i="1"/>
  <c r="O16" i="1"/>
  <c r="S64" i="11" l="1"/>
  <c r="T64" i="11"/>
  <c r="R64" i="11"/>
  <c r="U41" i="11"/>
  <c r="Q64" i="11"/>
  <c r="U63" i="11"/>
  <c r="AA132" i="1"/>
  <c r="AB132" i="1" s="1"/>
  <c r="AA80" i="1"/>
  <c r="AB80" i="1" s="1"/>
  <c r="AA221" i="1"/>
  <c r="AB221" i="1" s="1"/>
  <c r="AA102" i="1"/>
  <c r="AB102" i="1" s="1"/>
  <c r="AA74" i="1"/>
  <c r="AA128" i="1"/>
  <c r="AB128" i="1" s="1"/>
  <c r="AA88" i="1"/>
  <c r="AA59" i="1"/>
  <c r="AA235" i="1"/>
  <c r="AB235" i="1" s="1"/>
  <c r="AA101" i="1"/>
  <c r="AB101" i="1" s="1"/>
  <c r="AA94" i="1"/>
  <c r="AB94" i="1" s="1"/>
  <c r="AA108" i="1"/>
  <c r="AB108" i="1" s="1"/>
  <c r="AA67" i="1"/>
  <c r="AA48" i="1"/>
  <c r="AB48" i="1" s="1"/>
  <c r="AA73" i="1"/>
  <c r="AB73" i="1" s="1"/>
  <c r="AA66" i="1"/>
  <c r="AB66" i="1" s="1"/>
  <c r="AA130" i="1"/>
  <c r="AB130" i="1" s="1"/>
  <c r="AA81" i="1"/>
  <c r="AB81" i="1" s="1"/>
  <c r="AA35" i="1"/>
  <c r="AB35" i="1" s="1"/>
  <c r="AA82" i="1"/>
  <c r="AB82" i="1" s="1"/>
  <c r="AA297" i="1"/>
  <c r="AB297" i="1" s="1"/>
  <c r="AA61" i="1"/>
  <c r="AB61" i="1" s="1"/>
  <c r="AA79" i="1"/>
  <c r="AA56" i="1"/>
  <c r="AC74" i="1"/>
  <c r="AC59" i="1"/>
  <c r="AC88" i="1"/>
  <c r="AC79" i="1"/>
  <c r="AA44" i="1"/>
  <c r="AB44" i="1" s="1"/>
  <c r="AC67" i="1"/>
  <c r="AC56" i="1"/>
  <c r="AA293" i="1"/>
  <c r="AB293" i="1" s="1"/>
  <c r="AA50" i="1"/>
  <c r="AB50" i="1" s="1"/>
  <c r="AA37" i="1"/>
  <c r="AB37" i="1" s="1"/>
  <c r="AA137" i="1"/>
  <c r="AB137" i="1" s="1"/>
  <c r="AA42" i="1"/>
  <c r="AB42" i="1" s="1"/>
  <c r="AA40" i="1"/>
  <c r="AB40" i="1" s="1"/>
  <c r="AA41" i="1"/>
  <c r="AB41" i="1" s="1"/>
  <c r="AA175" i="1"/>
  <c r="AA91" i="1"/>
  <c r="AB91" i="1" s="1"/>
  <c r="N16" i="1"/>
  <c r="M16" i="1" l="1"/>
  <c r="L16" i="1" s="1"/>
  <c r="K16" i="1" s="1"/>
  <c r="J16" i="1" s="1"/>
  <c r="I16" i="1" s="1"/>
  <c r="H16" i="1" s="1"/>
  <c r="G16" i="1" s="1"/>
  <c r="F16" i="1" s="1"/>
  <c r="AH47" i="1" s="1"/>
  <c r="AB88" i="1"/>
  <c r="AB74" i="1"/>
  <c r="AB67" i="1"/>
  <c r="AB59" i="1"/>
  <c r="AB79" i="1"/>
  <c r="AB56" i="1"/>
  <c r="AH103" i="1" l="1"/>
  <c r="AH76" i="1"/>
  <c r="AH73" i="1"/>
  <c r="AH297" i="1"/>
  <c r="AH50" i="1"/>
  <c r="AH132" i="1"/>
  <c r="AH56" i="1"/>
  <c r="AH175" i="1"/>
  <c r="AH79" i="1"/>
  <c r="AH42" i="1"/>
  <c r="AH130" i="1"/>
  <c r="AH80" i="1"/>
  <c r="AH88" i="1"/>
  <c r="AH108" i="1"/>
  <c r="AH37" i="1"/>
  <c r="AH44" i="1"/>
  <c r="AH91" i="1"/>
  <c r="AH221" i="1"/>
  <c r="AH41" i="1"/>
  <c r="AH48" i="1"/>
  <c r="AH35" i="1"/>
  <c r="AH40" i="1"/>
  <c r="AH67" i="1"/>
  <c r="AH293" i="1"/>
  <c r="AH82" i="1"/>
  <c r="AH102" i="1"/>
  <c r="AH137" i="1"/>
  <c r="AH101" i="1"/>
  <c r="AH128" i="1"/>
  <c r="AH59" i="1"/>
  <c r="AH235" i="1"/>
  <c r="AH66" i="1"/>
  <c r="AH94" i="1"/>
  <c r="AH74" i="1"/>
  <c r="AH61" i="1"/>
  <c r="AH81" i="1"/>
  <c r="R282" i="1" l="1"/>
  <c r="R85" i="1"/>
  <c r="R111" i="1"/>
  <c r="R254" i="1"/>
  <c r="R340" i="1"/>
  <c r="R161" i="1"/>
  <c r="R334" i="1"/>
  <c r="R136" i="1"/>
  <c r="R78" i="1"/>
  <c r="R51" i="1"/>
  <c r="R100" i="1"/>
  <c r="R159" i="1"/>
  <c r="R70" i="1"/>
  <c r="R307" i="1"/>
  <c r="R309" i="1"/>
  <c r="R332" i="1"/>
  <c r="R329" i="1"/>
  <c r="R347" i="1"/>
  <c r="R336" i="1"/>
  <c r="R146" i="1"/>
  <c r="R134" i="1"/>
  <c r="R265" i="1"/>
  <c r="R152" i="1"/>
  <c r="R65" i="1"/>
  <c r="R163" i="1"/>
  <c r="R311" i="1"/>
  <c r="R318" i="1"/>
  <c r="R87" i="1"/>
  <c r="R343" i="1"/>
  <c r="R223" i="1"/>
  <c r="R298" i="1"/>
  <c r="R308" i="1"/>
  <c r="R141" i="1"/>
  <c r="R246" i="1"/>
  <c r="R333" i="1"/>
  <c r="R174" i="1"/>
  <c r="R104" i="1"/>
  <c r="R284" i="1"/>
  <c r="R305" i="1"/>
  <c r="R144" i="1"/>
  <c r="R121" i="1"/>
  <c r="R96" i="1"/>
  <c r="R24" i="1"/>
  <c r="R89" i="1"/>
  <c r="R120" i="1"/>
  <c r="R139" i="1"/>
  <c r="R71" i="1"/>
  <c r="R348" i="1"/>
  <c r="R63" i="1"/>
  <c r="R119" i="1"/>
  <c r="R198" i="1"/>
  <c r="R302" i="1"/>
  <c r="R338" i="1"/>
  <c r="R110" i="1"/>
  <c r="R140" i="1"/>
  <c r="R166" i="1"/>
  <c r="R55" i="1"/>
  <c r="R69" i="1"/>
  <c r="R230" i="1"/>
  <c r="R165" i="1"/>
  <c r="R236" i="1"/>
  <c r="R114" i="1"/>
  <c r="R107" i="1"/>
  <c r="R160" i="1"/>
  <c r="R231" i="1"/>
  <c r="R310" i="1"/>
  <c r="R64" i="1"/>
  <c r="R316" i="1"/>
  <c r="R341" i="1"/>
  <c r="R279" i="1"/>
  <c r="R233" i="1"/>
  <c r="R150" i="1"/>
  <c r="R317" i="1"/>
  <c r="R106" i="1"/>
  <c r="R330" i="1"/>
  <c r="R327" i="1"/>
  <c r="R328" i="1"/>
  <c r="R113" i="1"/>
  <c r="R32" i="1"/>
  <c r="R145" i="1"/>
  <c r="R301" i="1"/>
  <c r="R142" i="1"/>
  <c r="R335" i="1"/>
  <c r="R135" i="1"/>
  <c r="R156" i="1"/>
  <c r="R187" i="1"/>
  <c r="R306" i="1"/>
  <c r="R321" i="1"/>
  <c r="R326" i="1"/>
  <c r="R241" i="1"/>
  <c r="R164" i="1"/>
  <c r="R280" i="1"/>
  <c r="R256" i="1"/>
  <c r="R320" i="1"/>
  <c r="R112" i="1"/>
  <c r="R68" i="1"/>
  <c r="R331" i="1"/>
  <c r="R36" i="1"/>
  <c r="R83" i="1"/>
  <c r="R173" i="1"/>
  <c r="R97" i="1"/>
  <c r="R275" i="1"/>
  <c r="R313" i="1"/>
  <c r="R168" i="1"/>
  <c r="R123" i="1"/>
  <c r="R278" i="1"/>
  <c r="R131" i="1"/>
  <c r="R167" i="1"/>
  <c r="R211" i="1"/>
  <c r="R171" i="1"/>
  <c r="R312" i="1"/>
  <c r="R242" i="1"/>
  <c r="R276" i="1"/>
  <c r="R251" i="1"/>
  <c r="R122" i="1"/>
  <c r="R28" i="1"/>
  <c r="R225" i="1"/>
  <c r="R303" i="1"/>
  <c r="R138" i="1"/>
  <c r="R39" i="1"/>
  <c r="R252" i="1"/>
  <c r="R268" i="1"/>
  <c r="R182" i="1"/>
  <c r="R169" i="1"/>
  <c r="R274" i="1"/>
  <c r="R271" i="1"/>
  <c r="R194" i="1"/>
  <c r="R281" i="1"/>
  <c r="R49" i="1"/>
  <c r="R253" i="1"/>
  <c r="R349" i="1"/>
  <c r="S14" i="1"/>
  <c r="Y36" i="1" l="1"/>
  <c r="Y83" i="1"/>
  <c r="Y171" i="1"/>
  <c r="Y169" i="1"/>
  <c r="Y39" i="1"/>
  <c r="Y28" i="1"/>
  <c r="Y167" i="1"/>
  <c r="Y168" i="1"/>
  <c r="Y173" i="1"/>
  <c r="D43" i="21"/>
  <c r="D36" i="21"/>
  <c r="D19" i="21"/>
  <c r="S358" i="1"/>
  <c r="S357" i="1"/>
  <c r="AF10" i="21"/>
  <c r="E61" i="8" s="1"/>
  <c r="S351" i="1"/>
  <c r="S333" i="1"/>
  <c r="S146" i="1"/>
  <c r="Z83" i="1"/>
  <c r="AI83" i="1" s="1"/>
  <c r="AD83" i="1" s="1"/>
  <c r="R372" i="1"/>
  <c r="L14" i="58" s="1"/>
  <c r="L32" i="58" s="1"/>
  <c r="Z39" i="1"/>
  <c r="AI39" i="1" s="1"/>
  <c r="AD39" i="1" s="1"/>
  <c r="Z168" i="1"/>
  <c r="AI168" i="1" s="1"/>
  <c r="AD168" i="1" s="1"/>
  <c r="T14" i="1"/>
  <c r="T346" i="1" s="1"/>
  <c r="S317" i="1"/>
  <c r="S135" i="1"/>
  <c r="S163" i="1"/>
  <c r="S249" i="1"/>
  <c r="S134" i="1"/>
  <c r="S55" i="1"/>
  <c r="R371" i="1"/>
  <c r="L10" i="58" s="1"/>
  <c r="L28" i="58" s="1"/>
  <c r="Z169" i="1"/>
  <c r="AI169" i="1" s="1"/>
  <c r="AD169" i="1" s="1"/>
  <c r="Q347" i="1"/>
  <c r="Y347" i="1" s="1"/>
  <c r="Q333" i="1"/>
  <c r="Y333" i="1" s="1"/>
  <c r="Q334" i="1"/>
  <c r="Y334" i="1" s="1"/>
  <c r="Q174" i="1"/>
  <c r="Y174" i="1" s="1"/>
  <c r="Q332" i="1"/>
  <c r="Y332" i="1" s="1"/>
  <c r="Q329" i="1"/>
  <c r="Q341" i="1"/>
  <c r="Q336" i="1"/>
  <c r="Q340" i="1"/>
  <c r="Y340" i="1" s="1"/>
  <c r="Q335" i="1"/>
  <c r="Y335" i="1" s="1"/>
  <c r="Q99" i="1"/>
  <c r="Q338" i="1"/>
  <c r="Y338" i="1" s="1"/>
  <c r="Q343" i="1"/>
  <c r="Y343" i="1" s="1"/>
  <c r="Q38" i="1"/>
  <c r="Q147" i="1"/>
  <c r="Q93" i="1"/>
  <c r="Q98" i="1"/>
  <c r="Q166" i="1"/>
  <c r="Q117" i="1"/>
  <c r="Q140" i="1"/>
  <c r="Y140" i="1" s="1"/>
  <c r="Q282" i="1"/>
  <c r="Q247" i="1"/>
  <c r="Q129" i="1"/>
  <c r="Q126" i="1"/>
  <c r="Q145" i="1"/>
  <c r="Q124" i="1"/>
  <c r="Q280" i="1"/>
  <c r="Q109" i="1"/>
  <c r="Q159" i="1"/>
  <c r="Q240" i="1"/>
  <c r="Q150" i="1"/>
  <c r="Y150" i="1" s="1"/>
  <c r="Q160" i="1"/>
  <c r="Y160" i="1" s="1"/>
  <c r="Q134" i="1"/>
  <c r="Q120" i="1"/>
  <c r="Y120" i="1" s="1"/>
  <c r="Q328" i="1"/>
  <c r="Y328" i="1" s="1"/>
  <c r="Q69" i="1"/>
  <c r="Y69" i="1" s="1"/>
  <c r="Q148" i="1"/>
  <c r="Q256" i="1"/>
  <c r="Q141" i="1"/>
  <c r="Q258" i="1"/>
  <c r="Q135" i="1"/>
  <c r="Q111" i="1"/>
  <c r="Q301" i="1"/>
  <c r="Q113" i="1"/>
  <c r="Q121" i="1"/>
  <c r="Y121" i="1" s="1"/>
  <c r="Q65" i="1"/>
  <c r="Y65" i="1" s="1"/>
  <c r="Q325" i="1"/>
  <c r="Q257" i="1"/>
  <c r="Q155" i="1"/>
  <c r="Q90" i="1"/>
  <c r="Q116" i="1"/>
  <c r="Q246" i="1"/>
  <c r="Y246" i="1" s="1"/>
  <c r="Q46" i="1"/>
  <c r="Q255" i="1"/>
  <c r="Q321" i="1"/>
  <c r="Y321" i="1" s="1"/>
  <c r="Q320" i="1"/>
  <c r="Y320" i="1" s="1"/>
  <c r="Q233" i="1"/>
  <c r="Y233" i="1" s="1"/>
  <c r="Q308" i="1"/>
  <c r="Q259" i="1"/>
  <c r="Q157" i="1"/>
  <c r="Q163" i="1"/>
  <c r="Q64" i="1"/>
  <c r="Y64" i="1" s="1"/>
  <c r="Q72" i="1"/>
  <c r="Q324" i="1"/>
  <c r="Q311" i="1"/>
  <c r="Y311" i="1" s="1"/>
  <c r="Q222" i="1"/>
  <c r="Q172" i="1"/>
  <c r="Q265" i="1"/>
  <c r="Q300" i="1"/>
  <c r="Q114" i="1"/>
  <c r="Q78" i="1"/>
  <c r="Q110" i="1"/>
  <c r="Q24" i="1"/>
  <c r="Y24" i="1" s="1"/>
  <c r="Q27" i="1"/>
  <c r="Q142" i="1"/>
  <c r="Q119" i="1"/>
  <c r="Y119" i="1" s="1"/>
  <c r="Q68" i="1"/>
  <c r="Q310" i="1"/>
  <c r="Y310" i="1" s="1"/>
  <c r="Q170" i="1"/>
  <c r="Q31" i="1"/>
  <c r="Q154" i="1"/>
  <c r="Q133" i="1"/>
  <c r="Q58" i="1"/>
  <c r="Q231" i="1"/>
  <c r="Y231" i="1" s="1"/>
  <c r="Q318" i="1"/>
  <c r="Q327" i="1"/>
  <c r="Y327" i="1" s="1"/>
  <c r="Q161" i="1"/>
  <c r="Q309" i="1"/>
  <c r="Y309" i="1" s="1"/>
  <c r="Q55" i="1"/>
  <c r="Q32" i="1"/>
  <c r="Y32" i="1" s="1"/>
  <c r="Q144" i="1"/>
  <c r="Q316" i="1"/>
  <c r="Y316" i="1" s="1"/>
  <c r="Q127" i="1"/>
  <c r="Q34" i="1"/>
  <c r="Q241" i="1"/>
  <c r="Y241" i="1" s="1"/>
  <c r="Q85" i="1"/>
  <c r="Q236" i="1"/>
  <c r="Q304" i="1"/>
  <c r="Q51" i="1"/>
  <c r="Y51" i="1" s="1"/>
  <c r="Q227" i="1"/>
  <c r="Q54" i="1"/>
  <c r="Q149" i="1"/>
  <c r="Q302" i="1"/>
  <c r="Q187" i="1"/>
  <c r="Q115" i="1"/>
  <c r="Q317" i="1"/>
  <c r="Q71" i="1"/>
  <c r="Y71" i="1" s="1"/>
  <c r="Q248" i="1"/>
  <c r="Q156" i="1"/>
  <c r="Q314" i="1"/>
  <c r="Q75" i="1"/>
  <c r="Q306" i="1"/>
  <c r="Q230" i="1"/>
  <c r="Y230" i="1" s="1"/>
  <c r="Q223" i="1"/>
  <c r="Q95" i="1"/>
  <c r="Q307" i="1"/>
  <c r="Q107" i="1"/>
  <c r="Q136" i="1"/>
  <c r="Q63" i="1"/>
  <c r="Y63" i="1" s="1"/>
  <c r="Q146" i="1"/>
  <c r="Y146" i="1" s="1"/>
  <c r="Q298" i="1"/>
  <c r="Q224" i="1"/>
  <c r="Q53" i="1"/>
  <c r="Q89" i="1"/>
  <c r="Y89" i="1" s="1"/>
  <c r="Q284" i="1"/>
  <c r="Q70" i="1"/>
  <c r="Y70" i="1" s="1"/>
  <c r="Q96" i="1"/>
  <c r="Q87" i="1"/>
  <c r="Y87" i="1" s="1"/>
  <c r="Q45" i="1"/>
  <c r="Q57" i="1"/>
  <c r="Q100" i="1"/>
  <c r="Q104" i="1"/>
  <c r="Q106" i="1"/>
  <c r="Y106" i="1" s="1"/>
  <c r="Q164" i="1"/>
  <c r="Q25" i="1"/>
  <c r="Q305" i="1"/>
  <c r="Q165" i="1"/>
  <c r="Q279" i="1"/>
  <c r="Q254" i="1"/>
  <c r="Q138" i="1"/>
  <c r="Y138" i="1" s="1"/>
  <c r="Q125" i="1"/>
  <c r="Q86" i="1"/>
  <c r="Q139" i="1"/>
  <c r="Y139" i="1" s="1"/>
  <c r="Q77" i="1"/>
  <c r="Q33" i="1"/>
  <c r="Q49" i="1"/>
  <c r="Y49" i="1" s="1"/>
  <c r="Q62" i="1"/>
  <c r="Q112" i="1"/>
  <c r="Y112" i="1" s="1"/>
  <c r="Q30" i="1"/>
  <c r="Q29" i="1"/>
  <c r="Q153" i="1"/>
  <c r="Q143" i="1"/>
  <c r="Q23" i="1"/>
  <c r="Q152" i="1"/>
  <c r="Q52" i="1"/>
  <c r="Q285" i="1"/>
  <c r="Q118" i="1"/>
  <c r="Q43" i="1"/>
  <c r="Q326" i="1"/>
  <c r="Y326" i="1" s="1"/>
  <c r="S278" i="1"/>
  <c r="S341" i="1"/>
  <c r="S242" i="1"/>
  <c r="S97" i="1"/>
  <c r="S152" i="1"/>
  <c r="S306" i="1"/>
  <c r="S144" i="1"/>
  <c r="S329" i="1"/>
  <c r="S313" i="1"/>
  <c r="S165" i="1"/>
  <c r="S110" i="1"/>
  <c r="S141" i="1"/>
  <c r="S330" i="1"/>
  <c r="S114" i="1"/>
  <c r="S308" i="1"/>
  <c r="S301" i="1"/>
  <c r="S302" i="1"/>
  <c r="S349" i="1"/>
  <c r="S274" i="1"/>
  <c r="S187" i="1"/>
  <c r="S131" i="1"/>
  <c r="S159" i="1"/>
  <c r="S111" i="1"/>
  <c r="S281" i="1"/>
  <c r="S182" i="1"/>
  <c r="S236" i="1"/>
  <c r="S149" i="1"/>
  <c r="S251" i="1"/>
  <c r="S96" i="1"/>
  <c r="S142" i="1"/>
  <c r="S161" i="1"/>
  <c r="S252" i="1"/>
  <c r="S256" i="1"/>
  <c r="S254" i="1"/>
  <c r="S100" i="1"/>
  <c r="S223" i="1"/>
  <c r="S225" i="1"/>
  <c r="S156" i="1"/>
  <c r="S122" i="1"/>
  <c r="S318" i="1"/>
  <c r="S279" i="1"/>
  <c r="S312" i="1"/>
  <c r="S268" i="1"/>
  <c r="S211" i="1"/>
  <c r="S166" i="1"/>
  <c r="S305" i="1"/>
  <c r="S280" i="1"/>
  <c r="S298" i="1"/>
  <c r="S85" i="1"/>
  <c r="S331" i="1"/>
  <c r="S265" i="1"/>
  <c r="S136" i="1"/>
  <c r="S164" i="1"/>
  <c r="S303" i="1"/>
  <c r="S194" i="1"/>
  <c r="S284" i="1"/>
  <c r="S107" i="1"/>
  <c r="S253" i="1"/>
  <c r="S123" i="1"/>
  <c r="S282" i="1"/>
  <c r="S275" i="1"/>
  <c r="S307" i="1"/>
  <c r="S342" i="1"/>
  <c r="S336" i="1"/>
  <c r="S113" i="1"/>
  <c r="S276" i="1"/>
  <c r="S315" i="1"/>
  <c r="S145" i="1"/>
  <c r="S271" i="1"/>
  <c r="S68" i="1"/>
  <c r="S346" i="1"/>
  <c r="S78" i="1"/>
  <c r="S178" i="1"/>
  <c r="S177" i="1"/>
  <c r="S344" i="1"/>
  <c r="S339" i="1"/>
  <c r="S104" i="1"/>
  <c r="S232" i="1"/>
  <c r="S296" i="1"/>
  <c r="S267" i="1"/>
  <c r="S260" i="1"/>
  <c r="S190" i="1"/>
  <c r="S273" i="1"/>
  <c r="S319" i="1"/>
  <c r="S105" i="1"/>
  <c r="S226" i="1"/>
  <c r="S295" i="1"/>
  <c r="S234" i="1"/>
  <c r="S176" i="1"/>
  <c r="S266" i="1"/>
  <c r="S244" i="1"/>
  <c r="S270" i="1"/>
  <c r="S272" i="1"/>
  <c r="S180" i="1"/>
  <c r="S292" i="1"/>
  <c r="S277" i="1"/>
  <c r="S183" i="1"/>
  <c r="S203" i="1"/>
  <c r="S195" i="1"/>
  <c r="S245" i="1"/>
  <c r="S250" i="1"/>
  <c r="S193" i="1"/>
  <c r="S179" i="1"/>
  <c r="S229" i="1"/>
  <c r="S263" i="1"/>
  <c r="S92" i="1"/>
  <c r="S299" i="1"/>
  <c r="S196" i="1"/>
  <c r="S243" i="1"/>
  <c r="S350" i="1"/>
  <c r="Q348" i="1"/>
  <c r="Y348" i="1" s="1"/>
  <c r="Q330" i="1"/>
  <c r="Q26" i="1"/>
  <c r="Y26" i="1" s="1"/>
  <c r="Q198" i="1"/>
  <c r="Y198" i="1" s="1"/>
  <c r="R374" i="1"/>
  <c r="L12" i="58" s="1"/>
  <c r="L30" i="58" s="1"/>
  <c r="R369" i="1"/>
  <c r="L7" i="58" s="1"/>
  <c r="L25" i="58" s="1"/>
  <c r="Z28" i="1"/>
  <c r="AI28" i="1" s="1"/>
  <c r="AD28" i="1" s="1"/>
  <c r="Z171" i="1"/>
  <c r="AI171" i="1" s="1"/>
  <c r="AD171" i="1" s="1"/>
  <c r="R375" i="1"/>
  <c r="L13" i="58" s="1"/>
  <c r="L31" i="58" s="1"/>
  <c r="R373" i="1"/>
  <c r="L11" i="58" s="1"/>
  <c r="L29" i="58" s="1"/>
  <c r="Z167" i="1"/>
  <c r="AI167" i="1" s="1"/>
  <c r="AD167" i="1" s="1"/>
  <c r="Z173" i="1"/>
  <c r="AI173" i="1" s="1"/>
  <c r="AD173" i="1" s="1"/>
  <c r="R368" i="1"/>
  <c r="L9" i="58" s="1"/>
  <c r="L27" i="58" s="1"/>
  <c r="Z36" i="1"/>
  <c r="AI36" i="1" s="1"/>
  <c r="AD36" i="1" s="1"/>
  <c r="R370" i="1"/>
  <c r="L8" i="58" s="1"/>
  <c r="L26" i="58" s="1"/>
  <c r="Y52" i="1" l="1"/>
  <c r="Y153" i="1"/>
  <c r="Y62" i="1"/>
  <c r="Y25" i="1"/>
  <c r="Y53" i="1"/>
  <c r="Y95" i="1"/>
  <c r="Y75" i="1"/>
  <c r="Y58" i="1"/>
  <c r="Y170" i="1"/>
  <c r="Y172" i="1"/>
  <c r="Y72" i="1"/>
  <c r="Y259" i="1"/>
  <c r="Y116" i="1"/>
  <c r="Y325" i="1"/>
  <c r="Y129" i="1"/>
  <c r="Y117" i="1"/>
  <c r="Y147" i="1"/>
  <c r="Y99" i="1"/>
  <c r="Y43" i="1"/>
  <c r="Y29" i="1"/>
  <c r="Y86" i="1"/>
  <c r="Y57" i="1"/>
  <c r="Y224" i="1"/>
  <c r="Y314" i="1"/>
  <c r="Y304" i="1"/>
  <c r="Y133" i="1"/>
  <c r="Y27" i="1"/>
  <c r="Y222" i="1"/>
  <c r="Y255" i="1"/>
  <c r="Y90" i="1"/>
  <c r="Y240" i="1"/>
  <c r="Y124" i="1"/>
  <c r="Y247" i="1"/>
  <c r="Y38" i="1"/>
  <c r="Y118" i="1"/>
  <c r="Y23" i="1"/>
  <c r="Y30" i="1"/>
  <c r="Y33" i="1"/>
  <c r="Y125" i="1"/>
  <c r="Y45" i="1"/>
  <c r="Y115" i="1"/>
  <c r="Y54" i="1"/>
  <c r="Y127" i="1"/>
  <c r="Y154" i="1"/>
  <c r="Y300" i="1"/>
  <c r="Y46" i="1"/>
  <c r="Y155" i="1"/>
  <c r="Y148" i="1"/>
  <c r="Y98" i="1"/>
  <c r="Y285" i="1"/>
  <c r="Y143" i="1"/>
  <c r="Y77" i="1"/>
  <c r="Y248" i="1"/>
  <c r="Y227" i="1"/>
  <c r="Y31" i="1"/>
  <c r="Y324" i="1"/>
  <c r="Y157" i="1"/>
  <c r="Y257" i="1"/>
  <c r="Y258" i="1"/>
  <c r="Y109" i="1"/>
  <c r="Y126" i="1"/>
  <c r="Y93" i="1"/>
  <c r="Y350" i="1"/>
  <c r="Y180" i="1"/>
  <c r="Y190" i="1"/>
  <c r="Y177" i="1"/>
  <c r="Y178" i="1"/>
  <c r="Y357" i="1"/>
  <c r="Y315" i="1"/>
  <c r="Y358" i="1"/>
  <c r="Y134" i="1"/>
  <c r="D45" i="21"/>
  <c r="Y305" i="1"/>
  <c r="Y156" i="1"/>
  <c r="Y236" i="1"/>
  <c r="Y55" i="1"/>
  <c r="Y135" i="1"/>
  <c r="Y142" i="1"/>
  <c r="Y284" i="1"/>
  <c r="Y298" i="1"/>
  <c r="Y318" i="1"/>
  <c r="Y68" i="1"/>
  <c r="Y163" i="1"/>
  <c r="Y145" i="1"/>
  <c r="Y104" i="1"/>
  <c r="Y330" i="1"/>
  <c r="Y100" i="1"/>
  <c r="Y96" i="1"/>
  <c r="Y187" i="1"/>
  <c r="Y85" i="1"/>
  <c r="Y265" i="1"/>
  <c r="Y113" i="1"/>
  <c r="Y336" i="1"/>
  <c r="Y278" i="1"/>
  <c r="Y107" i="1"/>
  <c r="Y123" i="1"/>
  <c r="Y152" i="1"/>
  <c r="Y279" i="1"/>
  <c r="Y164" i="1"/>
  <c r="Y302" i="1"/>
  <c r="Y144" i="1"/>
  <c r="Y161" i="1"/>
  <c r="Y78" i="1"/>
  <c r="Y301" i="1"/>
  <c r="Y141" i="1"/>
  <c r="Y303" i="1"/>
  <c r="Y331" i="1"/>
  <c r="Y136" i="1"/>
  <c r="Y223" i="1"/>
  <c r="Y114" i="1"/>
  <c r="Y166" i="1"/>
  <c r="Y329" i="1"/>
  <c r="C37" i="21"/>
  <c r="J37" i="21" s="1"/>
  <c r="Z222" i="1"/>
  <c r="Z285" i="1"/>
  <c r="C26" i="21"/>
  <c r="J26" i="21" s="1"/>
  <c r="C41" i="21"/>
  <c r="J41" i="21" s="1"/>
  <c r="C27" i="21"/>
  <c r="J27" i="21" s="1"/>
  <c r="Z357" i="1"/>
  <c r="AI357" i="1" s="1"/>
  <c r="AD357" i="1" s="1"/>
  <c r="Z358" i="1"/>
  <c r="AI358" i="1" s="1"/>
  <c r="AD358" i="1" s="1"/>
  <c r="C32" i="21"/>
  <c r="J32" i="21" s="1"/>
  <c r="T280" i="1"/>
  <c r="Z301" i="1"/>
  <c r="Z315" i="1"/>
  <c r="Z224" i="1"/>
  <c r="Z223" i="1"/>
  <c r="Z314" i="1"/>
  <c r="Z304" i="1"/>
  <c r="Z327" i="1"/>
  <c r="Z310" i="1"/>
  <c r="Z259" i="1"/>
  <c r="Z321" i="1"/>
  <c r="Z325" i="1"/>
  <c r="Z328" i="1"/>
  <c r="Z334" i="1"/>
  <c r="Z350" i="1"/>
  <c r="Z305" i="1"/>
  <c r="Z284" i="1"/>
  <c r="Z298" i="1"/>
  <c r="Z230" i="1"/>
  <c r="Z236" i="1"/>
  <c r="Z318" i="1"/>
  <c r="Z300" i="1"/>
  <c r="Z311" i="1"/>
  <c r="Z255" i="1"/>
  <c r="Z240" i="1"/>
  <c r="Z247" i="1"/>
  <c r="Z335" i="1"/>
  <c r="Z329" i="1"/>
  <c r="Z333" i="1"/>
  <c r="Z278" i="1"/>
  <c r="Z330" i="1"/>
  <c r="Z326" i="1"/>
  <c r="Z248" i="1"/>
  <c r="Z227" i="1"/>
  <c r="Z316" i="1"/>
  <c r="Z309" i="1"/>
  <c r="Z231" i="1"/>
  <c r="Z265" i="1"/>
  <c r="Z324" i="1"/>
  <c r="Z233" i="1"/>
  <c r="Z343" i="1"/>
  <c r="Z340" i="1"/>
  <c r="Z332" i="1"/>
  <c r="Z331" i="1"/>
  <c r="Z348" i="1"/>
  <c r="Z279" i="1"/>
  <c r="Z302" i="1"/>
  <c r="Z241" i="1"/>
  <c r="Z320" i="1"/>
  <c r="Z246" i="1"/>
  <c r="Z257" i="1"/>
  <c r="Z258" i="1"/>
  <c r="Z338" i="1"/>
  <c r="Z336" i="1"/>
  <c r="Z347" i="1"/>
  <c r="Z303" i="1"/>
  <c r="T234" i="1"/>
  <c r="C44" i="21"/>
  <c r="J44" i="21" s="1"/>
  <c r="C33" i="21"/>
  <c r="J33" i="21" s="1"/>
  <c r="C40" i="21"/>
  <c r="J40" i="21" s="1"/>
  <c r="C31" i="21"/>
  <c r="J31" i="21" s="1"/>
  <c r="C34" i="21"/>
  <c r="C21" i="21"/>
  <c r="C20" i="21"/>
  <c r="C19" i="21"/>
  <c r="N10" i="21"/>
  <c r="E39" i="8" s="1"/>
  <c r="AE10" i="21"/>
  <c r="AC10" i="21"/>
  <c r="E54" i="8" s="1"/>
  <c r="E119" i="8" s="1"/>
  <c r="Q10" i="21"/>
  <c r="E42" i="8" s="1"/>
  <c r="E107" i="8" s="1"/>
  <c r="V10" i="21"/>
  <c r="E47" i="8" s="1"/>
  <c r="E112" i="8" s="1"/>
  <c r="R10" i="21"/>
  <c r="E43" i="8" s="1"/>
  <c r="E108" i="8" s="1"/>
  <c r="Z10" i="21"/>
  <c r="E51" i="8" s="1"/>
  <c r="E116" i="8" s="1"/>
  <c r="X10" i="21"/>
  <c r="E49" i="8" s="1"/>
  <c r="E114" i="8" s="1"/>
  <c r="Y10" i="21"/>
  <c r="E50" i="8" s="1"/>
  <c r="E115" i="8" s="1"/>
  <c r="U10" i="21"/>
  <c r="E46" i="8" s="1"/>
  <c r="E111" i="8" s="1"/>
  <c r="AD10" i="21"/>
  <c r="E55" i="8" s="1"/>
  <c r="E120" i="8" s="1"/>
  <c r="W10" i="21"/>
  <c r="E48" i="8" s="1"/>
  <c r="E113" i="8" s="1"/>
  <c r="O10" i="21"/>
  <c r="E40" i="8" s="1"/>
  <c r="E105" i="8" s="1"/>
  <c r="T10" i="21"/>
  <c r="E45" i="8" s="1"/>
  <c r="E110" i="8" s="1"/>
  <c r="S10" i="21"/>
  <c r="E44" i="8" s="1"/>
  <c r="E109" i="8" s="1"/>
  <c r="AB10" i="21"/>
  <c r="E53" i="8" s="1"/>
  <c r="E118" i="8" s="1"/>
  <c r="P10" i="21"/>
  <c r="E62" i="8" s="1"/>
  <c r="E127" i="8" s="1"/>
  <c r="AA10" i="21"/>
  <c r="E52" i="8" s="1"/>
  <c r="E117" i="8" s="1"/>
  <c r="E126" i="8"/>
  <c r="C23" i="21"/>
  <c r="C28" i="21"/>
  <c r="C42" i="21"/>
  <c r="J42" i="21" s="1"/>
  <c r="C35" i="21"/>
  <c r="J35" i="21" s="1"/>
  <c r="C36" i="21"/>
  <c r="C43" i="21"/>
  <c r="C24" i="21"/>
  <c r="T352" i="1"/>
  <c r="T351" i="1"/>
  <c r="T289" i="1"/>
  <c r="T159" i="1"/>
  <c r="AA83" i="1"/>
  <c r="AH83" i="1"/>
  <c r="AA36" i="1"/>
  <c r="AH36" i="1"/>
  <c r="AA28" i="1"/>
  <c r="AH28" i="1"/>
  <c r="AH171" i="1"/>
  <c r="AA169" i="1"/>
  <c r="AA171" i="1"/>
  <c r="T110" i="1"/>
  <c r="T313" i="1"/>
  <c r="T349" i="1"/>
  <c r="Y349" i="1" s="1"/>
  <c r="T290" i="1"/>
  <c r="T111" i="1"/>
  <c r="Y111" i="1" s="1"/>
  <c r="T253" i="1"/>
  <c r="T220" i="1"/>
  <c r="T342" i="1"/>
  <c r="T308" i="1"/>
  <c r="Y308" i="1" s="1"/>
  <c r="T339" i="1"/>
  <c r="T322" i="1"/>
  <c r="T92" i="1"/>
  <c r="Y92" i="1" s="1"/>
  <c r="T344" i="1"/>
  <c r="Y344" i="1" s="1"/>
  <c r="T149" i="1"/>
  <c r="T229" i="1"/>
  <c r="T151" i="1"/>
  <c r="T267" i="1"/>
  <c r="T272" i="1"/>
  <c r="T341" i="1"/>
  <c r="Y341" i="1" s="1"/>
  <c r="T312" i="1"/>
  <c r="AH169" i="1"/>
  <c r="AH173" i="1"/>
  <c r="AA167" i="1"/>
  <c r="AH167" i="1"/>
  <c r="AA173" i="1"/>
  <c r="T261" i="1"/>
  <c r="T204" i="1"/>
  <c r="T252" i="1"/>
  <c r="T292" i="1"/>
  <c r="T179" i="1"/>
  <c r="T225" i="1"/>
  <c r="T192" i="1"/>
  <c r="T186" i="1"/>
  <c r="T176" i="1"/>
  <c r="T196" i="1"/>
  <c r="T226" i="1"/>
  <c r="T183" i="1"/>
  <c r="T243" i="1"/>
  <c r="T197" i="1"/>
  <c r="T218" i="1"/>
  <c r="T242" i="1"/>
  <c r="T122" i="1"/>
  <c r="T193" i="1"/>
  <c r="T211" i="1"/>
  <c r="T249" i="1"/>
  <c r="T294" i="1"/>
  <c r="T210" i="1"/>
  <c r="T271" i="1"/>
  <c r="T299" i="1"/>
  <c r="T281" i="1"/>
  <c r="T268" i="1"/>
  <c r="T245" i="1"/>
  <c r="T232" i="1"/>
  <c r="T251" i="1"/>
  <c r="T276" i="1"/>
  <c r="T275" i="1"/>
  <c r="T282" i="1"/>
  <c r="T162" i="1"/>
  <c r="T97" i="1"/>
  <c r="Y97" i="1" s="1"/>
  <c r="T203" i="1"/>
  <c r="T274" i="1"/>
  <c r="T263" i="1"/>
  <c r="T194" i="1"/>
  <c r="T165" i="1"/>
  <c r="T191" i="1"/>
  <c r="T217" i="1"/>
  <c r="T277" i="1"/>
  <c r="T260" i="1"/>
  <c r="T273" i="1"/>
  <c r="T250" i="1"/>
  <c r="T195" i="1"/>
  <c r="T244" i="1"/>
  <c r="T295" i="1"/>
  <c r="T270" i="1"/>
  <c r="T296" i="1"/>
  <c r="T105" i="1"/>
  <c r="T266" i="1"/>
  <c r="U14" i="1"/>
  <c r="U359" i="1" s="1"/>
  <c r="T306" i="1"/>
  <c r="T254" i="1"/>
  <c r="T182" i="1"/>
  <c r="T131" i="1"/>
  <c r="T307" i="1"/>
  <c r="T317" i="1"/>
  <c r="BD7" i="1"/>
  <c r="E30" i="8" s="1"/>
  <c r="E95" i="8" s="1"/>
  <c r="AO7" i="1"/>
  <c r="E11" i="8" s="1"/>
  <c r="E76" i="8" s="1"/>
  <c r="AM7" i="1"/>
  <c r="E9" i="8" s="1"/>
  <c r="E74" i="8" s="1"/>
  <c r="BA7" i="1"/>
  <c r="E23" i="8" s="1"/>
  <c r="E88" i="8" s="1"/>
  <c r="S374" i="1"/>
  <c r="M12" i="58" s="1"/>
  <c r="M30" i="58" s="1"/>
  <c r="S3" i="1"/>
  <c r="AA168" i="1"/>
  <c r="AH168" i="1"/>
  <c r="Q368" i="1"/>
  <c r="K9" i="58" s="1"/>
  <c r="K27" i="58" s="1"/>
  <c r="Z26" i="1"/>
  <c r="AI26" i="1" s="1"/>
  <c r="AD26" i="1" s="1"/>
  <c r="Z190" i="1"/>
  <c r="AI190" i="1" s="1"/>
  <c r="AD190" i="1" s="1"/>
  <c r="AX7" i="1"/>
  <c r="E20" i="8" s="1"/>
  <c r="Z43" i="1"/>
  <c r="AI43" i="1" s="1"/>
  <c r="AD43" i="1" s="1"/>
  <c r="Z152" i="1"/>
  <c r="AI152" i="1" s="1"/>
  <c r="AD152" i="1" s="1"/>
  <c r="Z153" i="1"/>
  <c r="AI153" i="1" s="1"/>
  <c r="AD153" i="1" s="1"/>
  <c r="Z62" i="1"/>
  <c r="AI62" i="1" s="1"/>
  <c r="AD62" i="1" s="1"/>
  <c r="Z139" i="1"/>
  <c r="AI139" i="1" s="1"/>
  <c r="AD139" i="1" s="1"/>
  <c r="Q367" i="1"/>
  <c r="K6" i="58" s="1"/>
  <c r="K24" i="58" s="1"/>
  <c r="Z25" i="1"/>
  <c r="AI25" i="1" s="1"/>
  <c r="AD25" i="1" s="1"/>
  <c r="Z100" i="1"/>
  <c r="AI100" i="1" s="1"/>
  <c r="AD100" i="1" s="1"/>
  <c r="Z96" i="1"/>
  <c r="AI96" i="1" s="1"/>
  <c r="AD96" i="1" s="1"/>
  <c r="Z89" i="1"/>
  <c r="AI89" i="1" s="1"/>
  <c r="AD89" i="1" s="1"/>
  <c r="Z146" i="1"/>
  <c r="AI146" i="1" s="1"/>
  <c r="AD146" i="1" s="1"/>
  <c r="Z187" i="1"/>
  <c r="AI187" i="1" s="1"/>
  <c r="AD187" i="1" s="1"/>
  <c r="Z85" i="1"/>
  <c r="AI85" i="1" s="1"/>
  <c r="AD85" i="1" s="1"/>
  <c r="Z31" i="1"/>
  <c r="AI31" i="1" s="1"/>
  <c r="AD31" i="1" s="1"/>
  <c r="Z119" i="1"/>
  <c r="AI119" i="1" s="1"/>
  <c r="AD119" i="1" s="1"/>
  <c r="Z163" i="1"/>
  <c r="AI163" i="1" s="1"/>
  <c r="AD163" i="1" s="1"/>
  <c r="Z46" i="1"/>
  <c r="AI46" i="1" s="1"/>
  <c r="AD46" i="1" s="1"/>
  <c r="Z155" i="1"/>
  <c r="AI155" i="1" s="1"/>
  <c r="AD155" i="1" s="1"/>
  <c r="Z121" i="1"/>
  <c r="AI121" i="1" s="1"/>
  <c r="AD121" i="1" s="1"/>
  <c r="Z135" i="1"/>
  <c r="AI135" i="1" s="1"/>
  <c r="AD135" i="1" s="1"/>
  <c r="Z148" i="1"/>
  <c r="AI148" i="1" s="1"/>
  <c r="AD148" i="1" s="1"/>
  <c r="Z134" i="1"/>
  <c r="AI134" i="1" s="1"/>
  <c r="AD134" i="1" s="1"/>
  <c r="Z145" i="1"/>
  <c r="AI145" i="1" s="1"/>
  <c r="AD145" i="1" s="1"/>
  <c r="Z98" i="1"/>
  <c r="AI98" i="1" s="1"/>
  <c r="AD98" i="1" s="1"/>
  <c r="BB7" i="1"/>
  <c r="E24" i="8" s="1"/>
  <c r="AU7" i="1"/>
  <c r="E17" i="8" s="1"/>
  <c r="Z198" i="1"/>
  <c r="AI198" i="1" s="1"/>
  <c r="AD198" i="1" s="1"/>
  <c r="S367" i="1"/>
  <c r="M6" i="58" s="1"/>
  <c r="M24" i="58" s="1"/>
  <c r="S366" i="1"/>
  <c r="M5" i="58" s="1"/>
  <c r="M23" i="58" s="1"/>
  <c r="AT7" i="1"/>
  <c r="E16" i="8" s="1"/>
  <c r="S375" i="1"/>
  <c r="M13" i="58" s="1"/>
  <c r="M31" i="58" s="1"/>
  <c r="Z177" i="1"/>
  <c r="AI177" i="1" s="1"/>
  <c r="AD177" i="1" s="1"/>
  <c r="S370" i="1"/>
  <c r="M8" i="58" s="1"/>
  <c r="M26" i="58" s="1"/>
  <c r="Z123" i="1"/>
  <c r="AI123" i="1" s="1"/>
  <c r="AD123" i="1" s="1"/>
  <c r="AQ7" i="1"/>
  <c r="E13" i="8" s="1"/>
  <c r="Z118" i="1"/>
  <c r="AI118" i="1" s="1"/>
  <c r="AD118" i="1" s="1"/>
  <c r="BC5" i="1"/>
  <c r="AY5" i="1"/>
  <c r="Q3" i="1"/>
  <c r="Q366" i="1"/>
  <c r="Z23" i="1"/>
  <c r="AI23" i="1" s="1"/>
  <c r="AD23" i="1" s="1"/>
  <c r="Q20" i="1"/>
  <c r="AN5" i="1"/>
  <c r="C10" i="8" s="1"/>
  <c r="AW5" i="1"/>
  <c r="C19" i="8" s="1"/>
  <c r="AU5" i="1"/>
  <c r="C17" i="8" s="1"/>
  <c r="AX5" i="1"/>
  <c r="C20" i="8" s="1"/>
  <c r="AV5" i="1"/>
  <c r="C18" i="8" s="1"/>
  <c r="AP5" i="1"/>
  <c r="C12" i="8" s="1"/>
  <c r="BB5" i="1"/>
  <c r="C24" i="8" s="1"/>
  <c r="BA5" i="1"/>
  <c r="C23" i="8" s="1"/>
  <c r="AM5" i="1"/>
  <c r="C9" i="8" s="1"/>
  <c r="AZ5" i="1"/>
  <c r="C22" i="8" s="1"/>
  <c r="AT5" i="1"/>
  <c r="C16" i="8" s="1"/>
  <c r="AR5" i="1"/>
  <c r="C14" i="8" s="1"/>
  <c r="AO5" i="1"/>
  <c r="C11" i="8" s="1"/>
  <c r="AS5" i="1"/>
  <c r="C15" i="8" s="1"/>
  <c r="AQ5" i="1"/>
  <c r="C13" i="8" s="1"/>
  <c r="AL5" i="1"/>
  <c r="BD5" i="1"/>
  <c r="C30" i="8" s="1"/>
  <c r="Z29" i="1"/>
  <c r="AI29" i="1" s="1"/>
  <c r="AD29" i="1" s="1"/>
  <c r="Z49" i="1"/>
  <c r="AI49" i="1" s="1"/>
  <c r="AD49" i="1" s="1"/>
  <c r="Z86" i="1"/>
  <c r="AI86" i="1" s="1"/>
  <c r="AD86" i="1" s="1"/>
  <c r="Z164" i="1"/>
  <c r="AI164" i="1" s="1"/>
  <c r="AD164" i="1" s="1"/>
  <c r="Z57" i="1"/>
  <c r="AI57" i="1" s="1"/>
  <c r="AD57" i="1" s="1"/>
  <c r="Z70" i="1"/>
  <c r="AI70" i="1" s="1"/>
  <c r="AD70" i="1" s="1"/>
  <c r="Z53" i="1"/>
  <c r="AI53" i="1" s="1"/>
  <c r="AD53" i="1" s="1"/>
  <c r="Z63" i="1"/>
  <c r="AI63" i="1" s="1"/>
  <c r="AD63" i="1" s="1"/>
  <c r="Q375" i="1"/>
  <c r="K13" i="58" s="1"/>
  <c r="K31" i="58" s="1"/>
  <c r="Z95" i="1"/>
  <c r="AI95" i="1" s="1"/>
  <c r="AD95" i="1" s="1"/>
  <c r="Z75" i="1"/>
  <c r="AI75" i="1" s="1"/>
  <c r="AD75" i="1" s="1"/>
  <c r="Z71" i="1"/>
  <c r="AI71" i="1" s="1"/>
  <c r="AD71" i="1" s="1"/>
  <c r="Z51" i="1"/>
  <c r="AI51" i="1" s="1"/>
  <c r="AD51" i="1" s="1"/>
  <c r="Z144" i="1"/>
  <c r="AI144" i="1" s="1"/>
  <c r="AD144" i="1" s="1"/>
  <c r="Z161" i="1"/>
  <c r="AI161" i="1" s="1"/>
  <c r="AD161" i="1" s="1"/>
  <c r="Z58" i="1"/>
  <c r="AI58" i="1" s="1"/>
  <c r="AD58" i="1" s="1"/>
  <c r="Z170" i="1"/>
  <c r="AI170" i="1" s="1"/>
  <c r="AD170" i="1" s="1"/>
  <c r="Z142" i="1"/>
  <c r="AI142" i="1" s="1"/>
  <c r="AD142" i="1" s="1"/>
  <c r="Z78" i="1"/>
  <c r="AI78" i="1" s="1"/>
  <c r="AD78" i="1" s="1"/>
  <c r="Z172" i="1"/>
  <c r="AI172" i="1" s="1"/>
  <c r="AD172" i="1" s="1"/>
  <c r="Z72" i="1"/>
  <c r="AI72" i="1" s="1"/>
  <c r="AD72" i="1" s="1"/>
  <c r="Z157" i="1"/>
  <c r="AI157" i="1" s="1"/>
  <c r="AD157" i="1" s="1"/>
  <c r="Z113" i="1"/>
  <c r="AI113" i="1" s="1"/>
  <c r="AD113" i="1" s="1"/>
  <c r="Z69" i="1"/>
  <c r="AI69" i="1" s="1"/>
  <c r="AD69" i="1" s="1"/>
  <c r="Z160" i="1"/>
  <c r="AI160" i="1" s="1"/>
  <c r="AD160" i="1" s="1"/>
  <c r="Z109" i="1"/>
  <c r="AI109" i="1" s="1"/>
  <c r="AD109" i="1" s="1"/>
  <c r="Z126" i="1"/>
  <c r="AI126" i="1" s="1"/>
  <c r="AD126" i="1" s="1"/>
  <c r="Z140" i="1"/>
  <c r="AI140" i="1" s="1"/>
  <c r="AD140" i="1" s="1"/>
  <c r="Z93" i="1"/>
  <c r="AI93" i="1" s="1"/>
  <c r="AD93" i="1" s="1"/>
  <c r="Z174" i="1"/>
  <c r="AI174" i="1" s="1"/>
  <c r="AD174" i="1" s="1"/>
  <c r="AL7" i="1"/>
  <c r="BC7" i="1"/>
  <c r="AA39" i="1"/>
  <c r="AH39" i="1"/>
  <c r="S371" i="1"/>
  <c r="M10" i="58" s="1"/>
  <c r="M28" i="58" s="1"/>
  <c r="Z178" i="1"/>
  <c r="AI178" i="1" s="1"/>
  <c r="AD178" i="1" s="1"/>
  <c r="AV7" i="1"/>
  <c r="E18" i="8" s="1"/>
  <c r="AW7" i="1"/>
  <c r="E19" i="8" s="1"/>
  <c r="Z143" i="1"/>
  <c r="AI143" i="1" s="1"/>
  <c r="AD143" i="1" s="1"/>
  <c r="Q371" i="1"/>
  <c r="K10" i="58" s="1"/>
  <c r="K28" i="58" s="1"/>
  <c r="Z30" i="1"/>
  <c r="AI30" i="1" s="1"/>
  <c r="AD30" i="1" s="1"/>
  <c r="Z33" i="1"/>
  <c r="AI33" i="1" s="1"/>
  <c r="AD33" i="1" s="1"/>
  <c r="Z125" i="1"/>
  <c r="AI125" i="1" s="1"/>
  <c r="AD125" i="1" s="1"/>
  <c r="Z106" i="1"/>
  <c r="AI106" i="1" s="1"/>
  <c r="AD106" i="1" s="1"/>
  <c r="Q374" i="1"/>
  <c r="K12" i="58" s="1"/>
  <c r="K30" i="58" s="1"/>
  <c r="Z45" i="1"/>
  <c r="AI45" i="1" s="1"/>
  <c r="AD45" i="1" s="1"/>
  <c r="Z136" i="1"/>
  <c r="AI136" i="1" s="1"/>
  <c r="AD136" i="1" s="1"/>
  <c r="Z32" i="1"/>
  <c r="AI32" i="1" s="1"/>
  <c r="AD32" i="1" s="1"/>
  <c r="Z133" i="1"/>
  <c r="AI133" i="1" s="1"/>
  <c r="AD133" i="1" s="1"/>
  <c r="Q369" i="1"/>
  <c r="K7" i="58" s="1"/>
  <c r="K25" i="58" s="1"/>
  <c r="Z27" i="1"/>
  <c r="AI27" i="1" s="1"/>
  <c r="AD27" i="1" s="1"/>
  <c r="Z114" i="1"/>
  <c r="AI114" i="1" s="1"/>
  <c r="AD114" i="1" s="1"/>
  <c r="Q372" i="1"/>
  <c r="K14" i="58" s="1"/>
  <c r="K32" i="58" s="1"/>
  <c r="Z116" i="1"/>
  <c r="AI116" i="1" s="1"/>
  <c r="AD116" i="1" s="1"/>
  <c r="Z141" i="1"/>
  <c r="AI141" i="1" s="1"/>
  <c r="AD141" i="1" s="1"/>
  <c r="Z150" i="1"/>
  <c r="AI150" i="1" s="1"/>
  <c r="AD150" i="1" s="1"/>
  <c r="Q373" i="1"/>
  <c r="K11" i="58" s="1"/>
  <c r="K29" i="58" s="1"/>
  <c r="Z129" i="1"/>
  <c r="AI129" i="1" s="1"/>
  <c r="AD129" i="1" s="1"/>
  <c r="Z117" i="1"/>
  <c r="AI117" i="1" s="1"/>
  <c r="AD117" i="1" s="1"/>
  <c r="Z147" i="1"/>
  <c r="AI147" i="1" s="1"/>
  <c r="AD147" i="1" s="1"/>
  <c r="Z99" i="1"/>
  <c r="AI99" i="1" s="1"/>
  <c r="AD99" i="1" s="1"/>
  <c r="AS7" i="1"/>
  <c r="E15" i="8" s="1"/>
  <c r="AY7" i="1"/>
  <c r="S20" i="1"/>
  <c r="S373" i="1"/>
  <c r="M11" i="58" s="1"/>
  <c r="M29" i="58" s="1"/>
  <c r="Z180" i="1"/>
  <c r="AI180" i="1" s="1"/>
  <c r="AD180" i="1" s="1"/>
  <c r="S369" i="1"/>
  <c r="M7" i="58" s="1"/>
  <c r="M25" i="58" s="1"/>
  <c r="AN7" i="1"/>
  <c r="E31" i="8" s="1"/>
  <c r="AP7" i="1"/>
  <c r="E12" i="8" s="1"/>
  <c r="Z52" i="1"/>
  <c r="AI52" i="1" s="1"/>
  <c r="AD52" i="1" s="1"/>
  <c r="Z84" i="1"/>
  <c r="AI84" i="1" s="1"/>
  <c r="AD84" i="1" s="1"/>
  <c r="Z112" i="1"/>
  <c r="AI112" i="1" s="1"/>
  <c r="AD112" i="1" s="1"/>
  <c r="Z77" i="1"/>
  <c r="AI77" i="1" s="1"/>
  <c r="AD77" i="1" s="1"/>
  <c r="Z138" i="1"/>
  <c r="AI138" i="1" s="1"/>
  <c r="AD138" i="1" s="1"/>
  <c r="Z104" i="1"/>
  <c r="AI104" i="1" s="1"/>
  <c r="AD104" i="1" s="1"/>
  <c r="Z87" i="1"/>
  <c r="AI87" i="1" s="1"/>
  <c r="AD87" i="1" s="1"/>
  <c r="Z107" i="1"/>
  <c r="AI107" i="1" s="1"/>
  <c r="AD107" i="1" s="1"/>
  <c r="Z156" i="1"/>
  <c r="AI156" i="1" s="1"/>
  <c r="AD156" i="1" s="1"/>
  <c r="Z115" i="1"/>
  <c r="AI115" i="1" s="1"/>
  <c r="AD115" i="1" s="1"/>
  <c r="Z54" i="1"/>
  <c r="AI54" i="1" s="1"/>
  <c r="AD54" i="1" s="1"/>
  <c r="Z127" i="1"/>
  <c r="AI127" i="1" s="1"/>
  <c r="AD127" i="1" s="1"/>
  <c r="Z55" i="1"/>
  <c r="AI55" i="1" s="1"/>
  <c r="AD55" i="1" s="1"/>
  <c r="Z154" i="1"/>
  <c r="AI154" i="1" s="1"/>
  <c r="AD154" i="1" s="1"/>
  <c r="Q370" i="1"/>
  <c r="K8" i="58" s="1"/>
  <c r="K26" i="58" s="1"/>
  <c r="Z68" i="1"/>
  <c r="AI68" i="1" s="1"/>
  <c r="AD68" i="1" s="1"/>
  <c r="Z24" i="1"/>
  <c r="AI24" i="1" s="1"/>
  <c r="AD24" i="1" s="1"/>
  <c r="Z64" i="1"/>
  <c r="AI64" i="1" s="1"/>
  <c r="AD64" i="1" s="1"/>
  <c r="Z90" i="1"/>
  <c r="AI90" i="1" s="1"/>
  <c r="AD90" i="1" s="1"/>
  <c r="Z65" i="1"/>
  <c r="AI65" i="1" s="1"/>
  <c r="AD65" i="1" s="1"/>
  <c r="Z120" i="1"/>
  <c r="AI120" i="1" s="1"/>
  <c r="AD120" i="1" s="1"/>
  <c r="Z124" i="1"/>
  <c r="AI124" i="1" s="1"/>
  <c r="AD124" i="1" s="1"/>
  <c r="Z166" i="1"/>
  <c r="AI166" i="1" s="1"/>
  <c r="AD166" i="1" s="1"/>
  <c r="Z38" i="1"/>
  <c r="AI38" i="1" s="1"/>
  <c r="AD38" i="1" s="1"/>
  <c r="AZ7" i="1"/>
  <c r="E22" i="8" s="1"/>
  <c r="AR7" i="1"/>
  <c r="E14" i="8" s="1"/>
  <c r="Y191" i="1" l="1"/>
  <c r="Y192" i="1"/>
  <c r="Y197" i="1"/>
  <c r="K5" i="58"/>
  <c r="M34" i="58"/>
  <c r="M16" i="58"/>
  <c r="Y34" i="1"/>
  <c r="Y280" i="1"/>
  <c r="AA280" i="1" s="1"/>
  <c r="Y234" i="1"/>
  <c r="Y159" i="1"/>
  <c r="Y165" i="1"/>
  <c r="Y176" i="1"/>
  <c r="Y105" i="1"/>
  <c r="Y253" i="1"/>
  <c r="Y232" i="1"/>
  <c r="Y131" i="1"/>
  <c r="Y268" i="1"/>
  <c r="Y342" i="1"/>
  <c r="Y306" i="1"/>
  <c r="Y254" i="1"/>
  <c r="Y182" i="1"/>
  <c r="Y351" i="1"/>
  <c r="Y260" i="1"/>
  <c r="Y110" i="1"/>
  <c r="Y307" i="1"/>
  <c r="AA358" i="1"/>
  <c r="Z280" i="1"/>
  <c r="AI280" i="1" s="1"/>
  <c r="AD280" i="1" s="1"/>
  <c r="Z342" i="1"/>
  <c r="Z344" i="1"/>
  <c r="Z268" i="1"/>
  <c r="Z306" i="1"/>
  <c r="Z232" i="1"/>
  <c r="Z351" i="1"/>
  <c r="AI351" i="1" s="1"/>
  <c r="AD351" i="1" s="1"/>
  <c r="Z307" i="1"/>
  <c r="Z260" i="1"/>
  <c r="Z254" i="1"/>
  <c r="Z234" i="1"/>
  <c r="AI234" i="1" s="1"/>
  <c r="AD234" i="1" s="1"/>
  <c r="Z349" i="1"/>
  <c r="Z308" i="1"/>
  <c r="Z253" i="1"/>
  <c r="Z341" i="1"/>
  <c r="AH358" i="1"/>
  <c r="AH38" i="1"/>
  <c r="AH49" i="1"/>
  <c r="AH357" i="1"/>
  <c r="AA357" i="1"/>
  <c r="C45" i="21"/>
  <c r="T8" i="21" s="1"/>
  <c r="C45" i="8" s="1"/>
  <c r="AH10" i="21"/>
  <c r="E10" i="21"/>
  <c r="E15" i="21" s="1"/>
  <c r="E104" i="8"/>
  <c r="E129" i="8" s="1"/>
  <c r="E64" i="8"/>
  <c r="Z34" i="1"/>
  <c r="AI34" i="1" s="1"/>
  <c r="AD34" i="1" s="1"/>
  <c r="Z159" i="1"/>
  <c r="AI159" i="1" s="1"/>
  <c r="AD159" i="1" s="1"/>
  <c r="U353" i="1"/>
  <c r="U352" i="1"/>
  <c r="U354" i="1"/>
  <c r="AA49" i="1"/>
  <c r="AA38" i="1"/>
  <c r="AH26" i="1"/>
  <c r="AA26" i="1"/>
  <c r="AO6" i="1"/>
  <c r="D11" i="8" s="1"/>
  <c r="D76" i="8" s="1"/>
  <c r="AY6" i="1"/>
  <c r="AP6" i="1"/>
  <c r="D12" i="8" s="1"/>
  <c r="D77" i="8" s="1"/>
  <c r="AS6" i="1"/>
  <c r="D15" i="8" s="1"/>
  <c r="D80" i="8" s="1"/>
  <c r="AT6" i="1"/>
  <c r="D16" i="8" s="1"/>
  <c r="D81" i="8" s="1"/>
  <c r="BD6" i="1"/>
  <c r="D30" i="8" s="1"/>
  <c r="D95" i="8" s="1"/>
  <c r="R20" i="1"/>
  <c r="R366" i="1"/>
  <c r="L5" i="58" s="1"/>
  <c r="L16" i="58" s="1"/>
  <c r="AU6" i="1"/>
  <c r="D17" i="8" s="1"/>
  <c r="D82" i="8" s="1"/>
  <c r="AW6" i="1"/>
  <c r="D19" i="8" s="1"/>
  <c r="D84" i="8" s="1"/>
  <c r="AZ6" i="1"/>
  <c r="D22" i="8" s="1"/>
  <c r="D87" i="8" s="1"/>
  <c r="AN6" i="1"/>
  <c r="D10" i="8" s="1"/>
  <c r="D75" i="8" s="1"/>
  <c r="R3" i="1"/>
  <c r="BA6" i="1"/>
  <c r="D23" i="8" s="1"/>
  <c r="D88" i="8" s="1"/>
  <c r="AM6" i="1"/>
  <c r="D9" i="8" s="1"/>
  <c r="D74" i="8" s="1"/>
  <c r="BB6" i="1"/>
  <c r="D24" i="8" s="1"/>
  <c r="D89" i="8" s="1"/>
  <c r="AX6" i="1"/>
  <c r="D20" i="8" s="1"/>
  <c r="D85" i="8" s="1"/>
  <c r="AL6" i="1"/>
  <c r="BC6" i="1"/>
  <c r="AR6" i="1"/>
  <c r="D14" i="8" s="1"/>
  <c r="D79" i="8" s="1"/>
  <c r="AV6" i="1"/>
  <c r="D18" i="8" s="1"/>
  <c r="D83" i="8" s="1"/>
  <c r="AQ6" i="1"/>
  <c r="D13" i="8" s="1"/>
  <c r="D78" i="8" s="1"/>
  <c r="AA53" i="1"/>
  <c r="AI335" i="1"/>
  <c r="AD335" i="1" s="1"/>
  <c r="AI247" i="1"/>
  <c r="AD247" i="1" s="1"/>
  <c r="AI318" i="1"/>
  <c r="AD318" i="1" s="1"/>
  <c r="AI284" i="1"/>
  <c r="AD284" i="1" s="1"/>
  <c r="AI350" i="1"/>
  <c r="AD350" i="1" s="1"/>
  <c r="AI314" i="1"/>
  <c r="AD314" i="1" s="1"/>
  <c r="AI241" i="1"/>
  <c r="AD241" i="1" s="1"/>
  <c r="AI302" i="1"/>
  <c r="AD302" i="1" s="1"/>
  <c r="AI279" i="1"/>
  <c r="AD279" i="1" s="1"/>
  <c r="AI330" i="1"/>
  <c r="AD330" i="1" s="1"/>
  <c r="AI332" i="1"/>
  <c r="AD332" i="1" s="1"/>
  <c r="AI343" i="1"/>
  <c r="AD343" i="1" s="1"/>
  <c r="AI233" i="1"/>
  <c r="AD233" i="1" s="1"/>
  <c r="AI231" i="1"/>
  <c r="AD231" i="1" s="1"/>
  <c r="AI316" i="1"/>
  <c r="AD316" i="1" s="1"/>
  <c r="AI248" i="1"/>
  <c r="AD248" i="1" s="1"/>
  <c r="AI303" i="1"/>
  <c r="AD303" i="1" s="1"/>
  <c r="AI333" i="1"/>
  <c r="AD333" i="1" s="1"/>
  <c r="AI255" i="1"/>
  <c r="AD255" i="1" s="1"/>
  <c r="AI311" i="1"/>
  <c r="AD311" i="1" s="1"/>
  <c r="AI236" i="1"/>
  <c r="AD236" i="1" s="1"/>
  <c r="AI230" i="1"/>
  <c r="AD230" i="1" s="1"/>
  <c r="AI347" i="1"/>
  <c r="AD347" i="1" s="1"/>
  <c r="AI328" i="1"/>
  <c r="AD328" i="1" s="1"/>
  <c r="AI222" i="1"/>
  <c r="AD222" i="1" s="1"/>
  <c r="AI304" i="1"/>
  <c r="AD304" i="1" s="1"/>
  <c r="AI348" i="1"/>
  <c r="AD348" i="1" s="1"/>
  <c r="AI336" i="1"/>
  <c r="AD336" i="1" s="1"/>
  <c r="AI258" i="1"/>
  <c r="AD258" i="1" s="1"/>
  <c r="AI257" i="1"/>
  <c r="AD257" i="1" s="1"/>
  <c r="AI278" i="1"/>
  <c r="AD278" i="1" s="1"/>
  <c r="AI265" i="1"/>
  <c r="AD265" i="1" s="1"/>
  <c r="AI329" i="1"/>
  <c r="AD329" i="1" s="1"/>
  <c r="AI298" i="1"/>
  <c r="AD298" i="1" s="1"/>
  <c r="AI305" i="1"/>
  <c r="AD305" i="1" s="1"/>
  <c r="AI301" i="1"/>
  <c r="AD301" i="1" s="1"/>
  <c r="AI259" i="1"/>
  <c r="AD259" i="1" s="1"/>
  <c r="AI285" i="1"/>
  <c r="AD285" i="1" s="1"/>
  <c r="AI320" i="1"/>
  <c r="AD320" i="1" s="1"/>
  <c r="AI326" i="1"/>
  <c r="AD326" i="1" s="1"/>
  <c r="AI309" i="1"/>
  <c r="AD309" i="1" s="1"/>
  <c r="AI331" i="1"/>
  <c r="AD331" i="1" s="1"/>
  <c r="AI240" i="1"/>
  <c r="AD240" i="1" s="1"/>
  <c r="AI300" i="1"/>
  <c r="AD300" i="1" s="1"/>
  <c r="AI334" i="1"/>
  <c r="AD334" i="1" s="1"/>
  <c r="AI325" i="1"/>
  <c r="AD325" i="1" s="1"/>
  <c r="AI321" i="1"/>
  <c r="AD321" i="1" s="1"/>
  <c r="AI310" i="1"/>
  <c r="AD310" i="1" s="1"/>
  <c r="AI327" i="1"/>
  <c r="AD327" i="1" s="1"/>
  <c r="AI223" i="1"/>
  <c r="AD223" i="1" s="1"/>
  <c r="AI224" i="1"/>
  <c r="AD224" i="1" s="1"/>
  <c r="AI338" i="1"/>
  <c r="AD338" i="1" s="1"/>
  <c r="AI246" i="1"/>
  <c r="AD246" i="1" s="1"/>
  <c r="AI340" i="1"/>
  <c r="AD340" i="1" s="1"/>
  <c r="AI324" i="1"/>
  <c r="AD324" i="1" s="1"/>
  <c r="AI227" i="1"/>
  <c r="AD227" i="1" s="1"/>
  <c r="AI315" i="1"/>
  <c r="AD315" i="1" s="1"/>
  <c r="AA278" i="1"/>
  <c r="AA331" i="1"/>
  <c r="AA123" i="1"/>
  <c r="Z110" i="1"/>
  <c r="AI110" i="1" s="1"/>
  <c r="AD110" i="1" s="1"/>
  <c r="Z92" i="1"/>
  <c r="AI92" i="1" s="1"/>
  <c r="AD92" i="1" s="1"/>
  <c r="Z111" i="1"/>
  <c r="AI111" i="1" s="1"/>
  <c r="AD111" i="1" s="1"/>
  <c r="Z165" i="1"/>
  <c r="AI165" i="1" s="1"/>
  <c r="AD165" i="1" s="1"/>
  <c r="T367" i="1"/>
  <c r="N6" i="58" s="1"/>
  <c r="N24" i="58" s="1"/>
  <c r="Z182" i="1"/>
  <c r="AI182" i="1" s="1"/>
  <c r="AD182" i="1" s="1"/>
  <c r="Z192" i="1"/>
  <c r="AI192" i="1" s="1"/>
  <c r="AD192" i="1" s="1"/>
  <c r="T373" i="1"/>
  <c r="N11" i="58" s="1"/>
  <c r="N29" i="58" s="1"/>
  <c r="Z191" i="1"/>
  <c r="AI191" i="1" s="1"/>
  <c r="AD191" i="1" s="1"/>
  <c r="Z176" i="1"/>
  <c r="AI176" i="1" s="1"/>
  <c r="AD176" i="1" s="1"/>
  <c r="Z197" i="1"/>
  <c r="AI197" i="1" s="1"/>
  <c r="AD197" i="1" s="1"/>
  <c r="T370" i="1"/>
  <c r="N8" i="58" s="1"/>
  <c r="N26" i="58" s="1"/>
  <c r="Z105" i="1"/>
  <c r="AI105" i="1" s="1"/>
  <c r="AD105" i="1" s="1"/>
  <c r="T369" i="1"/>
  <c r="N7" i="58" s="1"/>
  <c r="N25" i="58" s="1"/>
  <c r="Z97" i="1"/>
  <c r="AI97" i="1" s="1"/>
  <c r="AD97" i="1" s="1"/>
  <c r="T375" i="1"/>
  <c r="N13" i="58" s="1"/>
  <c r="N31" i="58" s="1"/>
  <c r="T371" i="1"/>
  <c r="N10" i="58" s="1"/>
  <c r="N28" i="58" s="1"/>
  <c r="AH331" i="1"/>
  <c r="U312" i="1"/>
  <c r="U158" i="1"/>
  <c r="U313" i="1"/>
  <c r="U322" i="1"/>
  <c r="U149" i="1"/>
  <c r="Y149" i="1" s="1"/>
  <c r="U220" i="1"/>
  <c r="U319" i="1"/>
  <c r="U345" i="1"/>
  <c r="U337" i="1"/>
  <c r="U339" i="1"/>
  <c r="U346" i="1"/>
  <c r="U277" i="1"/>
  <c r="U323" i="1"/>
  <c r="Z131" i="1"/>
  <c r="AI131" i="1" s="1"/>
  <c r="AD131" i="1" s="1"/>
  <c r="AM8" i="1"/>
  <c r="F9" i="8" s="1"/>
  <c r="F74" i="8" s="1"/>
  <c r="AR8" i="1"/>
  <c r="F14" i="8" s="1"/>
  <c r="F79" i="8" s="1"/>
  <c r="AX8" i="1"/>
  <c r="F20" i="8" s="1"/>
  <c r="F85" i="8" s="1"/>
  <c r="AY8" i="1"/>
  <c r="AP8" i="1"/>
  <c r="F12" i="8" s="1"/>
  <c r="F77" i="8" s="1"/>
  <c r="AL8" i="1"/>
  <c r="F8" i="8" s="1"/>
  <c r="BB8" i="1"/>
  <c r="F24" i="8" s="1"/>
  <c r="F89" i="8" s="1"/>
  <c r="AU8" i="1"/>
  <c r="F17" i="8" s="1"/>
  <c r="F82" i="8" s="1"/>
  <c r="BD8" i="1"/>
  <c r="F30" i="8" s="1"/>
  <c r="F95" i="8" s="1"/>
  <c r="AS8" i="1"/>
  <c r="F15" i="8" s="1"/>
  <c r="F80" i="8" s="1"/>
  <c r="T366" i="1"/>
  <c r="N5" i="58" s="1"/>
  <c r="N23" i="58" s="1"/>
  <c r="T20" i="1"/>
  <c r="U289" i="1"/>
  <c r="U317" i="1"/>
  <c r="U256" i="1"/>
  <c r="U263" i="1"/>
  <c r="Z263" i="1" s="1"/>
  <c r="U295" i="1"/>
  <c r="U203" i="1"/>
  <c r="U217" i="1"/>
  <c r="U218" i="1"/>
  <c r="U151" i="1"/>
  <c r="U194" i="1"/>
  <c r="U179" i="1"/>
  <c r="U290" i="1"/>
  <c r="U272" i="1"/>
  <c r="U294" i="1"/>
  <c r="U229" i="1"/>
  <c r="U196" i="1"/>
  <c r="U237" i="1"/>
  <c r="U200" i="1"/>
  <c r="U184" i="1"/>
  <c r="U281" i="1"/>
  <c r="U226" i="1"/>
  <c r="Y226" i="1" s="1"/>
  <c r="U274" i="1"/>
  <c r="U250" i="1"/>
  <c r="U211" i="1"/>
  <c r="Z211" i="1" s="1"/>
  <c r="U261" i="1"/>
  <c r="U183" i="1"/>
  <c r="U292" i="1"/>
  <c r="Y292" i="1" s="1"/>
  <c r="U296" i="1"/>
  <c r="Y296" i="1" s="1"/>
  <c r="U201" i="1"/>
  <c r="U262" i="1"/>
  <c r="U269" i="1"/>
  <c r="U208" i="1"/>
  <c r="U225" i="1"/>
  <c r="U195" i="1"/>
  <c r="U299" i="1"/>
  <c r="Z299" i="1" s="1"/>
  <c r="U244" i="1"/>
  <c r="U252" i="1"/>
  <c r="U276" i="1"/>
  <c r="U243" i="1"/>
  <c r="U242" i="1"/>
  <c r="U275" i="1"/>
  <c r="U266" i="1"/>
  <c r="U162" i="1"/>
  <c r="U209" i="1"/>
  <c r="U181" i="1"/>
  <c r="U199" i="1"/>
  <c r="V14" i="1"/>
  <c r="V359" i="1" s="1"/>
  <c r="U204" i="1"/>
  <c r="U210" i="1"/>
  <c r="U249" i="1"/>
  <c r="U267" i="1"/>
  <c r="U270" i="1"/>
  <c r="U251" i="1"/>
  <c r="U282" i="1"/>
  <c r="U186" i="1"/>
  <c r="U273" i="1"/>
  <c r="U193" i="1"/>
  <c r="U245" i="1"/>
  <c r="U122" i="1"/>
  <c r="Y122" i="1" s="1"/>
  <c r="U271" i="1"/>
  <c r="U202" i="1"/>
  <c r="U288" i="1"/>
  <c r="U286" i="1"/>
  <c r="BA8" i="1"/>
  <c r="F23" i="8" s="1"/>
  <c r="F88" i="8" s="1"/>
  <c r="AW8" i="1"/>
  <c r="F19" i="8" s="1"/>
  <c r="F84" i="8" s="1"/>
  <c r="AV8" i="1"/>
  <c r="F18" i="8" s="1"/>
  <c r="F83" i="8" s="1"/>
  <c r="AT8" i="1"/>
  <c r="F16" i="8" s="1"/>
  <c r="F81" i="8" s="1"/>
  <c r="T3" i="1"/>
  <c r="T374" i="1"/>
  <c r="N12" i="58" s="1"/>
  <c r="N30" i="58" s="1"/>
  <c r="AO8" i="1"/>
  <c r="F11" i="8" s="1"/>
  <c r="F76" i="8" s="1"/>
  <c r="AZ8" i="1"/>
  <c r="F22" i="8" s="1"/>
  <c r="F87" i="8" s="1"/>
  <c r="AQ8" i="1"/>
  <c r="F13" i="8" s="1"/>
  <c r="F78" i="8" s="1"/>
  <c r="AN8" i="1"/>
  <c r="F31" i="8" s="1"/>
  <c r="F96" i="8" s="1"/>
  <c r="BC8" i="1"/>
  <c r="AH123" i="1"/>
  <c r="AH278" i="1"/>
  <c r="AA303" i="1"/>
  <c r="AH303" i="1"/>
  <c r="AA166" i="1"/>
  <c r="AH166" i="1"/>
  <c r="AH64" i="1"/>
  <c r="AA64" i="1"/>
  <c r="AH154" i="1"/>
  <c r="AA154" i="1"/>
  <c r="AA87" i="1"/>
  <c r="AH87" i="1"/>
  <c r="AA84" i="1"/>
  <c r="AH84" i="1"/>
  <c r="AH180" i="1"/>
  <c r="AA180" i="1"/>
  <c r="E80" i="8"/>
  <c r="AA328" i="1"/>
  <c r="AH328" i="1"/>
  <c r="AH116" i="1"/>
  <c r="AA116" i="1"/>
  <c r="AH222" i="1"/>
  <c r="AA222" i="1"/>
  <c r="AA114" i="1"/>
  <c r="AH114" i="1"/>
  <c r="AH32" i="1"/>
  <c r="AA32" i="1"/>
  <c r="AA314" i="1"/>
  <c r="AH314" i="1"/>
  <c r="AA224" i="1"/>
  <c r="AH224" i="1"/>
  <c r="AH125" i="1"/>
  <c r="AA125" i="1"/>
  <c r="AA348" i="1"/>
  <c r="AH348" i="1"/>
  <c r="BE7" i="1"/>
  <c r="S7" i="1"/>
  <c r="E8" i="8"/>
  <c r="AA320" i="1"/>
  <c r="AH320" i="1"/>
  <c r="AH172" i="1"/>
  <c r="AA172" i="1"/>
  <c r="AH170" i="1"/>
  <c r="AA170" i="1"/>
  <c r="AA241" i="1"/>
  <c r="AH241" i="1"/>
  <c r="AA51" i="1"/>
  <c r="AH51" i="1"/>
  <c r="AA75" i="1"/>
  <c r="AH75" i="1"/>
  <c r="AA63" i="1"/>
  <c r="AH63" i="1"/>
  <c r="AH164" i="1"/>
  <c r="AA164" i="1"/>
  <c r="AH29" i="1"/>
  <c r="AA29" i="1"/>
  <c r="C95" i="8"/>
  <c r="C80" i="8"/>
  <c r="C87" i="8"/>
  <c r="C77" i="8"/>
  <c r="C84" i="8"/>
  <c r="Q376" i="1"/>
  <c r="AA330" i="1"/>
  <c r="AH330" i="1"/>
  <c r="AA198" i="1"/>
  <c r="AH198" i="1"/>
  <c r="AA98" i="1"/>
  <c r="AH98" i="1"/>
  <c r="AA134" i="1"/>
  <c r="AH134" i="1"/>
  <c r="AH163" i="1"/>
  <c r="AA163" i="1"/>
  <c r="AA324" i="1"/>
  <c r="AH324" i="1"/>
  <c r="AH119" i="1"/>
  <c r="AA119" i="1"/>
  <c r="AA31" i="1"/>
  <c r="AH31" i="1"/>
  <c r="AA85" i="1"/>
  <c r="AH85" i="1"/>
  <c r="AA227" i="1"/>
  <c r="AH227" i="1"/>
  <c r="AA96" i="1"/>
  <c r="AH96" i="1"/>
  <c r="AA153" i="1"/>
  <c r="AH153" i="1"/>
  <c r="E87" i="8"/>
  <c r="AA329" i="1"/>
  <c r="AH329" i="1"/>
  <c r="AA240" i="1"/>
  <c r="AH240" i="1"/>
  <c r="AA65" i="1"/>
  <c r="AH65" i="1"/>
  <c r="AA24" i="1"/>
  <c r="AH24" i="1"/>
  <c r="AA68" i="1"/>
  <c r="AH68" i="1"/>
  <c r="AH127" i="1"/>
  <c r="AA127" i="1"/>
  <c r="AH236" i="1"/>
  <c r="AA236" i="1"/>
  <c r="AA156" i="1"/>
  <c r="AH156" i="1"/>
  <c r="AA230" i="1"/>
  <c r="AH230" i="1"/>
  <c r="AA284" i="1"/>
  <c r="AH284" i="1"/>
  <c r="AA77" i="1"/>
  <c r="AH77" i="1"/>
  <c r="AC77" i="1"/>
  <c r="AA349" i="1"/>
  <c r="AH349" i="1"/>
  <c r="AA350" i="1"/>
  <c r="AH350" i="1"/>
  <c r="AA347" i="1"/>
  <c r="AH347" i="1"/>
  <c r="AA129" i="1"/>
  <c r="AH129" i="1"/>
  <c r="AH150" i="1"/>
  <c r="AA150" i="1"/>
  <c r="AA301" i="1"/>
  <c r="AH301" i="1"/>
  <c r="AA325" i="1"/>
  <c r="AH325" i="1"/>
  <c r="AH259" i="1"/>
  <c r="AA259" i="1"/>
  <c r="AA327" i="1"/>
  <c r="AH327" i="1"/>
  <c r="AH136" i="1"/>
  <c r="AA136" i="1"/>
  <c r="AA33" i="1"/>
  <c r="AH33" i="1"/>
  <c r="E84" i="8"/>
  <c r="AH338" i="1"/>
  <c r="AA338" i="1"/>
  <c r="AH126" i="1"/>
  <c r="AA126" i="1"/>
  <c r="AA258" i="1"/>
  <c r="AH258" i="1"/>
  <c r="AA144" i="1"/>
  <c r="AH144" i="1"/>
  <c r="AA57" i="1"/>
  <c r="AH57" i="1"/>
  <c r="J19" i="21"/>
  <c r="C76" i="8"/>
  <c r="C74" i="8"/>
  <c r="C83" i="8"/>
  <c r="C75" i="8"/>
  <c r="AA118" i="1"/>
  <c r="AH118" i="1"/>
  <c r="AA326" i="1"/>
  <c r="AH326" i="1"/>
  <c r="AA177" i="1"/>
  <c r="AH177" i="1"/>
  <c r="AA234" i="1"/>
  <c r="AH234" i="1"/>
  <c r="AH135" i="1"/>
  <c r="AA135" i="1"/>
  <c r="AA121" i="1"/>
  <c r="AH121" i="1"/>
  <c r="AA233" i="1"/>
  <c r="AH233" i="1"/>
  <c r="AA316" i="1"/>
  <c r="AH316" i="1"/>
  <c r="AA248" i="1"/>
  <c r="AH248" i="1"/>
  <c r="AA89" i="1"/>
  <c r="AH89" i="1"/>
  <c r="AA62" i="1"/>
  <c r="AH62" i="1"/>
  <c r="E85" i="8"/>
  <c r="E79" i="8"/>
  <c r="AA90" i="1"/>
  <c r="AH90" i="1"/>
  <c r="AA333" i="1"/>
  <c r="AH333" i="1"/>
  <c r="AA124" i="1"/>
  <c r="AH124" i="1"/>
  <c r="AH298" i="1"/>
  <c r="AA298" i="1"/>
  <c r="AA305" i="1"/>
  <c r="AH305" i="1"/>
  <c r="AA138" i="1"/>
  <c r="AH138" i="1"/>
  <c r="AA112" i="1"/>
  <c r="AH112" i="1"/>
  <c r="E77" i="8"/>
  <c r="AA117" i="1"/>
  <c r="AH117" i="1"/>
  <c r="AA27" i="1"/>
  <c r="AH27" i="1"/>
  <c r="AA304" i="1"/>
  <c r="AH304" i="1"/>
  <c r="AH223" i="1"/>
  <c r="AA223" i="1"/>
  <c r="AA106" i="1"/>
  <c r="AH106" i="1"/>
  <c r="AA285" i="1"/>
  <c r="AH285" i="1"/>
  <c r="E83" i="8"/>
  <c r="AH93" i="1"/>
  <c r="AA93" i="1"/>
  <c r="AA140" i="1"/>
  <c r="AH140" i="1"/>
  <c r="AH69" i="1"/>
  <c r="AA69" i="1"/>
  <c r="AA246" i="1"/>
  <c r="AH246" i="1"/>
  <c r="AA78" i="1"/>
  <c r="AH78" i="1"/>
  <c r="AA142" i="1"/>
  <c r="AH142" i="1"/>
  <c r="AA161" i="1"/>
  <c r="AH161" i="1"/>
  <c r="AH302" i="1"/>
  <c r="AA302" i="1"/>
  <c r="AH71" i="1"/>
  <c r="AA71" i="1"/>
  <c r="AH70" i="1"/>
  <c r="AA70" i="1"/>
  <c r="AA86" i="1"/>
  <c r="AH86" i="1"/>
  <c r="Q5" i="1"/>
  <c r="BE5" i="1"/>
  <c r="C8" i="8"/>
  <c r="C79" i="8"/>
  <c r="C88" i="8"/>
  <c r="C85" i="8"/>
  <c r="E81" i="8"/>
  <c r="E82" i="8"/>
  <c r="AA332" i="1"/>
  <c r="AH332" i="1"/>
  <c r="AA343" i="1"/>
  <c r="AH343" i="1"/>
  <c r="AA145" i="1"/>
  <c r="AH145" i="1"/>
  <c r="AA309" i="1"/>
  <c r="AH309" i="1"/>
  <c r="AA25" i="1"/>
  <c r="AH25" i="1"/>
  <c r="AA43" i="1"/>
  <c r="AH43" i="1"/>
  <c r="AA190" i="1"/>
  <c r="AH190" i="1"/>
  <c r="AA247" i="1"/>
  <c r="AH247" i="1"/>
  <c r="AA300" i="1"/>
  <c r="AH300" i="1"/>
  <c r="AA55" i="1"/>
  <c r="AH55" i="1"/>
  <c r="AH115" i="1"/>
  <c r="AA115" i="1"/>
  <c r="AH335" i="1"/>
  <c r="AA335" i="1"/>
  <c r="AH120" i="1"/>
  <c r="AA120" i="1"/>
  <c r="AA255" i="1"/>
  <c r="AH255" i="1"/>
  <c r="AA311" i="1"/>
  <c r="AH311" i="1"/>
  <c r="AA318" i="1"/>
  <c r="AH318" i="1"/>
  <c r="AA54" i="1"/>
  <c r="AH54" i="1"/>
  <c r="AA107" i="1"/>
  <c r="AH107" i="1"/>
  <c r="AA104" i="1"/>
  <c r="AH104" i="1"/>
  <c r="J43" i="21"/>
  <c r="AA52" i="1"/>
  <c r="AH52" i="1"/>
  <c r="E96" i="8"/>
  <c r="AA334" i="1"/>
  <c r="AH334" i="1"/>
  <c r="AA99" i="1"/>
  <c r="AH99" i="1"/>
  <c r="AH147" i="1"/>
  <c r="AA147" i="1"/>
  <c r="AH141" i="1"/>
  <c r="AA141" i="1"/>
  <c r="AH321" i="1"/>
  <c r="AA321" i="1"/>
  <c r="AH310" i="1"/>
  <c r="AA310" i="1"/>
  <c r="AA133" i="1"/>
  <c r="AH133" i="1"/>
  <c r="AH45" i="1"/>
  <c r="AA45" i="1"/>
  <c r="AH30" i="1"/>
  <c r="AA30" i="1"/>
  <c r="AA143" i="1"/>
  <c r="AH143" i="1"/>
  <c r="AA178" i="1"/>
  <c r="AH178" i="1"/>
  <c r="AA174" i="1"/>
  <c r="AH174" i="1"/>
  <c r="AA336" i="1"/>
  <c r="AH336" i="1"/>
  <c r="AA109" i="1"/>
  <c r="AH109" i="1"/>
  <c r="AA160" i="1"/>
  <c r="AH160" i="1"/>
  <c r="AA113" i="1"/>
  <c r="AH113" i="1"/>
  <c r="AA257" i="1"/>
  <c r="AH257" i="1"/>
  <c r="AA157" i="1"/>
  <c r="AH157" i="1"/>
  <c r="AH72" i="1"/>
  <c r="AA72" i="1"/>
  <c r="AA58" i="1"/>
  <c r="AH58" i="1"/>
  <c r="AA95" i="1"/>
  <c r="AH95" i="1"/>
  <c r="AH53" i="1"/>
  <c r="AC53" i="1"/>
  <c r="AA279" i="1"/>
  <c r="AH279" i="1"/>
  <c r="AA23" i="1"/>
  <c r="AH23" i="1"/>
  <c r="C78" i="8"/>
  <c r="C81" i="8"/>
  <c r="C89" i="8"/>
  <c r="C82" i="8"/>
  <c r="E78" i="8"/>
  <c r="S376" i="1"/>
  <c r="E89" i="8"/>
  <c r="AH340" i="1"/>
  <c r="AA340" i="1"/>
  <c r="AA148" i="1"/>
  <c r="AH148" i="1"/>
  <c r="AA155" i="1"/>
  <c r="AH155" i="1"/>
  <c r="AA46" i="1"/>
  <c r="AH46" i="1"/>
  <c r="AH265" i="1"/>
  <c r="AA265" i="1"/>
  <c r="AH231" i="1"/>
  <c r="AA231" i="1"/>
  <c r="AH187" i="1"/>
  <c r="AA187" i="1"/>
  <c r="AA146" i="1"/>
  <c r="AH146" i="1"/>
  <c r="AA100" i="1"/>
  <c r="AH100" i="1"/>
  <c r="AA139" i="1"/>
  <c r="AH139" i="1"/>
  <c r="AA152" i="1"/>
  <c r="AH152" i="1"/>
  <c r="AH315" i="1"/>
  <c r="AA315" i="1"/>
  <c r="Y202" i="1" l="1"/>
  <c r="Y201" i="1"/>
  <c r="Y237" i="1"/>
  <c r="Y288" i="1"/>
  <c r="Y199" i="1"/>
  <c r="Y200" i="1"/>
  <c r="K23" i="58"/>
  <c r="K34" i="58" s="1"/>
  <c r="K16" i="58"/>
  <c r="N34" i="58"/>
  <c r="N16" i="58"/>
  <c r="R376" i="1"/>
  <c r="L23" i="58"/>
  <c r="L34" i="58" s="1"/>
  <c r="Q12" i="1"/>
  <c r="Y5" i="1"/>
  <c r="S12" i="1"/>
  <c r="S13" i="1" s="1"/>
  <c r="Y7" i="1"/>
  <c r="Z274" i="1"/>
  <c r="Y274" i="1"/>
  <c r="Y194" i="1"/>
  <c r="Y211" i="1"/>
  <c r="Y299" i="1"/>
  <c r="Y352" i="1"/>
  <c r="Y193" i="1"/>
  <c r="Z225" i="1"/>
  <c r="Y225" i="1"/>
  <c r="Y261" i="1"/>
  <c r="Y294" i="1"/>
  <c r="Y196" i="1"/>
  <c r="Y263" i="1"/>
  <c r="Y195" i="1"/>
  <c r="Y210" i="1"/>
  <c r="AH280" i="1"/>
  <c r="Z237" i="1"/>
  <c r="E16" i="21"/>
  <c r="Z352" i="1"/>
  <c r="AI352" i="1" s="1"/>
  <c r="AD352" i="1" s="1"/>
  <c r="Z296" i="1"/>
  <c r="Z261" i="1"/>
  <c r="Z292" i="1"/>
  <c r="Z288" i="1"/>
  <c r="Z294" i="1"/>
  <c r="Z226" i="1"/>
  <c r="Z210" i="1"/>
  <c r="AC351" i="1"/>
  <c r="AA34" i="1"/>
  <c r="AH34" i="1"/>
  <c r="AC32" i="1"/>
  <c r="AC168" i="1"/>
  <c r="AC358" i="1"/>
  <c r="AC39" i="1"/>
  <c r="AH352" i="1"/>
  <c r="AC357" i="1"/>
  <c r="AC169" i="1"/>
  <c r="AC171" i="1"/>
  <c r="AC173" i="1"/>
  <c r="AC167" i="1"/>
  <c r="AC28" i="1"/>
  <c r="AC115" i="1"/>
  <c r="AC347" i="1"/>
  <c r="AC350" i="1"/>
  <c r="AC170" i="1"/>
  <c r="AC348" i="1"/>
  <c r="AC157" i="1"/>
  <c r="AB157" i="1" s="1"/>
  <c r="AC129" i="1"/>
  <c r="AC154" i="1"/>
  <c r="AC38" i="1"/>
  <c r="AB38" i="1" s="1"/>
  <c r="AC23" i="1"/>
  <c r="AC160" i="1"/>
  <c r="J10" i="21"/>
  <c r="I65" i="8"/>
  <c r="AA159" i="1"/>
  <c r="AH159" i="1"/>
  <c r="AH351" i="1"/>
  <c r="AA351" i="1"/>
  <c r="V353" i="1"/>
  <c r="V354" i="1"/>
  <c r="V356" i="1"/>
  <c r="V355" i="1"/>
  <c r="BE6" i="1"/>
  <c r="R6" i="1"/>
  <c r="D8" i="8"/>
  <c r="AI232" i="1"/>
  <c r="AD232" i="1" s="1"/>
  <c r="AI308" i="1"/>
  <c r="AD308" i="1" s="1"/>
  <c r="AI344" i="1"/>
  <c r="AD344" i="1" s="1"/>
  <c r="AI268" i="1"/>
  <c r="AD268" i="1" s="1"/>
  <c r="AI349" i="1"/>
  <c r="AD349" i="1" s="1"/>
  <c r="AI253" i="1"/>
  <c r="AD253" i="1" s="1"/>
  <c r="AI342" i="1"/>
  <c r="AD342" i="1" s="1"/>
  <c r="AI306" i="1"/>
  <c r="AD306" i="1" s="1"/>
  <c r="AI260" i="1"/>
  <c r="AD260" i="1" s="1"/>
  <c r="AI254" i="1"/>
  <c r="AD254" i="1" s="1"/>
  <c r="AI341" i="1"/>
  <c r="AD341" i="1" s="1"/>
  <c r="AI307" i="1"/>
  <c r="AD307" i="1" s="1"/>
  <c r="AH131" i="1"/>
  <c r="AA191" i="1"/>
  <c r="AH307" i="1"/>
  <c r="AH341" i="1"/>
  <c r="AA342" i="1"/>
  <c r="AA105" i="1"/>
  <c r="AA182" i="1"/>
  <c r="AA306" i="1"/>
  <c r="AA92" i="1"/>
  <c r="AA97" i="1"/>
  <c r="AA176" i="1"/>
  <c r="AA192" i="1"/>
  <c r="AH92" i="1"/>
  <c r="AA308" i="1"/>
  <c r="AH344" i="1"/>
  <c r="AA253" i="1"/>
  <c r="AH253" i="1"/>
  <c r="AH260" i="1"/>
  <c r="AH110" i="1"/>
  <c r="AA110" i="1"/>
  <c r="AH342" i="1"/>
  <c r="AA344" i="1"/>
  <c r="AH191" i="1"/>
  <c r="AA197" i="1"/>
  <c r="AH308" i="1"/>
  <c r="AA111" i="1"/>
  <c r="AA260" i="1"/>
  <c r="AH111" i="1"/>
  <c r="AA341" i="1"/>
  <c r="AH192" i="1"/>
  <c r="AH105" i="1"/>
  <c r="AA232" i="1"/>
  <c r="AA307" i="1"/>
  <c r="AH165" i="1"/>
  <c r="AA165" i="1"/>
  <c r="AA254" i="1"/>
  <c r="AH254" i="1"/>
  <c r="AH232" i="1"/>
  <c r="AH268" i="1"/>
  <c r="AA131" i="1"/>
  <c r="AH176" i="1"/>
  <c r="AA268" i="1"/>
  <c r="U367" i="1"/>
  <c r="O6" i="58" s="1"/>
  <c r="O24" i="58" s="1"/>
  <c r="AH197" i="1"/>
  <c r="AH306" i="1"/>
  <c r="AH97" i="1"/>
  <c r="V346" i="1"/>
  <c r="V337" i="1"/>
  <c r="V312" i="1"/>
  <c r="V158" i="1"/>
  <c r="V339" i="1"/>
  <c r="V319" i="1"/>
  <c r="V277" i="1"/>
  <c r="V345" i="1"/>
  <c r="V322" i="1"/>
  <c r="V185" i="1"/>
  <c r="V323" i="1"/>
  <c r="V313" i="1"/>
  <c r="V249" i="1"/>
  <c r="Z149" i="1"/>
  <c r="AI149" i="1" s="1"/>
  <c r="AD149" i="1" s="1"/>
  <c r="BE8" i="1"/>
  <c r="AH182" i="1"/>
  <c r="T376" i="1"/>
  <c r="U371" i="1"/>
  <c r="O10" i="58" s="1"/>
  <c r="O28" i="58" s="1"/>
  <c r="U375" i="1"/>
  <c r="O13" i="58" s="1"/>
  <c r="O31" i="58" s="1"/>
  <c r="Z199" i="1"/>
  <c r="AI199" i="1" s="1"/>
  <c r="AD199" i="1" s="1"/>
  <c r="Z195" i="1"/>
  <c r="AI195" i="1" s="1"/>
  <c r="AD195" i="1" s="1"/>
  <c r="Z202" i="1"/>
  <c r="AI202" i="1" s="1"/>
  <c r="AD202" i="1" s="1"/>
  <c r="Z193" i="1"/>
  <c r="AI193" i="1" s="1"/>
  <c r="AD193" i="1" s="1"/>
  <c r="Z200" i="1"/>
  <c r="AI200" i="1" s="1"/>
  <c r="AD200" i="1" s="1"/>
  <c r="Z194" i="1"/>
  <c r="AI194" i="1" s="1"/>
  <c r="AD194" i="1" s="1"/>
  <c r="U370" i="1"/>
  <c r="O8" i="58" s="1"/>
  <c r="O26" i="58" s="1"/>
  <c r="Z201" i="1"/>
  <c r="AI201" i="1" s="1"/>
  <c r="AD201" i="1" s="1"/>
  <c r="U373" i="1"/>
  <c r="O11" i="58" s="1"/>
  <c r="O29" i="58" s="1"/>
  <c r="U374" i="1"/>
  <c r="O12" i="58" s="1"/>
  <c r="O30" i="58" s="1"/>
  <c r="T8" i="1"/>
  <c r="U369" i="1"/>
  <c r="O7" i="58" s="1"/>
  <c r="O25" i="58" s="1"/>
  <c r="Z122" i="1"/>
  <c r="AI122" i="1" s="1"/>
  <c r="AD122" i="1" s="1"/>
  <c r="V252" i="1"/>
  <c r="V256" i="1"/>
  <c r="V317" i="1"/>
  <c r="V282" i="1"/>
  <c r="V267" i="1"/>
  <c r="V229" i="1"/>
  <c r="V281" i="1"/>
  <c r="V289" i="1"/>
  <c r="V286" i="1"/>
  <c r="V243" i="1"/>
  <c r="V209" i="1"/>
  <c r="V266" i="1"/>
  <c r="V270" i="1"/>
  <c r="V269" i="1"/>
  <c r="V251" i="1"/>
  <c r="V207" i="1"/>
  <c r="V215" i="1"/>
  <c r="W14" i="1"/>
  <c r="W359" i="1" s="1"/>
  <c r="V272" i="1"/>
  <c r="V276" i="1"/>
  <c r="V218" i="1"/>
  <c r="V295" i="1"/>
  <c r="V262" i="1"/>
  <c r="V184" i="1"/>
  <c r="V203" i="1"/>
  <c r="V186" i="1"/>
  <c r="V151" i="1"/>
  <c r="V206" i="1"/>
  <c r="V189" i="1"/>
  <c r="V162" i="1"/>
  <c r="V208" i="1"/>
  <c r="V290" i="1"/>
  <c r="V179" i="1"/>
  <c r="V220" i="1"/>
  <c r="V244" i="1"/>
  <c r="V181" i="1"/>
  <c r="V217" i="1"/>
  <c r="V271" i="1"/>
  <c r="V287" i="1"/>
  <c r="V238" i="1"/>
  <c r="V183" i="1"/>
  <c r="V242" i="1"/>
  <c r="V245" i="1"/>
  <c r="V273" i="1"/>
  <c r="V250" i="1"/>
  <c r="V204" i="1"/>
  <c r="V275" i="1"/>
  <c r="V228" i="1"/>
  <c r="V219" i="1"/>
  <c r="V205" i="1"/>
  <c r="U20" i="1"/>
  <c r="AP9" i="1"/>
  <c r="G12" i="8" s="1"/>
  <c r="G77" i="8" s="1"/>
  <c r="AN9" i="1"/>
  <c r="G31" i="8" s="1"/>
  <c r="G96" i="8" s="1"/>
  <c r="AL9" i="1"/>
  <c r="AX9" i="1"/>
  <c r="G20" i="8" s="1"/>
  <c r="G85" i="8" s="1"/>
  <c r="AU9" i="1"/>
  <c r="G17" i="8" s="1"/>
  <c r="G82" i="8" s="1"/>
  <c r="BC9" i="1"/>
  <c r="AY9" i="1"/>
  <c r="BB9" i="1"/>
  <c r="G24" i="8" s="1"/>
  <c r="G89" i="8" s="1"/>
  <c r="AR9" i="1"/>
  <c r="G14" i="8" s="1"/>
  <c r="G79" i="8" s="1"/>
  <c r="AV9" i="1"/>
  <c r="G18" i="8" s="1"/>
  <c r="G83" i="8" s="1"/>
  <c r="BD9" i="1"/>
  <c r="G30" i="8" s="1"/>
  <c r="G95" i="8" s="1"/>
  <c r="U366" i="1"/>
  <c r="O5" i="58" s="1"/>
  <c r="O23" i="58" s="1"/>
  <c r="U3" i="1"/>
  <c r="AQ9" i="1"/>
  <c r="G13" i="8" s="1"/>
  <c r="G78" i="8" s="1"/>
  <c r="AS9" i="1"/>
  <c r="G15" i="8" s="1"/>
  <c r="G80" i="8" s="1"/>
  <c r="AW9" i="1"/>
  <c r="G19" i="8" s="1"/>
  <c r="G84" i="8" s="1"/>
  <c r="AO9" i="1"/>
  <c r="G11" i="8" s="1"/>
  <c r="G76" i="8" s="1"/>
  <c r="AM9" i="1"/>
  <c r="G9" i="8" s="1"/>
  <c r="G74" i="8" s="1"/>
  <c r="BA9" i="1"/>
  <c r="G23" i="8" s="1"/>
  <c r="G88" i="8" s="1"/>
  <c r="AZ9" i="1"/>
  <c r="G22" i="8" s="1"/>
  <c r="G87" i="8" s="1"/>
  <c r="AT9" i="1"/>
  <c r="G16" i="8" s="1"/>
  <c r="G81" i="8" s="1"/>
  <c r="Z196" i="1"/>
  <c r="AI196" i="1" s="1"/>
  <c r="AD196" i="1" s="1"/>
  <c r="AA8" i="21"/>
  <c r="C52" i="8" s="1"/>
  <c r="C117" i="8" s="1"/>
  <c r="W8" i="21"/>
  <c r="C48" i="8" s="1"/>
  <c r="C113" i="8" s="1"/>
  <c r="R8" i="21"/>
  <c r="C43" i="8" s="1"/>
  <c r="C108" i="8" s="1"/>
  <c r="AF8" i="21"/>
  <c r="C61" i="8" s="1"/>
  <c r="C126" i="8" s="1"/>
  <c r="V8" i="21"/>
  <c r="C47" i="8" s="1"/>
  <c r="C112" i="8" s="1"/>
  <c r="Z8" i="21"/>
  <c r="C51" i="8" s="1"/>
  <c r="C116" i="8" s="1"/>
  <c r="AB8" i="21"/>
  <c r="C53" i="8" s="1"/>
  <c r="C118" i="8" s="1"/>
  <c r="S8" i="21"/>
  <c r="C44" i="8" s="1"/>
  <c r="C109" i="8" s="1"/>
  <c r="X8" i="21"/>
  <c r="C49" i="8" s="1"/>
  <c r="C114" i="8" s="1"/>
  <c r="AE8" i="21"/>
  <c r="AD8" i="21"/>
  <c r="C55" i="8" s="1"/>
  <c r="C120" i="8" s="1"/>
  <c r="Y8" i="21"/>
  <c r="C50" i="8" s="1"/>
  <c r="C115" i="8" s="1"/>
  <c r="N8" i="21"/>
  <c r="C39" i="8" s="1"/>
  <c r="O8" i="21"/>
  <c r="C40" i="8" s="1"/>
  <c r="C105" i="8" s="1"/>
  <c r="C110" i="8"/>
  <c r="E73" i="8"/>
  <c r="E98" i="8" s="1"/>
  <c r="E33" i="8"/>
  <c r="Q13" i="1"/>
  <c r="P8" i="21"/>
  <c r="C41" i="8" s="1"/>
  <c r="Q8" i="21"/>
  <c r="C42" i="8" s="1"/>
  <c r="U8" i="21"/>
  <c r="C46" i="8" s="1"/>
  <c r="AC8" i="21"/>
  <c r="C54" i="8" s="1"/>
  <c r="C73" i="8"/>
  <c r="C98" i="8" s="1"/>
  <c r="C33" i="8"/>
  <c r="F73" i="8"/>
  <c r="F98" i="8" s="1"/>
  <c r="F33" i="8"/>
  <c r="Y183" i="1" l="1"/>
  <c r="Y217" i="1"/>
  <c r="Y270" i="1"/>
  <c r="Y252" i="1"/>
  <c r="Y249" i="1"/>
  <c r="Y238" i="1"/>
  <c r="Y290" i="1"/>
  <c r="Y206" i="1"/>
  <c r="Y207" i="1"/>
  <c r="Y251" i="1"/>
  <c r="Y281" i="1"/>
  <c r="Z317" i="1"/>
  <c r="Y205" i="1"/>
  <c r="Y162" i="1"/>
  <c r="Y186" i="1"/>
  <c r="Y295" i="1"/>
  <c r="O34" i="58"/>
  <c r="O16" i="58"/>
  <c r="T12" i="1"/>
  <c r="T13" i="1" s="1"/>
  <c r="Y8" i="1"/>
  <c r="R12" i="1"/>
  <c r="D35" i="8" s="1"/>
  <c r="Y6" i="1"/>
  <c r="Y262" i="1"/>
  <c r="Z277" i="1"/>
  <c r="Y277" i="1"/>
  <c r="Y323" i="1"/>
  <c r="Y286" i="1"/>
  <c r="Y354" i="1"/>
  <c r="AH354" i="1" s="1"/>
  <c r="Y359" i="1"/>
  <c r="Y346" i="1"/>
  <c r="Y353" i="1"/>
  <c r="Y181" i="1"/>
  <c r="Y317" i="1"/>
  <c r="Z270" i="1"/>
  <c r="Z238" i="1"/>
  <c r="Z207" i="1"/>
  <c r="Z359" i="1"/>
  <c r="AI359" i="1" s="1"/>
  <c r="AD359" i="1" s="1"/>
  <c r="Z286" i="1"/>
  <c r="Z354" i="1"/>
  <c r="AI354" i="1" s="1"/>
  <c r="AD354" i="1" s="1"/>
  <c r="Z249" i="1"/>
  <c r="Z353" i="1"/>
  <c r="AI353" i="1" s="1"/>
  <c r="AD353" i="1" s="1"/>
  <c r="Z262" i="1"/>
  <c r="Z217" i="1"/>
  <c r="Z251" i="1"/>
  <c r="Z281" i="1"/>
  <c r="Z252" i="1"/>
  <c r="Z290" i="1"/>
  <c r="Z295" i="1"/>
  <c r="Z323" i="1"/>
  <c r="Z346" i="1"/>
  <c r="AC349" i="1"/>
  <c r="AB349" i="1" s="1"/>
  <c r="AC83" i="1"/>
  <c r="AB83" i="1" s="1"/>
  <c r="AB39" i="1"/>
  <c r="AB357" i="1"/>
  <c r="AC58" i="1"/>
  <c r="AC75" i="1"/>
  <c r="AB358" i="1"/>
  <c r="AC107" i="1"/>
  <c r="AC123" i="1"/>
  <c r="AC65" i="1"/>
  <c r="AC333" i="1"/>
  <c r="AC332" i="1"/>
  <c r="AC331" i="1"/>
  <c r="AC335" i="1"/>
  <c r="AC340" i="1"/>
  <c r="AC336" i="1"/>
  <c r="AC334" i="1"/>
  <c r="AC343" i="1"/>
  <c r="AC338" i="1"/>
  <c r="AC327" i="1"/>
  <c r="AC328" i="1"/>
  <c r="AC329" i="1"/>
  <c r="AC330" i="1"/>
  <c r="AC326" i="1"/>
  <c r="AC324" i="1"/>
  <c r="AC325" i="1"/>
  <c r="AC321" i="1"/>
  <c r="AC320" i="1"/>
  <c r="AC318" i="1"/>
  <c r="AC180" i="1"/>
  <c r="AC198" i="1"/>
  <c r="AC147" i="1"/>
  <c r="AB171" i="1"/>
  <c r="AC78" i="1"/>
  <c r="AC155" i="1"/>
  <c r="AC57" i="1"/>
  <c r="AC190" i="1"/>
  <c r="AC309" i="1"/>
  <c r="AC177" i="1"/>
  <c r="AC178" i="1"/>
  <c r="AC315" i="1"/>
  <c r="AC314" i="1"/>
  <c r="AC124" i="1"/>
  <c r="AC166" i="1"/>
  <c r="AC305" i="1"/>
  <c r="AC304" i="1"/>
  <c r="AC300" i="1"/>
  <c r="AC298" i="1"/>
  <c r="AC301" i="1"/>
  <c r="AC70" i="1"/>
  <c r="AC284" i="1"/>
  <c r="AC280" i="1"/>
  <c r="AC278" i="1"/>
  <c r="AC265" i="1"/>
  <c r="AC279" i="1"/>
  <c r="AC255" i="1"/>
  <c r="AC257" i="1"/>
  <c r="AC258" i="1"/>
  <c r="AC187" i="1"/>
  <c r="AC119" i="1"/>
  <c r="AC174" i="1"/>
  <c r="AC240" i="1"/>
  <c r="AC234" i="1"/>
  <c r="AC231" i="1"/>
  <c r="AC227" i="1"/>
  <c r="AC236" i="1"/>
  <c r="AC233" i="1"/>
  <c r="AC246" i="1"/>
  <c r="AC247" i="1"/>
  <c r="AC241" i="1"/>
  <c r="AC222" i="1"/>
  <c r="AC223" i="1"/>
  <c r="AC114" i="1"/>
  <c r="AB167" i="1"/>
  <c r="AB173" i="1"/>
  <c r="AC172" i="1"/>
  <c r="AC87" i="1"/>
  <c r="AC134" i="1"/>
  <c r="AC117" i="1"/>
  <c r="AC148" i="1"/>
  <c r="AC133" i="1"/>
  <c r="AB169" i="1"/>
  <c r="AC69" i="1"/>
  <c r="AC93" i="1"/>
  <c r="AC135" i="1"/>
  <c r="AB168" i="1"/>
  <c r="AC163" i="1"/>
  <c r="AC161" i="1"/>
  <c r="AC152" i="1"/>
  <c r="AC100" i="1"/>
  <c r="AC120" i="1"/>
  <c r="AC113" i="1"/>
  <c r="AC86" i="1"/>
  <c r="AC156" i="1"/>
  <c r="AB154" i="1"/>
  <c r="AC54" i="1"/>
  <c r="AC127" i="1"/>
  <c r="AC106" i="1"/>
  <c r="AC51" i="1"/>
  <c r="AC144" i="1"/>
  <c r="AC126" i="1"/>
  <c r="AC46" i="1"/>
  <c r="AC49" i="1"/>
  <c r="AC146" i="1"/>
  <c r="AC150" i="1"/>
  <c r="AC145" i="1"/>
  <c r="AC142" i="1"/>
  <c r="AC136" i="1"/>
  <c r="AC141" i="1"/>
  <c r="AC140" i="1"/>
  <c r="AC139" i="1"/>
  <c r="AC121" i="1"/>
  <c r="AC63" i="1"/>
  <c r="AC64" i="1"/>
  <c r="AC89" i="1"/>
  <c r="AC109" i="1"/>
  <c r="AC68" i="1"/>
  <c r="AC99" i="1"/>
  <c r="AB99" i="1" s="1"/>
  <c r="AC45" i="1"/>
  <c r="AC71" i="1"/>
  <c r="AC55" i="1"/>
  <c r="AC24" i="1"/>
  <c r="AC96" i="1"/>
  <c r="AC104" i="1"/>
  <c r="AC84" i="1"/>
  <c r="AB84" i="1" s="1"/>
  <c r="AB351" i="1"/>
  <c r="AB77" i="1"/>
  <c r="AB129" i="1"/>
  <c r="N57" i="8"/>
  <c r="N58" i="8"/>
  <c r="N61" i="8"/>
  <c r="N47" i="8"/>
  <c r="N48" i="8"/>
  <c r="N40" i="8"/>
  <c r="N39" i="8"/>
  <c r="N56" i="8"/>
  <c r="N46" i="8"/>
  <c r="N62" i="8"/>
  <c r="N49" i="8"/>
  <c r="N54" i="8"/>
  <c r="N53" i="8"/>
  <c r="N43" i="8"/>
  <c r="N44" i="8"/>
  <c r="N51" i="8"/>
  <c r="N55" i="8"/>
  <c r="N52" i="8"/>
  <c r="N42" i="8"/>
  <c r="N59" i="8"/>
  <c r="N60" i="8"/>
  <c r="N50" i="8"/>
  <c r="N45" i="8"/>
  <c r="AB53" i="1"/>
  <c r="AA352" i="1"/>
  <c r="W355" i="1"/>
  <c r="W356" i="1"/>
  <c r="D73" i="8"/>
  <c r="D98" i="8" s="1"/>
  <c r="D33" i="8"/>
  <c r="D34" i="8" s="1"/>
  <c r="AC259" i="1"/>
  <c r="AC248" i="1"/>
  <c r="AI296" i="1"/>
  <c r="AD296" i="1" s="1"/>
  <c r="AI226" i="1"/>
  <c r="AD226" i="1" s="1"/>
  <c r="AI261" i="1"/>
  <c r="AD261" i="1" s="1"/>
  <c r="AI225" i="1"/>
  <c r="AD225" i="1" s="1"/>
  <c r="AI210" i="1"/>
  <c r="AD210" i="1" s="1"/>
  <c r="AI299" i="1"/>
  <c r="AD299" i="1" s="1"/>
  <c r="AI263" i="1"/>
  <c r="AD263" i="1" s="1"/>
  <c r="AI292" i="1"/>
  <c r="AD292" i="1" s="1"/>
  <c r="AI288" i="1"/>
  <c r="AD288" i="1" s="1"/>
  <c r="AI294" i="1"/>
  <c r="AD294" i="1" s="1"/>
  <c r="AI274" i="1"/>
  <c r="AD274" i="1" s="1"/>
  <c r="AI211" i="1"/>
  <c r="AD211" i="1" s="1"/>
  <c r="AI237" i="1"/>
  <c r="AD237" i="1" s="1"/>
  <c r="V367" i="1"/>
  <c r="P6" i="58" s="1"/>
  <c r="P24" i="58" s="1"/>
  <c r="W312" i="1"/>
  <c r="W319" i="1"/>
  <c r="W322" i="1"/>
  <c r="W337" i="1"/>
  <c r="W339" i="1"/>
  <c r="W273" i="1"/>
  <c r="W345" i="1"/>
  <c r="W313" i="1"/>
  <c r="AA149" i="1"/>
  <c r="AH149" i="1"/>
  <c r="U376" i="1"/>
  <c r="V371" i="1"/>
  <c r="P10" i="58" s="1"/>
  <c r="P28" i="58" s="1"/>
  <c r="AH211" i="1"/>
  <c r="AA211" i="1"/>
  <c r="AH296" i="1"/>
  <c r="AA296" i="1"/>
  <c r="U9" i="1"/>
  <c r="G8" i="8"/>
  <c r="BE9" i="1"/>
  <c r="AY10" i="1"/>
  <c r="AP10" i="1"/>
  <c r="H12" i="8" s="1"/>
  <c r="H77" i="8" s="1"/>
  <c r="AV10" i="1"/>
  <c r="H18" i="8" s="1"/>
  <c r="H83" i="8" s="1"/>
  <c r="AR10" i="1"/>
  <c r="H14" i="8" s="1"/>
  <c r="H79" i="8" s="1"/>
  <c r="AQ10" i="1"/>
  <c r="H13" i="8" s="1"/>
  <c r="H78" i="8" s="1"/>
  <c r="V3" i="1"/>
  <c r="AM10" i="1"/>
  <c r="H9" i="8" s="1"/>
  <c r="H74" i="8" s="1"/>
  <c r="AL10" i="1"/>
  <c r="AU10" i="1"/>
  <c r="H17" i="8" s="1"/>
  <c r="H82" i="8" s="1"/>
  <c r="AZ10" i="1"/>
  <c r="H22" i="8" s="1"/>
  <c r="H87" i="8" s="1"/>
  <c r="BC10" i="1"/>
  <c r="V366" i="1"/>
  <c r="P5" i="58" s="1"/>
  <c r="P23" i="58" s="1"/>
  <c r="BA10" i="1"/>
  <c r="H23" i="8" s="1"/>
  <c r="H88" i="8" s="1"/>
  <c r="AT10" i="1"/>
  <c r="H16" i="8" s="1"/>
  <c r="H81" i="8" s="1"/>
  <c r="AW10" i="1"/>
  <c r="H19" i="8" s="1"/>
  <c r="H84" i="8" s="1"/>
  <c r="BB10" i="1"/>
  <c r="H24" i="8" s="1"/>
  <c r="H89" i="8" s="1"/>
  <c r="AX10" i="1"/>
  <c r="H20" i="8" s="1"/>
  <c r="H85" i="8" s="1"/>
  <c r="AS10" i="1"/>
  <c r="H15" i="8" s="1"/>
  <c r="H80" i="8" s="1"/>
  <c r="V20" i="1"/>
  <c r="AO10" i="1"/>
  <c r="H11" i="8" s="1"/>
  <c r="H76" i="8" s="1"/>
  <c r="BD10" i="1"/>
  <c r="H30" i="8" s="1"/>
  <c r="H95" i="8" s="1"/>
  <c r="AN10" i="1"/>
  <c r="H31" i="8" s="1"/>
  <c r="H96" i="8" s="1"/>
  <c r="AH122" i="1"/>
  <c r="AA122" i="1"/>
  <c r="AH261" i="1"/>
  <c r="AA261" i="1"/>
  <c r="AH210" i="1"/>
  <c r="AA210" i="1"/>
  <c r="AH193" i="1"/>
  <c r="AA193" i="1"/>
  <c r="AH202" i="1"/>
  <c r="AA202" i="1"/>
  <c r="AA199" i="1"/>
  <c r="AH199" i="1"/>
  <c r="AH299" i="1"/>
  <c r="AA299" i="1"/>
  <c r="Z205" i="1"/>
  <c r="V375" i="1"/>
  <c r="P13" i="58" s="1"/>
  <c r="P31" i="58" s="1"/>
  <c r="V373" i="1"/>
  <c r="P11" i="58" s="1"/>
  <c r="P29" i="58" s="1"/>
  <c r="Z181" i="1"/>
  <c r="AI181" i="1" s="1"/>
  <c r="AD181" i="1" s="1"/>
  <c r="Z206" i="1"/>
  <c r="AH226" i="1"/>
  <c r="AA226" i="1"/>
  <c r="AH294" i="1"/>
  <c r="AA294" i="1"/>
  <c r="AH274" i="1"/>
  <c r="AA274" i="1"/>
  <c r="AA225" i="1"/>
  <c r="AH225" i="1"/>
  <c r="V374" i="1"/>
  <c r="P12" i="58" s="1"/>
  <c r="P30" i="58" s="1"/>
  <c r="AH263" i="1"/>
  <c r="AA263" i="1"/>
  <c r="AH292" i="1"/>
  <c r="AA292" i="1"/>
  <c r="AA196" i="1"/>
  <c r="AH196" i="1"/>
  <c r="Z183" i="1"/>
  <c r="AI183" i="1" s="1"/>
  <c r="AD183" i="1" s="1"/>
  <c r="V370" i="1"/>
  <c r="P8" i="58" s="1"/>
  <c r="P26" i="58" s="1"/>
  <c r="Z162" i="1"/>
  <c r="AI162" i="1" s="1"/>
  <c r="AD162" i="1" s="1"/>
  <c r="V369" i="1"/>
  <c r="P7" i="58" s="1"/>
  <c r="P25" i="58" s="1"/>
  <c r="Z186" i="1"/>
  <c r="AI186" i="1" s="1"/>
  <c r="AD186" i="1" s="1"/>
  <c r="W267" i="1"/>
  <c r="Y267" i="1" s="1"/>
  <c r="W289" i="1"/>
  <c r="W272" i="1"/>
  <c r="W229" i="1"/>
  <c r="W256" i="1"/>
  <c r="W282" i="1"/>
  <c r="W250" i="1"/>
  <c r="W287" i="1"/>
  <c r="W243" i="1"/>
  <c r="Y243" i="1" s="1"/>
  <c r="W208" i="1"/>
  <c r="W184" i="1"/>
  <c r="W158" i="1"/>
  <c r="Y158" i="1" s="1"/>
  <c r="W269" i="1"/>
  <c r="W216" i="1"/>
  <c r="Y216" i="1" s="1"/>
  <c r="W212" i="1"/>
  <c r="Y212" i="1" s="1"/>
  <c r="W275" i="1"/>
  <c r="W220" i="1"/>
  <c r="Y220" i="1" s="1"/>
  <c r="W242" i="1"/>
  <c r="W189" i="1"/>
  <c r="W218" i="1"/>
  <c r="Y218" i="1" s="1"/>
  <c r="W188" i="1"/>
  <c r="Y188" i="1" s="1"/>
  <c r="W239" i="1"/>
  <c r="W283" i="1"/>
  <c r="Y283" i="1" s="1"/>
  <c r="W215" i="1"/>
  <c r="W204" i="1"/>
  <c r="W266" i="1"/>
  <c r="Y266" i="1" s="1"/>
  <c r="W228" i="1"/>
  <c r="W276" i="1"/>
  <c r="W203" i="1"/>
  <c r="W244" i="1"/>
  <c r="Y244" i="1" s="1"/>
  <c r="W151" i="1"/>
  <c r="Y151" i="1" s="1"/>
  <c r="W264" i="1"/>
  <c r="Y264" i="1" s="1"/>
  <c r="W291" i="1"/>
  <c r="Y291" i="1" s="1"/>
  <c r="W214" i="1"/>
  <c r="Y214" i="1" s="1"/>
  <c r="W219" i="1"/>
  <c r="W209" i="1"/>
  <c r="W213" i="1"/>
  <c r="Y213" i="1" s="1"/>
  <c r="W185" i="1"/>
  <c r="Y185" i="1" s="1"/>
  <c r="W179" i="1"/>
  <c r="X14" i="1"/>
  <c r="W245" i="1"/>
  <c r="Y245" i="1" s="1"/>
  <c r="W271" i="1"/>
  <c r="AA237" i="1"/>
  <c r="AH237" i="1"/>
  <c r="AH201" i="1"/>
  <c r="AA201" i="1"/>
  <c r="AH194" i="1"/>
  <c r="AA194" i="1"/>
  <c r="AA200" i="1"/>
  <c r="AH200" i="1"/>
  <c r="AA195" i="1"/>
  <c r="AH195" i="1"/>
  <c r="AA288" i="1"/>
  <c r="AH288" i="1"/>
  <c r="AC52" i="1"/>
  <c r="AB52" i="1" s="1"/>
  <c r="AC125" i="1"/>
  <c r="AB125" i="1" s="1"/>
  <c r="AB348" i="1"/>
  <c r="C111" i="8"/>
  <c r="AH8" i="21"/>
  <c r="AB350" i="1"/>
  <c r="AC118" i="1"/>
  <c r="AB118" i="1" s="1"/>
  <c r="C107" i="8"/>
  <c r="O17" i="8"/>
  <c r="O19" i="8"/>
  <c r="O31" i="8"/>
  <c r="O13" i="8"/>
  <c r="O30" i="8"/>
  <c r="O20" i="8"/>
  <c r="O21" i="8"/>
  <c r="O22" i="8"/>
  <c r="O18" i="8"/>
  <c r="O16" i="8"/>
  <c r="O25" i="8"/>
  <c r="O12" i="8"/>
  <c r="O28" i="8"/>
  <c r="O29" i="8"/>
  <c r="O26" i="8"/>
  <c r="O9" i="8"/>
  <c r="O23" i="8"/>
  <c r="O8" i="8"/>
  <c r="O11" i="8"/>
  <c r="O27" i="8"/>
  <c r="O15" i="8"/>
  <c r="O14" i="8"/>
  <c r="O24" i="8"/>
  <c r="L12" i="8"/>
  <c r="L10" i="8"/>
  <c r="L11" i="8"/>
  <c r="L24" i="8"/>
  <c r="L8" i="8"/>
  <c r="L20" i="8"/>
  <c r="L17" i="8"/>
  <c r="L15" i="8"/>
  <c r="L22" i="8"/>
  <c r="L16" i="8"/>
  <c r="L23" i="8"/>
  <c r="L27" i="8"/>
  <c r="L19" i="8"/>
  <c r="L30" i="8"/>
  <c r="L28" i="8"/>
  <c r="L14" i="8"/>
  <c r="L29" i="8"/>
  <c r="L25" i="8"/>
  <c r="L13" i="8"/>
  <c r="L18" i="8"/>
  <c r="L9" i="8"/>
  <c r="L26" i="8"/>
  <c r="L21" i="8"/>
  <c r="AB115" i="1"/>
  <c r="C106" i="8"/>
  <c r="AC116" i="1"/>
  <c r="AB116" i="1" s="1"/>
  <c r="N19" i="8"/>
  <c r="N22" i="8"/>
  <c r="N23" i="8"/>
  <c r="N20" i="8"/>
  <c r="N18" i="8"/>
  <c r="N24" i="8"/>
  <c r="N14" i="8"/>
  <c r="N11" i="8"/>
  <c r="N30" i="8"/>
  <c r="N13" i="8"/>
  <c r="N26" i="8"/>
  <c r="N17" i="8"/>
  <c r="N9" i="8"/>
  <c r="N8" i="8"/>
  <c r="N25" i="8"/>
  <c r="N31" i="8"/>
  <c r="N15" i="8"/>
  <c r="N27" i="8"/>
  <c r="N16" i="8"/>
  <c r="N12" i="8"/>
  <c r="N28" i="8"/>
  <c r="N29" i="8"/>
  <c r="N21" i="8"/>
  <c r="AB347" i="1"/>
  <c r="C8" i="21"/>
  <c r="AC43" i="1"/>
  <c r="AB43" i="1" s="1"/>
  <c r="C119" i="8"/>
  <c r="AC34" i="1"/>
  <c r="AB34" i="1" s="1"/>
  <c r="AB170" i="1"/>
  <c r="C104" i="8"/>
  <c r="C64" i="8"/>
  <c r="AC90" i="1"/>
  <c r="AB90" i="1" s="1"/>
  <c r="Y269" i="1" l="1"/>
  <c r="Z256" i="1"/>
  <c r="Y339" i="1"/>
  <c r="Y312" i="1"/>
  <c r="Y204" i="1"/>
  <c r="Y313" i="1"/>
  <c r="Y203" i="1"/>
  <c r="Y209" i="1"/>
  <c r="Y276" i="1"/>
  <c r="Y275" i="1"/>
  <c r="Y229" i="1"/>
  <c r="Y179" i="1"/>
  <c r="Y228" i="1"/>
  <c r="Y184" i="1"/>
  <c r="Y250" i="1"/>
  <c r="Y272" i="1"/>
  <c r="Y271" i="1"/>
  <c r="Y239" i="1"/>
  <c r="Y242" i="1"/>
  <c r="Y208" i="1"/>
  <c r="Y289" i="1"/>
  <c r="Y273" i="1"/>
  <c r="Y319" i="1"/>
  <c r="P34" i="58"/>
  <c r="P16" i="58"/>
  <c r="R13" i="1"/>
  <c r="U12" i="1"/>
  <c r="U13" i="1" s="1"/>
  <c r="Y9" i="1"/>
  <c r="Y345" i="1"/>
  <c r="Y282" i="1"/>
  <c r="Z322" i="1"/>
  <c r="Y322" i="1"/>
  <c r="Y337" i="1"/>
  <c r="Y256" i="1"/>
  <c r="Z215" i="1"/>
  <c r="Y215" i="1"/>
  <c r="Z219" i="1"/>
  <c r="Y219" i="1"/>
  <c r="Y189" i="1"/>
  <c r="Z287" i="1"/>
  <c r="Y287" i="1"/>
  <c r="Y355" i="1"/>
  <c r="Y356" i="1"/>
  <c r="Z228" i="1"/>
  <c r="Z212" i="1"/>
  <c r="Z271" i="1"/>
  <c r="Z244" i="1"/>
  <c r="Z266" i="1"/>
  <c r="Z239" i="1"/>
  <c r="Z208" i="1"/>
  <c r="Z319" i="1"/>
  <c r="Z209" i="1"/>
  <c r="Z218" i="1"/>
  <c r="Z245" i="1"/>
  <c r="Z220" i="1"/>
  <c r="Z243" i="1"/>
  <c r="Z267" i="1"/>
  <c r="Z339" i="1"/>
  <c r="Z313" i="1"/>
  <c r="Z356" i="1"/>
  <c r="AI356" i="1" s="1"/>
  <c r="AD356" i="1" s="1"/>
  <c r="Z291" i="1"/>
  <c r="Z269" i="1"/>
  <c r="Z272" i="1"/>
  <c r="Z345" i="1"/>
  <c r="Z213" i="1"/>
  <c r="Z242" i="1"/>
  <c r="Z216" i="1"/>
  <c r="Z264" i="1"/>
  <c r="Z276" i="1"/>
  <c r="Z275" i="1"/>
  <c r="Z229" i="1"/>
  <c r="Z289" i="1"/>
  <c r="Z273" i="1"/>
  <c r="Z214" i="1"/>
  <c r="Z283" i="1"/>
  <c r="Z250" i="1"/>
  <c r="Z312" i="1"/>
  <c r="Z282" i="1"/>
  <c r="Z337" i="1"/>
  <c r="Z355" i="1"/>
  <c r="AI355" i="1" s="1"/>
  <c r="AD355" i="1" s="1"/>
  <c r="AB45" i="1"/>
  <c r="AB100" i="1"/>
  <c r="AB305" i="1"/>
  <c r="AB166" i="1"/>
  <c r="AB178" i="1"/>
  <c r="AB180" i="1"/>
  <c r="AB343" i="1"/>
  <c r="AB335" i="1"/>
  <c r="AB68" i="1"/>
  <c r="AB63" i="1"/>
  <c r="AB51" i="1"/>
  <c r="AB93" i="1"/>
  <c r="AB69" i="1"/>
  <c r="AB172" i="1"/>
  <c r="AB246" i="1"/>
  <c r="AB257" i="1"/>
  <c r="AB300" i="1"/>
  <c r="AB124" i="1"/>
  <c r="AB190" i="1"/>
  <c r="AB65" i="1"/>
  <c r="AB75" i="1"/>
  <c r="AB109" i="1"/>
  <c r="AB135" i="1"/>
  <c r="AB234" i="1"/>
  <c r="AB255" i="1"/>
  <c r="AB57" i="1"/>
  <c r="AB147" i="1"/>
  <c r="AB332" i="1"/>
  <c r="AB123" i="1"/>
  <c r="AB126" i="1"/>
  <c r="AB87" i="1"/>
  <c r="AB222" i="1"/>
  <c r="AB240" i="1"/>
  <c r="AB304" i="1"/>
  <c r="AB315" i="1"/>
  <c r="AB155" i="1"/>
  <c r="AB338" i="1"/>
  <c r="AB58" i="1"/>
  <c r="AB64" i="1"/>
  <c r="AB71" i="1"/>
  <c r="AB326" i="1"/>
  <c r="AB223" i="1"/>
  <c r="AB106" i="1"/>
  <c r="AB329" i="1"/>
  <c r="AB119" i="1"/>
  <c r="AB107" i="1"/>
  <c r="AB330" i="1"/>
  <c r="AB198" i="1"/>
  <c r="AC143" i="1"/>
  <c r="AB143" i="1" s="1"/>
  <c r="AB309" i="1"/>
  <c r="AB70" i="1"/>
  <c r="AC342" i="1"/>
  <c r="AC341" i="1"/>
  <c r="AC344" i="1"/>
  <c r="AB177" i="1"/>
  <c r="AB114" i="1"/>
  <c r="AB117" i="1"/>
  <c r="AB49" i="1"/>
  <c r="AC316" i="1"/>
  <c r="AB316" i="1" s="1"/>
  <c r="AB133" i="1"/>
  <c r="AC308" i="1"/>
  <c r="AC306" i="1"/>
  <c r="AB127" i="1"/>
  <c r="AB280" i="1"/>
  <c r="AB113" i="1"/>
  <c r="AC268" i="1"/>
  <c r="AB258" i="1"/>
  <c r="AC260" i="1"/>
  <c r="AC254" i="1"/>
  <c r="AB148" i="1"/>
  <c r="AB144" i="1"/>
  <c r="AC131" i="1"/>
  <c r="AC192" i="1"/>
  <c r="AC176" i="1"/>
  <c r="AC232" i="1"/>
  <c r="AC191" i="1"/>
  <c r="AB120" i="1"/>
  <c r="AC197" i="1"/>
  <c r="AC182" i="1"/>
  <c r="AB174" i="1"/>
  <c r="AC97" i="1"/>
  <c r="AB54" i="1"/>
  <c r="AB86" i="1"/>
  <c r="AC165" i="1"/>
  <c r="AB163" i="1"/>
  <c r="AC159" i="1"/>
  <c r="AB156" i="1"/>
  <c r="AC111" i="1"/>
  <c r="AB46" i="1"/>
  <c r="AB134" i="1"/>
  <c r="AB150" i="1"/>
  <c r="AB146" i="1"/>
  <c r="AB145" i="1"/>
  <c r="AB140" i="1"/>
  <c r="AC105" i="1"/>
  <c r="AB121" i="1"/>
  <c r="AB141" i="1"/>
  <c r="AB139" i="1"/>
  <c r="AB187" i="1"/>
  <c r="AB142" i="1"/>
  <c r="AB340" i="1"/>
  <c r="AB318" i="1"/>
  <c r="AB327" i="1"/>
  <c r="AB328" i="1"/>
  <c r="AC285" i="1"/>
  <c r="AB285" i="1" s="1"/>
  <c r="AB334" i="1"/>
  <c r="AB331" i="1"/>
  <c r="AC164" i="1"/>
  <c r="AC230" i="1"/>
  <c r="AC311" i="1"/>
  <c r="AC302" i="1"/>
  <c r="AB241" i="1"/>
  <c r="AB298" i="1"/>
  <c r="AB314" i="1"/>
  <c r="AB278" i="1"/>
  <c r="AC303" i="1"/>
  <c r="AB320" i="1"/>
  <c r="AC98" i="1"/>
  <c r="AB325" i="1"/>
  <c r="AC153" i="1"/>
  <c r="AB153" i="1" s="1"/>
  <c r="AB336" i="1"/>
  <c r="AB324" i="1"/>
  <c r="AB231" i="1"/>
  <c r="AC352" i="1"/>
  <c r="AB227" i="1"/>
  <c r="AC310" i="1"/>
  <c r="AC224" i="1"/>
  <c r="AB247" i="1"/>
  <c r="AB279" i="1"/>
  <c r="AC85" i="1"/>
  <c r="AB104" i="1"/>
  <c r="AC92" i="1"/>
  <c r="AB89" i="1"/>
  <c r="AB55" i="1"/>
  <c r="AC29" i="1"/>
  <c r="AB29" i="1" s="1"/>
  <c r="AC30" i="1"/>
  <c r="AB30" i="1" s="1"/>
  <c r="X59" i="8"/>
  <c r="N124" i="8"/>
  <c r="N116" i="8"/>
  <c r="X51" i="8"/>
  <c r="N119" i="8"/>
  <c r="X54" i="8"/>
  <c r="X56" i="8"/>
  <c r="N121" i="8"/>
  <c r="N112" i="8"/>
  <c r="X47" i="8"/>
  <c r="N110" i="8"/>
  <c r="X45" i="8"/>
  <c r="N107" i="8"/>
  <c r="X42" i="8"/>
  <c r="N109" i="8"/>
  <c r="X44" i="8"/>
  <c r="N114" i="8"/>
  <c r="X49" i="8"/>
  <c r="N104" i="8"/>
  <c r="N64" i="8"/>
  <c r="X39" i="8"/>
  <c r="N126" i="8"/>
  <c r="X61" i="8"/>
  <c r="N115" i="8"/>
  <c r="X50" i="8"/>
  <c r="N117" i="8"/>
  <c r="X52" i="8"/>
  <c r="N108" i="8"/>
  <c r="X43" i="8"/>
  <c r="N127" i="8"/>
  <c r="X62" i="8"/>
  <c r="N105" i="8"/>
  <c r="X40" i="8"/>
  <c r="X58" i="8"/>
  <c r="N123" i="8"/>
  <c r="X60" i="8"/>
  <c r="N125" i="8"/>
  <c r="N120" i="8"/>
  <c r="X55" i="8"/>
  <c r="N118" i="8"/>
  <c r="X53" i="8"/>
  <c r="N111" i="8"/>
  <c r="X46" i="8"/>
  <c r="N113" i="8"/>
  <c r="X48" i="8"/>
  <c r="X57" i="8"/>
  <c r="N122" i="8"/>
  <c r="AC62" i="1"/>
  <c r="AB62" i="1" s="1"/>
  <c r="AB78" i="1"/>
  <c r="AB136" i="1"/>
  <c r="AB284" i="1"/>
  <c r="AB301" i="1"/>
  <c r="AH359" i="1"/>
  <c r="AA359" i="1"/>
  <c r="AA354" i="1"/>
  <c r="AA353" i="1"/>
  <c r="AH353" i="1"/>
  <c r="M9" i="8"/>
  <c r="M23" i="8"/>
  <c r="M10" i="8"/>
  <c r="M28" i="8"/>
  <c r="M16" i="8"/>
  <c r="M19" i="8"/>
  <c r="M30" i="8"/>
  <c r="M11" i="8"/>
  <c r="M27" i="8"/>
  <c r="M24" i="8"/>
  <c r="M20" i="8"/>
  <c r="M13" i="8"/>
  <c r="M25" i="8"/>
  <c r="M21" i="8"/>
  <c r="M18" i="8"/>
  <c r="M8" i="8"/>
  <c r="M22" i="8"/>
  <c r="M29" i="8"/>
  <c r="M15" i="8"/>
  <c r="M14" i="8"/>
  <c r="M26" i="8"/>
  <c r="M12" i="8"/>
  <c r="M17" i="8"/>
  <c r="AB236" i="1"/>
  <c r="AB259" i="1"/>
  <c r="AB248" i="1"/>
  <c r="AI270" i="1"/>
  <c r="AD270" i="1" s="1"/>
  <c r="AI249" i="1"/>
  <c r="AD249" i="1" s="1"/>
  <c r="AI217" i="1"/>
  <c r="AD217" i="1" s="1"/>
  <c r="AI323" i="1"/>
  <c r="AD323" i="1" s="1"/>
  <c r="AI281" i="1"/>
  <c r="AD281" i="1" s="1"/>
  <c r="AI252" i="1"/>
  <c r="AD252" i="1" s="1"/>
  <c r="AI206" i="1"/>
  <c r="AD206" i="1" s="1"/>
  <c r="AI238" i="1"/>
  <c r="AD238" i="1" s="1"/>
  <c r="AI205" i="1"/>
  <c r="AD205" i="1" s="1"/>
  <c r="AI317" i="1"/>
  <c r="AD317" i="1" s="1"/>
  <c r="AI286" i="1"/>
  <c r="AD286" i="1" s="1"/>
  <c r="AI295" i="1"/>
  <c r="AD295" i="1" s="1"/>
  <c r="AI251" i="1"/>
  <c r="AD251" i="1" s="1"/>
  <c r="AI262" i="1"/>
  <c r="AD262" i="1" s="1"/>
  <c r="AI207" i="1"/>
  <c r="AD207" i="1" s="1"/>
  <c r="AI290" i="1"/>
  <c r="AD290" i="1" s="1"/>
  <c r="AI346" i="1"/>
  <c r="AD346" i="1" s="1"/>
  <c r="AI277" i="1"/>
  <c r="AD277" i="1" s="1"/>
  <c r="AH281" i="1"/>
  <c r="AA281" i="1"/>
  <c r="AA249" i="1"/>
  <c r="AH249" i="1"/>
  <c r="AH277" i="1"/>
  <c r="AA277" i="1"/>
  <c r="AA346" i="1"/>
  <c r="AH346" i="1"/>
  <c r="AA323" i="1"/>
  <c r="AH323" i="1"/>
  <c r="Z179" i="1"/>
  <c r="AI179" i="1" s="1"/>
  <c r="AD179" i="1" s="1"/>
  <c r="Z188" i="1"/>
  <c r="W371" i="1"/>
  <c r="Q10" i="58" s="1"/>
  <c r="Q28" i="58" s="1"/>
  <c r="AA186" i="1"/>
  <c r="AH186" i="1"/>
  <c r="AA162" i="1"/>
  <c r="AH162" i="1"/>
  <c r="AA183" i="1"/>
  <c r="AH183" i="1"/>
  <c r="AH251" i="1"/>
  <c r="AA251" i="1"/>
  <c r="AH262" i="1"/>
  <c r="AA262" i="1"/>
  <c r="AH317" i="1"/>
  <c r="AA317" i="1"/>
  <c r="AA207" i="1"/>
  <c r="AH207" i="1"/>
  <c r="AA181" i="1"/>
  <c r="AH181" i="1"/>
  <c r="AH217" i="1"/>
  <c r="AA217" i="1"/>
  <c r="AA286" i="1"/>
  <c r="AH286" i="1"/>
  <c r="AH270" i="1"/>
  <c r="AA270" i="1"/>
  <c r="G73" i="8"/>
  <c r="G98" i="8" s="1"/>
  <c r="G33" i="8"/>
  <c r="W370" i="1"/>
  <c r="Q8" i="58" s="1"/>
  <c r="Q26" i="58" s="1"/>
  <c r="Z185" i="1"/>
  <c r="W374" i="1"/>
  <c r="Q12" i="58" s="1"/>
  <c r="Q30" i="58" s="1"/>
  <c r="Z151" i="1"/>
  <c r="AI151" i="1" s="1"/>
  <c r="AD151" i="1" s="1"/>
  <c r="W3" i="1"/>
  <c r="AP11" i="1"/>
  <c r="I12" i="8" s="1"/>
  <c r="I77" i="8" s="1"/>
  <c r="BD11" i="1"/>
  <c r="I30" i="8" s="1"/>
  <c r="I95" i="8" s="1"/>
  <c r="AY11" i="1"/>
  <c r="AN11" i="1"/>
  <c r="I31" i="8" s="1"/>
  <c r="I96" i="8" s="1"/>
  <c r="BA11" i="1"/>
  <c r="I23" i="8" s="1"/>
  <c r="I88" i="8" s="1"/>
  <c r="AR11" i="1"/>
  <c r="I14" i="8" s="1"/>
  <c r="I79" i="8" s="1"/>
  <c r="AM11" i="1"/>
  <c r="I9" i="8" s="1"/>
  <c r="I74" i="8" s="1"/>
  <c r="BC11" i="1"/>
  <c r="AX11" i="1"/>
  <c r="I20" i="8" s="1"/>
  <c r="I85" i="8" s="1"/>
  <c r="AW11" i="1"/>
  <c r="I19" i="8" s="1"/>
  <c r="I84" i="8" s="1"/>
  <c r="AO11" i="1"/>
  <c r="I11" i="8" s="1"/>
  <c r="I76" i="8" s="1"/>
  <c r="AL11" i="1"/>
  <c r="W366" i="1"/>
  <c r="Q5" i="58" s="1"/>
  <c r="Q23" i="58" s="1"/>
  <c r="AV11" i="1"/>
  <c r="I18" i="8" s="1"/>
  <c r="I83" i="8" s="1"/>
  <c r="AS11" i="1"/>
  <c r="I15" i="8" s="1"/>
  <c r="I80" i="8" s="1"/>
  <c r="AU11" i="1"/>
  <c r="I17" i="8" s="1"/>
  <c r="I82" i="8" s="1"/>
  <c r="Z60" i="1"/>
  <c r="AI60" i="1" s="1"/>
  <c r="AD60" i="1" s="1"/>
  <c r="W20" i="1"/>
  <c r="Y20" i="1" s="1"/>
  <c r="AT11" i="1"/>
  <c r="I16" i="8" s="1"/>
  <c r="I81" i="8" s="1"/>
  <c r="AZ11" i="1"/>
  <c r="I22" i="8" s="1"/>
  <c r="I87" i="8" s="1"/>
  <c r="AQ11" i="1"/>
  <c r="I13" i="8" s="1"/>
  <c r="I78" i="8" s="1"/>
  <c r="BB11" i="1"/>
  <c r="I24" i="8" s="1"/>
  <c r="I89" i="8" s="1"/>
  <c r="Z158" i="1"/>
  <c r="AI158" i="1" s="1"/>
  <c r="AD158" i="1" s="1"/>
  <c r="W369" i="1"/>
  <c r="Q7" i="58" s="1"/>
  <c r="Q25" i="58" s="1"/>
  <c r="AA295" i="1"/>
  <c r="AH295" i="1"/>
  <c r="AA252" i="1"/>
  <c r="AH252" i="1"/>
  <c r="AA205" i="1"/>
  <c r="AH205" i="1"/>
  <c r="AA290" i="1"/>
  <c r="AH290" i="1"/>
  <c r="Z189" i="1"/>
  <c r="W375" i="1"/>
  <c r="Q13" i="58" s="1"/>
  <c r="Q31" i="58" s="1"/>
  <c r="Z184" i="1"/>
  <c r="AI184" i="1" s="1"/>
  <c r="AD184" i="1" s="1"/>
  <c r="X220" i="1"/>
  <c r="X267" i="1"/>
  <c r="X244" i="1"/>
  <c r="X151" i="1"/>
  <c r="X245" i="1"/>
  <c r="X266" i="1"/>
  <c r="X158" i="1"/>
  <c r="X282" i="1"/>
  <c r="X219" i="1"/>
  <c r="X243" i="1"/>
  <c r="X188" i="1"/>
  <c r="X216" i="1"/>
  <c r="X218" i="1"/>
  <c r="X213" i="1"/>
  <c r="X185" i="1"/>
  <c r="X175" i="1"/>
  <c r="X214" i="1"/>
  <c r="X212" i="1"/>
  <c r="X291" i="1"/>
  <c r="X26" i="1"/>
  <c r="X264" i="1"/>
  <c r="X189" i="1"/>
  <c r="X283" i="1"/>
  <c r="X215" i="1"/>
  <c r="Z203" i="1"/>
  <c r="AI203" i="1" s="1"/>
  <c r="AD203" i="1" s="1"/>
  <c r="Z204" i="1"/>
  <c r="W373" i="1"/>
  <c r="Q11" i="58" s="1"/>
  <c r="Q29" i="58" s="1"/>
  <c r="AA206" i="1"/>
  <c r="AH206" i="1"/>
  <c r="AH238" i="1"/>
  <c r="AA238" i="1"/>
  <c r="V376" i="1"/>
  <c r="BE10" i="1"/>
  <c r="V10" i="1"/>
  <c r="H8" i="8"/>
  <c r="C129" i="8"/>
  <c r="N86" i="8"/>
  <c r="X21" i="8"/>
  <c r="N90" i="8"/>
  <c r="X25" i="8"/>
  <c r="N91" i="8"/>
  <c r="X26" i="8"/>
  <c r="N79" i="8"/>
  <c r="X14" i="8"/>
  <c r="N88" i="8"/>
  <c r="X23" i="8"/>
  <c r="AC112" i="1"/>
  <c r="AB112" i="1" s="1"/>
  <c r="X28" i="8"/>
  <c r="N93" i="8"/>
  <c r="N80" i="8"/>
  <c r="X15" i="8"/>
  <c r="N74" i="8"/>
  <c r="X9" i="8"/>
  <c r="N95" i="8"/>
  <c r="X30" i="8"/>
  <c r="N83" i="8"/>
  <c r="X18" i="8"/>
  <c r="N84" i="8"/>
  <c r="X19" i="8"/>
  <c r="L86" i="8"/>
  <c r="V21" i="8"/>
  <c r="L78" i="8"/>
  <c r="V13" i="8"/>
  <c r="L93" i="8"/>
  <c r="V28" i="8"/>
  <c r="L88" i="8"/>
  <c r="V23" i="8"/>
  <c r="L82" i="8"/>
  <c r="V17" i="8"/>
  <c r="L76" i="8"/>
  <c r="V11" i="8"/>
  <c r="O79" i="8"/>
  <c r="Y14" i="8"/>
  <c r="O33" i="8"/>
  <c r="O73" i="8"/>
  <c r="Y8" i="8"/>
  <c r="O94" i="8"/>
  <c r="Y29" i="8"/>
  <c r="O81" i="8"/>
  <c r="Y16" i="8"/>
  <c r="O85" i="8"/>
  <c r="Y20" i="8"/>
  <c r="O84" i="8"/>
  <c r="Y19" i="8"/>
  <c r="AC138" i="1"/>
  <c r="AB138" i="1" s="1"/>
  <c r="N77" i="8"/>
  <c r="X12" i="8"/>
  <c r="N96" i="8"/>
  <c r="X31" i="8"/>
  <c r="N82" i="8"/>
  <c r="X17" i="8"/>
  <c r="N76" i="8"/>
  <c r="X11" i="8"/>
  <c r="N85" i="8"/>
  <c r="X20" i="8"/>
  <c r="L91" i="8"/>
  <c r="V26" i="8"/>
  <c r="L90" i="8"/>
  <c r="V25" i="8"/>
  <c r="L95" i="8"/>
  <c r="V30" i="8"/>
  <c r="L81" i="8"/>
  <c r="V16" i="8"/>
  <c r="L85" i="8"/>
  <c r="V20" i="8"/>
  <c r="L75" i="8"/>
  <c r="V10" i="8"/>
  <c r="O80" i="8"/>
  <c r="Y15" i="8"/>
  <c r="O88" i="8"/>
  <c r="Y23" i="8"/>
  <c r="O93" i="8"/>
  <c r="Y28" i="8"/>
  <c r="O83" i="8"/>
  <c r="Y18" i="8"/>
  <c r="O95" i="8"/>
  <c r="Y30" i="8"/>
  <c r="O82" i="8"/>
  <c r="Y17" i="8"/>
  <c r="AC33" i="1"/>
  <c r="AB33" i="1" s="1"/>
  <c r="AC31" i="1"/>
  <c r="AB31" i="1" s="1"/>
  <c r="N81" i="8"/>
  <c r="X16" i="8"/>
  <c r="L74" i="8"/>
  <c r="V9" i="8"/>
  <c r="L94" i="8"/>
  <c r="V29" i="8"/>
  <c r="L84" i="8"/>
  <c r="V19" i="8"/>
  <c r="L87" i="8"/>
  <c r="V22" i="8"/>
  <c r="L73" i="8"/>
  <c r="L33" i="8"/>
  <c r="V8" i="8"/>
  <c r="L77" i="8"/>
  <c r="V12" i="8"/>
  <c r="O92" i="8"/>
  <c r="Y27" i="8"/>
  <c r="O74" i="8"/>
  <c r="Y9" i="8"/>
  <c r="O77" i="8"/>
  <c r="Y12" i="8"/>
  <c r="O87" i="8"/>
  <c r="Y22" i="8"/>
  <c r="O78" i="8"/>
  <c r="Y13" i="8"/>
  <c r="C15" i="21"/>
  <c r="J8" i="21"/>
  <c r="N94" i="8"/>
  <c r="X29" i="8"/>
  <c r="N92" i="8"/>
  <c r="X27" i="8"/>
  <c r="N33" i="8"/>
  <c r="N73" i="8"/>
  <c r="X8" i="8"/>
  <c r="N78" i="8"/>
  <c r="X13" i="8"/>
  <c r="N89" i="8"/>
  <c r="X24" i="8"/>
  <c r="N87" i="8"/>
  <c r="X22" i="8"/>
  <c r="AB152" i="1"/>
  <c r="L83" i="8"/>
  <c r="V18" i="8"/>
  <c r="L79" i="8"/>
  <c r="V14" i="8"/>
  <c r="V27" i="8"/>
  <c r="L92" i="8"/>
  <c r="L80" i="8"/>
  <c r="V15" i="8"/>
  <c r="L89" i="8"/>
  <c r="V24" i="8"/>
  <c r="O89" i="8"/>
  <c r="Y24" i="8"/>
  <c r="O76" i="8"/>
  <c r="Y11" i="8"/>
  <c r="O91" i="8"/>
  <c r="Y26" i="8"/>
  <c r="O90" i="8"/>
  <c r="Y25" i="8"/>
  <c r="O86" i="8"/>
  <c r="Y21" i="8"/>
  <c r="O96" i="8"/>
  <c r="Y31" i="8"/>
  <c r="AC27" i="1"/>
  <c r="AB27" i="1" s="1"/>
  <c r="AC72" i="1"/>
  <c r="AB72" i="1" s="1"/>
  <c r="AC95" i="1"/>
  <c r="AB95" i="1" s="1"/>
  <c r="AC25" i="1"/>
  <c r="AB25" i="1" s="1"/>
  <c r="Q34" i="58" l="1"/>
  <c r="Q16" i="58"/>
  <c r="V12" i="1"/>
  <c r="V13" i="1" s="1"/>
  <c r="Y10" i="1"/>
  <c r="AB98" i="1"/>
  <c r="AA356" i="1"/>
  <c r="AB164" i="1"/>
  <c r="AB131" i="1"/>
  <c r="AC195" i="1"/>
  <c r="AB192" i="1"/>
  <c r="AC193" i="1"/>
  <c r="AB308" i="1"/>
  <c r="AC201" i="1"/>
  <c r="AC296" i="1"/>
  <c r="AC288" i="1"/>
  <c r="AC292" i="1"/>
  <c r="AC294" i="1"/>
  <c r="AC299" i="1"/>
  <c r="AB230" i="1"/>
  <c r="AC199" i="1"/>
  <c r="AC274" i="1"/>
  <c r="AB105" i="1"/>
  <c r="AC263" i="1"/>
  <c r="AC261" i="1"/>
  <c r="AC200" i="1"/>
  <c r="AB191" i="1"/>
  <c r="AC196" i="1"/>
  <c r="AC202" i="1"/>
  <c r="AC226" i="1"/>
  <c r="AC237" i="1"/>
  <c r="AB197" i="1"/>
  <c r="AB182" i="1"/>
  <c r="AC210" i="1"/>
  <c r="AC211" i="1"/>
  <c r="AC194" i="1"/>
  <c r="AC175" i="1"/>
  <c r="AB175" i="1" s="1"/>
  <c r="AB97" i="1"/>
  <c r="AB302" i="1"/>
  <c r="AB111" i="1"/>
  <c r="AB176" i="1"/>
  <c r="AB159" i="1"/>
  <c r="AB310" i="1"/>
  <c r="AB311" i="1"/>
  <c r="AB224" i="1"/>
  <c r="AB303" i="1"/>
  <c r="AC149" i="1"/>
  <c r="AB341" i="1"/>
  <c r="AB344" i="1"/>
  <c r="AC307" i="1"/>
  <c r="AB342" i="1"/>
  <c r="AC354" i="1"/>
  <c r="AB260" i="1"/>
  <c r="AC253" i="1"/>
  <c r="AB268" i="1"/>
  <c r="AB85" i="1"/>
  <c r="AC353" i="1"/>
  <c r="AB232" i="1"/>
  <c r="AB254" i="1"/>
  <c r="AC110" i="1"/>
  <c r="AC122" i="1"/>
  <c r="AB92" i="1"/>
  <c r="AB352" i="1"/>
  <c r="AB23" i="1"/>
  <c r="AB233" i="1"/>
  <c r="AI60" i="8"/>
  <c r="B60" i="11" s="1"/>
  <c r="X125" i="8"/>
  <c r="AI44" i="8"/>
  <c r="B44" i="11" s="1"/>
  <c r="X109" i="8"/>
  <c r="AI45" i="8"/>
  <c r="B45" i="11" s="1"/>
  <c r="X110" i="8"/>
  <c r="AI51" i="8"/>
  <c r="B51" i="11" s="1"/>
  <c r="X116" i="8"/>
  <c r="AI46" i="8"/>
  <c r="B46" i="11" s="1"/>
  <c r="X111" i="8"/>
  <c r="AI55" i="8"/>
  <c r="B55" i="11" s="1"/>
  <c r="X120" i="8"/>
  <c r="AI62" i="8"/>
  <c r="B62" i="11" s="1"/>
  <c r="X127" i="8"/>
  <c r="AI52" i="8"/>
  <c r="B52" i="11" s="1"/>
  <c r="X117" i="8"/>
  <c r="AI61" i="8"/>
  <c r="B61" i="11" s="1"/>
  <c r="X126" i="8"/>
  <c r="N129" i="8"/>
  <c r="AI56" i="8"/>
  <c r="B56" i="11" s="1"/>
  <c r="X121" i="8"/>
  <c r="AI57" i="8"/>
  <c r="B57" i="11" s="1"/>
  <c r="X122" i="8"/>
  <c r="AI58" i="8"/>
  <c r="B58" i="11" s="1"/>
  <c r="X123" i="8"/>
  <c r="AI49" i="8"/>
  <c r="B49" i="11" s="1"/>
  <c r="X114" i="8"/>
  <c r="AI42" i="8"/>
  <c r="B42" i="11" s="1"/>
  <c r="X107" i="8"/>
  <c r="AI47" i="8"/>
  <c r="B47" i="11" s="1"/>
  <c r="X112" i="8"/>
  <c r="AI54" i="8"/>
  <c r="B54" i="11" s="1"/>
  <c r="X119" i="8"/>
  <c r="AI48" i="8"/>
  <c r="B48" i="11" s="1"/>
  <c r="X113" i="8"/>
  <c r="AI53" i="8"/>
  <c r="B53" i="11" s="1"/>
  <c r="X118" i="8"/>
  <c r="AI40" i="8"/>
  <c r="B40" i="11" s="1"/>
  <c r="X105" i="8"/>
  <c r="AI43" i="8"/>
  <c r="B43" i="11" s="1"/>
  <c r="X108" i="8"/>
  <c r="AI50" i="8"/>
  <c r="B50" i="11" s="1"/>
  <c r="X115" i="8"/>
  <c r="X104" i="8"/>
  <c r="AI39" i="8"/>
  <c r="X64" i="8"/>
  <c r="AB65" i="8" s="1"/>
  <c r="AI59" i="8"/>
  <c r="B59" i="11" s="1"/>
  <c r="X124" i="8"/>
  <c r="AB96" i="1"/>
  <c r="AB165" i="1"/>
  <c r="AH355" i="1"/>
  <c r="AA355" i="1"/>
  <c r="AH356" i="1"/>
  <c r="AH60" i="1"/>
  <c r="W14" i="8"/>
  <c r="M79" i="8"/>
  <c r="M33" i="8"/>
  <c r="W8" i="8"/>
  <c r="M73" i="8"/>
  <c r="W13" i="8"/>
  <c r="M78" i="8"/>
  <c r="W11" i="8"/>
  <c r="M76" i="8"/>
  <c r="M93" i="8"/>
  <c r="W28" i="8"/>
  <c r="W17" i="8"/>
  <c r="M82" i="8"/>
  <c r="W15" i="8"/>
  <c r="M80" i="8"/>
  <c r="M83" i="8"/>
  <c r="W18" i="8"/>
  <c r="M85" i="8"/>
  <c r="W20" i="8"/>
  <c r="M95" i="8"/>
  <c r="W30" i="8"/>
  <c r="M75" i="8"/>
  <c r="W10" i="8"/>
  <c r="W12" i="8"/>
  <c r="M77" i="8"/>
  <c r="W29" i="8"/>
  <c r="M94" i="8"/>
  <c r="M86" i="8"/>
  <c r="W21" i="8"/>
  <c r="W24" i="8"/>
  <c r="M89" i="8"/>
  <c r="W19" i="8"/>
  <c r="M84" i="8"/>
  <c r="W23" i="8"/>
  <c r="M88" i="8"/>
  <c r="W26" i="8"/>
  <c r="M91" i="8"/>
  <c r="W22" i="8"/>
  <c r="M87" i="8"/>
  <c r="M90" i="8"/>
  <c r="W25" i="8"/>
  <c r="M92" i="8"/>
  <c r="W27" i="8"/>
  <c r="M81" i="8"/>
  <c r="W16" i="8"/>
  <c r="M74" i="8"/>
  <c r="W9" i="8"/>
  <c r="AB306" i="1"/>
  <c r="AI216" i="1"/>
  <c r="AD216" i="1" s="1"/>
  <c r="AI212" i="1"/>
  <c r="AD212" i="1" s="1"/>
  <c r="AI213" i="1"/>
  <c r="AD213" i="1" s="1"/>
  <c r="AI209" i="1"/>
  <c r="AD209" i="1" s="1"/>
  <c r="AI266" i="1"/>
  <c r="AD266" i="1" s="1"/>
  <c r="AI272" i="1"/>
  <c r="AD272" i="1" s="1"/>
  <c r="AI271" i="1"/>
  <c r="AD271" i="1" s="1"/>
  <c r="AI220" i="1"/>
  <c r="AD220" i="1" s="1"/>
  <c r="AI215" i="1"/>
  <c r="AD215" i="1" s="1"/>
  <c r="AI250" i="1"/>
  <c r="AD250" i="1" s="1"/>
  <c r="AI289" i="1"/>
  <c r="AD289" i="1" s="1"/>
  <c r="AI273" i="1"/>
  <c r="AD273" i="1" s="1"/>
  <c r="AI337" i="1"/>
  <c r="AD337" i="1" s="1"/>
  <c r="AI239" i="1"/>
  <c r="AD239" i="1" s="1"/>
  <c r="AI244" i="1"/>
  <c r="AD244" i="1" s="1"/>
  <c r="AI245" i="1"/>
  <c r="AD245" i="1" s="1"/>
  <c r="AI287" i="1"/>
  <c r="AD287" i="1" s="1"/>
  <c r="AI269" i="1"/>
  <c r="AD269" i="1" s="1"/>
  <c r="AI282" i="1"/>
  <c r="AD282" i="1" s="1"/>
  <c r="AI345" i="1"/>
  <c r="AD345" i="1" s="1"/>
  <c r="AI339" i="1"/>
  <c r="AD339" i="1" s="1"/>
  <c r="AI275" i="1"/>
  <c r="AD275" i="1" s="1"/>
  <c r="AI276" i="1"/>
  <c r="AD276" i="1" s="1"/>
  <c r="AI219" i="1"/>
  <c r="AD219" i="1" s="1"/>
  <c r="AI322" i="1"/>
  <c r="AD322" i="1" s="1"/>
  <c r="AI229" i="1"/>
  <c r="AD229" i="1" s="1"/>
  <c r="AI208" i="1"/>
  <c r="AD208" i="1" s="1"/>
  <c r="AI242" i="1"/>
  <c r="AD242" i="1" s="1"/>
  <c r="AI204" i="1"/>
  <c r="AD204" i="1" s="1"/>
  <c r="AI291" i="1"/>
  <c r="AD291" i="1" s="1"/>
  <c r="AI283" i="1"/>
  <c r="AD283" i="1" s="1"/>
  <c r="AI256" i="1"/>
  <c r="AD256" i="1" s="1"/>
  <c r="AI218" i="1"/>
  <c r="AD218" i="1" s="1"/>
  <c r="AI228" i="1"/>
  <c r="AD228" i="1" s="1"/>
  <c r="AI214" i="1"/>
  <c r="AD214" i="1" s="1"/>
  <c r="AI243" i="1"/>
  <c r="AD243" i="1" s="1"/>
  <c r="AI264" i="1"/>
  <c r="AD264" i="1" s="1"/>
  <c r="AI319" i="1"/>
  <c r="AD319" i="1" s="1"/>
  <c r="AI313" i="1"/>
  <c r="AD313" i="1" s="1"/>
  <c r="AI312" i="1"/>
  <c r="AD312" i="1" s="1"/>
  <c r="AI267" i="1"/>
  <c r="AD267" i="1" s="1"/>
  <c r="AA282" i="1"/>
  <c r="AH256" i="1"/>
  <c r="AH282" i="1"/>
  <c r="AA256" i="1"/>
  <c r="AH289" i="1"/>
  <c r="AA289" i="1"/>
  <c r="AH273" i="1"/>
  <c r="AA273" i="1"/>
  <c r="AH345" i="1"/>
  <c r="AA345" i="1"/>
  <c r="AA337" i="1"/>
  <c r="AH337" i="1"/>
  <c r="AA322" i="1"/>
  <c r="AH322" i="1"/>
  <c r="AA313" i="1"/>
  <c r="AH313" i="1"/>
  <c r="AH339" i="1"/>
  <c r="AA339" i="1"/>
  <c r="AA319" i="1"/>
  <c r="AH319" i="1"/>
  <c r="AH312" i="1"/>
  <c r="AA312" i="1"/>
  <c r="AH267" i="1"/>
  <c r="AA267" i="1"/>
  <c r="AA208" i="1"/>
  <c r="AH208" i="1"/>
  <c r="AH239" i="1"/>
  <c r="AA239" i="1"/>
  <c r="AH209" i="1"/>
  <c r="AA209" i="1"/>
  <c r="AH212" i="1"/>
  <c r="AA212" i="1"/>
  <c r="AH189" i="1"/>
  <c r="AA189" i="1"/>
  <c r="AA266" i="1"/>
  <c r="AH266" i="1"/>
  <c r="AH213" i="1"/>
  <c r="AA213" i="1"/>
  <c r="AA60" i="1"/>
  <c r="W376" i="1"/>
  <c r="P20" i="8"/>
  <c r="P12" i="8"/>
  <c r="P18" i="8"/>
  <c r="P9" i="8"/>
  <c r="P15" i="8"/>
  <c r="P17" i="8"/>
  <c r="P22" i="8"/>
  <c r="P19" i="8"/>
  <c r="P25" i="8"/>
  <c r="P27" i="8"/>
  <c r="P8" i="8"/>
  <c r="P13" i="8"/>
  <c r="P28" i="8"/>
  <c r="P30" i="8"/>
  <c r="P31" i="8"/>
  <c r="P14" i="8"/>
  <c r="P29" i="8"/>
  <c r="P21" i="8"/>
  <c r="P16" i="8"/>
  <c r="P26" i="8"/>
  <c r="P11" i="8"/>
  <c r="P24" i="8"/>
  <c r="P23" i="8"/>
  <c r="AH220" i="1"/>
  <c r="AA220" i="1"/>
  <c r="AA264" i="1"/>
  <c r="AH264" i="1"/>
  <c r="AA179" i="1"/>
  <c r="AH179" i="1"/>
  <c r="AA242" i="1"/>
  <c r="AH242" i="1"/>
  <c r="AH203" i="1"/>
  <c r="AA203" i="1"/>
  <c r="AA184" i="1"/>
  <c r="AH184" i="1"/>
  <c r="AI189" i="1"/>
  <c r="AD189" i="1" s="1"/>
  <c r="AH185" i="1"/>
  <c r="AA185" i="1"/>
  <c r="AA272" i="1"/>
  <c r="AH272" i="1"/>
  <c r="AI188" i="1"/>
  <c r="AD188" i="1" s="1"/>
  <c r="AA215" i="1"/>
  <c r="AH215" i="1"/>
  <c r="AH219" i="1"/>
  <c r="AA219" i="1"/>
  <c r="H73" i="8"/>
  <c r="H98" i="8" s="1"/>
  <c r="H33" i="8"/>
  <c r="AH216" i="1"/>
  <c r="AA216" i="1"/>
  <c r="AH291" i="1"/>
  <c r="AA291" i="1"/>
  <c r="X20" i="1"/>
  <c r="AA245" i="1"/>
  <c r="AH245" i="1"/>
  <c r="AA250" i="1"/>
  <c r="AH250" i="1"/>
  <c r="AA218" i="1"/>
  <c r="AH218" i="1"/>
  <c r="BE11" i="1"/>
  <c r="BE12" i="1" s="1"/>
  <c r="I8" i="8"/>
  <c r="W11" i="1"/>
  <c r="AH228" i="1"/>
  <c r="AA228" i="1"/>
  <c r="AA151" i="1"/>
  <c r="AH151" i="1"/>
  <c r="AA214" i="1"/>
  <c r="AH214" i="1"/>
  <c r="AI185" i="1"/>
  <c r="AD185" i="1" s="1"/>
  <c r="AH271" i="1"/>
  <c r="AA271" i="1"/>
  <c r="AA243" i="1"/>
  <c r="AH243" i="1"/>
  <c r="AH269" i="1"/>
  <c r="AA269" i="1"/>
  <c r="AH276" i="1"/>
  <c r="AA276" i="1"/>
  <c r="AA204" i="1"/>
  <c r="AH204" i="1"/>
  <c r="AA283" i="1"/>
  <c r="AH283" i="1"/>
  <c r="AH244" i="1"/>
  <c r="AA244" i="1"/>
  <c r="AA229" i="1"/>
  <c r="AH229" i="1"/>
  <c r="AA287" i="1"/>
  <c r="AH287" i="1"/>
  <c r="AH158" i="1"/>
  <c r="AA158" i="1"/>
  <c r="AH275" i="1"/>
  <c r="AA275" i="1"/>
  <c r="AH188" i="1"/>
  <c r="AA188" i="1"/>
  <c r="Y96" i="8"/>
  <c r="AJ31" i="8"/>
  <c r="C31" i="11" s="1"/>
  <c r="J31" i="11" s="1"/>
  <c r="Y90" i="8"/>
  <c r="AJ25" i="8"/>
  <c r="C25" i="11" s="1"/>
  <c r="J25" i="11" s="1"/>
  <c r="Y76" i="8"/>
  <c r="AJ11" i="8"/>
  <c r="C11" i="11" s="1"/>
  <c r="J11" i="11" s="1"/>
  <c r="AG24" i="8"/>
  <c r="C22" i="10" s="1"/>
  <c r="V89" i="8"/>
  <c r="V83" i="8"/>
  <c r="AG18" i="8"/>
  <c r="C16" i="10" s="1"/>
  <c r="AI22" i="8"/>
  <c r="B22" i="11" s="1"/>
  <c r="I22" i="11" s="1"/>
  <c r="X87" i="8"/>
  <c r="X78" i="8"/>
  <c r="AI13" i="8"/>
  <c r="B13" i="11" s="1"/>
  <c r="I13" i="11" s="1"/>
  <c r="C16" i="21"/>
  <c r="Y87" i="8"/>
  <c r="AJ22" i="8"/>
  <c r="C22" i="11" s="1"/>
  <c r="J22" i="11" s="1"/>
  <c r="AJ9" i="8"/>
  <c r="C9" i="11" s="1"/>
  <c r="J9" i="11" s="1"/>
  <c r="Y74" i="8"/>
  <c r="V33" i="8"/>
  <c r="V73" i="8"/>
  <c r="AG8" i="8"/>
  <c r="L40" i="8"/>
  <c r="L52" i="8"/>
  <c r="L61" i="8"/>
  <c r="L50" i="8"/>
  <c r="L43" i="8"/>
  <c r="L49" i="8"/>
  <c r="L56" i="8"/>
  <c r="L42" i="8"/>
  <c r="L47" i="8"/>
  <c r="L41" i="8"/>
  <c r="L46" i="8"/>
  <c r="L59" i="8"/>
  <c r="L58" i="8"/>
  <c r="L54" i="8"/>
  <c r="L55" i="8"/>
  <c r="L60" i="8"/>
  <c r="L51" i="8"/>
  <c r="L45" i="8"/>
  <c r="L48" i="8"/>
  <c r="L53" i="8"/>
  <c r="L44" i="8"/>
  <c r="L39" i="8"/>
  <c r="L57" i="8"/>
  <c r="AJ19" i="8"/>
  <c r="C19" i="11" s="1"/>
  <c r="J19" i="11" s="1"/>
  <c r="Y84" i="8"/>
  <c r="AJ16" i="8"/>
  <c r="C16" i="11" s="1"/>
  <c r="J16" i="11" s="1"/>
  <c r="Y81" i="8"/>
  <c r="Y33" i="8"/>
  <c r="Y73" i="8"/>
  <c r="AJ8" i="8"/>
  <c r="V76" i="8"/>
  <c r="AG11" i="8"/>
  <c r="C9" i="10" s="1"/>
  <c r="AG23" i="8"/>
  <c r="C21" i="10" s="1"/>
  <c r="V88" i="8"/>
  <c r="V78" i="8"/>
  <c r="AG13" i="8"/>
  <c r="C11" i="10" s="1"/>
  <c r="X83" i="8"/>
  <c r="AI18" i="8"/>
  <c r="B18" i="11" s="1"/>
  <c r="I18" i="11" s="1"/>
  <c r="X74" i="8"/>
  <c r="AI9" i="8"/>
  <c r="B9" i="11" s="1"/>
  <c r="I9" i="11" s="1"/>
  <c r="X79" i="8"/>
  <c r="AI14" i="8"/>
  <c r="B14" i="11" s="1"/>
  <c r="I14" i="11" s="1"/>
  <c r="X90" i="8"/>
  <c r="AI25" i="8"/>
  <c r="B25" i="11" s="1"/>
  <c r="I25" i="11" s="1"/>
  <c r="V92" i="8"/>
  <c r="AG27" i="8"/>
  <c r="C25" i="10" s="1"/>
  <c r="AI27" i="8"/>
  <c r="B27" i="11" s="1"/>
  <c r="I27" i="11" s="1"/>
  <c r="X92" i="8"/>
  <c r="AG19" i="8"/>
  <c r="C17" i="10" s="1"/>
  <c r="V84" i="8"/>
  <c r="AG9" i="8"/>
  <c r="C7" i="10" s="1"/>
  <c r="V74" i="8"/>
  <c r="AJ17" i="8"/>
  <c r="C17" i="11" s="1"/>
  <c r="J17" i="11" s="1"/>
  <c r="Y82" i="8"/>
  <c r="Y83" i="8"/>
  <c r="AJ18" i="8"/>
  <c r="C18" i="11" s="1"/>
  <c r="J18" i="11" s="1"/>
  <c r="Y88" i="8"/>
  <c r="AJ23" i="8"/>
  <c r="C23" i="11" s="1"/>
  <c r="J23" i="11" s="1"/>
  <c r="AG10" i="8"/>
  <c r="C8" i="10" s="1"/>
  <c r="V75" i="8"/>
  <c r="AG16" i="8"/>
  <c r="C14" i="10" s="1"/>
  <c r="V81" i="8"/>
  <c r="AG25" i="8"/>
  <c r="C23" i="10" s="1"/>
  <c r="V90" i="8"/>
  <c r="X85" i="8"/>
  <c r="AI20" i="8"/>
  <c r="B20" i="11" s="1"/>
  <c r="I20" i="11" s="1"/>
  <c r="X82" i="8"/>
  <c r="AI17" i="8"/>
  <c r="B17" i="11" s="1"/>
  <c r="I17" i="11" s="1"/>
  <c r="X77" i="8"/>
  <c r="AI12" i="8"/>
  <c r="B12" i="11" s="1"/>
  <c r="I12" i="11" s="1"/>
  <c r="O98" i="8"/>
  <c r="X93" i="8"/>
  <c r="AI28" i="8"/>
  <c r="B28" i="11" s="1"/>
  <c r="I28" i="11" s="1"/>
  <c r="Y86" i="8"/>
  <c r="AJ21" i="8"/>
  <c r="C21" i="11" s="1"/>
  <c r="J21" i="11" s="1"/>
  <c r="Y91" i="8"/>
  <c r="AJ26" i="8"/>
  <c r="C26" i="11" s="1"/>
  <c r="J26" i="11" s="1"/>
  <c r="Y89" i="8"/>
  <c r="AJ24" i="8"/>
  <c r="C24" i="11" s="1"/>
  <c r="J24" i="11" s="1"/>
  <c r="AG15" i="8"/>
  <c r="C13" i="10" s="1"/>
  <c r="V80" i="8"/>
  <c r="AG14" i="8"/>
  <c r="C12" i="10" s="1"/>
  <c r="V79" i="8"/>
  <c r="X89" i="8"/>
  <c r="AI24" i="8"/>
  <c r="B24" i="11" s="1"/>
  <c r="I24" i="11" s="1"/>
  <c r="X73" i="8"/>
  <c r="AI8" i="8"/>
  <c r="X33" i="8"/>
  <c r="AJ13" i="8"/>
  <c r="C13" i="11" s="1"/>
  <c r="J13" i="11" s="1"/>
  <c r="Y78" i="8"/>
  <c r="Y77" i="8"/>
  <c r="AJ12" i="8"/>
  <c r="C12" i="11" s="1"/>
  <c r="J12" i="11" s="1"/>
  <c r="Y92" i="8"/>
  <c r="AJ27" i="8"/>
  <c r="C27" i="11" s="1"/>
  <c r="J27" i="11" s="1"/>
  <c r="AG12" i="8"/>
  <c r="C10" i="10" s="1"/>
  <c r="V77" i="8"/>
  <c r="L98" i="8"/>
  <c r="AJ20" i="8"/>
  <c r="C20" i="11" s="1"/>
  <c r="J20" i="11" s="1"/>
  <c r="Y85" i="8"/>
  <c r="Y94" i="8"/>
  <c r="AJ29" i="8"/>
  <c r="C29" i="11" s="1"/>
  <c r="J29" i="11" s="1"/>
  <c r="AG17" i="8"/>
  <c r="C15" i="10" s="1"/>
  <c r="V82" i="8"/>
  <c r="V93" i="8"/>
  <c r="AG28" i="8"/>
  <c r="C26" i="10" s="1"/>
  <c r="V86" i="8"/>
  <c r="AG21" i="8"/>
  <c r="C19" i="10" s="1"/>
  <c r="X84" i="8"/>
  <c r="AI19" i="8"/>
  <c r="B19" i="11" s="1"/>
  <c r="I19" i="11" s="1"/>
  <c r="X95" i="8"/>
  <c r="AI30" i="8"/>
  <c r="B30" i="11" s="1"/>
  <c r="I30" i="11" s="1"/>
  <c r="X80" i="8"/>
  <c r="AI15" i="8"/>
  <c r="B15" i="11" s="1"/>
  <c r="I15" i="11" s="1"/>
  <c r="X88" i="8"/>
  <c r="AI23" i="8"/>
  <c r="B23" i="11" s="1"/>
  <c r="I23" i="11" s="1"/>
  <c r="X91" i="8"/>
  <c r="AI26" i="8"/>
  <c r="B26" i="11" s="1"/>
  <c r="I26" i="11" s="1"/>
  <c r="X86" i="8"/>
  <c r="AI21" i="8"/>
  <c r="B21" i="11" s="1"/>
  <c r="I21" i="11" s="1"/>
  <c r="N98" i="8"/>
  <c r="X94" i="8"/>
  <c r="AI29" i="8"/>
  <c r="B29" i="11" s="1"/>
  <c r="I29" i="11" s="1"/>
  <c r="V87" i="8"/>
  <c r="AG22" i="8"/>
  <c r="C20" i="10" s="1"/>
  <c r="V94" i="8"/>
  <c r="AG29" i="8"/>
  <c r="C27" i="10" s="1"/>
  <c r="X81" i="8"/>
  <c r="AI16" i="8"/>
  <c r="B16" i="11" s="1"/>
  <c r="I16" i="11" s="1"/>
  <c r="AJ30" i="8"/>
  <c r="C30" i="11" s="1"/>
  <c r="J30" i="11" s="1"/>
  <c r="Y95" i="8"/>
  <c r="Y93" i="8"/>
  <c r="AJ28" i="8"/>
  <c r="C28" i="11" s="1"/>
  <c r="J28" i="11" s="1"/>
  <c r="Y80" i="8"/>
  <c r="AJ15" i="8"/>
  <c r="C15" i="11" s="1"/>
  <c r="J15" i="11" s="1"/>
  <c r="V85" i="8"/>
  <c r="AG20" i="8"/>
  <c r="C18" i="10" s="1"/>
  <c r="AG30" i="8"/>
  <c r="C28" i="10" s="1"/>
  <c r="V95" i="8"/>
  <c r="V91" i="8"/>
  <c r="AG26" i="8"/>
  <c r="C24" i="10" s="1"/>
  <c r="X76" i="8"/>
  <c r="AI11" i="8"/>
  <c r="B11" i="11" s="1"/>
  <c r="I11" i="11" s="1"/>
  <c r="X96" i="8"/>
  <c r="AI31" i="8"/>
  <c r="B31" i="11" s="1"/>
  <c r="I31" i="11" s="1"/>
  <c r="Y79" i="8"/>
  <c r="AJ14" i="8"/>
  <c r="C14" i="11" s="1"/>
  <c r="J14" i="11" s="1"/>
  <c r="W12" i="1" l="1"/>
  <c r="Y11" i="1"/>
  <c r="Y12" i="1" s="1"/>
  <c r="AB199" i="1"/>
  <c r="AB195" i="1"/>
  <c r="AB237" i="1"/>
  <c r="AB288" i="1"/>
  <c r="AB211" i="1"/>
  <c r="AB296" i="1"/>
  <c r="AB110" i="1"/>
  <c r="AB201" i="1"/>
  <c r="AB193" i="1"/>
  <c r="AC359" i="1"/>
  <c r="AC346" i="1"/>
  <c r="AB263" i="1"/>
  <c r="AC186" i="1"/>
  <c r="AB200" i="1"/>
  <c r="AC181" i="1"/>
  <c r="AB196" i="1"/>
  <c r="AC295" i="1"/>
  <c r="AC290" i="1"/>
  <c r="AC286" i="1"/>
  <c r="AB261" i="1"/>
  <c r="AC262" i="1"/>
  <c r="AB253" i="1"/>
  <c r="AC251" i="1"/>
  <c r="AB202" i="1"/>
  <c r="AC238" i="1"/>
  <c r="AC217" i="1"/>
  <c r="AC207" i="1"/>
  <c r="AC206" i="1"/>
  <c r="AC205" i="1"/>
  <c r="AC183" i="1"/>
  <c r="AC162" i="1"/>
  <c r="AB307" i="1"/>
  <c r="AB274" i="1"/>
  <c r="AB210" i="1"/>
  <c r="AB294" i="1"/>
  <c r="AB226" i="1"/>
  <c r="AC225" i="1"/>
  <c r="AB122" i="1"/>
  <c r="AB354" i="1"/>
  <c r="AB353" i="1"/>
  <c r="G50" i="11"/>
  <c r="I50" i="11"/>
  <c r="I40" i="11"/>
  <c r="G40" i="11"/>
  <c r="G48" i="11"/>
  <c r="I48" i="11"/>
  <c r="I47" i="11"/>
  <c r="G47" i="11"/>
  <c r="G49" i="11"/>
  <c r="I49" i="11"/>
  <c r="I57" i="11"/>
  <c r="G57" i="11"/>
  <c r="B39" i="11"/>
  <c r="AI64" i="8"/>
  <c r="B64" i="11" s="1"/>
  <c r="I61" i="11"/>
  <c r="G61" i="11"/>
  <c r="I62" i="11"/>
  <c r="G62" i="11"/>
  <c r="I46" i="11"/>
  <c r="G46" i="11"/>
  <c r="I45" i="11"/>
  <c r="G45" i="11"/>
  <c r="X129" i="8"/>
  <c r="G43" i="11"/>
  <c r="I43" i="11"/>
  <c r="I53" i="11"/>
  <c r="G53" i="11"/>
  <c r="G54" i="11"/>
  <c r="I54" i="11"/>
  <c r="I42" i="11"/>
  <c r="G42" i="11"/>
  <c r="I58" i="11"/>
  <c r="G58" i="11"/>
  <c r="G56" i="11"/>
  <c r="I56" i="11"/>
  <c r="I59" i="11"/>
  <c r="G59" i="11"/>
  <c r="I52" i="11"/>
  <c r="G52" i="11"/>
  <c r="I55" i="11"/>
  <c r="G55" i="11"/>
  <c r="G51" i="11"/>
  <c r="I51" i="11"/>
  <c r="I44" i="11"/>
  <c r="G44" i="11"/>
  <c r="I60" i="11"/>
  <c r="G60" i="11"/>
  <c r="AB299" i="1"/>
  <c r="AB292" i="1"/>
  <c r="AB194" i="1"/>
  <c r="W91" i="8"/>
  <c r="AH26" i="8"/>
  <c r="D24" i="10" s="1"/>
  <c r="W84" i="8"/>
  <c r="AH19" i="8"/>
  <c r="D17" i="10" s="1"/>
  <c r="W77" i="8"/>
  <c r="AH12" i="8"/>
  <c r="D10" i="10" s="1"/>
  <c r="W82" i="8"/>
  <c r="AH17" i="8"/>
  <c r="D15" i="10" s="1"/>
  <c r="AH11" i="8"/>
  <c r="D9" i="10" s="1"/>
  <c r="W76" i="8"/>
  <c r="W33" i="8"/>
  <c r="W34" i="8" s="1"/>
  <c r="W73" i="8"/>
  <c r="AH8" i="8"/>
  <c r="D6" i="10" s="1"/>
  <c r="AH9" i="8"/>
  <c r="D7" i="10" s="1"/>
  <c r="W74" i="8"/>
  <c r="AH27" i="8"/>
  <c r="D25" i="10" s="1"/>
  <c r="W92" i="8"/>
  <c r="AH10" i="8"/>
  <c r="D8" i="10" s="1"/>
  <c r="W75" i="8"/>
  <c r="W85" i="8"/>
  <c r="AH20" i="8"/>
  <c r="D18" i="10" s="1"/>
  <c r="W93" i="8"/>
  <c r="AH28" i="8"/>
  <c r="D26" i="10" s="1"/>
  <c r="W87" i="8"/>
  <c r="AH22" i="8"/>
  <c r="D20" i="10" s="1"/>
  <c r="W88" i="8"/>
  <c r="AH23" i="8"/>
  <c r="D21" i="10" s="1"/>
  <c r="W89" i="8"/>
  <c r="AH24" i="8"/>
  <c r="D22" i="10" s="1"/>
  <c r="W94" i="8"/>
  <c r="AH29" i="8"/>
  <c r="D27" i="10" s="1"/>
  <c r="W80" i="8"/>
  <c r="AH15" i="8"/>
  <c r="D13" i="10" s="1"/>
  <c r="AH13" i="8"/>
  <c r="D11" i="10" s="1"/>
  <c r="W78" i="8"/>
  <c r="W81" i="8"/>
  <c r="AH16" i="8"/>
  <c r="D14" i="10" s="1"/>
  <c r="AH25" i="8"/>
  <c r="D23" i="10" s="1"/>
  <c r="W90" i="8"/>
  <c r="AH21" i="8"/>
  <c r="D19" i="10" s="1"/>
  <c r="W86" i="8"/>
  <c r="AH30" i="8"/>
  <c r="D28" i="10" s="1"/>
  <c r="W95" i="8"/>
  <c r="W83" i="8"/>
  <c r="AH18" i="8"/>
  <c r="D16" i="10" s="1"/>
  <c r="M98" i="8"/>
  <c r="W79" i="8"/>
  <c r="AH14" i="8"/>
  <c r="D12" i="10" s="1"/>
  <c r="P91" i="8"/>
  <c r="Z26" i="8"/>
  <c r="Z14" i="8"/>
  <c r="P79" i="8"/>
  <c r="Z13" i="8"/>
  <c r="P78" i="8"/>
  <c r="P84" i="8"/>
  <c r="Z19" i="8"/>
  <c r="P74" i="8"/>
  <c r="Z9" i="8"/>
  <c r="I73" i="8"/>
  <c r="I98" i="8" s="1"/>
  <c r="I33" i="8"/>
  <c r="Z23" i="8"/>
  <c r="P88" i="8"/>
  <c r="P81" i="8"/>
  <c r="Z16" i="8"/>
  <c r="P96" i="8"/>
  <c r="Z31" i="8"/>
  <c r="P73" i="8"/>
  <c r="Z8" i="8"/>
  <c r="P33" i="8"/>
  <c r="P87" i="8"/>
  <c r="Z22" i="8"/>
  <c r="Z18" i="8"/>
  <c r="P83" i="8"/>
  <c r="Q24" i="8"/>
  <c r="Q20" i="8"/>
  <c r="Q23" i="8"/>
  <c r="Q27" i="8"/>
  <c r="Q21" i="8"/>
  <c r="Q28" i="8"/>
  <c r="Q11" i="8"/>
  <c r="Q15" i="8"/>
  <c r="Q30" i="8"/>
  <c r="Q25" i="8"/>
  <c r="Q31" i="8"/>
  <c r="Q13" i="8"/>
  <c r="Q19" i="8"/>
  <c r="Q8" i="8"/>
  <c r="Q9" i="8"/>
  <c r="Q29" i="8"/>
  <c r="Q16" i="8"/>
  <c r="Q17" i="8"/>
  <c r="Q18" i="8"/>
  <c r="Q14" i="8"/>
  <c r="Q12" i="8"/>
  <c r="Q26" i="8"/>
  <c r="Q22" i="8"/>
  <c r="P89" i="8"/>
  <c r="Z24" i="8"/>
  <c r="Z21" i="8"/>
  <c r="P86" i="8"/>
  <c r="P95" i="8"/>
  <c r="Z30" i="8"/>
  <c r="P92" i="8"/>
  <c r="Z27" i="8"/>
  <c r="P82" i="8"/>
  <c r="Z17" i="8"/>
  <c r="P77" i="8"/>
  <c r="Z12" i="8"/>
  <c r="P76" i="8"/>
  <c r="Z11" i="8"/>
  <c r="P94" i="8"/>
  <c r="Z29" i="8"/>
  <c r="P93" i="8"/>
  <c r="Z28" i="8"/>
  <c r="Z25" i="8"/>
  <c r="P90" i="8"/>
  <c r="Z15" i="8"/>
  <c r="P80" i="8"/>
  <c r="P85" i="8"/>
  <c r="Z20" i="8"/>
  <c r="X98" i="8"/>
  <c r="L109" i="8"/>
  <c r="V44" i="8"/>
  <c r="L116" i="8"/>
  <c r="V51" i="8"/>
  <c r="V58" i="8"/>
  <c r="L123" i="8"/>
  <c r="L112" i="8"/>
  <c r="V47" i="8"/>
  <c r="L108" i="8"/>
  <c r="V43" i="8"/>
  <c r="L105" i="8"/>
  <c r="V40" i="8"/>
  <c r="V98" i="8"/>
  <c r="C8" i="11"/>
  <c r="J8" i="11" s="1"/>
  <c r="AJ33" i="8"/>
  <c r="L118" i="8"/>
  <c r="V53" i="8"/>
  <c r="L125" i="8"/>
  <c r="V60" i="8"/>
  <c r="L124" i="8"/>
  <c r="V59" i="8"/>
  <c r="L107" i="8"/>
  <c r="V42" i="8"/>
  <c r="L115" i="8"/>
  <c r="V50" i="8"/>
  <c r="Y98" i="8"/>
  <c r="L122" i="8"/>
  <c r="V57" i="8"/>
  <c r="L113" i="8"/>
  <c r="V48" i="8"/>
  <c r="L120" i="8"/>
  <c r="V55" i="8"/>
  <c r="L111" i="8"/>
  <c r="V46" i="8"/>
  <c r="L121" i="8"/>
  <c r="V56" i="8"/>
  <c r="L126" i="8"/>
  <c r="V61" i="8"/>
  <c r="AI33" i="8"/>
  <c r="B8" i="11"/>
  <c r="I8" i="11" s="1"/>
  <c r="L64" i="8"/>
  <c r="L104" i="8"/>
  <c r="V39" i="8"/>
  <c r="L110" i="8"/>
  <c r="V45" i="8"/>
  <c r="L119" i="8"/>
  <c r="V54" i="8"/>
  <c r="L106" i="8"/>
  <c r="V41" i="8"/>
  <c r="L114" i="8"/>
  <c r="V49" i="8"/>
  <c r="L117" i="8"/>
  <c r="V52" i="8"/>
  <c r="AG33" i="8"/>
  <c r="C6" i="10"/>
  <c r="W13" i="1" l="1"/>
  <c r="I35" i="8"/>
  <c r="AB217" i="1"/>
  <c r="AB359" i="1"/>
  <c r="AB205" i="1"/>
  <c r="AB290" i="1"/>
  <c r="AB206" i="1"/>
  <c r="AB295" i="1"/>
  <c r="AB225" i="1"/>
  <c r="AB186" i="1"/>
  <c r="AC317" i="1"/>
  <c r="AB317" i="1" s="1"/>
  <c r="AC179" i="1"/>
  <c r="AC184" i="1"/>
  <c r="AC355" i="1"/>
  <c r="AC158" i="1"/>
  <c r="AC356" i="1"/>
  <c r="AC339" i="1"/>
  <c r="AC337" i="1"/>
  <c r="AC345" i="1"/>
  <c r="AC319" i="1"/>
  <c r="AC322" i="1"/>
  <c r="AB181" i="1"/>
  <c r="AC313" i="1"/>
  <c r="AC312" i="1"/>
  <c r="AC289" i="1"/>
  <c r="AC291" i="1"/>
  <c r="AC287" i="1"/>
  <c r="AC282" i="1"/>
  <c r="AC269" i="1"/>
  <c r="AC266" i="1"/>
  <c r="AC276" i="1"/>
  <c r="AC264" i="1"/>
  <c r="AC271" i="1"/>
  <c r="AC267" i="1"/>
  <c r="AC273" i="1"/>
  <c r="AC275" i="1"/>
  <c r="AC256" i="1"/>
  <c r="AC203" i="1"/>
  <c r="AC239" i="1"/>
  <c r="AC244" i="1"/>
  <c r="AC245" i="1"/>
  <c r="AC229" i="1"/>
  <c r="AC243" i="1"/>
  <c r="AC242" i="1"/>
  <c r="AC228" i="1"/>
  <c r="AC219" i="1"/>
  <c r="AC220" i="1"/>
  <c r="AC218" i="1"/>
  <c r="AC204" i="1"/>
  <c r="AC209" i="1"/>
  <c r="AC213" i="1"/>
  <c r="AB183" i="1"/>
  <c r="AB162" i="1"/>
  <c r="AC151" i="1"/>
  <c r="AC323" i="1"/>
  <c r="AC281" i="1"/>
  <c r="AB238" i="1"/>
  <c r="AB262" i="1"/>
  <c r="AC249" i="1"/>
  <c r="AC252" i="1"/>
  <c r="AC270" i="1"/>
  <c r="AC277" i="1"/>
  <c r="AB207" i="1"/>
  <c r="AB286" i="1"/>
  <c r="P60" i="11"/>
  <c r="N60" i="11"/>
  <c r="P44" i="11"/>
  <c r="N44" i="11"/>
  <c r="P52" i="11"/>
  <c r="N52" i="11"/>
  <c r="P59" i="11"/>
  <c r="N59" i="11"/>
  <c r="P42" i="11"/>
  <c r="N42" i="11"/>
  <c r="P46" i="11"/>
  <c r="N46" i="11"/>
  <c r="P51" i="11"/>
  <c r="N51" i="11"/>
  <c r="N56" i="11"/>
  <c r="P56" i="11"/>
  <c r="N58" i="11"/>
  <c r="P58" i="11"/>
  <c r="P43" i="11"/>
  <c r="N43" i="11"/>
  <c r="P45" i="11"/>
  <c r="N45" i="11"/>
  <c r="I39" i="11"/>
  <c r="G39" i="11"/>
  <c r="G64" i="11" s="1"/>
  <c r="N47" i="11"/>
  <c r="P47" i="11"/>
  <c r="P50" i="11"/>
  <c r="N50" i="11"/>
  <c r="P55" i="11"/>
  <c r="N55" i="11"/>
  <c r="P53" i="11"/>
  <c r="N53" i="11"/>
  <c r="N61" i="11"/>
  <c r="P61" i="11"/>
  <c r="P49" i="11"/>
  <c r="N49" i="11"/>
  <c r="P54" i="11"/>
  <c r="N54" i="11"/>
  <c r="P62" i="11"/>
  <c r="N62" i="11"/>
  <c r="P57" i="11"/>
  <c r="N57" i="11"/>
  <c r="P48" i="11"/>
  <c r="N48" i="11"/>
  <c r="P40" i="11"/>
  <c r="N40" i="11"/>
  <c r="AB251" i="1"/>
  <c r="W98" i="8"/>
  <c r="AH33" i="8"/>
  <c r="D31" i="10" s="1"/>
  <c r="Z85" i="8"/>
  <c r="AK20" i="8"/>
  <c r="D20" i="11" s="1"/>
  <c r="K20" i="11" s="1"/>
  <c r="Z94" i="8"/>
  <c r="AK29" i="8"/>
  <c r="D29" i="11" s="1"/>
  <c r="K29" i="11" s="1"/>
  <c r="AK21" i="8"/>
  <c r="D21" i="11" s="1"/>
  <c r="K21" i="11" s="1"/>
  <c r="Z86" i="8"/>
  <c r="Q77" i="8"/>
  <c r="AA12" i="8"/>
  <c r="Q81" i="8"/>
  <c r="AA16" i="8"/>
  <c r="AA19" i="8"/>
  <c r="Q84" i="8"/>
  <c r="AA30" i="8"/>
  <c r="Q95" i="8"/>
  <c r="Q86" i="8"/>
  <c r="AA21" i="8"/>
  <c r="AA24" i="8"/>
  <c r="Q89" i="8"/>
  <c r="AK23" i="8"/>
  <c r="D23" i="11" s="1"/>
  <c r="K23" i="11" s="1"/>
  <c r="Z88" i="8"/>
  <c r="Z79" i="8"/>
  <c r="AK14" i="8"/>
  <c r="D14" i="11" s="1"/>
  <c r="K14" i="11" s="1"/>
  <c r="Z90" i="8"/>
  <c r="AK25" i="8"/>
  <c r="D25" i="11" s="1"/>
  <c r="K25" i="11" s="1"/>
  <c r="Z82" i="8"/>
  <c r="AK17" i="8"/>
  <c r="D17" i="11" s="1"/>
  <c r="K17" i="11" s="1"/>
  <c r="Z95" i="8"/>
  <c r="AK30" i="8"/>
  <c r="D30" i="11" s="1"/>
  <c r="K30" i="11" s="1"/>
  <c r="AK24" i="8"/>
  <c r="D24" i="11" s="1"/>
  <c r="K24" i="11" s="1"/>
  <c r="Z89" i="8"/>
  <c r="Q79" i="8"/>
  <c r="AA14" i="8"/>
  <c r="AA29" i="8"/>
  <c r="Q94" i="8"/>
  <c r="Q78" i="8"/>
  <c r="AA13" i="8"/>
  <c r="Q80" i="8"/>
  <c r="AA15" i="8"/>
  <c r="AA27" i="8"/>
  <c r="Q92" i="8"/>
  <c r="AK18" i="8"/>
  <c r="D18" i="11" s="1"/>
  <c r="K18" i="11" s="1"/>
  <c r="Z83" i="8"/>
  <c r="Z73" i="8"/>
  <c r="AK8" i="8"/>
  <c r="Z33" i="8"/>
  <c r="AK16" i="8"/>
  <c r="D16" i="11" s="1"/>
  <c r="K16" i="11" s="1"/>
  <c r="Z81" i="8"/>
  <c r="AK9" i="8"/>
  <c r="D9" i="11" s="1"/>
  <c r="K9" i="11" s="1"/>
  <c r="Z74" i="8"/>
  <c r="Z91" i="8"/>
  <c r="AK26" i="8"/>
  <c r="D26" i="11" s="1"/>
  <c r="K26" i="11" s="1"/>
  <c r="AC60" i="1"/>
  <c r="AB60" i="1" s="1"/>
  <c r="AK28" i="8"/>
  <c r="D28" i="11" s="1"/>
  <c r="K28" i="11" s="1"/>
  <c r="Z93" i="8"/>
  <c r="Z76" i="8"/>
  <c r="AK11" i="8"/>
  <c r="D11" i="11" s="1"/>
  <c r="K11" i="11" s="1"/>
  <c r="AA22" i="8"/>
  <c r="Q87" i="8"/>
  <c r="AA18" i="8"/>
  <c r="Q83" i="8"/>
  <c r="Q74" i="8"/>
  <c r="AA9" i="8"/>
  <c r="Q96" i="8"/>
  <c r="AA31" i="8"/>
  <c r="Q76" i="8"/>
  <c r="AA11" i="8"/>
  <c r="AA23" i="8"/>
  <c r="Q88" i="8"/>
  <c r="AK22" i="8"/>
  <c r="D22" i="11" s="1"/>
  <c r="K22" i="11" s="1"/>
  <c r="Z87" i="8"/>
  <c r="P98" i="8"/>
  <c r="R18" i="8"/>
  <c r="R19" i="8"/>
  <c r="R20" i="8"/>
  <c r="R8" i="8"/>
  <c r="R25" i="8"/>
  <c r="R21" i="8"/>
  <c r="R13" i="8"/>
  <c r="R30" i="8"/>
  <c r="R14" i="8"/>
  <c r="R16" i="8"/>
  <c r="R29" i="8"/>
  <c r="I34" i="8"/>
  <c r="R15" i="8"/>
  <c r="R11" i="8"/>
  <c r="R27" i="8"/>
  <c r="R22" i="8"/>
  <c r="R24" i="8"/>
  <c r="R26" i="8"/>
  <c r="R31" i="8"/>
  <c r="R17" i="8"/>
  <c r="R28" i="8"/>
  <c r="R23" i="8"/>
  <c r="R12" i="8"/>
  <c r="R9" i="8"/>
  <c r="Z78" i="8"/>
  <c r="AK13" i="8"/>
  <c r="D13" i="11" s="1"/>
  <c r="K13" i="11" s="1"/>
  <c r="AK15" i="8"/>
  <c r="D15" i="11" s="1"/>
  <c r="K15" i="11" s="1"/>
  <c r="Z80" i="8"/>
  <c r="Z77" i="8"/>
  <c r="AK12" i="8"/>
  <c r="D12" i="11" s="1"/>
  <c r="K12" i="11" s="1"/>
  <c r="AK27" i="8"/>
  <c r="D27" i="11" s="1"/>
  <c r="K27" i="11" s="1"/>
  <c r="Z92" i="8"/>
  <c r="Q91" i="8"/>
  <c r="AA26" i="8"/>
  <c r="Q82" i="8"/>
  <c r="AA17" i="8"/>
  <c r="Q73" i="8"/>
  <c r="AA8" i="8"/>
  <c r="Q33" i="8"/>
  <c r="Q90" i="8"/>
  <c r="AA25" i="8"/>
  <c r="AA28" i="8"/>
  <c r="Q93" i="8"/>
  <c r="AA20" i="8"/>
  <c r="Q85" i="8"/>
  <c r="AK31" i="8"/>
  <c r="D31" i="11" s="1"/>
  <c r="K31" i="11" s="1"/>
  <c r="Z96" i="8"/>
  <c r="Z84" i="8"/>
  <c r="AK19" i="8"/>
  <c r="D19" i="11" s="1"/>
  <c r="K19" i="11" s="1"/>
  <c r="Q31" i="11"/>
  <c r="V119" i="8"/>
  <c r="AG54" i="8"/>
  <c r="C52" i="10" s="1"/>
  <c r="V64" i="8"/>
  <c r="V104" i="8"/>
  <c r="AG39" i="8"/>
  <c r="C31" i="10"/>
  <c r="L129" i="8"/>
  <c r="P25" i="11"/>
  <c r="Q21" i="11"/>
  <c r="Q24" i="11"/>
  <c r="P29" i="11"/>
  <c r="Q9" i="11"/>
  <c r="AG56" i="8"/>
  <c r="C54" i="10" s="1"/>
  <c r="V121" i="8"/>
  <c r="V120" i="8"/>
  <c r="AG55" i="8"/>
  <c r="C53" i="10" s="1"/>
  <c r="V122" i="8"/>
  <c r="AG57" i="8"/>
  <c r="C55" i="10" s="1"/>
  <c r="P19" i="11"/>
  <c r="P26" i="11"/>
  <c r="Q16" i="11"/>
  <c r="P27" i="11"/>
  <c r="P20" i="11"/>
  <c r="P12" i="11"/>
  <c r="Q15" i="11"/>
  <c r="Q20" i="11"/>
  <c r="Q19" i="11"/>
  <c r="P9" i="11"/>
  <c r="P15" i="11"/>
  <c r="P31" i="11"/>
  <c r="Q14" i="11"/>
  <c r="Q25" i="11"/>
  <c r="AG50" i="8"/>
  <c r="C48" i="10" s="1"/>
  <c r="V115" i="8"/>
  <c r="V124" i="8"/>
  <c r="AG59" i="8"/>
  <c r="C57" i="10" s="1"/>
  <c r="AG53" i="8"/>
  <c r="C51" i="10" s="1"/>
  <c r="V118" i="8"/>
  <c r="P14" i="11"/>
  <c r="V108" i="8"/>
  <c r="AG43" i="8"/>
  <c r="C41" i="10" s="1"/>
  <c r="V109" i="8"/>
  <c r="AG44" i="8"/>
  <c r="C42" i="10" s="1"/>
  <c r="Q27" i="11"/>
  <c r="Q29" i="11"/>
  <c r="P16" i="11"/>
  <c r="Q28" i="11"/>
  <c r="Q22" i="11"/>
  <c r="AG52" i="8"/>
  <c r="C50" i="10" s="1"/>
  <c r="V117" i="8"/>
  <c r="V106" i="8"/>
  <c r="AG41" i="8"/>
  <c r="C39" i="10" s="1"/>
  <c r="AG45" i="8"/>
  <c r="C43" i="10" s="1"/>
  <c r="V110" i="8"/>
  <c r="Q11" i="11"/>
  <c r="P13" i="11"/>
  <c r="B33" i="11"/>
  <c r="P22" i="11"/>
  <c r="V126" i="8"/>
  <c r="AG61" i="8"/>
  <c r="C59" i="10" s="1"/>
  <c r="V111" i="8"/>
  <c r="AG46" i="8"/>
  <c r="C44" i="10" s="1"/>
  <c r="AG48" i="8"/>
  <c r="C46" i="10" s="1"/>
  <c r="V113" i="8"/>
  <c r="Q23" i="11"/>
  <c r="P17" i="11"/>
  <c r="Q12" i="11"/>
  <c r="C33" i="11"/>
  <c r="Q26" i="11"/>
  <c r="P24" i="11"/>
  <c r="Q13" i="11"/>
  <c r="Q30" i="11"/>
  <c r="V123" i="8"/>
  <c r="AG58" i="8"/>
  <c r="C56" i="10" s="1"/>
  <c r="Q18" i="11"/>
  <c r="P21" i="11"/>
  <c r="V114" i="8"/>
  <c r="AG49" i="8"/>
  <c r="C47" i="10" s="1"/>
  <c r="Q17" i="11"/>
  <c r="P28" i="11"/>
  <c r="V107" i="8"/>
  <c r="AG42" i="8"/>
  <c r="C40" i="10" s="1"/>
  <c r="AG60" i="8"/>
  <c r="C58" i="10" s="1"/>
  <c r="V125" i="8"/>
  <c r="P18" i="11"/>
  <c r="AG40" i="8"/>
  <c r="C38" i="10" s="1"/>
  <c r="V105" i="8"/>
  <c r="V112" i="8"/>
  <c r="AG47" i="8"/>
  <c r="C45" i="10" s="1"/>
  <c r="V116" i="8"/>
  <c r="AG51" i="8"/>
  <c r="C49" i="10" s="1"/>
  <c r="P30" i="11"/>
  <c r="P23" i="11"/>
  <c r="P11" i="11"/>
  <c r="AB355" i="1" l="1"/>
  <c r="AB356" i="1"/>
  <c r="AB276" i="1"/>
  <c r="AB179" i="1"/>
  <c r="AB242" i="1"/>
  <c r="AB313" i="1"/>
  <c r="AB345" i="1"/>
  <c r="AB158" i="1"/>
  <c r="AB184" i="1"/>
  <c r="AB203" i="1"/>
  <c r="AB270" i="1"/>
  <c r="AB249" i="1"/>
  <c r="AB323" i="1"/>
  <c r="AB151" i="1"/>
  <c r="AC216" i="1"/>
  <c r="AB216" i="1" s="1"/>
  <c r="AB281" i="1"/>
  <c r="AB277" i="1"/>
  <c r="AC283" i="1"/>
  <c r="AB283" i="1" s="1"/>
  <c r="AC214" i="1"/>
  <c r="AB214" i="1" s="1"/>
  <c r="AC212" i="1"/>
  <c r="AB212" i="1" s="1"/>
  <c r="AC215" i="1"/>
  <c r="AB215" i="1" s="1"/>
  <c r="AB282" i="1"/>
  <c r="AB337" i="1"/>
  <c r="AB252" i="1"/>
  <c r="AC188" i="1"/>
  <c r="AB188" i="1" s="1"/>
  <c r="AB218" i="1"/>
  <c r="AC250" i="1"/>
  <c r="AB322" i="1"/>
  <c r="AB228" i="1"/>
  <c r="AB312" i="1"/>
  <c r="AB275" i="1"/>
  <c r="AB256" i="1"/>
  <c r="AB219" i="1"/>
  <c r="AB266" i="1"/>
  <c r="AB267" i="1"/>
  <c r="AB243" i="1"/>
  <c r="AB264" i="1"/>
  <c r="AB213" i="1"/>
  <c r="AC208" i="1"/>
  <c r="AB245" i="1"/>
  <c r="AB229" i="1"/>
  <c r="AB244" i="1"/>
  <c r="AB239" i="1"/>
  <c r="AB204" i="1"/>
  <c r="AC185" i="1"/>
  <c r="AB185" i="1" s="1"/>
  <c r="AC189" i="1"/>
  <c r="AB189" i="1" s="1"/>
  <c r="AB339" i="1"/>
  <c r="AC272" i="1"/>
  <c r="AB319" i="1"/>
  <c r="AB289" i="1"/>
  <c r="AB269" i="1"/>
  <c r="AB209" i="1"/>
  <c r="AB287" i="1"/>
  <c r="AB220" i="1"/>
  <c r="AB273" i="1"/>
  <c r="AB271" i="1"/>
  <c r="U40" i="11"/>
  <c r="U57" i="11"/>
  <c r="U62" i="11"/>
  <c r="U54" i="11"/>
  <c r="U49" i="11"/>
  <c r="U55" i="11"/>
  <c r="P39" i="11"/>
  <c r="I64" i="11"/>
  <c r="N39" i="11"/>
  <c r="N64" i="11" s="1"/>
  <c r="U56" i="11"/>
  <c r="U61" i="11"/>
  <c r="U45" i="11"/>
  <c r="U59" i="11"/>
  <c r="U44" i="11"/>
  <c r="U48" i="11"/>
  <c r="U53" i="11"/>
  <c r="U50" i="11"/>
  <c r="U58" i="11"/>
  <c r="U47" i="11"/>
  <c r="U43" i="11"/>
  <c r="U51" i="11"/>
  <c r="U46" i="11"/>
  <c r="U42" i="11"/>
  <c r="U52" i="11"/>
  <c r="U60" i="11"/>
  <c r="AL25" i="8"/>
  <c r="E25" i="11" s="1"/>
  <c r="L25" i="11" s="1"/>
  <c r="AA90" i="8"/>
  <c r="Q98" i="8"/>
  <c r="AB28" i="8"/>
  <c r="R93" i="8"/>
  <c r="R89" i="8"/>
  <c r="AB24" i="8"/>
  <c r="R80" i="8"/>
  <c r="AB15" i="8"/>
  <c r="R79" i="8"/>
  <c r="AB14" i="8"/>
  <c r="R90" i="8"/>
  <c r="AB25" i="8"/>
  <c r="R83" i="8"/>
  <c r="AB18" i="8"/>
  <c r="AA88" i="8"/>
  <c r="AL23" i="8"/>
  <c r="E23" i="11" s="1"/>
  <c r="L23" i="11" s="1"/>
  <c r="AA83" i="8"/>
  <c r="AL18" i="8"/>
  <c r="E18" i="11" s="1"/>
  <c r="L18" i="11" s="1"/>
  <c r="AA85" i="8"/>
  <c r="AL20" i="8"/>
  <c r="E20" i="11" s="1"/>
  <c r="L20" i="11" s="1"/>
  <c r="AA82" i="8"/>
  <c r="AL17" i="8"/>
  <c r="E17" i="11" s="1"/>
  <c r="L17" i="11" s="1"/>
  <c r="AB9" i="8"/>
  <c r="R74" i="8"/>
  <c r="AB17" i="8"/>
  <c r="R82" i="8"/>
  <c r="R87" i="8"/>
  <c r="AB22" i="8"/>
  <c r="R95" i="8"/>
  <c r="AB30" i="8"/>
  <c r="AB8" i="8"/>
  <c r="R73" i="8"/>
  <c r="R33" i="8"/>
  <c r="AC35" i="8" s="1"/>
  <c r="AA76" i="8"/>
  <c r="AL11" i="8"/>
  <c r="E11" i="11" s="1"/>
  <c r="L11" i="11" s="1"/>
  <c r="AL9" i="8"/>
  <c r="E9" i="11" s="1"/>
  <c r="L9" i="11" s="1"/>
  <c r="AA74" i="8"/>
  <c r="AK33" i="8"/>
  <c r="D8" i="11"/>
  <c r="K8" i="11" s="1"/>
  <c r="AA80" i="8"/>
  <c r="AL15" i="8"/>
  <c r="E15" i="11" s="1"/>
  <c r="L15" i="11" s="1"/>
  <c r="AA81" i="8"/>
  <c r="AL16" i="8"/>
  <c r="E16" i="11" s="1"/>
  <c r="L16" i="11" s="1"/>
  <c r="AB12" i="8"/>
  <c r="R77" i="8"/>
  <c r="AB31" i="8"/>
  <c r="R96" i="8"/>
  <c r="R92" i="8"/>
  <c r="AB27" i="8"/>
  <c r="R94" i="8"/>
  <c r="AB29" i="8"/>
  <c r="R78" i="8"/>
  <c r="AB13" i="8"/>
  <c r="R85" i="8"/>
  <c r="AB20" i="8"/>
  <c r="AL22" i="8"/>
  <c r="E22" i="11" s="1"/>
  <c r="L22" i="11" s="1"/>
  <c r="AA87" i="8"/>
  <c r="Z98" i="8"/>
  <c r="AL29" i="8"/>
  <c r="E29" i="11" s="1"/>
  <c r="L29" i="11" s="1"/>
  <c r="AA94" i="8"/>
  <c r="AA89" i="8"/>
  <c r="AL24" i="8"/>
  <c r="E24" i="11" s="1"/>
  <c r="L24" i="11" s="1"/>
  <c r="AL30" i="8"/>
  <c r="E30" i="11" s="1"/>
  <c r="L30" i="11" s="1"/>
  <c r="AA95" i="8"/>
  <c r="AA93" i="8"/>
  <c r="AL28" i="8"/>
  <c r="E28" i="11" s="1"/>
  <c r="L28" i="11" s="1"/>
  <c r="AA33" i="8"/>
  <c r="AA73" i="8"/>
  <c r="AL8" i="8"/>
  <c r="AB23" i="8"/>
  <c r="R88" i="8"/>
  <c r="R91" i="8"/>
  <c r="AB26" i="8"/>
  <c r="R76" i="8"/>
  <c r="AB11" i="8"/>
  <c r="R81" i="8"/>
  <c r="AB16" i="8"/>
  <c r="R86" i="8"/>
  <c r="AB21" i="8"/>
  <c r="AB19" i="8"/>
  <c r="R84" i="8"/>
  <c r="AA96" i="8"/>
  <c r="AL31" i="8"/>
  <c r="E31" i="11" s="1"/>
  <c r="L31" i="11" s="1"/>
  <c r="AL13" i="8"/>
  <c r="E13" i="11" s="1"/>
  <c r="L13" i="11" s="1"/>
  <c r="AA78" i="8"/>
  <c r="AA79" i="8"/>
  <c r="AL14" i="8"/>
  <c r="E14" i="11" s="1"/>
  <c r="L14" i="11" s="1"/>
  <c r="AL21" i="8"/>
  <c r="E21" i="11" s="1"/>
  <c r="L21" i="11" s="1"/>
  <c r="AA86" i="8"/>
  <c r="AA77" i="8"/>
  <c r="AL12" i="8"/>
  <c r="E12" i="11" s="1"/>
  <c r="L12" i="11" s="1"/>
  <c r="AL26" i="8"/>
  <c r="E26" i="11" s="1"/>
  <c r="L26" i="11" s="1"/>
  <c r="AA91" i="8"/>
  <c r="AA92" i="8"/>
  <c r="AL27" i="8"/>
  <c r="E27" i="11" s="1"/>
  <c r="L27" i="11" s="1"/>
  <c r="AL19" i="8"/>
  <c r="E19" i="11" s="1"/>
  <c r="L19" i="11" s="1"/>
  <c r="AA84" i="8"/>
  <c r="J33" i="11"/>
  <c r="Q8" i="11"/>
  <c r="I33" i="11"/>
  <c r="P8" i="11"/>
  <c r="AG64" i="8"/>
  <c r="C37" i="10"/>
  <c r="V129" i="8"/>
  <c r="AB208" i="1" l="1"/>
  <c r="AB250" i="1"/>
  <c r="AB272" i="1"/>
  <c r="P64" i="11"/>
  <c r="U39" i="11"/>
  <c r="U64" i="11" s="1"/>
  <c r="R98" i="8"/>
  <c r="R30" i="11"/>
  <c r="R24" i="11"/>
  <c r="AB88" i="8"/>
  <c r="AM23" i="8"/>
  <c r="F23" i="11" s="1"/>
  <c r="M23" i="11" s="1"/>
  <c r="AM13" i="8"/>
  <c r="F13" i="11" s="1"/>
  <c r="M13" i="11" s="1"/>
  <c r="AB78" i="8"/>
  <c r="AB92" i="8"/>
  <c r="AM27" i="8"/>
  <c r="F27" i="11" s="1"/>
  <c r="M27" i="11" s="1"/>
  <c r="R29" i="11"/>
  <c r="AB95" i="8"/>
  <c r="AM30" i="8"/>
  <c r="F30" i="11" s="1"/>
  <c r="M30" i="11" s="1"/>
  <c r="R13" i="11"/>
  <c r="R11" i="11"/>
  <c r="AM16" i="8"/>
  <c r="F16" i="11" s="1"/>
  <c r="M16" i="11" s="1"/>
  <c r="AB81" i="8"/>
  <c r="AB91" i="8"/>
  <c r="AM26" i="8"/>
  <c r="F26" i="11" s="1"/>
  <c r="M26" i="11" s="1"/>
  <c r="E8" i="11"/>
  <c r="L8" i="11" s="1"/>
  <c r="AL33" i="8"/>
  <c r="R28" i="11"/>
  <c r="AM12" i="8"/>
  <c r="F12" i="11" s="1"/>
  <c r="M12" i="11" s="1"/>
  <c r="AB77" i="8"/>
  <c r="R27" i="11"/>
  <c r="AM17" i="8"/>
  <c r="F17" i="11" s="1"/>
  <c r="M17" i="11" s="1"/>
  <c r="AB82" i="8"/>
  <c r="R19" i="11"/>
  <c r="AB90" i="8"/>
  <c r="AM25" i="8"/>
  <c r="F25" i="11" s="1"/>
  <c r="M25" i="11" s="1"/>
  <c r="AB80" i="8"/>
  <c r="AM15" i="8"/>
  <c r="F15" i="11" s="1"/>
  <c r="M15" i="11" s="1"/>
  <c r="R26" i="11"/>
  <c r="R20" i="11"/>
  <c r="R22" i="11"/>
  <c r="AB84" i="8"/>
  <c r="AM19" i="8"/>
  <c r="F19" i="11" s="1"/>
  <c r="M19" i="11" s="1"/>
  <c r="AA98" i="8"/>
  <c r="R21" i="11"/>
  <c r="R14" i="11"/>
  <c r="AB85" i="8"/>
  <c r="AM20" i="8"/>
  <c r="F20" i="11" s="1"/>
  <c r="M20" i="11" s="1"/>
  <c r="AM29" i="8"/>
  <c r="F29" i="11" s="1"/>
  <c r="M29" i="11" s="1"/>
  <c r="AB94" i="8"/>
  <c r="R15" i="11"/>
  <c r="AM22" i="8"/>
  <c r="F22" i="11" s="1"/>
  <c r="M22" i="11" s="1"/>
  <c r="AB87" i="8"/>
  <c r="AB93" i="8"/>
  <c r="AM28" i="8"/>
  <c r="F28" i="11" s="1"/>
  <c r="M28" i="11" s="1"/>
  <c r="R23" i="11"/>
  <c r="R25" i="11"/>
  <c r="R18" i="11"/>
  <c r="R16" i="11"/>
  <c r="R9" i="11"/>
  <c r="AB86" i="8"/>
  <c r="AM21" i="8"/>
  <c r="F21" i="11" s="1"/>
  <c r="M21" i="11" s="1"/>
  <c r="AM11" i="8"/>
  <c r="F11" i="11" s="1"/>
  <c r="M11" i="11" s="1"/>
  <c r="AB76" i="8"/>
  <c r="R31" i="11"/>
  <c r="R17" i="11"/>
  <c r="AB96" i="8"/>
  <c r="AM31" i="8"/>
  <c r="F31" i="11" s="1"/>
  <c r="M31" i="11" s="1"/>
  <c r="D33" i="11"/>
  <c r="AB33" i="8"/>
  <c r="AB73" i="8"/>
  <c r="AM8" i="8"/>
  <c r="AB74" i="8"/>
  <c r="AM9" i="8"/>
  <c r="F9" i="11" s="1"/>
  <c r="M9" i="11" s="1"/>
  <c r="AM18" i="8"/>
  <c r="F18" i="11" s="1"/>
  <c r="M18" i="11" s="1"/>
  <c r="AB83" i="8"/>
  <c r="AM14" i="8"/>
  <c r="F14" i="11" s="1"/>
  <c r="M14" i="11" s="1"/>
  <c r="AB79" i="8"/>
  <c r="AB89" i="8"/>
  <c r="AM24" i="8"/>
  <c r="F24" i="11" s="1"/>
  <c r="M24" i="11" s="1"/>
  <c r="R12" i="11"/>
  <c r="P33" i="11"/>
  <c r="Q33" i="11"/>
  <c r="C62" i="10"/>
  <c r="AB98" i="8" l="1"/>
  <c r="S18" i="11"/>
  <c r="S16" i="11"/>
  <c r="G11" i="11"/>
  <c r="S20" i="11"/>
  <c r="G22" i="11"/>
  <c r="G20" i="11"/>
  <c r="S30" i="11"/>
  <c r="E33" i="11"/>
  <c r="G16" i="11"/>
  <c r="S17" i="11"/>
  <c r="S31" i="11"/>
  <c r="S12" i="11"/>
  <c r="G14" i="11"/>
  <c r="AM33" i="8"/>
  <c r="AM34" i="8" s="1"/>
  <c r="F8" i="11"/>
  <c r="M8" i="11" s="1"/>
  <c r="S29" i="11"/>
  <c r="G21" i="11"/>
  <c r="G15" i="11"/>
  <c r="S22" i="11"/>
  <c r="G26" i="11"/>
  <c r="S19" i="11"/>
  <c r="G13" i="11"/>
  <c r="G23" i="11"/>
  <c r="S26" i="11"/>
  <c r="G24" i="11"/>
  <c r="S11" i="11"/>
  <c r="G31" i="11"/>
  <c r="G28" i="11"/>
  <c r="S24" i="11"/>
  <c r="G19" i="11"/>
  <c r="S15" i="11"/>
  <c r="G12" i="11"/>
  <c r="S25" i="11"/>
  <c r="G30" i="11"/>
  <c r="G27" i="11"/>
  <c r="S28" i="11"/>
  <c r="G18" i="11"/>
  <c r="G9" i="11"/>
  <c r="AB34" i="8"/>
  <c r="AC34" i="8"/>
  <c r="R8" i="11"/>
  <c r="K33" i="11"/>
  <c r="S14" i="11"/>
  <c r="S21" i="11"/>
  <c r="S27" i="11"/>
  <c r="S9" i="11"/>
  <c r="G29" i="11"/>
  <c r="S13" i="11"/>
  <c r="G25" i="11"/>
  <c r="S23" i="11"/>
  <c r="G17" i="11"/>
  <c r="N17" i="11" l="1"/>
  <c r="T17" i="11"/>
  <c r="R33" i="11"/>
  <c r="T12" i="11"/>
  <c r="N12" i="11"/>
  <c r="T19" i="11"/>
  <c r="N19" i="11"/>
  <c r="T23" i="11"/>
  <c r="N23" i="11"/>
  <c r="T26" i="11"/>
  <c r="N26" i="11"/>
  <c r="N15" i="11"/>
  <c r="T15" i="11"/>
  <c r="T16" i="11"/>
  <c r="N16" i="11"/>
  <c r="S8" i="11"/>
  <c r="L33" i="11"/>
  <c r="T11" i="11"/>
  <c r="N11" i="11"/>
  <c r="N29" i="11"/>
  <c r="T29" i="11"/>
  <c r="N9" i="11"/>
  <c r="T9" i="11"/>
  <c r="T28" i="11"/>
  <c r="N28" i="11"/>
  <c r="N31" i="11"/>
  <c r="T31" i="11"/>
  <c r="N24" i="11"/>
  <c r="T24" i="11"/>
  <c r="N13" i="11"/>
  <c r="T13" i="11"/>
  <c r="T25" i="11"/>
  <c r="N25" i="11"/>
  <c r="T30" i="11"/>
  <c r="N30" i="11"/>
  <c r="N14" i="11"/>
  <c r="T14" i="11"/>
  <c r="N18" i="11"/>
  <c r="T18" i="11"/>
  <c r="N27" i="11"/>
  <c r="T27" i="11"/>
  <c r="T21" i="11"/>
  <c r="N21" i="11"/>
  <c r="F33" i="11"/>
  <c r="G8" i="11"/>
  <c r="G33" i="11" s="1"/>
  <c r="N20" i="11"/>
  <c r="T20" i="11"/>
  <c r="T22" i="11"/>
  <c r="N22" i="11"/>
  <c r="U21" i="11" l="1"/>
  <c r="U27" i="11"/>
  <c r="U13" i="11"/>
  <c r="U29" i="11"/>
  <c r="U23" i="11"/>
  <c r="U17" i="11"/>
  <c r="U9" i="11"/>
  <c r="U16" i="11"/>
  <c r="N8" i="11"/>
  <c r="N33" i="11" s="1"/>
  <c r="T8" i="11"/>
  <c r="M33" i="11"/>
  <c r="U22" i="11"/>
  <c r="U14" i="11"/>
  <c r="U30" i="11"/>
  <c r="U31" i="11"/>
  <c r="U20" i="11"/>
  <c r="U18" i="11"/>
  <c r="U25" i="11"/>
  <c r="U24" i="11"/>
  <c r="U28" i="11"/>
  <c r="U11" i="11"/>
  <c r="S33" i="11"/>
  <c r="U15" i="11"/>
  <c r="U26" i="11"/>
  <c r="U19" i="11"/>
  <c r="U12" i="11"/>
  <c r="U8" i="11" l="1"/>
  <c r="U33" i="11" s="1"/>
  <c r="T33" i="11"/>
  <c r="AB160" i="1" l="1"/>
  <c r="AB291" i="1" l="1"/>
  <c r="AB265" i="1"/>
  <c r="AB161" i="1"/>
  <c r="AB321" i="1"/>
  <c r="AB333" i="1"/>
  <c r="AB149" i="1"/>
  <c r="AB346" i="1"/>
  <c r="AE9" i="21"/>
  <c r="J23" i="21"/>
  <c r="J28" i="21"/>
  <c r="J34" i="21"/>
  <c r="J21" i="21"/>
  <c r="J36" i="21"/>
  <c r="J24" i="21"/>
  <c r="J20" i="21"/>
  <c r="J45" i="21" l="1"/>
  <c r="V9" i="21"/>
  <c r="D47" i="8" s="1"/>
  <c r="D112" i="8" s="1"/>
  <c r="R9" i="21"/>
  <c r="D43" i="8" s="1"/>
  <c r="D108" i="8" s="1"/>
  <c r="T9" i="21"/>
  <c r="D45" i="8" s="1"/>
  <c r="D110" i="8" s="1"/>
  <c r="AC9" i="21"/>
  <c r="D54" i="8" s="1"/>
  <c r="D119" i="8" s="1"/>
  <c r="X9" i="21"/>
  <c r="D49" i="8" s="1"/>
  <c r="D114" i="8" s="1"/>
  <c r="AA9" i="21"/>
  <c r="D52" i="8" s="1"/>
  <c r="D117" i="8" s="1"/>
  <c r="Z9" i="21"/>
  <c r="D51" i="8" s="1"/>
  <c r="D116" i="8" s="1"/>
  <c r="AB9" i="21"/>
  <c r="D53" i="8" s="1"/>
  <c r="D118" i="8" s="1"/>
  <c r="P9" i="21"/>
  <c r="D41" i="8" s="1"/>
  <c r="D106" i="8" s="1"/>
  <c r="AD9" i="21"/>
  <c r="D55" i="8" s="1"/>
  <c r="D120" i="8" s="1"/>
  <c r="S9" i="21"/>
  <c r="D44" i="8" s="1"/>
  <c r="D109" i="8" s="1"/>
  <c r="N9" i="21"/>
  <c r="D39" i="8" s="1"/>
  <c r="D104" i="8" s="1"/>
  <c r="AF9" i="21"/>
  <c r="D61" i="8" s="1"/>
  <c r="D126" i="8" s="1"/>
  <c r="O9" i="21"/>
  <c r="D40" i="8" s="1"/>
  <c r="D105" i="8" s="1"/>
  <c r="Y9" i="21"/>
  <c r="D50" i="8" s="1"/>
  <c r="D115" i="8" s="1"/>
  <c r="Q9" i="21"/>
  <c r="D42" i="8" s="1"/>
  <c r="D107" i="8" s="1"/>
  <c r="U9" i="21"/>
  <c r="D46" i="8" s="1"/>
  <c r="D111" i="8" s="1"/>
  <c r="W9" i="21"/>
  <c r="D48" i="8" s="1"/>
  <c r="D113" i="8" s="1"/>
  <c r="D9" i="21" l="1"/>
  <c r="J9" i="21" s="1"/>
  <c r="J15" i="21" s="1"/>
  <c r="AH9" i="21"/>
  <c r="D64" i="8"/>
  <c r="D129" i="8"/>
  <c r="M43" i="8" l="1"/>
  <c r="D65" i="8"/>
  <c r="AC66" i="8"/>
  <c r="AH15" i="21"/>
  <c r="D15" i="21"/>
  <c r="M46" i="8"/>
  <c r="M57" i="8"/>
  <c r="M41" i="8"/>
  <c r="M42" i="8"/>
  <c r="M52" i="8"/>
  <c r="M60" i="8" l="1"/>
  <c r="M125" i="8" s="1"/>
  <c r="M55" i="8"/>
  <c r="W55" i="8" s="1"/>
  <c r="M53" i="8"/>
  <c r="M118" i="8" s="1"/>
  <c r="M44" i="8"/>
  <c r="M109" i="8" s="1"/>
  <c r="M61" i="8"/>
  <c r="M126" i="8" s="1"/>
  <c r="M48" i="8"/>
  <c r="W48" i="8" s="1"/>
  <c r="M58" i="8"/>
  <c r="W58" i="8" s="1"/>
  <c r="M40" i="8"/>
  <c r="M105" i="8" s="1"/>
  <c r="M47" i="8"/>
  <c r="M112" i="8" s="1"/>
  <c r="M51" i="8"/>
  <c r="W51" i="8" s="1"/>
  <c r="M49" i="8"/>
  <c r="M114" i="8" s="1"/>
  <c r="M45" i="8"/>
  <c r="M110" i="8" s="1"/>
  <c r="M59" i="8"/>
  <c r="W59" i="8" s="1"/>
  <c r="M56" i="8"/>
  <c r="M121" i="8" s="1"/>
  <c r="M54" i="8"/>
  <c r="M119" i="8" s="1"/>
  <c r="M39" i="8"/>
  <c r="M50" i="8"/>
  <c r="M115" i="8" s="1"/>
  <c r="D66" i="8"/>
  <c r="D16" i="21"/>
  <c r="M117" i="8"/>
  <c r="W52" i="8"/>
  <c r="M107" i="8"/>
  <c r="W42" i="8"/>
  <c r="M106" i="8"/>
  <c r="W41" i="8"/>
  <c r="M122" i="8"/>
  <c r="W57" i="8"/>
  <c r="M111" i="8"/>
  <c r="W46" i="8"/>
  <c r="M113" i="8"/>
  <c r="M108" i="8"/>
  <c r="W43" i="8"/>
  <c r="M123" i="8" l="1"/>
  <c r="M120" i="8"/>
  <c r="M116" i="8"/>
  <c r="W56" i="8"/>
  <c r="AH56" i="8" s="1"/>
  <c r="D54" i="10" s="1"/>
  <c r="M124" i="8"/>
  <c r="W60" i="8"/>
  <c r="AH60" i="8" s="1"/>
  <c r="D58" i="10" s="1"/>
  <c r="W50" i="8"/>
  <c r="AH50" i="8" s="1"/>
  <c r="D48" i="10" s="1"/>
  <c r="W47" i="8"/>
  <c r="AH47" i="8" s="1"/>
  <c r="D45" i="10" s="1"/>
  <c r="W61" i="8"/>
  <c r="AH61" i="8" s="1"/>
  <c r="D59" i="10" s="1"/>
  <c r="M64" i="8"/>
  <c r="AC67" i="8" s="1"/>
  <c r="AC68" i="8" s="1"/>
  <c r="W53" i="8"/>
  <c r="AH53" i="8" s="1"/>
  <c r="D51" i="10" s="1"/>
  <c r="W54" i="8"/>
  <c r="W119" i="8" s="1"/>
  <c r="W49" i="8"/>
  <c r="W114" i="8" s="1"/>
  <c r="M104" i="8"/>
  <c r="W44" i="8"/>
  <c r="W109" i="8" s="1"/>
  <c r="W45" i="8"/>
  <c r="W110" i="8" s="1"/>
  <c r="W40" i="8"/>
  <c r="AH40" i="8" s="1"/>
  <c r="D38" i="10" s="1"/>
  <c r="W39" i="8"/>
  <c r="W104" i="8" s="1"/>
  <c r="W108" i="8"/>
  <c r="AH43" i="8"/>
  <c r="D41" i="10" s="1"/>
  <c r="W124" i="8"/>
  <c r="AH59" i="8"/>
  <c r="D57" i="10" s="1"/>
  <c r="AH51" i="8"/>
  <c r="D49" i="10" s="1"/>
  <c r="W116" i="8"/>
  <c r="AH57" i="8"/>
  <c r="D55" i="10" s="1"/>
  <c r="W122" i="8"/>
  <c r="W107" i="8"/>
  <c r="AH42" i="8"/>
  <c r="D40" i="10" s="1"/>
  <c r="W123" i="8"/>
  <c r="AH58" i="8"/>
  <c r="D56" i="10" s="1"/>
  <c r="AH46" i="8"/>
  <c r="D44" i="10" s="1"/>
  <c r="W111" i="8"/>
  <c r="W106" i="8"/>
  <c r="AH41" i="8"/>
  <c r="D39" i="10" s="1"/>
  <c r="AH52" i="8"/>
  <c r="D50" i="10" s="1"/>
  <c r="W117" i="8"/>
  <c r="W113" i="8"/>
  <c r="AH48" i="8"/>
  <c r="D46" i="10" s="1"/>
  <c r="AH55" i="8"/>
  <c r="D53" i="10" s="1"/>
  <c r="W120" i="8"/>
  <c r="W121" i="8" l="1"/>
  <c r="W115" i="8"/>
  <c r="W112" i="8"/>
  <c r="AH54" i="8"/>
  <c r="D52" i="10" s="1"/>
  <c r="AH45" i="8"/>
  <c r="D43" i="10" s="1"/>
  <c r="M129" i="8"/>
  <c r="W125" i="8"/>
  <c r="W118" i="8"/>
  <c r="W126" i="8"/>
  <c r="AH49" i="8"/>
  <c r="D47" i="10" s="1"/>
  <c r="AH39" i="8"/>
  <c r="D37" i="10" s="1"/>
  <c r="AH44" i="8"/>
  <c r="D42" i="10" s="1"/>
  <c r="W64" i="8"/>
  <c r="AC65" i="8" s="1"/>
  <c r="W105" i="8"/>
  <c r="W129" i="8" l="1"/>
  <c r="AH64" i="8"/>
  <c r="AM65" i="8" s="1"/>
  <c r="W65" i="8"/>
  <c r="D62" i="10" l="1"/>
  <c r="AB32" i="1"/>
  <c r="AC26" i="1"/>
  <c r="AB26" i="1" s="1"/>
  <c r="AB10" i="1" l="1"/>
  <c r="AB24" i="1"/>
  <c r="AB28" i="1"/>
  <c r="AB8" i="1"/>
  <c r="AB6" i="1"/>
  <c r="AB11" i="1"/>
  <c r="AB9" i="1"/>
  <c r="AB7" i="1"/>
  <c r="AB5" i="1" l="1"/>
</calcChain>
</file>

<file path=xl/comments1.xml><?xml version="1.0" encoding="utf-8"?>
<comments xmlns="http://schemas.openxmlformats.org/spreadsheetml/2006/main">
  <authors>
    <author>Robertson, Ian (ENet)</author>
  </authors>
  <commentList>
    <comment ref="E31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Proposed new asset class.  Looks up T41 "Comms Other"</t>
        </r>
      </text>
    </comment>
    <comment ref="E62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Proposed new asset class.  Looks up T41 "Comms Other"</t>
        </r>
      </text>
    </comment>
  </commentList>
</comments>
</file>

<file path=xl/comments2.xml><?xml version="1.0" encoding="utf-8"?>
<comments xmlns="http://schemas.openxmlformats.org/spreadsheetml/2006/main">
  <authors>
    <author>Robertson, Ian (ENet)</author>
  </authors>
  <commentList>
    <comment ref="AC22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End year factor discounts the commissioned project capex from 2023 back to year of capitalisation</t>
        </r>
      </text>
    </comment>
    <comment ref="AE22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Asset in Service date (for capitalisation).</t>
        </r>
      </text>
    </comment>
    <comment ref="AF22" authorId="0" shapeId="0">
      <text>
        <r>
          <rPr>
            <b/>
            <sz val="9"/>
            <color indexed="81"/>
            <rFont val="Tahoma"/>
            <family val="2"/>
          </rPr>
          <t xml:space="preserve">Robertson, Ian (ENet):
</t>
        </r>
        <r>
          <rPr>
            <sz val="9"/>
            <color indexed="81"/>
            <rFont val="Tahoma"/>
            <family val="2"/>
          </rPr>
          <t>Pre 2017 projects with ongoing spend after  Asset in Service  capitalisation are included on "Commissioned Extra" worksheet.</t>
        </r>
      </text>
    </comment>
    <comment ref="AK22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>If &gt;$0, estimate comes from  current Success Estimator projects</t>
        </r>
      </text>
    </comment>
    <comment ref="AF26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WIP W/off</t>
        </r>
      </text>
    </comment>
    <comment ref="AF28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Transferred to 11316</t>
        </r>
      </text>
    </comment>
    <comment ref="R34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Manual adjustment - cancelled project</t>
        </r>
      </text>
    </comment>
    <comment ref="AF38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WIP W/off</t>
        </r>
      </text>
    </comment>
    <comment ref="AF49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WIP W/off</t>
        </r>
      </text>
    </comment>
    <comment ref="AF58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Date not correct in Project Centre</t>
        </r>
      </text>
    </comment>
    <comment ref="AF83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WIP W/off</t>
        </r>
      </text>
    </comment>
    <comment ref="AF308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Assumed to be WIP at June 2023 - checkwith Laurie.  Project on hold</t>
        </r>
      </text>
    </comment>
  </commentList>
</comments>
</file>

<file path=xl/comments3.xml><?xml version="1.0" encoding="utf-8"?>
<comments xmlns="http://schemas.openxmlformats.org/spreadsheetml/2006/main">
  <authors>
    <author>Robertson, Ian (ENet)</author>
  </authors>
  <commentList>
    <comment ref="M18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>If &gt;$0, estimate comes from  current Success Estimator projects</t>
        </r>
      </text>
    </comment>
  </commentList>
</comments>
</file>

<file path=xl/comments4.xml><?xml version="1.0" encoding="utf-8"?>
<comments xmlns="http://schemas.openxmlformats.org/spreadsheetml/2006/main">
  <authors>
    <author>Robertson, Ian (ENet)</author>
  </authors>
  <commentList>
    <comment ref="AV152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Manual adjustment</t>
        </r>
      </text>
    </comment>
  </commentList>
</comments>
</file>

<file path=xl/sharedStrings.xml><?xml version="1.0" encoding="utf-8"?>
<sst xmlns="http://schemas.openxmlformats.org/spreadsheetml/2006/main" count="18949" uniqueCount="3075">
  <si>
    <t/>
  </si>
  <si>
    <t>Fiscal year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</si>
  <si>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</si>
  <si>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</si>
  <si>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</si>
  <si>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</si>
  <si>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</si>
  <si>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</si>
  <si>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</si>
  <si>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</si>
  <si>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</si>
  <si>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</si>
  <si>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</si>
  <si>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</si>
  <si>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</si>
  <si>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</si>
  <si>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</si>
  <si>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</si>
  <si>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</si>
  <si>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</si>
  <si>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Project Definition</t>
  </si>
  <si>
    <t>Title</t>
  </si>
  <si>
    <t>BP Category</t>
  </si>
  <si>
    <t>Project Category</t>
  </si>
  <si>
    <t>Project Status</t>
  </si>
  <si>
    <t>EC.10161</t>
  </si>
  <si>
    <t>Adelaide Central Reinforcement</t>
  </si>
  <si>
    <t>ExAnte</t>
  </si>
  <si>
    <t>Augmentation</t>
  </si>
  <si>
    <t>Active</t>
  </si>
  <si>
    <t>Cancelled</t>
  </si>
  <si>
    <t>Connection</t>
  </si>
  <si>
    <t>Closed</t>
  </si>
  <si>
    <t>Tungkillo 275kV 100Mvar Capacitor Bank</t>
  </si>
  <si>
    <t>EC.10344</t>
  </si>
  <si>
    <t>Heywood Interconnector Upgrade</t>
  </si>
  <si>
    <t>Facilities</t>
  </si>
  <si>
    <t>EC.10370</t>
  </si>
  <si>
    <t>Clare North New 132_33 kV Substation</t>
  </si>
  <si>
    <t>Hummocks 132/33 kV Transformer Upgrade</t>
  </si>
  <si>
    <t>Replacement</t>
  </si>
  <si>
    <t>Refurbishment</t>
  </si>
  <si>
    <t>EC.10424</t>
  </si>
  <si>
    <t>Riverland Reinforcement Land and Easemen</t>
  </si>
  <si>
    <t>Easements/Land</t>
  </si>
  <si>
    <t>Deferred</t>
  </si>
  <si>
    <t>EC.10503</t>
  </si>
  <si>
    <t>Waterloo Substation Replacement</t>
  </si>
  <si>
    <t>EC.10505</t>
  </si>
  <si>
    <t>Millbrook Pump Station Replacement</t>
  </si>
  <si>
    <t>EC.10509</t>
  </si>
  <si>
    <t>Whyalla Terminal Substation Replac</t>
  </si>
  <si>
    <t>EC.10517</t>
  </si>
  <si>
    <t>South East CB Upgrade</t>
  </si>
  <si>
    <t>Security/Compliance</t>
  </si>
  <si>
    <t>Information Technology</t>
  </si>
  <si>
    <t>Telecommunications</t>
  </si>
  <si>
    <t>EC.10615</t>
  </si>
  <si>
    <t>Ardrossan West 132kV Sub Rebuild 2x25MVA</t>
  </si>
  <si>
    <t>Operations</t>
  </si>
  <si>
    <t>Inventory/Spares</t>
  </si>
  <si>
    <t>EC.10703</t>
  </si>
  <si>
    <t>SVC Secondary Systems Replacement (Para)</t>
  </si>
  <si>
    <t>Strategic Land Acquisition</t>
  </si>
  <si>
    <t>Project Management Support System Upgrad</t>
  </si>
  <si>
    <t>Building Electronic Security</t>
  </si>
  <si>
    <t>AREVA EMP Upg. &amp; Support Packs Stage 1</t>
  </si>
  <si>
    <t>EC.11101</t>
  </si>
  <si>
    <t>Cultana 275_132 kV Augmentation</t>
  </si>
  <si>
    <t>EC.11104</t>
  </si>
  <si>
    <t>Northern SA Region Voltage Support</t>
  </si>
  <si>
    <t>Mannum TF Capacity Increase 20 to 28MVA</t>
  </si>
  <si>
    <t>EC.11109</t>
  </si>
  <si>
    <t>TIPS 66kV Section Secondary Systems Upg.</t>
  </si>
  <si>
    <t>EC.11110</t>
  </si>
  <si>
    <t>CLSD Eyre Peninsula Land &amp; Easement Acqu</t>
  </si>
  <si>
    <t>EC.11112</t>
  </si>
  <si>
    <t>[CLSD] Para-PGW-TIPS Telecoms Bearer</t>
  </si>
  <si>
    <t>EC.11132</t>
  </si>
  <si>
    <t>Fleurieu Peninsula Reinforcement Land an</t>
  </si>
  <si>
    <t>EC.11134</t>
  </si>
  <si>
    <t>Integrated Budgeting &amp; Forecasting</t>
  </si>
  <si>
    <t>EC.11201</t>
  </si>
  <si>
    <t>Eyre Peninsula Reinforcement</t>
  </si>
  <si>
    <t>Listed</t>
  </si>
  <si>
    <t>EC.11208</t>
  </si>
  <si>
    <t>Parafield Gardens West CB Complete Mesh</t>
  </si>
  <si>
    <t>EC.11209</t>
  </si>
  <si>
    <t>Munno Para New 275_66 kV Connection Poin</t>
  </si>
  <si>
    <t>EC.11216</t>
  </si>
  <si>
    <t>South East Dual Path Telecommunications</t>
  </si>
  <si>
    <t>EC.11217</t>
  </si>
  <si>
    <t>Asset Data Capture</t>
  </si>
  <si>
    <t>EC.11218</t>
  </si>
  <si>
    <t>Network Configuration Management System</t>
  </si>
  <si>
    <t>EC.11220</t>
  </si>
  <si>
    <t>Integrated Information Environment</t>
  </si>
  <si>
    <t>Office Systems SOE</t>
  </si>
  <si>
    <t>EC.11234</t>
  </si>
  <si>
    <t>Drawing Management System Tech Upgrade 1</t>
  </si>
  <si>
    <t>EC.11236</t>
  </si>
  <si>
    <t>IEC 61850 Training &amp; Development Facilit</t>
  </si>
  <si>
    <t>EC.11239</t>
  </si>
  <si>
    <t>CLSD SAEs for 2013-2018 Capital Projects</t>
  </si>
  <si>
    <t>EC.11242</t>
  </si>
  <si>
    <t>Aerial Services Implementation</t>
  </si>
  <si>
    <t>Short Term Accomodation 2011/12 -Fit Out</t>
  </si>
  <si>
    <t>Other</t>
  </si>
  <si>
    <t>Furniture &amp; General Building Upgrades</t>
  </si>
  <si>
    <t>Kanmantoo Emergency Transformer Replacem</t>
  </si>
  <si>
    <t>EC.11302</t>
  </si>
  <si>
    <t>Para 275Kv Secondary Systems &amp; Minor Pri</t>
  </si>
  <si>
    <t>Potential</t>
  </si>
  <si>
    <t>Kincraig 132kV Capacitor Bank</t>
  </si>
  <si>
    <t>EC.11316</t>
  </si>
  <si>
    <t>SA Water Pump Stations Transformer Repla</t>
  </si>
  <si>
    <t>Weather Stations 2008-2013</t>
  </si>
  <si>
    <t>EC.11330</t>
  </si>
  <si>
    <t>Alstom EMS Upgrade Stage 2</t>
  </si>
  <si>
    <t>Substation Perimeter Electronic Security</t>
  </si>
  <si>
    <t>Davenport 275kV 50Mvar Reactor Stage 2</t>
  </si>
  <si>
    <t>Protection System Unit Replacement 08-13</t>
  </si>
  <si>
    <t>Site Asset Replacements (ETSA Utilities)</t>
  </si>
  <si>
    <t>Site Asset Replacements (Tenix Alliance)</t>
  </si>
  <si>
    <t>EC.11379</t>
  </si>
  <si>
    <t>Energy Management System Functional Enha</t>
  </si>
  <si>
    <t>EC.11380</t>
  </si>
  <si>
    <t>Yadnarie Reactor Replacement</t>
  </si>
  <si>
    <t>EC.11383</t>
  </si>
  <si>
    <t xml:space="preserve"> Mt Barker South Triple Circuit Easement</t>
  </si>
  <si>
    <t>EC.11384</t>
  </si>
  <si>
    <t>Security and Video System Consolidation</t>
  </si>
  <si>
    <t>EC.11386</t>
  </si>
  <si>
    <t>Business Process Improvement - Stage 2</t>
  </si>
  <si>
    <t>EC.11390</t>
  </si>
  <si>
    <t>Tailem Bend 132kV Reactive Power Support</t>
  </si>
  <si>
    <t>Inventory Purchases 2012-2013</t>
  </si>
  <si>
    <t>EC.11398</t>
  </si>
  <si>
    <t>People Management System</t>
  </si>
  <si>
    <t>EC.11399</t>
  </si>
  <si>
    <t>Risk Management System</t>
  </si>
  <si>
    <t>Davenport 275 kV Reactor Replacement Sta</t>
  </si>
  <si>
    <t>Telecommunications Network Optimisation</t>
  </si>
  <si>
    <t>EC.11426</t>
  </si>
  <si>
    <t>NCIPAP 4 W'oo East to Rob'town 132kv Upr</t>
  </si>
  <si>
    <t>EC.11434</t>
  </si>
  <si>
    <t>Enterprise Capture of IED Data</t>
  </si>
  <si>
    <t>EC.11435</t>
  </si>
  <si>
    <t>Outage Optimisation Improvements</t>
  </si>
  <si>
    <t>EC.11437</t>
  </si>
  <si>
    <t>BUCC Hardware Replacement</t>
  </si>
  <si>
    <t>EC.11439</t>
  </si>
  <si>
    <t>300 Pirie St Emergency Supplies 2013-14</t>
  </si>
  <si>
    <t>EC.11441</t>
  </si>
  <si>
    <t xml:space="preserve"> Para-Brinkworth-Davenport Hazard Mitiga</t>
  </si>
  <si>
    <t>EC.11442</t>
  </si>
  <si>
    <t>EC.11444</t>
  </si>
  <si>
    <t>Penola West to South East Line Refurb</t>
  </si>
  <si>
    <t>EC.11445</t>
  </si>
  <si>
    <t>Tailem Bend to Keith #2 Line Refurb</t>
  </si>
  <si>
    <t>EC.11446</t>
  </si>
  <si>
    <t>Brinkworth to Mintaro Line Refurbishment</t>
  </si>
  <si>
    <t>EC.11447</t>
  </si>
  <si>
    <t>Magill to Happy Valley Line Reinsulation</t>
  </si>
  <si>
    <t>EC.11449</t>
  </si>
  <si>
    <t>(CLSD) Switching Manual Rewrite</t>
  </si>
  <si>
    <t>EC.11451</t>
  </si>
  <si>
    <t>BUCC Project Back Up Control Centre Upgr</t>
  </si>
  <si>
    <t>EC.11452</t>
  </si>
  <si>
    <t>Project Delivery Optimisation</t>
  </si>
  <si>
    <t>TIPS 66 kV NGM CT/VT Replacement</t>
  </si>
  <si>
    <t>EC.11454</t>
  </si>
  <si>
    <t>Safety in Design Processes</t>
  </si>
  <si>
    <t>Labour Planning Tool</t>
  </si>
  <si>
    <t>Safety Management System Project</t>
  </si>
  <si>
    <t>EC.11461</t>
  </si>
  <si>
    <t>Cultana to Stony Point Land and Easement</t>
  </si>
  <si>
    <t>EC.11463</t>
  </si>
  <si>
    <t>Emergency Unit Asset Replacement 2013-18</t>
  </si>
  <si>
    <t>EC.11470</t>
  </si>
  <si>
    <t>IT Hardware 1</t>
  </si>
  <si>
    <t>EC.11471</t>
  </si>
  <si>
    <t>IT Software 1</t>
  </si>
  <si>
    <t>EC.11481</t>
  </si>
  <si>
    <t>EC.11482</t>
  </si>
  <si>
    <t>EC.11494</t>
  </si>
  <si>
    <t>EC.11504</t>
  </si>
  <si>
    <t>EC.11505</t>
  </si>
  <si>
    <t>EC.11509</t>
  </si>
  <si>
    <t>Bungama Second 275_132kV Transformer</t>
  </si>
  <si>
    <t>EC.11513</t>
  </si>
  <si>
    <t>Business Reporting</t>
  </si>
  <si>
    <t>EC.11516</t>
  </si>
  <si>
    <t>EC.11523</t>
  </si>
  <si>
    <t>IT Systems Management</t>
  </si>
  <si>
    <t>EC.11524</t>
  </si>
  <si>
    <t>EC.11526</t>
  </si>
  <si>
    <t>Teleco Network Management Systems Upgrad</t>
  </si>
  <si>
    <t>EC.11528</t>
  </si>
  <si>
    <t>South East Backbone Telecoms Stage 2</t>
  </si>
  <si>
    <t>EC.11533</t>
  </si>
  <si>
    <t>Business Intelligence Upgrade 1</t>
  </si>
  <si>
    <t>EC.11538</t>
  </si>
  <si>
    <t>EC.11543</t>
  </si>
  <si>
    <t>Magill Telecomms Bearer</t>
  </si>
  <si>
    <t>EC.11549</t>
  </si>
  <si>
    <t>Switching System Writer Application</t>
  </si>
  <si>
    <t>EC.11551</t>
  </si>
  <si>
    <t>Control Room Asset Replacement</t>
  </si>
  <si>
    <t>EC.11553</t>
  </si>
  <si>
    <t>South East Substation to Heywood Telecom</t>
  </si>
  <si>
    <t>EC.11554</t>
  </si>
  <si>
    <t>EC.11558</t>
  </si>
  <si>
    <t>Electrical 300 Pirie Street 2014-15</t>
  </si>
  <si>
    <t>EC.11559</t>
  </si>
  <si>
    <t>Vehicle Purchases 2014-15</t>
  </si>
  <si>
    <t>EC.11560</t>
  </si>
  <si>
    <t>Magill - East Terrace Cable Pit Construc</t>
  </si>
  <si>
    <t>EC.11562</t>
  </si>
  <si>
    <t>Transmission Line Inspection Data Analys</t>
  </si>
  <si>
    <t>EC.11566</t>
  </si>
  <si>
    <t>EC.11567</t>
  </si>
  <si>
    <t>Accounts Payable Optimisation</t>
  </si>
  <si>
    <t>EC.11575</t>
  </si>
  <si>
    <t>Substation Operational Data Network Repl</t>
  </si>
  <si>
    <t>EC.11576</t>
  </si>
  <si>
    <t>PSS_E Computing Power Increase</t>
  </si>
  <si>
    <t>EC.11581</t>
  </si>
  <si>
    <t>Furniture and Building Upgrades 2014-15</t>
  </si>
  <si>
    <t>EC.11594</t>
  </si>
  <si>
    <t>Inventory Purchases 2014-15</t>
  </si>
  <si>
    <t>EC.11602</t>
  </si>
  <si>
    <t>Tailem Bend Substation Upgrade</t>
  </si>
  <si>
    <t>EC.11606</t>
  </si>
  <si>
    <t>EC.11610</t>
  </si>
  <si>
    <t>EC.11615</t>
  </si>
  <si>
    <t>Asset Design Manuals (ADM) Major Rewrite</t>
  </si>
  <si>
    <t>EC.11618</t>
  </si>
  <si>
    <t>Carpet - Keswick 2014-15</t>
  </si>
  <si>
    <t>EC.11619</t>
  </si>
  <si>
    <t>Fire Protection 300 Pirie 2015-16</t>
  </si>
  <si>
    <t>EC.11623</t>
  </si>
  <si>
    <t>Robertstown Telecoms Bearer</t>
  </si>
  <si>
    <t>EC.11624</t>
  </si>
  <si>
    <t>Mid North OPGW Bearer</t>
  </si>
  <si>
    <t>EC.11630</t>
  </si>
  <si>
    <t>Eyre Peninsula Reinforcement Land and Ea</t>
  </si>
  <si>
    <t>EC.11638</t>
  </si>
  <si>
    <t>EC.11645</t>
  </si>
  <si>
    <t>Reactive Plant Control Scheme</t>
  </si>
  <si>
    <t>EC.11646</t>
  </si>
  <si>
    <t>Eyre Peninsula &amp; Upper NorthVoltage</t>
  </si>
  <si>
    <t>EC.11648</t>
  </si>
  <si>
    <t>UPS &amp; Battery Bank - BUCC 2015-16</t>
  </si>
  <si>
    <t>EC.11649</t>
  </si>
  <si>
    <t>EC.11650</t>
  </si>
  <si>
    <t>Electrical 300 Pirie Street 2015-16</t>
  </si>
  <si>
    <t>EC.11652</t>
  </si>
  <si>
    <t>EC.11656</t>
  </si>
  <si>
    <t>Vegetation Management Analysis Tools</t>
  </si>
  <si>
    <t>EC.11659</t>
  </si>
  <si>
    <t>Substation and Telecommunication Buildin</t>
  </si>
  <si>
    <t>EC.11660</t>
  </si>
  <si>
    <t>Substation Battery Charger Replacement</t>
  </si>
  <si>
    <t>EC.11661</t>
  </si>
  <si>
    <t>Substation Computer Based Local Control</t>
  </si>
  <si>
    <t>EC.11662</t>
  </si>
  <si>
    <t>Tower Fall Arrestor Replacement and Audi</t>
  </si>
  <si>
    <t>EC.11670</t>
  </si>
  <si>
    <t>IT Hardware 2</t>
  </si>
  <si>
    <t>EC.11671</t>
  </si>
  <si>
    <t>IT Software 2</t>
  </si>
  <si>
    <t>EC.11672</t>
  </si>
  <si>
    <t>IT Security 2</t>
  </si>
  <si>
    <t>EC.11673</t>
  </si>
  <si>
    <t>IT OCS Software 2</t>
  </si>
  <si>
    <t>EC.11681</t>
  </si>
  <si>
    <t>EC.11694</t>
  </si>
  <si>
    <t>Inventory Purchases 2015-16</t>
  </si>
  <si>
    <t>EC.11706</t>
  </si>
  <si>
    <t>EC.11709</t>
  </si>
  <si>
    <t>(CLSD)Yadnarie - Port Lincoln Backbone</t>
  </si>
  <si>
    <t>EC.11712</t>
  </si>
  <si>
    <t>Engineering Systems Functional Upgrade</t>
  </si>
  <si>
    <t>EC.11717</t>
  </si>
  <si>
    <t>EC.11731</t>
  </si>
  <si>
    <t>Vehicle Purchases 2016-17</t>
  </si>
  <si>
    <t>EC.11732</t>
  </si>
  <si>
    <t>Outage Management Functional Upgrade 1</t>
  </si>
  <si>
    <t>EC.11733</t>
  </si>
  <si>
    <t>Online Asset Condition Monitoring Equipm</t>
  </si>
  <si>
    <t>EC.11734</t>
  </si>
  <si>
    <t>Network Aerial Laser Survey 2013-18</t>
  </si>
  <si>
    <t>EC.11735</t>
  </si>
  <si>
    <t>Transmission Line Design</t>
  </si>
  <si>
    <t>EC.11738</t>
  </si>
  <si>
    <t>Mallala to Para Easement Expansion</t>
  </si>
  <si>
    <t>EC.11739</t>
  </si>
  <si>
    <t>Templers to Para Easement Expansion</t>
  </si>
  <si>
    <t>EC.11741</t>
  </si>
  <si>
    <t>EC.11742</t>
  </si>
  <si>
    <t>Baroota Substation Replacement</t>
  </si>
  <si>
    <t>EC.11744</t>
  </si>
  <si>
    <t>Bund Refurbishments</t>
  </si>
  <si>
    <t>EC.11745</t>
  </si>
  <si>
    <t>Riverland 132 kV Line Uprate</t>
  </si>
  <si>
    <t>EC.11747</t>
  </si>
  <si>
    <t>Substation Lighting and Infrastructure R</t>
  </si>
  <si>
    <t>EC.11749</t>
  </si>
  <si>
    <t>AC Board Replacement 2013-18</t>
  </si>
  <si>
    <t>EC.11751</t>
  </si>
  <si>
    <t>Westinghouse RTU Replacement</t>
  </si>
  <si>
    <t>EC.11781</t>
  </si>
  <si>
    <t>Furniture and Building Upgrades 2016-17</t>
  </si>
  <si>
    <t>EC.11794</t>
  </si>
  <si>
    <t>Inventory Purchases 2016-17</t>
  </si>
  <si>
    <t>EC.11802</t>
  </si>
  <si>
    <t>EC.11803</t>
  </si>
  <si>
    <t>EC.11808</t>
  </si>
  <si>
    <t>EC.11809</t>
  </si>
  <si>
    <t>Common Information-Connectivity Model</t>
  </si>
  <si>
    <t>EC.11810</t>
  </si>
  <si>
    <t>EC.11811</t>
  </si>
  <si>
    <t>Outage Management Functional Upgrade 3</t>
  </si>
  <si>
    <t>EC.11816</t>
  </si>
  <si>
    <t>One IP Substation Network Stage 1</t>
  </si>
  <si>
    <t>EC.11822</t>
  </si>
  <si>
    <t>EC.11824</t>
  </si>
  <si>
    <t>Weather Stations 2013-18</t>
  </si>
  <si>
    <t>EC.11826</t>
  </si>
  <si>
    <t>Dalrymple Substation Upgrade</t>
  </si>
  <si>
    <t>Riverland Reactive Support Stage 2 (Nort</t>
  </si>
  <si>
    <t>EC.11829</t>
  </si>
  <si>
    <t>Regional N-1 Secure Control Schemes</t>
  </si>
  <si>
    <t>EC.11847</t>
  </si>
  <si>
    <t>NGM CT_VT Replacement Project</t>
  </si>
  <si>
    <t>EC.11852</t>
  </si>
  <si>
    <t>Historian Upgrade 2</t>
  </si>
  <si>
    <t>EC.11854</t>
  </si>
  <si>
    <t>Telco Asset Replacement 2013-18</t>
  </si>
  <si>
    <t>EC.11861</t>
  </si>
  <si>
    <t>EC.11862</t>
  </si>
  <si>
    <t>Substation VOIP Network Completion</t>
  </si>
  <si>
    <t>EC.11865</t>
  </si>
  <si>
    <t>Network Config Mngmnt System Upgrade 1</t>
  </si>
  <si>
    <t>EC.11870</t>
  </si>
  <si>
    <t>EC.11871</t>
  </si>
  <si>
    <t>EC.11872</t>
  </si>
  <si>
    <t>EC.11873</t>
  </si>
  <si>
    <t>OT Software 3</t>
  </si>
  <si>
    <t>EC.11876</t>
  </si>
  <si>
    <t>EC.11877</t>
  </si>
  <si>
    <t>EC.11880</t>
  </si>
  <si>
    <t>Fire Protection 300 Pirie 2017-18</t>
  </si>
  <si>
    <t>EC.11881</t>
  </si>
  <si>
    <t>Furniture and Building Upgrades 2017-18</t>
  </si>
  <si>
    <t>EC.11882</t>
  </si>
  <si>
    <t>General Utility Upgrades 2017-18</t>
  </si>
  <si>
    <t>EC.11890</t>
  </si>
  <si>
    <t>Unit Asset Replacements 2013-18</t>
  </si>
  <si>
    <t>EC.11894</t>
  </si>
  <si>
    <t>Inventory Purchases 2017-18</t>
  </si>
  <si>
    <t>EC.11895</t>
  </si>
  <si>
    <t>SAEs for 2018-23 Capital Projects</t>
  </si>
  <si>
    <t>EC.11899</t>
  </si>
  <si>
    <t>Vehicle Purchases 2017-18</t>
  </si>
  <si>
    <t>EC.11900</t>
  </si>
  <si>
    <t>EC.11902</t>
  </si>
  <si>
    <t>EC.11905</t>
  </si>
  <si>
    <t>Yorke Peninsula Reinforcement Land &amp; Eas</t>
  </si>
  <si>
    <t>EC.11906</t>
  </si>
  <si>
    <t>EC.11907</t>
  </si>
  <si>
    <t>EC.11915</t>
  </si>
  <si>
    <t>Furniture and Building Upgrades 2018-19</t>
  </si>
  <si>
    <t>EC.11916</t>
  </si>
  <si>
    <t>Vehicle Purchases 2018-19</t>
  </si>
  <si>
    <t>EC.11917</t>
  </si>
  <si>
    <t>Investigation&amp;Integration of New Technol</t>
  </si>
  <si>
    <t>EC.11918</t>
  </si>
  <si>
    <t>EC.11994</t>
  </si>
  <si>
    <t>Inventory Purchases 2018-19</t>
  </si>
  <si>
    <t>EC.12002</t>
  </si>
  <si>
    <t>EC.12004</t>
  </si>
  <si>
    <t>EC.12005</t>
  </si>
  <si>
    <t>IT Storage and Virtualisation Refurb 2</t>
  </si>
  <si>
    <t>EC.12008</t>
  </si>
  <si>
    <t>EC.12010</t>
  </si>
  <si>
    <t>EC.12011</t>
  </si>
  <si>
    <t>EC.12013</t>
  </si>
  <si>
    <t>Design Standards Major Review Reset 4</t>
  </si>
  <si>
    <t>EC.12014</t>
  </si>
  <si>
    <t>Protection System Modelling and Validati</t>
  </si>
  <si>
    <t>EC.12017</t>
  </si>
  <si>
    <t>EC.12021</t>
  </si>
  <si>
    <t>EC.12027</t>
  </si>
  <si>
    <t>Mechanical 300 Pirie St 2018-19</t>
  </si>
  <si>
    <t>EC.12028</t>
  </si>
  <si>
    <t>Furniture and Gen Bldg Upgrades 2019-20</t>
  </si>
  <si>
    <t>EC.12030</t>
  </si>
  <si>
    <t>Vehicle Purchases 2019-20</t>
  </si>
  <si>
    <t>EC.12070</t>
  </si>
  <si>
    <t>EC.12071</t>
  </si>
  <si>
    <t>EC.12072</t>
  </si>
  <si>
    <t>IT Security 4</t>
  </si>
  <si>
    <t>EC.12073</t>
  </si>
  <si>
    <t>OT Software 4</t>
  </si>
  <si>
    <t>EC.12094</t>
  </si>
  <si>
    <t>Inventory Purchases 2019-2020</t>
  </si>
  <si>
    <t>EC.12101</t>
  </si>
  <si>
    <t>Records Management</t>
  </si>
  <si>
    <t>EC.12103</t>
  </si>
  <si>
    <t>EC.12105</t>
  </si>
  <si>
    <t>Electrical 300 Pirie St 2020 - 2021</t>
  </si>
  <si>
    <t>EC.12106</t>
  </si>
  <si>
    <t>Furniture and Gen Bldg Upgrades 2020-21</t>
  </si>
  <si>
    <t>EC.12108</t>
  </si>
  <si>
    <t>Mechanical Keswick North 2020-21</t>
  </si>
  <si>
    <t>EC.12110</t>
  </si>
  <si>
    <t>EC.12111</t>
  </si>
  <si>
    <t>Vehicle Purchases 2020-21</t>
  </si>
  <si>
    <t>EC.12115</t>
  </si>
  <si>
    <t>Telecommunications Unit AssetReplacement</t>
  </si>
  <si>
    <t>EC.12203</t>
  </si>
  <si>
    <t>OT Software 5</t>
  </si>
  <si>
    <t>EC.12204</t>
  </si>
  <si>
    <t>Generator Replacemt 300 Pirie St 2021-22</t>
  </si>
  <si>
    <t>EC.12205</t>
  </si>
  <si>
    <t>Furniture and Gen Bldg Upgrades 2021-22</t>
  </si>
  <si>
    <t>EC.12207</t>
  </si>
  <si>
    <t>Vehicle Purchases 2021-22</t>
  </si>
  <si>
    <t>EC.12210</t>
  </si>
  <si>
    <t>EC.12211</t>
  </si>
  <si>
    <t>EC.12301</t>
  </si>
  <si>
    <t>Automated Asset Condition Assessment</t>
  </si>
  <si>
    <t>EC.12330</t>
  </si>
  <si>
    <t>One IP Substation Network - Stage 2</t>
  </si>
  <si>
    <t>EC.12334</t>
  </si>
  <si>
    <t>Furniture and  General Building upgrades</t>
  </si>
  <si>
    <t>EC.12335</t>
  </si>
  <si>
    <t>Vehicle Purchases 2022-23</t>
  </si>
  <si>
    <t>EC.12336</t>
  </si>
  <si>
    <t>Carpet Upgrades Pirie and Rymill 2022-23</t>
  </si>
  <si>
    <t>EC.12400</t>
  </si>
  <si>
    <t>OT Software 6</t>
  </si>
  <si>
    <t>EC.12402</t>
  </si>
  <si>
    <t>EC.12403</t>
  </si>
  <si>
    <t>EC.12404</t>
  </si>
  <si>
    <t>EC.12406</t>
  </si>
  <si>
    <t>Enterprise Service Bus Integration Upg 2</t>
  </si>
  <si>
    <t>EC.12500</t>
  </si>
  <si>
    <t>EC.14006</t>
  </si>
  <si>
    <t>CLSD R/town-North West Bend LineCorridor</t>
  </si>
  <si>
    <t>EC.14007</t>
  </si>
  <si>
    <t>Supply Chain Management Procedure Develo</t>
  </si>
  <si>
    <t>EC.14008</t>
  </si>
  <si>
    <t>EC.14009</t>
  </si>
  <si>
    <t>SICAM PAS Substation Automation System M</t>
  </si>
  <si>
    <t>EC.14010</t>
  </si>
  <si>
    <t>Automated IED configuration management</t>
  </si>
  <si>
    <t>EC.14011</t>
  </si>
  <si>
    <t>Dynamics ratings systems upgrade</t>
  </si>
  <si>
    <t>EC.14012</t>
  </si>
  <si>
    <t>Operational Data Network Architecture an</t>
  </si>
  <si>
    <t>EC.14013</t>
  </si>
  <si>
    <t>System Switching Writer Enhancement 1</t>
  </si>
  <si>
    <t>EC.14014</t>
  </si>
  <si>
    <t>Energy Mngmnt System Technical Upgrade 2</t>
  </si>
  <si>
    <t>EC.14015</t>
  </si>
  <si>
    <t>EC.14016</t>
  </si>
  <si>
    <t>Asset Cost and Risk Optimisation</t>
  </si>
  <si>
    <t>EC.14017</t>
  </si>
  <si>
    <t>Automated IED Data Capture</t>
  </si>
  <si>
    <t>EC.14018</t>
  </si>
  <si>
    <t>EC.14019</t>
  </si>
  <si>
    <t>Estimating System Upgrade with Maint Enh</t>
  </si>
  <si>
    <t>EC.14020</t>
  </si>
  <si>
    <t>IT Service Operation System</t>
  </si>
  <si>
    <t>EC.14021</t>
  </si>
  <si>
    <t>EC.14023</t>
  </si>
  <si>
    <t>EC.14024</t>
  </si>
  <si>
    <t>SCADA and RTU configuration management</t>
  </si>
  <si>
    <t>EC.14026</t>
  </si>
  <si>
    <t>Inventory Purchases 2020-21</t>
  </si>
  <si>
    <t>EC.14027</t>
  </si>
  <si>
    <t>Inventory Purchases 2021-22</t>
  </si>
  <si>
    <t>EC.14028</t>
  </si>
  <si>
    <t>Inventory Purchases 2022-23</t>
  </si>
  <si>
    <t>EC.14029</t>
  </si>
  <si>
    <t>System Control Centre Fire Suppression S</t>
  </si>
  <si>
    <t>EC.14030</t>
  </si>
  <si>
    <t>Asset Access Manual Rewrite</t>
  </si>
  <si>
    <t>EC.14031</t>
  </si>
  <si>
    <t>Protection Systems Unit Asset Replacemen</t>
  </si>
  <si>
    <t>EC.14032</t>
  </si>
  <si>
    <t>Instrument Transformer Unit Asset Replac</t>
  </si>
  <si>
    <t>EC.14033</t>
  </si>
  <si>
    <t>Circuit Breaker Unit Asset Replacement 2</t>
  </si>
  <si>
    <t>EC.14034</t>
  </si>
  <si>
    <t>Isolator Unit Asset Replacement 2018-23</t>
  </si>
  <si>
    <t>Dynamic Line Rating Weather Station_Nexa</t>
  </si>
  <si>
    <t>EC.14038</t>
  </si>
  <si>
    <t>NCIPAP 1 Riverland 132 kV Line Uprating</t>
  </si>
  <si>
    <t>EC.14039</t>
  </si>
  <si>
    <t>NCIPAP 2 Upper South East Line Uprating</t>
  </si>
  <si>
    <t>EC.14040</t>
  </si>
  <si>
    <t>NCIPAP 3 Lower South East 275 kV Line Up</t>
  </si>
  <si>
    <t>EC.14041</t>
  </si>
  <si>
    <t>NCIPAP 5 Davenport to Robertstown Remova</t>
  </si>
  <si>
    <t>EC.14042</t>
  </si>
  <si>
    <t>Snuggery - Blanche - Mt Gambier Line Upr</t>
  </si>
  <si>
    <t>EC.14045</t>
  </si>
  <si>
    <t>Battery Charger Unit Asset Replacement 2</t>
  </si>
  <si>
    <t>EC.14046</t>
  </si>
  <si>
    <t>AC Board Unit Asset Replacement 2018-23</t>
  </si>
  <si>
    <t>EC.14047</t>
  </si>
  <si>
    <t>Transformer Bushing Unit Asset Replaceme</t>
  </si>
  <si>
    <t>EC.14048</t>
  </si>
  <si>
    <t>Blanche Circuit Breaker Arrangement Upgr</t>
  </si>
  <si>
    <t>EC.14049</t>
  </si>
  <si>
    <t>Leigh Creek Coalfield Transformer 1 and</t>
  </si>
  <si>
    <t>EC.14051</t>
  </si>
  <si>
    <t>Operational Data Network Establishment</t>
  </si>
  <si>
    <t>Alstom HMI Replacement Project</t>
  </si>
  <si>
    <t>EC.14053</t>
  </si>
  <si>
    <t>ElectraNet Corporate Website Functional</t>
  </si>
  <si>
    <t>EC.14054</t>
  </si>
  <si>
    <t>EC.14056</t>
  </si>
  <si>
    <t>Para - Davenport Additional 275 kV Syste</t>
  </si>
  <si>
    <t>EC.14057</t>
  </si>
  <si>
    <t>Pirie Precinct Led Lighting Upgrade</t>
  </si>
  <si>
    <t>EC.14058</t>
  </si>
  <si>
    <t>Server Room Critical Air Conditioning 20</t>
  </si>
  <si>
    <t>EC.14059</t>
  </si>
  <si>
    <t>Keswick Precinct Led Lighting Upgrade</t>
  </si>
  <si>
    <t>EC.14060</t>
  </si>
  <si>
    <t>Workspace Layout Refresh Stage 1</t>
  </si>
  <si>
    <t>EC.14061</t>
  </si>
  <si>
    <t>Workspace Layout Refresh Stage 2</t>
  </si>
  <si>
    <t>EC.14062</t>
  </si>
  <si>
    <t>Workspace Layout Refresh Stage 3</t>
  </si>
  <si>
    <t>EC.14065</t>
  </si>
  <si>
    <t>EC.14066</t>
  </si>
  <si>
    <t>Eastern Hills Telecommunications Tower C</t>
  </si>
  <si>
    <t>EC.14067</t>
  </si>
  <si>
    <t>Lift Upgrade 300 Pirie Street</t>
  </si>
  <si>
    <t>EC.14068</t>
  </si>
  <si>
    <t>Murraylink Control Scheme Replacement</t>
  </si>
  <si>
    <t>EC.14069</t>
  </si>
  <si>
    <t>Telecoms Network Optimisation 2018-23</t>
  </si>
  <si>
    <t>EC.14070</t>
  </si>
  <si>
    <t>EC.14071</t>
  </si>
  <si>
    <t>Robertstown Circuit Breaker Arrangement</t>
  </si>
  <si>
    <t>EC.14072</t>
  </si>
  <si>
    <t>EC.14073</t>
  </si>
  <si>
    <t>EC.14074</t>
  </si>
  <si>
    <t>Neutral Earthing Resistors and Reactors</t>
  </si>
  <si>
    <t>EC.14075</t>
  </si>
  <si>
    <t>Substation Air Conditioning Systems Unit</t>
  </si>
  <si>
    <t>EC.14076</t>
  </si>
  <si>
    <t>Line Support Systems Refurbishment 2018-</t>
  </si>
  <si>
    <t>EC.14077</t>
  </si>
  <si>
    <t>Mannum Transformer 1 and 2 Replacement</t>
  </si>
  <si>
    <t>Leigh Creek Coalfield Reactor 1 and 2 Re</t>
  </si>
  <si>
    <t>EC.14079</t>
  </si>
  <si>
    <t>Building Security Upgrade Unit Asset Rep</t>
  </si>
  <si>
    <t>EC.14080</t>
  </si>
  <si>
    <t>Substation Security Fencing 2018-23</t>
  </si>
  <si>
    <t>EC.14081</t>
  </si>
  <si>
    <t>Line Insulator Systems Refurbishment 201</t>
  </si>
  <si>
    <t>EC.14084</t>
  </si>
  <si>
    <t>Line Conductor and Earthwire Refurbishme</t>
  </si>
  <si>
    <t>EC.14085</t>
  </si>
  <si>
    <t>Gawler East Connection Point</t>
  </si>
  <si>
    <t>EC.14086</t>
  </si>
  <si>
    <t>300 Pirie St Perimeter Facade Upgrade</t>
  </si>
  <si>
    <t>EC.14088</t>
  </si>
  <si>
    <t>High Voltage Switching Training Facility</t>
  </si>
  <si>
    <t>EC.14089</t>
  </si>
  <si>
    <t>Magill High Voltage Workshop Facility</t>
  </si>
  <si>
    <t>EC.14090</t>
  </si>
  <si>
    <t>Mount Gambier Transformer 1 Replacement</t>
  </si>
  <si>
    <t>EC.14091</t>
  </si>
  <si>
    <t>Online Asset Condition Assessment Equipm</t>
  </si>
  <si>
    <t>Playford B Alinta Ash Pond Transmission</t>
  </si>
  <si>
    <t>EC.14097</t>
  </si>
  <si>
    <t>EC.14099</t>
  </si>
  <si>
    <t>EC.14100</t>
  </si>
  <si>
    <t>Asset Data Capture 2</t>
  </si>
  <si>
    <t>EC.14101</t>
  </si>
  <si>
    <t>Workplace Accommodation Alterations 2015</t>
  </si>
  <si>
    <t>EC.14102</t>
  </si>
  <si>
    <t>Telecoms Management Systems Replacement</t>
  </si>
  <si>
    <t>EC.14103</t>
  </si>
  <si>
    <t>Operational Data Network Environment Rep</t>
  </si>
  <si>
    <t>EC.14104</t>
  </si>
  <si>
    <t>Operational Data Network Security Standa</t>
  </si>
  <si>
    <t>EC.14105</t>
  </si>
  <si>
    <t>Brinkworth - Waterloo Bearer Replacement</t>
  </si>
  <si>
    <t>EC.14106</t>
  </si>
  <si>
    <t>IT Service Operation System Upgrade 2</t>
  </si>
  <si>
    <t>EC.14107</t>
  </si>
  <si>
    <t>EC.14108</t>
  </si>
  <si>
    <t>EC.14109</t>
  </si>
  <si>
    <t>EC.14110</t>
  </si>
  <si>
    <t>CAPEX Workforce and Business Planning Sy</t>
  </si>
  <si>
    <t>EC.14111</t>
  </si>
  <si>
    <t>EC.14112</t>
  </si>
  <si>
    <t>EC.14113</t>
  </si>
  <si>
    <t>EC.14114</t>
  </si>
  <si>
    <t>Kilburn Substation Land Acquisition</t>
  </si>
  <si>
    <t>EC.14115</t>
  </si>
  <si>
    <t>EC.14116</t>
  </si>
  <si>
    <t>EC.14117</t>
  </si>
  <si>
    <t>Social Media Monitoring</t>
  </si>
  <si>
    <t>EC.14118</t>
  </si>
  <si>
    <t>EC.14119</t>
  </si>
  <si>
    <t>NCIPAP Load Model Enhancements Capex Com</t>
  </si>
  <si>
    <t>EC.14120</t>
  </si>
  <si>
    <t>Back Up Control and Data Centre</t>
  </si>
  <si>
    <t>EC.14121</t>
  </si>
  <si>
    <t>Project Delivery Optimisation 2</t>
  </si>
  <si>
    <t>EC.14122</t>
  </si>
  <si>
    <t>Davenport Under-voltage Load Shedding</t>
  </si>
  <si>
    <t>EC.14126</t>
  </si>
  <si>
    <t>Monash and Berri Relay Replacement</t>
  </si>
  <si>
    <t>EC.14127</t>
  </si>
  <si>
    <t>GE D20 RTU Product Upgrades</t>
  </si>
  <si>
    <t>EC.14128</t>
  </si>
  <si>
    <t>SDM Framework for C50 RTU Upgrades</t>
  </si>
  <si>
    <t>EC.14129</t>
  </si>
  <si>
    <t>HV Test Equipment 2015-16</t>
  </si>
  <si>
    <t>EC.14130</t>
  </si>
  <si>
    <t>Magill Substation TF Fire Extinguishing</t>
  </si>
  <si>
    <t>EC.14131</t>
  </si>
  <si>
    <t>Motorised Isolator LOPA Improvement</t>
  </si>
  <si>
    <t>EC.14132</t>
  </si>
  <si>
    <t>Isolator Status Indication</t>
  </si>
  <si>
    <t>EC.14134</t>
  </si>
  <si>
    <t>Spare 160 MVA 275_132 kV Transformer</t>
  </si>
  <si>
    <t>Total</t>
  </si>
  <si>
    <t>3</t>
  </si>
  <si>
    <t>Network</t>
  </si>
  <si>
    <t>L (&gt;$5M)</t>
  </si>
  <si>
    <t>Level A</t>
  </si>
  <si>
    <t>Nic Moffa</t>
  </si>
  <si>
    <t>Kristian Masters</t>
  </si>
  <si>
    <t>2013-2018</t>
  </si>
  <si>
    <t>Y</t>
  </si>
  <si>
    <t>Near Metropolitan</t>
  </si>
  <si>
    <t>Yes</t>
  </si>
  <si>
    <t>S (&lt;$1M)</t>
  </si>
  <si>
    <t>Elena Zagorenko</t>
  </si>
  <si>
    <t>Regulated Capex</t>
  </si>
  <si>
    <t>2018-2023</t>
  </si>
  <si>
    <t>Non Contingent</t>
  </si>
  <si>
    <t>Rev Reset 2018-2023</t>
  </si>
  <si>
    <t>M ($1-$5M)</t>
  </si>
  <si>
    <t>EC.14144 Waterloo East - MWPS4 F1888 132 kV Line Conductor and Earthwire Refurbishment</t>
  </si>
  <si>
    <t>EC.14143 Waterloo – Waterloo East F1806 132 kV Line Conductor and Earthwire Refurbishment</t>
  </si>
  <si>
    <t>EC.14142 Robertstown – MWPS3 F1847 132 kV Line Conductor and Earthwire Refurbishment</t>
  </si>
  <si>
    <t>EC.14141 MWPS2 – MWPS1 F1853 132 kV Line Conductor and Earthwire Refurbishment</t>
  </si>
  <si>
    <t>EC.14140 MWPS4 - Robertstown F1855 132 kV Line Conductor and Earthwire Refurbishment</t>
  </si>
  <si>
    <t>EC.14139 MWPS3 – MWPS2 F1849 132 kV Line Conductor and Earthwire Refurbishment</t>
  </si>
  <si>
    <t>No</t>
  </si>
  <si>
    <t>Re Reset 2018-2023</t>
  </si>
  <si>
    <t>EC.14138 MWPS1 – NWB F1854 132 kV Line Conductor and Earthwire Refurbishment</t>
  </si>
  <si>
    <t>1</t>
  </si>
  <si>
    <t>EC.14132 Isolator Status Indication rev 1</t>
  </si>
  <si>
    <t>Rachelle Gansan</t>
  </si>
  <si>
    <t>EC.14130 Magill Substation TF Fire Extinguishing Systems Replacement</t>
  </si>
  <si>
    <t>Engineering</t>
  </si>
  <si>
    <t>Non Network</t>
  </si>
  <si>
    <t>EC.14128 SDM Framework for C50 RTU Upgrades rev 1</t>
  </si>
  <si>
    <t>EC.14127 GE D20 RTU Product Upgrades</t>
  </si>
  <si>
    <t>EC.14126 Monash and Berri Relay Replacements -REV 1</t>
  </si>
  <si>
    <t>CPI</t>
  </si>
  <si>
    <t>Not applicable</t>
  </si>
  <si>
    <t>2</t>
  </si>
  <si>
    <t>High</t>
  </si>
  <si>
    <t>Mijail Alarcon</t>
  </si>
  <si>
    <t>Claudia Sakamoto</t>
  </si>
  <si>
    <t>Upper North</t>
  </si>
  <si>
    <t>EC.14122 Davenport Under-Voltage Scheme Stage 1 rev 2</t>
  </si>
  <si>
    <t>ICT</t>
  </si>
  <si>
    <t>4</t>
  </si>
  <si>
    <t>Telco</t>
  </si>
  <si>
    <t>Mid North</t>
  </si>
  <si>
    <t>EC.14102 Telecoms Management Systems Replacement 2018-2023 rev 1</t>
  </si>
  <si>
    <t>7</t>
  </si>
  <si>
    <t>Medium</t>
  </si>
  <si>
    <t>6</t>
  </si>
  <si>
    <t>South East</t>
  </si>
  <si>
    <t>Rev Reset 2013-2018</t>
  </si>
  <si>
    <t>EC.14086 Stakeholder Management Systems Upgrade 1</t>
  </si>
  <si>
    <t>5</t>
  </si>
  <si>
    <t>Template Sub over 25M</t>
  </si>
  <si>
    <t>EC.14085 Gawler East Substation Establishment - Option 2 EN TF - rev 5</t>
  </si>
  <si>
    <t>Weighted Average</t>
  </si>
  <si>
    <t>David Tansell</t>
  </si>
  <si>
    <t>Jeff Ashworth</t>
  </si>
  <si>
    <t>Line Refurbishment</t>
  </si>
  <si>
    <t>Only ENET works</t>
  </si>
  <si>
    <t>EC.14080 Substation Security Fencing 2018-2023 ENET works rev 6</t>
  </si>
  <si>
    <t>Rev reset 2018-2023</t>
  </si>
  <si>
    <t>EC.14079 Building Security Upgrade Unit Asset Replacement 2018-2023 rev 2</t>
  </si>
  <si>
    <t>Eastern Hills</t>
  </si>
  <si>
    <t>EC.14074 Neutral Earthing Resistors and Reactors Fault Ratings Protection rev 4</t>
  </si>
  <si>
    <t>EC.14073 South East 132kV Reclosing Risk Mitigation rev 4</t>
  </si>
  <si>
    <t>EC.14072 Mid North 132kV Reclosing Risk Mitigation rev 4</t>
  </si>
  <si>
    <t>EC.14069 Telecoms Network Optimisation 2018-2023 rev 1</t>
  </si>
  <si>
    <t>EC.14068 Murraylink Control Scheme Replacement -rev 2</t>
  </si>
  <si>
    <t>EC.14067 Lift Upgrade Pirie Street rev 2</t>
  </si>
  <si>
    <t>EC.14062 Workspace Layout Refresh Stage 3 rev 2</t>
  </si>
  <si>
    <t>EC.14061 Workspace Layout Refresh Stage 2 rev 2</t>
  </si>
  <si>
    <t>EC.14060 Workspace Layout Refresh Stage 1 rev 2</t>
  </si>
  <si>
    <t>EC.14058 Server Room Critical Air Conditioning</t>
  </si>
  <si>
    <t>EC.14057 Pirie Street LED Lighting Upgrade</t>
  </si>
  <si>
    <t>Single Cap Bank</t>
  </si>
  <si>
    <t>10</t>
  </si>
  <si>
    <t>EC.14054 Murray Bridge - Hahndorf No3 Pumping Station Substation rev 10</t>
  </si>
  <si>
    <t>Approved (Phase 3/4)</t>
  </si>
  <si>
    <t>Raghav Bhartinder</t>
  </si>
  <si>
    <t>Main Grid</t>
  </si>
  <si>
    <t>EC.14053 Corporate Website Functional Upgrade rev 4</t>
  </si>
  <si>
    <t>EC.14051 Operational Data Network Establishment - rev 1</t>
  </si>
  <si>
    <t>EC.14048 Blanche Circuit Breaker Arrangement Upgrade rev 4</t>
  </si>
  <si>
    <t>2018-2023 Rev Reset</t>
  </si>
  <si>
    <t>EC.14042 Canowie Circuit Breaker Arranagement Upgrade rev 5</t>
  </si>
  <si>
    <t>EC.14039 NCIPAP 2 Upper South Line Uprate F1942 and F1835 level 2 estimate rev1</t>
  </si>
  <si>
    <t>8</t>
  </si>
  <si>
    <t>EC.14032 Instrument Transformer Unit Asset Replacement 2018-23 rev 8</t>
  </si>
  <si>
    <t>EC.14024 SCADA and RTU configuration management</t>
  </si>
  <si>
    <t>EC.14021 Supplier Relationship Management System</t>
  </si>
  <si>
    <t>EC.14020 IT Service Operation System</t>
  </si>
  <si>
    <t>EC.14018 Treasury Systems</t>
  </si>
  <si>
    <t>EC.14017 Automated IED data capture rev 2</t>
  </si>
  <si>
    <t>EC.14015 IT Architecture Support Systems</t>
  </si>
  <si>
    <t>EC.14014 Energy Management System Technical Upgrade 2 rev 2</t>
  </si>
  <si>
    <t>EC.14013 System Switching Writer Enhancement 1 rev 2</t>
  </si>
  <si>
    <t>EC.14011 Dynamics Ratings System Upgrade rev 2</t>
  </si>
  <si>
    <t>EC.14010 Automated IED configuration management</t>
  </si>
  <si>
    <t>EC.12500 VOIP Network Refresh rev 1</t>
  </si>
  <si>
    <t>EC.12400 IT OCS Software 6 rev 2</t>
  </si>
  <si>
    <t>EC.12336 Carpet Upgrades to Pirie and Rymill 2022-2023 rev 2</t>
  </si>
  <si>
    <t>EC.12335 Vehicle Purchases 2022-2023 rev 3</t>
  </si>
  <si>
    <t>EC.12334 Furniture and Building Upgrade 2022-2023 rev 2</t>
  </si>
  <si>
    <t>EC.12330 One IP Substation Network Stage 2 rev 2</t>
  </si>
  <si>
    <t>EC.12207 Vehicle Purchases 2021-2022 rev 4</t>
  </si>
  <si>
    <t>EC.12205 Furniture and Building Upgrades 2021-2022 rev 3</t>
  </si>
  <si>
    <t>EC.12204 Generator Replacement 300 Pirie St 2021-2022 rev 3</t>
  </si>
  <si>
    <t>EC.12203 IT OCS Software 5 rev 2</t>
  </si>
  <si>
    <t>EC.12115 Telco Asset Replacement 2018-2023 rev 2</t>
  </si>
  <si>
    <t>Increase functionality of the outage management system &amp; processes to help deal with increased work</t>
  </si>
  <si>
    <t>EC.12112 Outage Management Functional Upgrade rev 1 BP072013</t>
  </si>
  <si>
    <t>EC.12112</t>
  </si>
  <si>
    <t>EC.12111 Vehicle Purchases 2020-2021 rev 4</t>
  </si>
  <si>
    <t>EC.12110 Mechanical Keswick South 2020-2021 rev 3</t>
  </si>
  <si>
    <t>EC.12108 Mechanical Keswick North 2020-2021 rev 3</t>
  </si>
  <si>
    <t>EC.12106 Furniture Building Upgrades 2020-2021 rev 3</t>
  </si>
  <si>
    <t>EC.12105 Electrical 300 Pirie St 2020-2021 rev 3</t>
  </si>
  <si>
    <t>EC.12103 Transmission Operator Situational Awareness rev 3</t>
  </si>
  <si>
    <t>EC.12101 Records Management</t>
  </si>
  <si>
    <t>EC.12073 IT OCS Software 4 rev 2</t>
  </si>
  <si>
    <t>EC.12030 Vehicle Purhases 2019-2020 rev 4</t>
  </si>
  <si>
    <t>EC.12028 Furniture and Building Upgrades 2019-2020 rev 3</t>
  </si>
  <si>
    <t>EC.12027 Mechanical 300 Pirie St 2018-2019 rev 3</t>
  </si>
  <si>
    <t>9</t>
  </si>
  <si>
    <t>EC.12014 Protection System Modelling and Validation Tool rev 2</t>
  </si>
  <si>
    <t>EC.12011 Drawing Mgmt Functional Enhancements 1 rev 3</t>
  </si>
  <si>
    <t>Geospacial Systems Functional Enhancements</t>
  </si>
  <si>
    <t>EC.12003 Geospacial Systems Functional Enhancements</t>
  </si>
  <si>
    <t>EC.12003</t>
  </si>
  <si>
    <t>EC.11975 OPSWAN Replacement 2017-2019 - Rev 3 BP072013</t>
  </si>
  <si>
    <t>EC.11975</t>
  </si>
  <si>
    <t>rev 2</t>
  </si>
  <si>
    <t>EC.11917 Investigation and Integration of New Technologies rev 2</t>
  </si>
  <si>
    <t>EC.11916 Vehicle Purchases 2018-2019 rev 4</t>
  </si>
  <si>
    <t>EC.11915 Furniture and Building Upgrades 2018-2019 rev 3</t>
  </si>
  <si>
    <t>EC.11900 Intranet refresh 1</t>
  </si>
  <si>
    <t>Revenue Reset 2013-2018</t>
  </si>
  <si>
    <t>EC.11899 Fleet Vehicles Purchase 2017-2018 rev 3</t>
  </si>
  <si>
    <t>EC.11896 Mechanical 300 &amp; 276 Pirie St. 2017-2018 rev 1 BP072013</t>
  </si>
  <si>
    <t>EC.11896</t>
  </si>
  <si>
    <t>EC.11894 Inventory Replenishment 2017-2018 rev 3</t>
  </si>
  <si>
    <t>17</t>
  </si>
  <si>
    <t>ETSA</t>
  </si>
  <si>
    <t>Ken Kow</t>
  </si>
  <si>
    <t>EC.11890 Unit Asset Replacement Level 3 rev 17</t>
  </si>
  <si>
    <t>EC.11884 Fire Protection Rymill - Sprinkler System</t>
  </si>
  <si>
    <t>EC.11884</t>
  </si>
  <si>
    <t>Revenue Reest 2013-2018</t>
  </si>
  <si>
    <t>EC.11882 General Utility Upgrade 2017 - 2018 rev 3</t>
  </si>
  <si>
    <t>EC.11881 Furniture and General Building Upgrades 2017 - 2018 - rev 3</t>
  </si>
  <si>
    <t>EC.11880 Fire Protection 300 Pirie St - Sprinkler System rev 3</t>
  </si>
  <si>
    <t>EC.11877 Kilburn Substation Upgrade rev 10</t>
  </si>
  <si>
    <t>EC.11876 Integarated Network Modelling System rev 3</t>
  </si>
  <si>
    <t>EC.11873 OT Software 3 rev 4</t>
  </si>
  <si>
    <t>EC.11872 IT Security 3 rev 4</t>
  </si>
  <si>
    <t>EC.11871 IT Software 3 rev 3</t>
  </si>
  <si>
    <t>EC.11870 IT Hardware 3 rev 3</t>
  </si>
  <si>
    <t>EC.11865 network Configuration Management Upgrade 1 rev 2</t>
  </si>
  <si>
    <t>EC.11861 Telecommunications Network Optimisation Stage 2 - rev4 BP072013</t>
  </si>
  <si>
    <t>EC.11860 Tel Asset Replacement - South East Region - rev4 BP072013</t>
  </si>
  <si>
    <t>EC.11860</t>
  </si>
  <si>
    <t>Riverland</t>
  </si>
  <si>
    <t>EC.11859 Tel Asset Replacement - Riverland Region - rev4 BP072013</t>
  </si>
  <si>
    <t>EC.11859</t>
  </si>
  <si>
    <t>Eyre Peninsula</t>
  </si>
  <si>
    <t>EC.11858 Tel Asset Replacement - Eyre Region - rev4 BP072013</t>
  </si>
  <si>
    <t>EC.11858</t>
  </si>
  <si>
    <t>EC.11857 Tel Asset Replacement - Upper North Region - rev 5</t>
  </si>
  <si>
    <t>EC.11857</t>
  </si>
  <si>
    <t>EC.11856 Tel Asset Replacement - Mid North Region - rev4 BP072013</t>
  </si>
  <si>
    <t>EC.11856</t>
  </si>
  <si>
    <t>EC.11855 Tel Asset Replacement - Eastern Hills Region - rev4 BP072013</t>
  </si>
  <si>
    <t>EC.11855</t>
  </si>
  <si>
    <t>EC.11853 Telecommunications SDM Major Review - Rev2 BP072013</t>
  </si>
  <si>
    <t>EC.11853</t>
  </si>
  <si>
    <t>EC.11852 Operational Historian Upgrade rev 2</t>
  </si>
  <si>
    <t>EC.11851 Transmission Billing rev 2 BP072013</t>
  </si>
  <si>
    <t>EC.11851</t>
  </si>
  <si>
    <t>Veerendra Kata</t>
  </si>
  <si>
    <t>18</t>
  </si>
  <si>
    <t>Concept Endorsed (Phase 2)</t>
  </si>
  <si>
    <t>EC.11826 Dalrymple Substation- Brownfield Phase 2 Option 4 Rev 18</t>
  </si>
  <si>
    <t>EC.11825-Radial Supply Reliability Improvement Rev 7 BP072013</t>
  </si>
  <si>
    <t>EC.11825</t>
  </si>
  <si>
    <t>Market Benefit</t>
  </si>
  <si>
    <t>EC.11824 Weather Stations For Dynamic Line Rating</t>
  </si>
  <si>
    <t>EC.11822 Riverland Telecommunications Bearer  rev 3 BP072013</t>
  </si>
  <si>
    <t>EC.11816 One IP Substation Network Stage 1 Level 3 rev 2</t>
  </si>
  <si>
    <t>EC.11812 Substation Automation and Alarm rev 2 BP072013</t>
  </si>
  <si>
    <t>EC.11812</t>
  </si>
  <si>
    <t>EC.11811 Outage Management Functional Upgrade 2 rev 2</t>
  </si>
  <si>
    <t>EC.11810 Historian Upgrade 1 rev 3</t>
  </si>
  <si>
    <t>EC.11809 Common Information-Connectivity Model rev 2 BP072013</t>
  </si>
  <si>
    <t>EC.11808 Office Systems Refresh 1 rev 3</t>
  </si>
  <si>
    <t>ICT Systems Management 2017-2019</t>
  </si>
  <si>
    <t>EC.11807 ICT Systems Management 2017-2019  rev 1</t>
  </si>
  <si>
    <t>EC.11807</t>
  </si>
  <si>
    <t>SAP Functional Enhancements 2017-2018</t>
  </si>
  <si>
    <t>EC.11803 SAP Functional Enhancements 2017-2018 rev 2 BP072013</t>
  </si>
  <si>
    <t>EC.11802 Business Intelligence Upgrade 3 rev 2</t>
  </si>
  <si>
    <t>EC.11794 Inventory Replenishment 2016-2017 rev 3</t>
  </si>
  <si>
    <t>EC.11782 Building Generator 300 Pirie St</t>
  </si>
  <si>
    <t>EC.11782</t>
  </si>
  <si>
    <t>EC.11781 Furniture and General Building Upgrades 2016 - 2017 - rev 3</t>
  </si>
  <si>
    <t>EC.11775 OPSWAN Replacement 2015-2017  rev 2 BP072013</t>
  </si>
  <si>
    <t>EC.11775</t>
  </si>
  <si>
    <t>Activated (Phase 1)</t>
  </si>
  <si>
    <t>Minh Nguyen</t>
  </si>
  <si>
    <t>EC.11751 Westinghouse RTU Replacement rev 6</t>
  </si>
  <si>
    <t>EC.11742 Baroota Substation Upgrade Option 1 Refurbishment Revised Scope Rev 4</t>
  </si>
  <si>
    <t>EC.11741 Database Management Systems Consolidation 2</t>
  </si>
  <si>
    <t>Land</t>
  </si>
  <si>
    <t>Easement/Land</t>
  </si>
  <si>
    <t>SLAP2013/18</t>
  </si>
  <si>
    <t>EC.11739 Templers to Para 275kV Double Circuit Land &amp; Easements - Rev4 BP072013</t>
  </si>
  <si>
    <t>EC.11738 Mallala to Para 275kV Double Circuit Land &amp; Easements - Rev4</t>
  </si>
  <si>
    <t>EC.11734 Network Arial Laser Survey - rev 2 BP072013</t>
  </si>
  <si>
    <t>EC.11733 Online Condition Monitoring Equipment Replacement rev 4</t>
  </si>
  <si>
    <t>EC.11732 Outage Management Functional Upgrade 1 rev 2</t>
  </si>
  <si>
    <t>EC.11731 Fleet Vehicles Purchase 2016-2017 rev 3</t>
  </si>
  <si>
    <t>EC.11717 UPS Battery Bank - rev 3</t>
  </si>
  <si>
    <t>Project &amp; Portfolio Management Systems Functional Enhancements 2015-2017</t>
  </si>
  <si>
    <t>EC.11715 Project &amp; Portfolio Management Systems Functional Enhancements 2015-2017</t>
  </si>
  <si>
    <t>EC.11715</t>
  </si>
  <si>
    <t>EC.11712 Engineering Systems Enhancements 2015-2017 rev 1BP072013</t>
  </si>
  <si>
    <t>Archiving Solutions 2016-2018</t>
  </si>
  <si>
    <t>EC.11706 Archiving Solutions 2013-2015 - rev 2 BP072013</t>
  </si>
  <si>
    <t>Drawing Management Systems Augmentation 2015-2017</t>
  </si>
  <si>
    <t>EC.11705 Drawing Management Systems Augmentation 2015-2017</t>
  </si>
  <si>
    <t>EC.11705</t>
  </si>
  <si>
    <t>EC.11694 Inventory Replenishment 2015-2016 rev 3</t>
  </si>
  <si>
    <t>EC.11681 Furniture and General Building Upgrades 2015 -2016 - rev 3</t>
  </si>
  <si>
    <t>EC.11673 IT OCS Software 2014-2016</t>
  </si>
  <si>
    <t>EC.11672 ICT Security 2014-2016 rev 1 BP072013</t>
  </si>
  <si>
    <t>ICT Software 2014-2016</t>
  </si>
  <si>
    <t>EC.11671 ICT Software 2014-2016 - rev 2 BP072013</t>
  </si>
  <si>
    <t>ICT Hardware 2014-2016</t>
  </si>
  <si>
    <t>EC.11670 ICT Hardware 2014-2016 rev 1 BP072013</t>
  </si>
  <si>
    <t>Peter Van Schaijik</t>
  </si>
  <si>
    <t>EC.11660 Substation 110V Battery Charger Replacements Level 3</t>
  </si>
  <si>
    <t>Level 3 Estimate</t>
  </si>
  <si>
    <t>EC.11659 Substation Building Refurbishment  rev 2</t>
  </si>
  <si>
    <t>EC.11657 Meduim Term Accomodation</t>
  </si>
  <si>
    <t>EC.11657</t>
  </si>
  <si>
    <t>EC.11656 Transmission Line Vegetation Management System rev 2</t>
  </si>
  <si>
    <t>EC.11652 Fleet Replacement Vehicles 2015-2016 rev 3</t>
  </si>
  <si>
    <t>EC.11651 Carpet 300 &amp; 276 Pirie St. 2015-2016 rev1 BP072013</t>
  </si>
  <si>
    <t>EC.11651</t>
  </si>
  <si>
    <t>EC.11650 Electrical 300 Pirie St. &amp; Keswick 2015-2016 rev 2</t>
  </si>
  <si>
    <t>EC.11649 Mechanical 300 Pirie St. 2015-2016 rev 2</t>
  </si>
  <si>
    <t>EC.11648 UPS &amp; Battery Bank BUCC 2015-2016 rev 2</t>
  </si>
  <si>
    <t>Revenue Rest 2013-2018</t>
  </si>
  <si>
    <t>EC.11647 Eyre Peninsula  Voltage Control Scheme Rev4 BP072013</t>
  </si>
  <si>
    <t>EC.11647</t>
  </si>
  <si>
    <t>Faraz Sabetzadeh</t>
  </si>
  <si>
    <t>EC.11646 Upper North and Eyre Peninsula Voltage Control Scheme - Rev6</t>
  </si>
  <si>
    <t>EC.11645 Reactive Plant Control Systems - Rev 6 BP072013</t>
  </si>
  <si>
    <t>EC.11638 Operational Logging and Fault Investigation Systems rev 3</t>
  </si>
  <si>
    <t>EC.11632 OPSWAN Implementation 2014-2016 - rev 2</t>
  </si>
  <si>
    <t>EC.11632</t>
  </si>
  <si>
    <t>EC.11619 Fire Protection 300 Pirie 2015 - 2016 rev 2</t>
  </si>
  <si>
    <t>EC.11618 Carpet Keswick 2015 -2016 - rev2 BP072013</t>
  </si>
  <si>
    <t>EC.11615 Asset Design Manuals (ADM) Major Rewrite</t>
  </si>
  <si>
    <t>One Network Refresh 2013-2016</t>
  </si>
  <si>
    <t>EC.11610 One Network Refresh 2013-2016 rev1 BP072013</t>
  </si>
  <si>
    <t>Jim Eliades</t>
  </si>
  <si>
    <t>EC.11602 Tailem Bend CB Upgrade Level 3</t>
  </si>
  <si>
    <t>EC.11594 Inventory Replenishment 2014-2015 rev1 BP072013</t>
  </si>
  <si>
    <t>EC.11581 Furniture and General Building Upgrades 2014 - 2015 - rev2 BP072013</t>
  </si>
  <si>
    <t>EC.11567 Accounts Payable Optimisation  rev 5 level 3</t>
  </si>
  <si>
    <t>Maya Lothian</t>
  </si>
  <si>
    <t>EC.11566 Workforce and Business Planning rev 1</t>
  </si>
  <si>
    <t>EC.11564 Magill/East Terrace Cable Joint Monitoring C45 - Rev 3 BP072013</t>
  </si>
  <si>
    <t>EC.11564</t>
  </si>
  <si>
    <t>EC.11562 Transmission Line Inspection Data Analysis Tool rev 2</t>
  </si>
  <si>
    <t>EC.11561 Magill/East Terrace Cable Instrument Replacement - C45 - Rev3 BP072013</t>
  </si>
  <si>
    <t>EC.11561</t>
  </si>
  <si>
    <t>EC.11560 Magill/East Terrace Cable Pit Construction - C45 - Rev3 BP072013</t>
  </si>
  <si>
    <t>EC.11559 Fleet Replacement Vehicles 2014-2015 rev1 BP072013</t>
  </si>
  <si>
    <t>EC.11558 Electrical 300 Pirie St. 2014-2015 rev1 BP072013</t>
  </si>
  <si>
    <t>EC.11554 UPS Battery Bank No.2 - rev2 BP072013</t>
  </si>
  <si>
    <t>EC.11553 South East Substation to Heywood Telecommunications Bearer rev 4 BP072013</t>
  </si>
  <si>
    <t>Control Room Refurbishment version 1</t>
  </si>
  <si>
    <t>EC.11551 Control Room Asset Replacement version rev 2</t>
  </si>
  <si>
    <t>Alex Trento</t>
  </si>
  <si>
    <t>EC.11549 Switching System Writer rev5 Phase 2/3 - Option 2</t>
  </si>
  <si>
    <t>EC.11538 Project and Portfolio Management System Functional Upgrade 1 rev 3</t>
  </si>
  <si>
    <t>Business Intelligence Technology Upgrade 2014-2015</t>
  </si>
  <si>
    <t>EC.11533 Business Intelligence Technology Upgrade 2014-2015 rev1 BP072013</t>
  </si>
  <si>
    <t>EC.11532 Fire Protection Rymill 2014 - 2015</t>
  </si>
  <si>
    <t>EC.11532</t>
  </si>
  <si>
    <t>IT Storage and Virtualisation Refurbishment</t>
  </si>
  <si>
    <t>EC.11524 IT Storage and Virtualisation Refurbishment - rev 2 BP072013</t>
  </si>
  <si>
    <t>ICT Systems Management 2014-2015</t>
  </si>
  <si>
    <t>EC.11523 ICT Systems Management 2014-2015 - rev 2 BP072013</t>
  </si>
  <si>
    <t>SAP Upgrade Technology</t>
  </si>
  <si>
    <t>EC.11517 SAP Upgrade Technology</t>
  </si>
  <si>
    <t>EC.11517</t>
  </si>
  <si>
    <t>EC.11516 SAP Functional Upgrade 1 rev 2</t>
  </si>
  <si>
    <t>Data Quality</t>
  </si>
  <si>
    <t>EC.11515 Data Quality</t>
  </si>
  <si>
    <t>EC.11515</t>
  </si>
  <si>
    <t>Chris Markopoulos</t>
  </si>
  <si>
    <t>EC.11505 Mt Gunson Substation Replacement (based on contractors scope) rev 7 L2</t>
  </si>
  <si>
    <t>EC.11494 Inventory Replenishment 2013-2014 rev1 BP072013</t>
  </si>
  <si>
    <t>EC.11482 General Utility Upgrade 2013 - 2014 rev1 BP072013</t>
  </si>
  <si>
    <t>EC.11481 Furniture and General Building Upgrades 2013 - 2014 - rev2 BP072013</t>
  </si>
  <si>
    <t>EC.11452 Project Delivery Optimisation NOT COMPLETE</t>
  </si>
  <si>
    <t>rev 5</t>
  </si>
  <si>
    <t>EC.11448 Cultana to Stony Point Line Refurbishment - rev 5 BP072013</t>
  </si>
  <si>
    <t>EC.11448</t>
  </si>
  <si>
    <t>rev 8</t>
  </si>
  <si>
    <t>EC.11447 Magill to Happy Valley Line Refurbishment - Level 2 - rev 8 I4 VERSION KM</t>
  </si>
  <si>
    <t>rev 9</t>
  </si>
  <si>
    <t>EC.11446 Brinkworth to Mintaro Line Refurbishment - Level 2 - rev 9</t>
  </si>
  <si>
    <t>EC.11445 Tailem Bend to Keith No 2 Line Refurbishment - Level 2 - rev 9 for tender comparison</t>
  </si>
  <si>
    <t>EC.11444 Penola West to South East Line Refurbishment - Level 2 - rev 8A</t>
  </si>
  <si>
    <t>EC.11442 Fleet Replacement Vehicles  2013-2014 rev1 BP072013</t>
  </si>
  <si>
    <t>EC.11439 Emergency Supplies 300 Pirie St rev1 BP072013</t>
  </si>
  <si>
    <t>BUCC Refurishment</t>
  </si>
  <si>
    <t>EC.11437 BUCC Refurishment - Rev 2 BP072013</t>
  </si>
  <si>
    <t>EC.11426 NCIPAP 4 Waterloo East to Robertstown 132kV Line Uprate rev 1</t>
  </si>
  <si>
    <t>EC.11399 Risk Management System rev 1</t>
  </si>
  <si>
    <t>EC.11379 Energy Management System Upgrade 1 - Level 1 - rev 5</t>
  </si>
  <si>
    <t>Michael Forder</t>
  </si>
  <si>
    <t>EC.11316 SA Water Pump Stations Replacement  (8 sites) level 2 Umbrella - rev 1</t>
  </si>
  <si>
    <t>EC.11134 Integrated Budgeting and Forecasting</t>
  </si>
  <si>
    <t>EC.10703 Para SVC Secondary System Replacement - rev 8 BP072013</t>
  </si>
  <si>
    <t>Created (Phase 0)</t>
  </si>
  <si>
    <t>EC.10517 South East CB Upgrade Compliance and Security - Rev 17</t>
  </si>
  <si>
    <t>11</t>
  </si>
  <si>
    <t>Dorin Costan</t>
  </si>
  <si>
    <t>Compensation Site</t>
  </si>
  <si>
    <t>EC.10344 Black Range Series 132kV Series Compensation - Option B - Rev 11</t>
  </si>
  <si>
    <t>Risk Included</t>
  </si>
  <si>
    <t>Escalation Type</t>
  </si>
  <si>
    <t>Land Easements</t>
  </si>
  <si>
    <t>Commission Date</t>
  </si>
  <si>
    <t>End Date</t>
  </si>
  <si>
    <t>Start Date</t>
  </si>
  <si>
    <t>Revision Number</t>
  </si>
  <si>
    <t>Estimate Type</t>
  </si>
  <si>
    <t>Priority</t>
  </si>
  <si>
    <t>Dual Contractor</t>
  </si>
  <si>
    <t>Business Plan</t>
  </si>
  <si>
    <t>Capex Opex</t>
  </si>
  <si>
    <t>Project Size</t>
  </si>
  <si>
    <t>Project Manager</t>
  </si>
  <si>
    <t>Estimators Name</t>
  </si>
  <si>
    <t>Reset Period</t>
  </si>
  <si>
    <t>Category</t>
  </si>
  <si>
    <t>Revenue Reset</t>
  </si>
  <si>
    <t>Network Non Network</t>
  </si>
  <si>
    <t>Preferred Option</t>
  </si>
  <si>
    <t>Contingent Status</t>
  </si>
  <si>
    <t>Region</t>
  </si>
  <si>
    <t>Description</t>
  </si>
  <si>
    <t>Name</t>
  </si>
  <si>
    <t>Project ID</t>
  </si>
  <si>
    <t>CAPEX / OPEX</t>
  </si>
  <si>
    <t>,Non Contingent</t>
  </si>
  <si>
    <t>,Network,Non Network</t>
  </si>
  <si>
    <t>Network Status</t>
  </si>
  <si>
    <t>,Augmentation,Connection,Easement/Land,Facilities,Information Technology,Inventory/Spares,Other,Refurbishment,Replacement,Security/Compliance</t>
  </si>
  <si>
    <t>Revenue Reset Period</t>
  </si>
  <si>
    <t>Printed</t>
  </si>
  <si>
    <t>Selection</t>
  </si>
  <si>
    <t>Parameter</t>
  </si>
  <si>
    <t>All Projects Details - Asset Classes</t>
  </si>
  <si>
    <t>20002</t>
  </si>
  <si>
    <t>10201</t>
  </si>
  <si>
    <t>10200</t>
  </si>
  <si>
    <t>30000</t>
  </si>
  <si>
    <t>20001</t>
  </si>
  <si>
    <t>20000</t>
  </si>
  <si>
    <t>10300</t>
  </si>
  <si>
    <t>30200</t>
  </si>
  <si>
    <t>10102</t>
  </si>
  <si>
    <t>10003</t>
  </si>
  <si>
    <t>10013</t>
  </si>
  <si>
    <t>10005</t>
  </si>
  <si>
    <t>10014</t>
  </si>
  <si>
    <t>10007</t>
  </si>
  <si>
    <t>10015</t>
  </si>
  <si>
    <t>10101</t>
  </si>
  <si>
    <t>10100</t>
  </si>
  <si>
    <t>10011</t>
  </si>
  <si>
    <t>10104</t>
  </si>
  <si>
    <t>Commercial Buildings</t>
  </si>
  <si>
    <t>Communications - Civil</t>
  </si>
  <si>
    <t>Communications - Other</t>
  </si>
  <si>
    <t>Computers, software, and office machines</t>
  </si>
  <si>
    <t>Easement</t>
  </si>
  <si>
    <t>Network Switching Centres</t>
  </si>
  <si>
    <t>Office furniture, movable plant, and misc</t>
  </si>
  <si>
    <t>Substation Primary Plant</t>
  </si>
  <si>
    <t>Substation Demountable Buildings</t>
  </si>
  <si>
    <t>Substation Establishment</t>
  </si>
  <si>
    <t>Substation Fences</t>
  </si>
  <si>
    <t>Substation Secondary Systems - Electro-mechanical</t>
  </si>
  <si>
    <t>Substation Secondary Systems - Electronic</t>
  </si>
  <si>
    <t>Transmission lines - Overhead</t>
  </si>
  <si>
    <t>Transmission lines - Underground</t>
  </si>
  <si>
    <t>Refurbishment 2008-13</t>
  </si>
  <si>
    <t>Transmission Line Refit - insulators replacement 2013-18</t>
  </si>
  <si>
    <t>10000</t>
  </si>
  <si>
    <t>10001</t>
  </si>
  <si>
    <t>10002</t>
  </si>
  <si>
    <t>10004</t>
  </si>
  <si>
    <t>10103</t>
  </si>
  <si>
    <t>N/A</t>
  </si>
  <si>
    <t>30004</t>
  </si>
  <si>
    <t>30005</t>
  </si>
  <si>
    <t>30201</t>
  </si>
  <si>
    <t>30300</t>
  </si>
  <si>
    <t>30400</t>
  </si>
  <si>
    <t>Equity Raising Cost - 2003 Opening RAB and 2003-08 capex</t>
  </si>
  <si>
    <t>Equity Raising Cost 2013-2018</t>
  </si>
  <si>
    <t>Escalate to Capitalisation year</t>
  </si>
  <si>
    <t>End Year Factor</t>
  </si>
  <si>
    <t>Last Spend year</t>
  </si>
  <si>
    <t>AIS Year</t>
  </si>
  <si>
    <t>AIS Date</t>
  </si>
  <si>
    <t>EC.10306</t>
  </si>
  <si>
    <t>EC.11002</t>
  </si>
  <si>
    <t>EC.11003</t>
  </si>
  <si>
    <t>Ardrossan West New SDH Radio Link</t>
  </si>
  <si>
    <t>IT Storage Upgrade</t>
  </si>
  <si>
    <t>Printers 2008-2013</t>
  </si>
  <si>
    <t>Server Software 2008-2013</t>
  </si>
  <si>
    <t>Servers Hardware 2008-2013</t>
  </si>
  <si>
    <t>Roof - Keswick (Both buildings) 2012-201</t>
  </si>
  <si>
    <t>Roof - 300 Pirie 2012-2013</t>
  </si>
  <si>
    <t>CustomerStakeholder Relationship Mgt Sys</t>
  </si>
  <si>
    <t>SPF Functional Enhancements 2013-2015</t>
  </si>
  <si>
    <t>EC.11552</t>
  </si>
  <si>
    <t>Tepko to Krongart 500 kV circuit</t>
  </si>
  <si>
    <t>EC.11722</t>
  </si>
  <si>
    <t>EC.11725</t>
  </si>
  <si>
    <t>EC.11726</t>
  </si>
  <si>
    <t>EC.11727</t>
  </si>
  <si>
    <t>EC.11892</t>
  </si>
  <si>
    <t>EC.11898</t>
  </si>
  <si>
    <t>EC.12107</t>
  </si>
  <si>
    <t>EC.12109</t>
  </si>
  <si>
    <t>EC.12206</t>
  </si>
  <si>
    <t>Line Refurbishment Program 2018-23</t>
  </si>
  <si>
    <t>Unit Asset Replacements 2018-23</t>
  </si>
  <si>
    <t>OPSWAN Replacement 5</t>
  </si>
  <si>
    <t>City West 2nd 300 MVA Transformer (into</t>
  </si>
  <si>
    <t>Mobilong Substation Replacement and Tran</t>
  </si>
  <si>
    <t>Snuggery-Blanche-Mt Gambier 2nd 132kV Li</t>
  </si>
  <si>
    <t>Network Aerial Laser Survey 2018-23</t>
  </si>
  <si>
    <t>Integrated Information Environment - Sta</t>
  </si>
  <si>
    <t>EC.14164</t>
  </si>
  <si>
    <t>Commissioned $</t>
  </si>
  <si>
    <t>Escalate to 2023</t>
  </si>
  <si>
    <t>Absolute</t>
  </si>
  <si>
    <t>SE</t>
  </si>
  <si>
    <t>10161</t>
  </si>
  <si>
    <t>10306</t>
  </si>
  <si>
    <t>South East 3rd 275/132kV Transformer</t>
  </si>
  <si>
    <t>10338</t>
  </si>
  <si>
    <t>10339</t>
  </si>
  <si>
    <t>Munno Para Reactive Power Support</t>
  </si>
  <si>
    <t>10370</t>
  </si>
  <si>
    <t>Clare North New 132_33kV Substation</t>
  </si>
  <si>
    <t>10386</t>
  </si>
  <si>
    <t>10394</t>
  </si>
  <si>
    <t>Davenport 50MVar Reactor Installation</t>
  </si>
  <si>
    <t>10408</t>
  </si>
  <si>
    <t>Penola West New 132_33kV Substation</t>
  </si>
  <si>
    <t>10519</t>
  </si>
  <si>
    <t>RTU Replacement Programme</t>
  </si>
  <si>
    <t>10549</t>
  </si>
  <si>
    <t>Whyalla - Yadnarie Telecoms Upgrade</t>
  </si>
  <si>
    <t>10618</t>
  </si>
  <si>
    <t>10673</t>
  </si>
  <si>
    <t>Eyre Peninsula Voltage Control/Port Lincoln 4 x 33kV cap banks</t>
  </si>
  <si>
    <t>10716</t>
  </si>
  <si>
    <t>10801</t>
  </si>
  <si>
    <t>Geospatial Systems</t>
  </si>
  <si>
    <t>10814</t>
  </si>
  <si>
    <t>Operator Training Simulator</t>
  </si>
  <si>
    <t>10913</t>
  </si>
  <si>
    <t>Munno Para Substation - Land &amp; Easement Acquisition</t>
  </si>
  <si>
    <t>10917</t>
  </si>
  <si>
    <t>Structured Substation Training Program and Facility</t>
  </si>
  <si>
    <t>10921</t>
  </si>
  <si>
    <t>Spare 132_66_33kV 120MVA Transformer</t>
  </si>
  <si>
    <t>10928</t>
  </si>
  <si>
    <t>11008</t>
  </si>
  <si>
    <t>11012</t>
  </si>
  <si>
    <t>Integrated Telecoms Management System</t>
  </si>
  <si>
    <t>11013</t>
  </si>
  <si>
    <t>PABX IP Convergence &amp; Phone Systems Upgr</t>
  </si>
  <si>
    <t>11021</t>
  </si>
  <si>
    <t>Improved Alarm Management System</t>
  </si>
  <si>
    <t>11023</t>
  </si>
  <si>
    <t>11039</t>
  </si>
  <si>
    <t>Network Engineering QA Framework</t>
  </si>
  <si>
    <t>11040</t>
  </si>
  <si>
    <t>Plant Forward Orders</t>
  </si>
  <si>
    <t>11041</t>
  </si>
  <si>
    <t>SDM and LDM Template &amp; Design Clause Upd</t>
  </si>
  <si>
    <t>11046</t>
  </si>
  <si>
    <t>11048</t>
  </si>
  <si>
    <t>Northfield &amp; Mannum Fault Level Reductio</t>
  </si>
  <si>
    <t>11101</t>
  </si>
  <si>
    <t>Cultana 275_132kV Augmentation</t>
  </si>
  <si>
    <t>11102</t>
  </si>
  <si>
    <t>Wudinna 2x25 MVA 132/66kV TF Reinforce</t>
  </si>
  <si>
    <t>11107</t>
  </si>
  <si>
    <t>11108</t>
  </si>
  <si>
    <t>Mount Barker South 275/66kV Injection</t>
  </si>
  <si>
    <t>11109</t>
  </si>
  <si>
    <t>11110</t>
  </si>
  <si>
    <t>Eyre Peninsula Land &amp; Easement Acquistio</t>
  </si>
  <si>
    <t>11112</t>
  </si>
  <si>
    <t>Para-PGW-TIPS Telecoms Bearer Replace</t>
  </si>
  <si>
    <t>11114</t>
  </si>
  <si>
    <t>Operational Data Management Store</t>
  </si>
  <si>
    <t>11117</t>
  </si>
  <si>
    <t>ICT Corporate Software Upgrade</t>
  </si>
  <si>
    <t>11119</t>
  </si>
  <si>
    <t>Project Server - Portfolio Management</t>
  </si>
  <si>
    <t>11123</t>
  </si>
  <si>
    <t>[DEF] Knowledge Management</t>
  </si>
  <si>
    <t>11124</t>
  </si>
  <si>
    <t>Outage Management 2009-2011</t>
  </si>
  <si>
    <t>11129</t>
  </si>
  <si>
    <t>Competency Based Assessments for Design</t>
  </si>
  <si>
    <t>11130</t>
  </si>
  <si>
    <t>Design Standards R&amp;D and Further Optimis</t>
  </si>
  <si>
    <t>11132</t>
  </si>
  <si>
    <t>Fleurieu Peninsula Strategic Land and Ea</t>
  </si>
  <si>
    <t>11134</t>
  </si>
  <si>
    <t>[DEFD]Integrated Budgeting &amp; Forecasting</t>
  </si>
  <si>
    <t>11136</t>
  </si>
  <si>
    <t>Business Plan Model</t>
  </si>
  <si>
    <t>11138</t>
  </si>
  <si>
    <t>Opex Model for 2013-2018</t>
  </si>
  <si>
    <t>11194</t>
  </si>
  <si>
    <t>11204</t>
  </si>
  <si>
    <t>Templers 275kV Substation Stage 1</t>
  </si>
  <si>
    <t>11208</t>
  </si>
  <si>
    <t>11209</t>
  </si>
  <si>
    <t>Munno Para New 275_66kV Substation</t>
  </si>
  <si>
    <t>11211</t>
  </si>
  <si>
    <t>Kilburn 185MV.A Transformer Capacity Increase - add radiator bank and fans 185 to 225MV.A</t>
  </si>
  <si>
    <t>11214</t>
  </si>
  <si>
    <t>11216</t>
  </si>
  <si>
    <t>11217</t>
  </si>
  <si>
    <t>11218</t>
  </si>
  <si>
    <t>Network Configuration Management</t>
  </si>
  <si>
    <t>11219</t>
  </si>
  <si>
    <t>ICT Software 2010-2012  RDBMS (Oracle/ SQL)</t>
  </si>
  <si>
    <t>11220</t>
  </si>
  <si>
    <t>11221</t>
  </si>
  <si>
    <t>Business Info &amp; Performance Data Warehou</t>
  </si>
  <si>
    <t>11223</t>
  </si>
  <si>
    <t>11226</t>
  </si>
  <si>
    <t>11230</t>
  </si>
  <si>
    <t>Airconditioning 300 Pirie St West</t>
  </si>
  <si>
    <t>11232</t>
  </si>
  <si>
    <t>OPSWAN Implementation 2010-2012</t>
  </si>
  <si>
    <t>11233</t>
  </si>
  <si>
    <t>IT OCS Software 2010-2012</t>
  </si>
  <si>
    <t>11234</t>
  </si>
  <si>
    <t>SPF Technology Major Upgrade</t>
  </si>
  <si>
    <t>11235</t>
  </si>
  <si>
    <t>SDM SecondarySystemsUpdate-IntegratEC618</t>
  </si>
  <si>
    <t>11236</t>
  </si>
  <si>
    <t>11239</t>
  </si>
  <si>
    <t>SAEs for 2013-2018 Capital Projects</t>
  </si>
  <si>
    <t>11242</t>
  </si>
  <si>
    <t>Aerial Services Implementation - Stage 1</t>
  </si>
  <si>
    <t>11243</t>
  </si>
  <si>
    <t>SAP System Improvements Stream 2</t>
  </si>
  <si>
    <t>11246</t>
  </si>
  <si>
    <t>Network Aerial Laser Survey</t>
  </si>
  <si>
    <t>11247</t>
  </si>
  <si>
    <t>Fire and Security Systems Upgrade to SDM</t>
  </si>
  <si>
    <t>11270</t>
  </si>
  <si>
    <t>ICT Hardware 2010-2012</t>
  </si>
  <si>
    <t>11281</t>
  </si>
  <si>
    <t>11294</t>
  </si>
  <si>
    <t>Inventory Purchases 2011_2012</t>
  </si>
  <si>
    <t>11302</t>
  </si>
  <si>
    <t>11303</t>
  </si>
  <si>
    <t>TIPS A 275kV Secondary Systems Replacemt</t>
  </si>
  <si>
    <t>11304</t>
  </si>
  <si>
    <t>TIPS B 275kV Secondary Systems &amp; Minor R</t>
  </si>
  <si>
    <t>11307</t>
  </si>
  <si>
    <t>11320</t>
  </si>
  <si>
    <t>11322</t>
  </si>
  <si>
    <t>Barn Hill Radio Links Replace with SDH</t>
  </si>
  <si>
    <t>11338</t>
  </si>
  <si>
    <t>Estimating System Functional Upgrade</t>
  </si>
  <si>
    <t>11345</t>
  </si>
  <si>
    <t>Furniture &amp; General Upgrades 2012-2013</t>
  </si>
  <si>
    <t>11346</t>
  </si>
  <si>
    <t>West Wing (Plus other Pirie Street Requirements)</t>
  </si>
  <si>
    <t>11348</t>
  </si>
  <si>
    <t>ICT Security 2010-2012</t>
  </si>
  <si>
    <t>11350</t>
  </si>
  <si>
    <t>Unit Asset Replacements 2008-2013</t>
  </si>
  <si>
    <t>11351</t>
  </si>
  <si>
    <t>Substation Security Fencing 2008-2013</t>
  </si>
  <si>
    <t>11354</t>
  </si>
  <si>
    <t>11355</t>
  </si>
  <si>
    <t>11359</t>
  </si>
  <si>
    <t>Transformer Refurbishment 08-13</t>
  </si>
  <si>
    <t>11360</t>
  </si>
  <si>
    <t>Auxiliary Supply Upgrades 2008-2013</t>
  </si>
  <si>
    <t>11361</t>
  </si>
  <si>
    <t>11362</t>
  </si>
  <si>
    <t>11363</t>
  </si>
  <si>
    <t>11364</t>
  </si>
  <si>
    <t>Facilities Security 2012-2013</t>
  </si>
  <si>
    <t>11365</t>
  </si>
  <si>
    <t>11366</t>
  </si>
  <si>
    <t>Carpet - 300 Pirie Street 2012-2013</t>
  </si>
  <si>
    <t>11367</t>
  </si>
  <si>
    <t>11380</t>
  </si>
  <si>
    <t>11385</t>
  </si>
  <si>
    <t>SAP Functional Upgrade - Stream 3</t>
  </si>
  <si>
    <t>11386</t>
  </si>
  <si>
    <t>11387</t>
  </si>
  <si>
    <t>ICT Service Improvement</t>
  </si>
  <si>
    <t>11388</t>
  </si>
  <si>
    <t>275kV Rapid Line Constr. Methodology Dev</t>
  </si>
  <si>
    <t>11390</t>
  </si>
  <si>
    <t>Tailem Bend 15 Mvar Capacitor Bank and C</t>
  </si>
  <si>
    <t>11394</t>
  </si>
  <si>
    <t>11401</t>
  </si>
  <si>
    <t xml:space="preserve">Kadina East 2x60MV.A Transformer Capacity Increase </t>
  </si>
  <si>
    <t>11423</t>
  </si>
  <si>
    <t>11435</t>
  </si>
  <si>
    <t>11510</t>
  </si>
  <si>
    <t>Kadina East 132kV Capacitor Bank</t>
  </si>
  <si>
    <t>11514</t>
  </si>
  <si>
    <t>11519</t>
  </si>
  <si>
    <t>11528</t>
  </si>
  <si>
    <t>11541</t>
  </si>
  <si>
    <t>ICT Bus. Continuity Planning &amp; Disaster</t>
  </si>
  <si>
    <t>11620</t>
  </si>
  <si>
    <t>Dynamic Constraint Systems</t>
  </si>
  <si>
    <t>11630</t>
  </si>
  <si>
    <t>Eyre Peninsula Reinforcement - Land Acqu</t>
  </si>
  <si>
    <t>11634</t>
  </si>
  <si>
    <t>Krongart to Heywood 500 kV circuit</t>
  </si>
  <si>
    <t>11635</t>
  </si>
  <si>
    <t>11827</t>
  </si>
  <si>
    <t>11839</t>
  </si>
  <si>
    <t>Davenport SVC &amp; 100Mvar 275kV Capacitor</t>
  </si>
  <si>
    <t>11250</t>
  </si>
  <si>
    <t>11895</t>
  </si>
  <si>
    <t>SAEs for 2018-2023 Capital Projects</t>
  </si>
  <si>
    <t>11905</t>
  </si>
  <si>
    <t>11912</t>
  </si>
  <si>
    <t>TIPS to Kilburn to Northfield 275kV Loop</t>
  </si>
  <si>
    <t>85007</t>
  </si>
  <si>
    <t>Playford 132kV Relocation</t>
  </si>
  <si>
    <t>11252</t>
  </si>
  <si>
    <t>Generator and Load Test Equipment</t>
  </si>
  <si>
    <t>11383</t>
  </si>
  <si>
    <t>Mt Barker Triple Circuit Easement Expansion</t>
  </si>
  <si>
    <t>11396</t>
  </si>
  <si>
    <t>Happy Valley Transformer Noise Mitigation</t>
  </si>
  <si>
    <t>11398</t>
  </si>
  <si>
    <t>11399</t>
  </si>
  <si>
    <t>Environment Health and Safety Management System</t>
  </si>
  <si>
    <t>11461</t>
  </si>
  <si>
    <t>Cultana-Stony Point Easement Acquisition</t>
  </si>
  <si>
    <t>11543</t>
  </si>
  <si>
    <t>Magill Telecoms Bearer</t>
  </si>
  <si>
    <t>11735</t>
  </si>
  <si>
    <t>10237</t>
  </si>
  <si>
    <t>300 Pirie - Eastern Façade - renovate as per ACC Development approval conditions prior to building western side 300 Pirie</t>
  </si>
  <si>
    <t>10283</t>
  </si>
  <si>
    <t>Playford 2x60MV.A 132/33kV Transformer Capacity Increase</t>
  </si>
  <si>
    <t>10284</t>
  </si>
  <si>
    <t>Barossa Network Reinforcement</t>
  </si>
  <si>
    <t>Stoney Point Protection  upgrade</t>
  </si>
  <si>
    <t>10308</t>
  </si>
  <si>
    <t>Kanmantoo North 275/132kV Augmentation</t>
  </si>
  <si>
    <t>10336</t>
  </si>
  <si>
    <t>SIM Stage 2 City West - 1x 300/360MV.A 275/66kV Transformer (Cost Included in 10161 above, note WIP for this project also included in 10161)</t>
  </si>
  <si>
    <t>10337</t>
  </si>
  <si>
    <t>Tungkillo Substation - Stage 1</t>
  </si>
  <si>
    <t>10341</t>
  </si>
  <si>
    <t>Tailem Bend New 275kV Diameter</t>
  </si>
  <si>
    <t>10344</t>
  </si>
  <si>
    <t>Heywood 760 (300MW VIC-SA ac Interconnector Upgrade)</t>
  </si>
  <si>
    <t>10389</t>
  </si>
  <si>
    <t>Cherry Gdns Aged Asset Replacement</t>
  </si>
  <si>
    <t>10452</t>
  </si>
  <si>
    <t>Canowie Radio Network Connection</t>
  </si>
  <si>
    <t>10453</t>
  </si>
  <si>
    <t>Davenport to Para 275kV Line Uprat</t>
  </si>
  <si>
    <t>10467</t>
  </si>
  <si>
    <t>Whyalla to Pt Lincoln 132kV Line Upratin</t>
  </si>
  <si>
    <t>10468</t>
  </si>
  <si>
    <t>Tailem Bend - Potters Point Radio</t>
  </si>
  <si>
    <t>10469</t>
  </si>
  <si>
    <t>SCC to PARA &amp; BUCC Radio Network</t>
  </si>
  <si>
    <t>10475</t>
  </si>
  <si>
    <t>Snuggery Substation Upgrade Stage</t>
  </si>
  <si>
    <t>10501</t>
  </si>
  <si>
    <t>CB &amp; CT Replacement Program</t>
  </si>
  <si>
    <t>10503</t>
  </si>
  <si>
    <t>Waterloo Substation Rebuild and 2x60MV.A Transformer Capacity Increase</t>
  </si>
  <si>
    <t>10508</t>
  </si>
  <si>
    <t>Hummocks Substation Aged Asset Replacement and 2x25MV.A Transformer Capacity Increase</t>
  </si>
  <si>
    <t>10509</t>
  </si>
  <si>
    <t>Whyalla Terminal Rebuild (Reduced Brownfield at Whyalla + Cultana diameter) and 2x120MV.A Transformer Capacity Increase</t>
  </si>
  <si>
    <t>10510</t>
  </si>
  <si>
    <t>Bungama Substation Redev Stg2</t>
  </si>
  <si>
    <t>10527</t>
  </si>
  <si>
    <t>Tailem Bend - Gifford Hill SDH Radio Link</t>
  </si>
  <si>
    <t>10528</t>
  </si>
  <si>
    <t>SCC-Crafers SDH Radio Link</t>
  </si>
  <si>
    <t>10556</t>
  </si>
  <si>
    <t>SE SVC Systems Replacement</t>
  </si>
  <si>
    <t>10562</t>
  </si>
  <si>
    <t>Happy Valley - Magill 275kV Line Uprate</t>
  </si>
  <si>
    <t>10600</t>
  </si>
  <si>
    <t>Happy Valley-MVE Radio Bearer replace</t>
  </si>
  <si>
    <t>10601</t>
  </si>
  <si>
    <t>Canowie-Davenport Radio Network</t>
  </si>
  <si>
    <t>10608</t>
  </si>
  <si>
    <t>Magill Aged Asset Refurbishment</t>
  </si>
  <si>
    <t>10614</t>
  </si>
  <si>
    <t>Kilburn &amp; Mobilong Neutrl Earth Resistrs</t>
  </si>
  <si>
    <t>10615</t>
  </si>
  <si>
    <t>Ardrossan West 132kV Substation Rebuild and 2x25MV.A Transformer Capacity Increase (Existing Site)</t>
  </si>
  <si>
    <t>10621</t>
  </si>
  <si>
    <t>OPSWAN Acceleration</t>
  </si>
  <si>
    <t>10626</t>
  </si>
  <si>
    <t>TIPS 66kV Cable Replacement</t>
  </si>
  <si>
    <t>10631</t>
  </si>
  <si>
    <t>Dorrien Templers Line Easement</t>
  </si>
  <si>
    <t>10638</t>
  </si>
  <si>
    <t>Cherry Gardens - Morphett Vale East  275kV Line Uprate</t>
  </si>
  <si>
    <t>10643</t>
  </si>
  <si>
    <t>Dynamic Line Ratings System</t>
  </si>
  <si>
    <t>10654</t>
  </si>
  <si>
    <t>Brinkworth to Para Radio Network Upgrade</t>
  </si>
  <si>
    <t>10661</t>
  </si>
  <si>
    <t>Barossa Telecoms Network Reinforc</t>
  </si>
  <si>
    <t>10662</t>
  </si>
  <si>
    <t>2GHz Radio Frequency Changes</t>
  </si>
  <si>
    <t>10664</t>
  </si>
  <si>
    <t>Magill 3rd T/F (SIM Stage 1)</t>
  </si>
  <si>
    <t>10694</t>
  </si>
  <si>
    <t>Substations and Telecommunications Spare</t>
  </si>
  <si>
    <t>10705</t>
  </si>
  <si>
    <t>SAP BW Pilot to Production</t>
  </si>
  <si>
    <t>10706</t>
  </si>
  <si>
    <t>Estimating Systems &amp; Processes</t>
  </si>
  <si>
    <t>10708</t>
  </si>
  <si>
    <t>UninterruptedPowerSupply300 Pirie</t>
  </si>
  <si>
    <t>10710</t>
  </si>
  <si>
    <t>BuildUpgrade Equipment Rm Lvl 2</t>
  </si>
  <si>
    <t>10711</t>
  </si>
  <si>
    <t>Electranet Occupied site grounds &amp; resurfacing carparks</t>
  </si>
  <si>
    <t>10714</t>
  </si>
  <si>
    <t>Para Fire Pump System</t>
  </si>
  <si>
    <t>10718</t>
  </si>
  <si>
    <t>Project Server Enhancements</t>
  </si>
  <si>
    <t>10720</t>
  </si>
  <si>
    <t>Spare  132/66/33/11kV 25MVA TF</t>
  </si>
  <si>
    <t>10770</t>
  </si>
  <si>
    <t>IT Hardware 06/08</t>
  </si>
  <si>
    <t>10802</t>
  </si>
  <si>
    <t>Real Time Information</t>
  </si>
  <si>
    <t>10803</t>
  </si>
  <si>
    <t>Davenport Sub-Cultana Line Exit</t>
  </si>
  <si>
    <t>10806</t>
  </si>
  <si>
    <t>Transformer Storage Facility</t>
  </si>
  <si>
    <t>10807</t>
  </si>
  <si>
    <t>Security Alarm Systems Upgrade</t>
  </si>
  <si>
    <t>10809</t>
  </si>
  <si>
    <t>Transformer ballistics proofing includes 11352</t>
  </si>
  <si>
    <t>10817</t>
  </si>
  <si>
    <t>10818</t>
  </si>
  <si>
    <t>SAP ETI Establishment</t>
  </si>
  <si>
    <t>10819</t>
  </si>
  <si>
    <t>IT SSA Transition</t>
  </si>
  <si>
    <t>10829</t>
  </si>
  <si>
    <t>Office Accom.Fitout - Richmond Rd</t>
  </si>
  <si>
    <t>10847</t>
  </si>
  <si>
    <t>IEC61850 Technology Development</t>
  </si>
  <si>
    <t>10871</t>
  </si>
  <si>
    <t>IT Software 07/08</t>
  </si>
  <si>
    <t>10886</t>
  </si>
  <si>
    <t>OCS Misc 07/08</t>
  </si>
  <si>
    <t>10894</t>
  </si>
  <si>
    <t>Subs and Telco Spares - 07/08</t>
  </si>
  <si>
    <t>10903</t>
  </si>
  <si>
    <t>Eastern Hills Network Limitations</t>
  </si>
  <si>
    <t>10907</t>
  </si>
  <si>
    <t>Hummocks Substation 132kV Capacitor Bank Cost included in project 10386 above)</t>
  </si>
  <si>
    <t>10914</t>
  </si>
  <si>
    <t>Whyalla - Mt Karia Radio Bearer</t>
  </si>
  <si>
    <t>10918</t>
  </si>
  <si>
    <t>Kanmantoo North Land and Easement Acquisition</t>
  </si>
  <si>
    <t>10919</t>
  </si>
  <si>
    <t>Mount Barker Strategic Land and Easement Acquisition</t>
  </si>
  <si>
    <t>10920</t>
  </si>
  <si>
    <t>Templers Land and Easement Acquisition</t>
  </si>
  <si>
    <t>10924</t>
  </si>
  <si>
    <t>Mt Barker - Crafers SDH Radio Link</t>
  </si>
  <si>
    <t>10926</t>
  </si>
  <si>
    <t>Telecom Network Management Process Improvements</t>
  </si>
  <si>
    <t>10927</t>
  </si>
  <si>
    <t>IT Services &amp; Asset Management</t>
  </si>
  <si>
    <t>10929</t>
  </si>
  <si>
    <t>Rymill Pk Replace ACU3 (boardroom) &amp; ACU4 (NW gnd fl office)</t>
  </si>
  <si>
    <t>10932</t>
  </si>
  <si>
    <t>IT Storage Implementation</t>
  </si>
  <si>
    <t>10933</t>
  </si>
  <si>
    <t>New Roofing</t>
  </si>
  <si>
    <t>10938</t>
  </si>
  <si>
    <t>Invry Replish 10MVA 132/33/11kV TF</t>
  </si>
  <si>
    <t>10941</t>
  </si>
  <si>
    <t>Waterloo Emergency Replacement Transform</t>
  </si>
  <si>
    <t>10942</t>
  </si>
  <si>
    <t>Clare North Substation Land Acquisition</t>
  </si>
  <si>
    <t>10944</t>
  </si>
  <si>
    <t>Network Engineering Standard Drawings</t>
  </si>
  <si>
    <t>10945</t>
  </si>
  <si>
    <t>Network Engineering QA Framework Stage 1</t>
  </si>
  <si>
    <t>10946</t>
  </si>
  <si>
    <t>Estimating System SLD Enhancement</t>
  </si>
  <si>
    <t>10947</t>
  </si>
  <si>
    <t>Kanmantoo Bulk Oil CB Replacement</t>
  </si>
  <si>
    <t>10948</t>
  </si>
  <si>
    <t>Limit Equations Development</t>
  </si>
  <si>
    <t>10949</t>
  </si>
  <si>
    <t>Critical Clearing Time Tool Development</t>
  </si>
  <si>
    <t>10981</t>
  </si>
  <si>
    <t>Furn &amp; General Building Upgrades - 08/09</t>
  </si>
  <si>
    <t>10994</t>
  </si>
  <si>
    <t>Inventory Purchases FY Reset 2</t>
  </si>
  <si>
    <t>11006</t>
  </si>
  <si>
    <t>Diesel Generator Upgrades</t>
  </si>
  <si>
    <t>11007</t>
  </si>
  <si>
    <t>Bulk Oil CB Replacement</t>
  </si>
  <si>
    <t>11009</t>
  </si>
  <si>
    <t>Substation Perimeter Electronic Security includes 11354</t>
  </si>
  <si>
    <t>11010</t>
  </si>
  <si>
    <t>Drawing Standards Implementation</t>
  </si>
  <si>
    <t>11014</t>
  </si>
  <si>
    <t>Belair-Magill SDH Radio Links Replacement</t>
  </si>
  <si>
    <t>11015</t>
  </si>
  <si>
    <t>Crafers - Mt Beevor SDH Radio Link</t>
  </si>
  <si>
    <t>11017</t>
  </si>
  <si>
    <t>Waterloo New Radio Link</t>
  </si>
  <si>
    <t>11018</t>
  </si>
  <si>
    <t>Davenport-Bluff SDH Radio Link</t>
  </si>
  <si>
    <t>11019</t>
  </si>
  <si>
    <t>Human Resources System Upgrade</t>
  </si>
  <si>
    <t>11020</t>
  </si>
  <si>
    <t>11022</t>
  </si>
  <si>
    <t>Enterprise Systems (SAP) - Upgrades and Support Packs</t>
  </si>
  <si>
    <t>11024</t>
  </si>
  <si>
    <t>276 Pirie St Replace Roof AC Unit</t>
  </si>
  <si>
    <t>11025</t>
  </si>
  <si>
    <t>Computer Room Upgrade</t>
  </si>
  <si>
    <t>11030</t>
  </si>
  <si>
    <t>Telecommunications Configuration System</t>
  </si>
  <si>
    <t>11031</t>
  </si>
  <si>
    <t>IT OCS Software 2008/10</t>
  </si>
  <si>
    <t>11032</t>
  </si>
  <si>
    <t>OPSWAN Implementation 2008/10</t>
  </si>
  <si>
    <t>11043</t>
  </si>
  <si>
    <t>Morgan Whyalla no.4 - Fault Limiting Rea</t>
  </si>
  <si>
    <t>11049</t>
  </si>
  <si>
    <t>Vegetation Mapping using ALS</t>
  </si>
  <si>
    <t>11070</t>
  </si>
  <si>
    <t>ICT Hardware 2008/10</t>
  </si>
  <si>
    <t>11071</t>
  </si>
  <si>
    <t>ICT Software 2008/10</t>
  </si>
  <si>
    <t>11081</t>
  </si>
  <si>
    <t>11094</t>
  </si>
  <si>
    <t>11111</t>
  </si>
  <si>
    <t>Mannum-Adelaide No2 Radio Link Replacement</t>
  </si>
  <si>
    <t>11113</t>
  </si>
  <si>
    <t>Telephone Systems Replacement</t>
  </si>
  <si>
    <t>11116</t>
  </si>
  <si>
    <t>Accessibility/Mobility - Rugged Equipment Access</t>
  </si>
  <si>
    <t>11118</t>
  </si>
  <si>
    <t>11120</t>
  </si>
  <si>
    <t>Drawing Management System Upgrade</t>
  </si>
  <si>
    <t>11121</t>
  </si>
  <si>
    <t xml:space="preserve">Rymill Pk Replace ACU2 (open area) </t>
  </si>
  <si>
    <t>11137</t>
  </si>
  <si>
    <t>Business Model Develpmnt Proj</t>
  </si>
  <si>
    <t>11181</t>
  </si>
  <si>
    <t>Office Refurb. &amp;Furn. Upgrades 10/11</t>
  </si>
  <si>
    <t>11202</t>
  </si>
  <si>
    <t>Geranium 132/33kV Substation and 132kV line</t>
  </si>
  <si>
    <t>11213</t>
  </si>
  <si>
    <t>11215</t>
  </si>
  <si>
    <t>Kadina East New SDH Radio Link</t>
  </si>
  <si>
    <t>11222</t>
  </si>
  <si>
    <t>Common Information Model</t>
  </si>
  <si>
    <t>11225</t>
  </si>
  <si>
    <t>IT Network Equipment</t>
  </si>
  <si>
    <t>11228</t>
  </si>
  <si>
    <t>11308</t>
  </si>
  <si>
    <t>Davenport 275kV Capacitor Bank 2</t>
  </si>
  <si>
    <t>11323</t>
  </si>
  <si>
    <t>Belair-Crafers SDH Radio Link Replacement</t>
  </si>
  <si>
    <t>11324</t>
  </si>
  <si>
    <t>Happy Valley - Crafers SDH Radio Link Replacement</t>
  </si>
  <si>
    <t>11326</t>
  </si>
  <si>
    <t>Morgan-Whyalla No1&amp;2 New OPGW Links</t>
  </si>
  <si>
    <t>11327</t>
  </si>
  <si>
    <t>Murray Bridge - Hahndorf No1,2&amp;3 Radio Link Replacement</t>
  </si>
  <si>
    <t>11328</t>
  </si>
  <si>
    <t>Yadnarie - Port Lincoln SDH Radio Link (Investigation)</t>
  </si>
  <si>
    <t>11329</t>
  </si>
  <si>
    <t>Playford - Leigh Creek Radio Bearer (Investigation)</t>
  </si>
  <si>
    <t>11331</t>
  </si>
  <si>
    <t>Asset Operations Software 2008-2013</t>
  </si>
  <si>
    <t>11332</t>
  </si>
  <si>
    <t>OPSWAN 2008-2013</t>
  </si>
  <si>
    <t>11333</t>
  </si>
  <si>
    <t>Accessibility/Mobility - Mobile Phones</t>
  </si>
  <si>
    <t>11335</t>
  </si>
  <si>
    <t>Corporate Software 2008-2013</t>
  </si>
  <si>
    <t>11336</t>
  </si>
  <si>
    <t>Document Management System Upgrade</t>
  </si>
  <si>
    <t>11339</t>
  </si>
  <si>
    <t>IT Hardware (Corporate) 2008-2013</t>
  </si>
  <si>
    <t>11340</t>
  </si>
  <si>
    <t>PCs and laptops  2008-2013</t>
  </si>
  <si>
    <t>11341</t>
  </si>
  <si>
    <t>11342</t>
  </si>
  <si>
    <t>Project Server - Upgrades and Support Packs 2013</t>
  </si>
  <si>
    <t>11343</t>
  </si>
  <si>
    <t>11344</t>
  </si>
  <si>
    <t>11347</t>
  </si>
  <si>
    <t>IT Security - Assess/Remediate Vulnerabilities</t>
  </si>
  <si>
    <t>11357</t>
  </si>
  <si>
    <t>Bushing Replacements</t>
  </si>
  <si>
    <t>11406</t>
  </si>
  <si>
    <t>Monash to Berri 66kV Line Augmentation - Note this cost has been included in either of the projects above therefore $0 is included on this line</t>
  </si>
  <si>
    <t>11409</t>
  </si>
  <si>
    <t>Lucindale West (Avenue) 132/33kV Substation</t>
  </si>
  <si>
    <t>11410</t>
  </si>
  <si>
    <t>Penola 275/132kV Substation</t>
  </si>
  <si>
    <t>11411</t>
  </si>
  <si>
    <t>Davenport SVC Stage 1 and 2</t>
  </si>
  <si>
    <t>11414</t>
  </si>
  <si>
    <t>Western Suburbs Stage 1 City West - 1x 300/360MV.A 275/66kV Transformer</t>
  </si>
  <si>
    <t>85013</t>
  </si>
  <si>
    <t>Magill Aged Asset Replacement Stag</t>
  </si>
  <si>
    <t>85035</t>
  </si>
  <si>
    <t>SE - Snuggery New 132kV Line (Co</t>
  </si>
  <si>
    <t>10943</t>
  </si>
  <si>
    <t>Procurement of Two 40MVA 132_33kV TFs Ex PLQ</t>
  </si>
  <si>
    <t>11420</t>
  </si>
  <si>
    <t>Whyalla Terminal Replacement and Cultana Augmentation</t>
  </si>
  <si>
    <t>10617</t>
  </si>
  <si>
    <t>Berri Substation Reloaction to Monash</t>
  </si>
  <si>
    <t>11254</t>
  </si>
  <si>
    <t>Bentley Substation (Information Modelling) Substation design</t>
  </si>
  <si>
    <t>11460</t>
  </si>
  <si>
    <t>2 X Oracle Exadata appliances &amp; licenses</t>
  </si>
  <si>
    <t>11459</t>
  </si>
  <si>
    <t>Vacuum Tap Changer Diverter Pilot</t>
  </si>
  <si>
    <t>11457</t>
  </si>
  <si>
    <t>Davenport CT Replacement</t>
  </si>
  <si>
    <t>11458</t>
  </si>
  <si>
    <t>New Osborne 66 kV VT Replacement</t>
  </si>
  <si>
    <t>11462</t>
  </si>
  <si>
    <t>Development of Inspection Test Plans for</t>
  </si>
  <si>
    <t>11463</t>
  </si>
  <si>
    <t>Emergency Unit Asset Replacement 2013-20</t>
  </si>
  <si>
    <t>11452</t>
  </si>
  <si>
    <t>Project Management Standards</t>
  </si>
  <si>
    <t>11742</t>
  </si>
  <si>
    <t>Baroota Substation Upgrade (Option 2) - Rev 12 BP072013</t>
  </si>
  <si>
    <t>11847</t>
  </si>
  <si>
    <t>NGM CT,VT and Meter Replacements - Rev 9 BP072013</t>
  </si>
  <si>
    <t>10550</t>
  </si>
  <si>
    <t>Playford 2175kV Substation Replacement</t>
  </si>
  <si>
    <t>11251</t>
  </si>
  <si>
    <t>11300</t>
  </si>
  <si>
    <t>11400</t>
  </si>
  <si>
    <t>11449</t>
  </si>
  <si>
    <t>Switching Manual Rewrite</t>
  </si>
  <si>
    <t>11451</t>
  </si>
  <si>
    <t>11453</t>
  </si>
  <si>
    <t>11455</t>
  </si>
  <si>
    <t>11456</t>
  </si>
  <si>
    <t>11565</t>
  </si>
  <si>
    <t>Ametek PSPM Replacement</t>
  </si>
  <si>
    <t>11454</t>
  </si>
  <si>
    <t>14006</t>
  </si>
  <si>
    <t>Robertstown-North West Bend LineCorridor Dynamic line rating (DLR) system</t>
  </si>
  <si>
    <t>11744</t>
  </si>
  <si>
    <t>11745</t>
  </si>
  <si>
    <t>10259</t>
  </si>
  <si>
    <t>Riverland Reinforcement 275Kv  - Rev 13 BP072013</t>
  </si>
  <si>
    <t>10307</t>
  </si>
  <si>
    <t>Morphett Vale East 3rd Transformer - Rev 12 BP0713</t>
  </si>
  <si>
    <t>10311</t>
  </si>
  <si>
    <t>West Circuit Entry to Brinkworth Sub - Rev 10 BP072013</t>
  </si>
  <si>
    <t>10313</t>
  </si>
  <si>
    <t>Fleurieu Peninsula Reinforcement rev 19 BP072013 Kanmantoo to Currency Creek</t>
  </si>
  <si>
    <t>10343</t>
  </si>
  <si>
    <t>Barossa (Roseworthy) Reactive Support - rev 10 POE</t>
  </si>
  <si>
    <t>10371</t>
  </si>
  <si>
    <t>Coonalpyn West Substation - Rev 14 BP072013</t>
  </si>
  <si>
    <t>10424</t>
  </si>
  <si>
    <t>Riverland 275kV Reinforcement Land and Easements Acquisition - Rev2 BP072013</t>
  </si>
  <si>
    <t>10505</t>
  </si>
  <si>
    <t>Millbrook Pump Station - rev 6 LU46</t>
  </si>
  <si>
    <t>10517</t>
  </si>
  <si>
    <t>South East CB Upgrade Compliance and Security - Rev 17</t>
  </si>
  <si>
    <t>10616</t>
  </si>
  <si>
    <t>Happy Valley Secondary Systems Replacement - Rev 11</t>
  </si>
  <si>
    <t>10619</t>
  </si>
  <si>
    <t>Kincraig Substation Replacement and Transformer Upgrade - Rev 10 BP072013</t>
  </si>
  <si>
    <t>10703</t>
  </si>
  <si>
    <t>Para SVC Secondary System Replacement - rev 8 BP072013</t>
  </si>
  <si>
    <t>11002</t>
  </si>
  <si>
    <t>Tungkillo Stage 2 - Rev 11 BP072013</t>
  </si>
  <si>
    <t>11003</t>
  </si>
  <si>
    <t>Tungkillo Stage 3 - Rev 11 BP072013</t>
  </si>
  <si>
    <t>11005</t>
  </si>
  <si>
    <t>Kanmantoo Substation Upgrade - Rev 9 BP072013</t>
  </si>
  <si>
    <t>11011</t>
  </si>
  <si>
    <t>Tailem Bend to Tungkillo Second CCT Stringing rev 12 BP072013</t>
  </si>
  <si>
    <t>11016</t>
  </si>
  <si>
    <t>The Bluff to Stony Point Telecomms Bearer  rev 3</t>
  </si>
  <si>
    <t>11103</t>
  </si>
  <si>
    <t>Blanche 15MVar Capacitor Bank and CB to Complete Mesh - Rev 6 POE</t>
  </si>
  <si>
    <t>11104</t>
  </si>
  <si>
    <t>Davenport 100MVAr Capacitor Bank Rev 11</t>
  </si>
  <si>
    <t>11126</t>
  </si>
  <si>
    <t>Equipment Evaluation Facility - rev 1</t>
  </si>
  <si>
    <t>11201</t>
  </si>
  <si>
    <t>Lower Eyre Peninsula Reinforcement - rev 5 BP072013</t>
  </si>
  <si>
    <t>11203</t>
  </si>
  <si>
    <t>Dorrien 3rd Transformer - Rev 10 BP072013</t>
  </si>
  <si>
    <t>11210</t>
  </si>
  <si>
    <t>East Terrace Second Transformer - Rev 10 BP072013</t>
  </si>
  <si>
    <t>11305</t>
  </si>
  <si>
    <t>Keith Substation Rebuild - Option A - Rev 14 BP072013</t>
  </si>
  <si>
    <t>11309</t>
  </si>
  <si>
    <t>TIPS-Cherry Gardens line into Para Rev 7 BP072013</t>
  </si>
  <si>
    <t>11310</t>
  </si>
  <si>
    <t>TIPS- Magill 275kV line into Para Rev 7 BP072013</t>
  </si>
  <si>
    <t>11312</t>
  </si>
  <si>
    <t>Torrens Island Transformer Upgrade - Rev 11 BP072013</t>
  </si>
  <si>
    <t>11313</t>
  </si>
  <si>
    <t>Mannum Pump Station No 1 Option A - 2 No TF - rev 9 LU46</t>
  </si>
  <si>
    <t>11314</t>
  </si>
  <si>
    <t>Mannum Pump Station No 2 Option A - 2 No TF - rev 10 LU46</t>
  </si>
  <si>
    <t>11315</t>
  </si>
  <si>
    <t>Mannum Pump Station No 3 Option A - 2 No TF - rev 9 LU46</t>
  </si>
  <si>
    <t>11316</t>
  </si>
  <si>
    <t>SA Water Pump Stations Replacement rev 7 (8 sites) level 1 Umbrella</t>
  </si>
  <si>
    <t>11317</t>
  </si>
  <si>
    <t>Morgan Pump Station No 2 Option A - 2 No TF - Rev 7 LU46</t>
  </si>
  <si>
    <t>11318</t>
  </si>
  <si>
    <t>Morgan Whyalla Pump Station No 3 Option A - 2 No TF - Rev 8 LU46</t>
  </si>
  <si>
    <t>11319</t>
  </si>
  <si>
    <t>Morgan Whyalla Pump Station No 4 Option A - 2 No TF - Rev 8 LU46</t>
  </si>
  <si>
    <t>11330</t>
  </si>
  <si>
    <t>Energy Management System Upgrade 2013-2018 Rev 1 BP072013</t>
  </si>
  <si>
    <t>11378</t>
  </si>
  <si>
    <t>Energy Management System Functional Enhancements Rev1 BP072013</t>
  </si>
  <si>
    <t>11384</t>
  </si>
  <si>
    <t>Security &amp; Video System Consolidation &amp; Development rev 3 BP072013</t>
  </si>
  <si>
    <t>11389</t>
  </si>
  <si>
    <t>Spare 300MVA 275/66kV Transformer rev 4 BP072013</t>
  </si>
  <si>
    <t>11391</t>
  </si>
  <si>
    <t>Safe Roof Access 2012-2013 rev1 BP072013</t>
  </si>
  <si>
    <t>11392</t>
  </si>
  <si>
    <t>Mechanical 300 Pirie St. 2012-2013 rev1 BP072013</t>
  </si>
  <si>
    <t>11393</t>
  </si>
  <si>
    <t>Mechanical Rymill Pk 2012-2013 rev1 BP072013</t>
  </si>
  <si>
    <t>11395</t>
  </si>
  <si>
    <t>Fleet replacement Vehicles 2012-2013 rev1 BP072013</t>
  </si>
  <si>
    <t>11403</t>
  </si>
  <si>
    <t>Templers West 2nd Transformer Rev 7 BP072013</t>
  </si>
  <si>
    <t>11412</t>
  </si>
  <si>
    <t>Hummocks to Kadina East 2nd 132kV Line REV 12 LU46</t>
  </si>
  <si>
    <t>11413</t>
  </si>
  <si>
    <t>Control System Virtualisation rev1 BP072013</t>
  </si>
  <si>
    <t>11424</t>
  </si>
  <si>
    <t>Yadnarie Middleback 132kV Line Upgrade - Rev 7 LU46</t>
  </si>
  <si>
    <t>11425</t>
  </si>
  <si>
    <t>Monash Capacitor Bank - Rev 10 BP072013</t>
  </si>
  <si>
    <t>11432</t>
  </si>
  <si>
    <t>OPSWAN Implementation 2012-2014  rev 2 BP072013</t>
  </si>
  <si>
    <t>11434</t>
  </si>
  <si>
    <t>Asset Condition Monitoring Systems rev1 BP072013</t>
  </si>
  <si>
    <t>11437</t>
  </si>
  <si>
    <t>BUCC Refurishment - Rev 2 BP072013</t>
  </si>
  <si>
    <t>11439</t>
  </si>
  <si>
    <t>Emergency Supplies 300 Pirie St rev1 BP072013</t>
  </si>
  <si>
    <t>11441</t>
  </si>
  <si>
    <t>Para To Davenport Line Hazard Mitigation rev 3 BP072013</t>
  </si>
  <si>
    <t>11442</t>
  </si>
  <si>
    <t>Fleet Replacement Vehicles  2013-2014 rev1 BP072013</t>
  </si>
  <si>
    <t>11444</t>
  </si>
  <si>
    <t>Penola West to South East Line Refurbishment rev 5 BP072013</t>
  </si>
  <si>
    <t>11445</t>
  </si>
  <si>
    <t>Tailem Bend to Keith No 2 Line Refurbishment  rev 5 BP072013</t>
  </si>
  <si>
    <t>11446</t>
  </si>
  <si>
    <t>Brinkworth to Mintaro Line Refurbishment rev 6 BP072013</t>
  </si>
  <si>
    <t>11447</t>
  </si>
  <si>
    <t>Magill to Happy Valley Line Refurbishment -rev 5 BP072013</t>
  </si>
  <si>
    <t>11448</t>
  </si>
  <si>
    <t>Cultana to Stony Point Line Refurbishment - rev 5 BP072013</t>
  </si>
  <si>
    <t>11470</t>
  </si>
  <si>
    <t>ICT Hardware 2012-2014 rev1 BP072013</t>
  </si>
  <si>
    <t>11471</t>
  </si>
  <si>
    <t>ICT Software 2012-2014 - rev 2 BP072013</t>
  </si>
  <si>
    <t>11472</t>
  </si>
  <si>
    <t>ICT Security 2012-2014 rev1 BP072013</t>
  </si>
  <si>
    <t>11473</t>
  </si>
  <si>
    <t>IT OCS Software 2012-2014 rev1 BP072013</t>
  </si>
  <si>
    <t>11481</t>
  </si>
  <si>
    <t>Furniture and General Building Upgrades 2013 - 2014 - rev2 BP072013</t>
  </si>
  <si>
    <t>11482</t>
  </si>
  <si>
    <t>General Utility Upgrade 2013 - 2014 rev1 BP072013</t>
  </si>
  <si>
    <t>11494</t>
  </si>
  <si>
    <t>Inventory Replenishment 2013-2014 rev1 BP072013</t>
  </si>
  <si>
    <t>11504</t>
  </si>
  <si>
    <t>Neuroodla Asset Replacement - Rev 11 BP072013</t>
  </si>
  <si>
    <t>11505</t>
  </si>
  <si>
    <t>Mt. Gunson Substation Replacement -Rev 11 BP072013</t>
  </si>
  <si>
    <t>11508</t>
  </si>
  <si>
    <t>Mount Gambier East Rev 18 BP 072013</t>
  </si>
  <si>
    <t>11509</t>
  </si>
  <si>
    <t>Bungama 2nd Transformer Option 1B reV 11 BP072013</t>
  </si>
  <si>
    <t>11513</t>
  </si>
  <si>
    <t>Business Intelligence Functional Enhancements 2013-2015 rev1 BP 072013</t>
  </si>
  <si>
    <t>11515</t>
  </si>
  <si>
    <t>11516</t>
  </si>
  <si>
    <t>SAP Functional Enhancements 2013-2015 rev1 BP072013</t>
  </si>
  <si>
    <t>11517</t>
  </si>
  <si>
    <t>11521</t>
  </si>
  <si>
    <t>Database Management Systems Consolidation 2013-2015 rev1 BP072013</t>
  </si>
  <si>
    <t>11523</t>
  </si>
  <si>
    <t>ICT Systems Management 2014-2015 - rev 2 BP072013</t>
  </si>
  <si>
    <t>11524</t>
  </si>
  <si>
    <t>IT Storage and Virtualisation Refurbishment - rev 2 BP072013</t>
  </si>
  <si>
    <t>11526</t>
  </si>
  <si>
    <t>Telecommunications Network Management Systems Upgrade - Rev2 BP072013</t>
  </si>
  <si>
    <t>11532</t>
  </si>
  <si>
    <t>Fire Protection Rymill 2014 - 2015</t>
  </si>
  <si>
    <t>11533</t>
  </si>
  <si>
    <t>Business Intelligence Technology Upgrade 2014-2015 rev1 BP072013</t>
  </si>
  <si>
    <t>11538</t>
  </si>
  <si>
    <t>Project &amp; Portfolio Management Systems 2014 rev1 BP072013</t>
  </si>
  <si>
    <t>11539</t>
  </si>
  <si>
    <t>Records Management 2013-2015 rev1 BP072013</t>
  </si>
  <si>
    <t>11540</t>
  </si>
  <si>
    <t>Mt Barker-Tungkillo Telecoms Bearer - Rev 3</t>
  </si>
  <si>
    <t>11544</t>
  </si>
  <si>
    <t>TIPS C Switch Yard - Rev 9 BP072013</t>
  </si>
  <si>
    <t>11549</t>
  </si>
  <si>
    <t>Switching System Writer rev3</t>
  </si>
  <si>
    <t>11551</t>
  </si>
  <si>
    <t>Control Room Asset Replacement version rev1 BP072013</t>
  </si>
  <si>
    <t>11552</t>
  </si>
  <si>
    <t>Mt. Benson 132/33 kV Substation Land Acquisition - Rev2</t>
  </si>
  <si>
    <t>11553</t>
  </si>
  <si>
    <t>South East Substation to Heywood Telecommunications Bearer rev 4 BP072013</t>
  </si>
  <si>
    <t>11554</t>
  </si>
  <si>
    <t>UPS Battery Bank No.2 - rev2 BP072013</t>
  </si>
  <si>
    <t>11558</t>
  </si>
  <si>
    <t>Electrical 300 Pirie St. 2014-2015 rev1 BP072013</t>
  </si>
  <si>
    <t>11559</t>
  </si>
  <si>
    <t>Fleet Replacement Vehicles 2014-2015 rev1 BP072013</t>
  </si>
  <si>
    <t>11560</t>
  </si>
  <si>
    <t>Magill/East Terrace Cable Pit Construction - C45 - Rev3 BP072013</t>
  </si>
  <si>
    <t>11561</t>
  </si>
  <si>
    <t>Magill/East Terrace Cable Instrument Replacement - C45 - Rev3 BP072013</t>
  </si>
  <si>
    <t>11562</t>
  </si>
  <si>
    <t>Transmission Line Inspection Data Analysis Tool rev1 BP072013</t>
  </si>
  <si>
    <t>11564</t>
  </si>
  <si>
    <t>Magill/East Terrace Cable Joint Monitoring C45 - Rev 3 BP072013</t>
  </si>
  <si>
    <t>11575</t>
  </si>
  <si>
    <t>OPSWAN Replacement 2013-2015 rev 2 BP072013</t>
  </si>
  <si>
    <t>11581</t>
  </si>
  <si>
    <t>Furniture and General Building Upgrades 2014 - 2015 - rev2 BP072013</t>
  </si>
  <si>
    <t>11594</t>
  </si>
  <si>
    <t>Inventory Replenishment 2014-2015 rev1 BP072013</t>
  </si>
  <si>
    <t>11601</t>
  </si>
  <si>
    <t>Mobilong Substation Upgrade - rev 12 LU46</t>
  </si>
  <si>
    <t>11602</t>
  </si>
  <si>
    <t>Tailem Bend Substation Upgrade - Rev 21 Compliance and Security</t>
  </si>
  <si>
    <t>11603</t>
  </si>
  <si>
    <t>TIPS-Cherry Gardens 275kV line into Parafield Gardens West Substation Rev 7 BP072013</t>
  </si>
  <si>
    <t>11605</t>
  </si>
  <si>
    <t>Line Uprating Brinkworth - Davenport &amp; Para - Brinkworth - Rev 8 BP072013</t>
  </si>
  <si>
    <t>11610</t>
  </si>
  <si>
    <t>One Network Refresh 2013-2016 rev1 BP072013</t>
  </si>
  <si>
    <t>11615</t>
  </si>
  <si>
    <t>Standards Major Review - Reset 3 rev1 BP072013</t>
  </si>
  <si>
    <t>11617</t>
  </si>
  <si>
    <t>Playford - Leigh Creek Telecomms Bearer  rev 3</t>
  </si>
  <si>
    <t>11618</t>
  </si>
  <si>
    <t>Carpet Keswick 2015 -2016 - rev2 BP072013</t>
  </si>
  <si>
    <t>11619</t>
  </si>
  <si>
    <t>Fire Protection 300 Pirie 2015 - 2016 rev1 BP072013</t>
  </si>
  <si>
    <t>11623</t>
  </si>
  <si>
    <t>Robertstown Telecoms Bearer rev 6</t>
  </si>
  <si>
    <t>11624</t>
  </si>
  <si>
    <t>Mid North OPGW Bearer rev 5 BP072013</t>
  </si>
  <si>
    <t>11625</t>
  </si>
  <si>
    <t>Mount Barker South 275-66kV Transformer rev 11 BP072013</t>
  </si>
  <si>
    <t>11626</t>
  </si>
  <si>
    <t>Morphett Vale East, Happy Valley to Cherry Gardens Telecoms Bearer rev 3</t>
  </si>
  <si>
    <t>11627</t>
  </si>
  <si>
    <t>Snuggery Substation Replacement Land Acquisition - Rev 2 BP072013</t>
  </si>
  <si>
    <t>11632</t>
  </si>
  <si>
    <t>OPSWAN Implementation 2014-2016 - rev 2</t>
  </si>
  <si>
    <t>11633</t>
  </si>
  <si>
    <t>Kadina East - Hummocks West Circuit - Land Acquisition - Rev1</t>
  </si>
  <si>
    <t>11637</t>
  </si>
  <si>
    <t>500kV Standard structures Development rev1 BP072013</t>
  </si>
  <si>
    <t>11638</t>
  </si>
  <si>
    <t>Operational Logging and Fault Investigation Systems rev1 BP072013</t>
  </si>
  <si>
    <t>11639</t>
  </si>
  <si>
    <t>Western Suburbs 66kV Reinforcement - rev 9 LU46</t>
  </si>
  <si>
    <t>11642</t>
  </si>
  <si>
    <t>Torrens Island Switchyard (TIS) C Land and Easement Acquisition - Rev1</t>
  </si>
  <si>
    <t>11643</t>
  </si>
  <si>
    <t>New Office Building and Car Park rev 4</t>
  </si>
  <si>
    <t>11645</t>
  </si>
  <si>
    <t>Reactive Plant Control Systems - Rev 6 BP072013</t>
  </si>
  <si>
    <t>11646</t>
  </si>
  <si>
    <t>Upper North and Eyre Peninsula Voltage Control Scheme - Rev6</t>
  </si>
  <si>
    <t>11647</t>
  </si>
  <si>
    <t>Eyre Peninsula  Voltage Control Scheme Rev4 BP072013</t>
  </si>
  <si>
    <t>11648</t>
  </si>
  <si>
    <t>UPS &amp; Battery Bank BUCC 2015-2016 rev1 BP072013</t>
  </si>
  <si>
    <t>11649</t>
  </si>
  <si>
    <t>Mechanical 300 Pirie St. 2015-2016 rev1 BP072013</t>
  </si>
  <si>
    <t>11650</t>
  </si>
  <si>
    <t>Electrical 300 Pirie St. &amp; Keswick 2015-2016 rev1 BP072013</t>
  </si>
  <si>
    <t>11651</t>
  </si>
  <si>
    <t>Carpet 300 &amp; 276 Pirie St. 2015-2016 rev1 BP072013</t>
  </si>
  <si>
    <t>11652</t>
  </si>
  <si>
    <t>Fleet Replacement Vehicles 2015-2016 rev1 BP072013</t>
  </si>
  <si>
    <t>11655</t>
  </si>
  <si>
    <t>Penola West 15MVar Capacitor Bank - Rev5 LU46</t>
  </si>
  <si>
    <t>11656</t>
  </si>
  <si>
    <t>Transmission Line Vegetation Management System rev1 BP072013</t>
  </si>
  <si>
    <t>11657</t>
  </si>
  <si>
    <t>Meduim Term Accomodation</t>
  </si>
  <si>
    <t>11670</t>
  </si>
  <si>
    <t>ICT Hardware 2014-2016 rev 1 BP072013</t>
  </si>
  <si>
    <t>11671</t>
  </si>
  <si>
    <t>ICT Software 2014-2016 - rev 2 BP072013</t>
  </si>
  <si>
    <t>11672</t>
  </si>
  <si>
    <t>ICT Security 2014-2016 rev 1 BP072013</t>
  </si>
  <si>
    <t>11673</t>
  </si>
  <si>
    <t>IT OCS Software 2014-2016</t>
  </si>
  <si>
    <t>11681</t>
  </si>
  <si>
    <t>Furniture and General Building Upgrades 2015 -2016 - rev2 BP072013</t>
  </si>
  <si>
    <t>11694</t>
  </si>
  <si>
    <t>Inventory Replenishment 2015-2016 rev 1 BP072013</t>
  </si>
  <si>
    <t>11703</t>
  </si>
  <si>
    <t>Drawing Management Systems Technology Upgrade 2015-2017 rev 1 BP072013</t>
  </si>
  <si>
    <t>11705</t>
  </si>
  <si>
    <t>11706</t>
  </si>
  <si>
    <t>Archiving Solutions 2013-2015 - rev 2 BP072013</t>
  </si>
  <si>
    <t>11709</t>
  </si>
  <si>
    <t>Yadnarie - Port Lincoln Backbone Telecommunications Links rev 4 BP072013</t>
  </si>
  <si>
    <t>11712</t>
  </si>
  <si>
    <t>Engineering Systems Enhancements 2015-2017 rev 1BP072013</t>
  </si>
  <si>
    <t>11715</t>
  </si>
  <si>
    <t>11717</t>
  </si>
  <si>
    <t>UPS Battery Bank - rev2 BP072013</t>
  </si>
  <si>
    <t>11718</t>
  </si>
  <si>
    <t>Angas Creek Substation Augmentation Land Acquisition - Rev2BP072013</t>
  </si>
  <si>
    <t>11720</t>
  </si>
  <si>
    <t>Murray Bridge - Hahndorf Pump Stations 1-3 Land Acquisition - Rev1</t>
  </si>
  <si>
    <t>11721</t>
  </si>
  <si>
    <t>Morphett Vale East 275kV Supply Double - Rev2BP072013</t>
  </si>
  <si>
    <t>11722</t>
  </si>
  <si>
    <t>Brinkworth West Circuit Entry Easement Acquisition - Rev1</t>
  </si>
  <si>
    <t>11723</t>
  </si>
  <si>
    <t>Tepko Substation Land Acquisition - Rev1</t>
  </si>
  <si>
    <t>11724</t>
  </si>
  <si>
    <t>Wilmington Substation Land Acquisition - Rev1</t>
  </si>
  <si>
    <t>11725</t>
  </si>
  <si>
    <t>Mintaro to Waterloo Easement Widening Land  Acquisition - Rev1</t>
  </si>
  <si>
    <t>11726</t>
  </si>
  <si>
    <t>Lincoln Gap Substation Land Acquisition - Rev3 BP072013</t>
  </si>
  <si>
    <t>11727</t>
  </si>
  <si>
    <t>Fourth Northern Suburbs Connection Point Land Acquistion - Rev3 BP072013</t>
  </si>
  <si>
    <t>11728</t>
  </si>
  <si>
    <t>Jamestown Connection Point Land Acquisition - Rev2</t>
  </si>
  <si>
    <t>11729</t>
  </si>
  <si>
    <t>Snuggery to Blanche to Mt Gambier to South East Second 132kV Line Easement REV 3 BP072013</t>
  </si>
  <si>
    <t>11730</t>
  </si>
  <si>
    <t>Hummocks 132kV Capacitor Bank - Rev 5 BP072013</t>
  </si>
  <si>
    <t>11731</t>
  </si>
  <si>
    <t>Fleet Vehicles Purchase 2016-2017 rev 1 BP072013</t>
  </si>
  <si>
    <t>11732</t>
  </si>
  <si>
    <t>Outage Management Functional Upgrade  rev 1 BP072013</t>
  </si>
  <si>
    <t>11733</t>
  </si>
  <si>
    <t>Asset Condition Online Monitoring Equipment Replacement - C45 rev 2 BP072013</t>
  </si>
  <si>
    <t>11734</t>
  </si>
  <si>
    <t>Network Arial Laser Survey - rev 2 BP072013</t>
  </si>
  <si>
    <t>11736</t>
  </si>
  <si>
    <t>Para-Tungkillo 275kV Line Easement - Rev2</t>
  </si>
  <si>
    <t>11738</t>
  </si>
  <si>
    <t>Mallala to Para 275kV Double Circuit Land &amp; Easements - Rev4</t>
  </si>
  <si>
    <t>11739</t>
  </si>
  <si>
    <t>Templers to Para 275kV Double Circuit Land &amp; Easements - Rev4 BP072013</t>
  </si>
  <si>
    <t>11775</t>
  </si>
  <si>
    <t>OPSWAN Replacement 2015-2017  rev 2 BP072013</t>
  </si>
  <si>
    <t>11781</t>
  </si>
  <si>
    <t>Furniture and General Building Upgrades 2016 - 2017 - rev2 BP072013</t>
  </si>
  <si>
    <t>11782</t>
  </si>
  <si>
    <t>Building Generator 300 Pirie St</t>
  </si>
  <si>
    <t>11794</t>
  </si>
  <si>
    <t>Inventory Replenishment 2016-2017 rev 1 BP072013</t>
  </si>
  <si>
    <t>11801</t>
  </si>
  <si>
    <t>Davenport - Leigh Creek Line Uprate - Rev 8 BP072013</t>
  </si>
  <si>
    <t>11802</t>
  </si>
  <si>
    <t>Business Intelligence Functional Enhancements 2017-2018 rev 1 BP072013</t>
  </si>
  <si>
    <t>11803</t>
  </si>
  <si>
    <t>SAP Functional Enhancements 2017-2018 rev 2 BP072013</t>
  </si>
  <si>
    <t>11807</t>
  </si>
  <si>
    <t>ICT Systems Management 2017-2019  rev 1</t>
  </si>
  <si>
    <t>11808</t>
  </si>
  <si>
    <t>Office Systems Refresh rev 1 BP072013</t>
  </si>
  <si>
    <t>11809</t>
  </si>
  <si>
    <t>Common Information-Connectivity Model rev 2 BP072013</t>
  </si>
  <si>
    <t>11810</t>
  </si>
  <si>
    <t>OSI PI Technology Upgrade</t>
  </si>
  <si>
    <t>11811</t>
  </si>
  <si>
    <t>Outage Management Upgrade rev 2 BP072013</t>
  </si>
  <si>
    <t>11812</t>
  </si>
  <si>
    <t>Substation Automation and Alarm rev 2 BP072013</t>
  </si>
  <si>
    <t>11813</t>
  </si>
  <si>
    <t>Nokia Multiplexer Replacement  rev 3 BP072013</t>
  </si>
  <si>
    <t>11815</t>
  </si>
  <si>
    <t>Carpet Rymill 2012 - 2013 - rev2 BP072013</t>
  </si>
  <si>
    <t>11816</t>
  </si>
  <si>
    <t>One IP Substation Network Stage 1 rev 8</t>
  </si>
  <si>
    <t>11822</t>
  </si>
  <si>
    <t>Riverland Telecommunications Bearer  rev 3 BP072013</t>
  </si>
  <si>
    <t>11823</t>
  </si>
  <si>
    <t>Yorke Peninsula Second Telecommunications Bearer rev 4</t>
  </si>
  <si>
    <t>11824</t>
  </si>
  <si>
    <t>Weather Stations For Dynamic Line Rating</t>
  </si>
  <si>
    <t>11825</t>
  </si>
  <si>
    <t>Radial Supply Reliability Improvement Rev 7 BP072013</t>
  </si>
  <si>
    <t>11826</t>
  </si>
  <si>
    <t>Dalrymple Substation- Brownfield 1 Phase 1 Rev 10</t>
  </si>
  <si>
    <t>11828</t>
  </si>
  <si>
    <t>Substation Perimeter Video Monitoring &amp; Security - Rev 8</t>
  </si>
  <si>
    <t>11829</t>
  </si>
  <si>
    <t>Regional Control Scheme - Rev 7 BP072013</t>
  </si>
  <si>
    <t>11837</t>
  </si>
  <si>
    <t>Port Pirie Second TF and 2nd Bungama to Port Pirie Line-Rev 14 BP072013</t>
  </si>
  <si>
    <t>11838</t>
  </si>
  <si>
    <t>Davenport to para West Circuit OPGW rev 6 LU46</t>
  </si>
  <si>
    <t>11840</t>
  </si>
  <si>
    <t>Morphett Vale East Capacitor Bank rev 10 LU46</t>
  </si>
  <si>
    <t>11841</t>
  </si>
  <si>
    <t>Davenport-Robertstown Lines Tie at Belalie - Rev 11 BP072013</t>
  </si>
  <si>
    <t>11843</t>
  </si>
  <si>
    <t>Yatala Vale North 275/66kV Substation - Rev 10 BP072013</t>
  </si>
  <si>
    <t>11848</t>
  </si>
  <si>
    <t>Eagle on The Hill Substation-GIS-Option B Rev 7 BP072013</t>
  </si>
  <si>
    <t>11849</t>
  </si>
  <si>
    <t>Mallala toTemplers West 275kV Tie - Rev 7 BP072013</t>
  </si>
  <si>
    <t>11851</t>
  </si>
  <si>
    <t>Transmission Billing rev 2 BP072013</t>
  </si>
  <si>
    <t>11853</t>
  </si>
  <si>
    <t>Telecommunications SDM Major Review - Rev2 BP072013</t>
  </si>
  <si>
    <t>11854</t>
  </si>
  <si>
    <t>Tel Asset Replacement - Metro Region - rev4 BP072013</t>
  </si>
  <si>
    <t>11855</t>
  </si>
  <si>
    <t>Tel Asset Replacement - Eastern Hills Region - rev4 BP072013</t>
  </si>
  <si>
    <t>11856</t>
  </si>
  <si>
    <t>Tel Asset Replacement - Mid North Region - rev4 BP072013</t>
  </si>
  <si>
    <t>11857</t>
  </si>
  <si>
    <t>Tel Asset Replacement - Upper North Region - rev 5</t>
  </si>
  <si>
    <t>11858</t>
  </si>
  <si>
    <t>Tel Asset Replacement - Eyre Region - rev4 BP072013</t>
  </si>
  <si>
    <t>11859</t>
  </si>
  <si>
    <t>Tel Asset Replacement - Riverland Region - rev4 BP072013</t>
  </si>
  <si>
    <t>11860</t>
  </si>
  <si>
    <t>Tel Asset Replacement - South East Region - rev4 BP072013</t>
  </si>
  <si>
    <t>11861</t>
  </si>
  <si>
    <t>Telecommunications Network Optimisation Stage 2 - rev4 BP072013</t>
  </si>
  <si>
    <t>11862</t>
  </si>
  <si>
    <t>VOIP Network Refresh - Rev2 BP072013</t>
  </si>
  <si>
    <t>11863</t>
  </si>
  <si>
    <t>Snuggery Rural 132/33kV Transformer Upgrade Option C rev 7 rev BP072013</t>
  </si>
  <si>
    <t>11864</t>
  </si>
  <si>
    <t>Eyre Peninsula Network Extension Rev 4 LU46</t>
  </si>
  <si>
    <t>11865</t>
  </si>
  <si>
    <t>Network Configuration Management Upgrade rev 2 BP072013</t>
  </si>
  <si>
    <t>11866</t>
  </si>
  <si>
    <t>South East to Adelaide Main Grid Reinforcement - Rev 5 LU46</t>
  </si>
  <si>
    <t>11868</t>
  </si>
  <si>
    <t>Davenport to Adelaide Reinforcement - Rev 5 LU46</t>
  </si>
  <si>
    <t>11870</t>
  </si>
  <si>
    <t>ICT Hardware 2016-2018 rev 1 BP072013</t>
  </si>
  <si>
    <t>11871</t>
  </si>
  <si>
    <t>ICT Software 2016-2018 - rev 2 BP072013</t>
  </si>
  <si>
    <t>11872</t>
  </si>
  <si>
    <t>ICT Security 2016-2018 rev 2 BP072013</t>
  </si>
  <si>
    <t>11873</t>
  </si>
  <si>
    <t>IT OCS software 2016-2018 rev 2 BP072013</t>
  </si>
  <si>
    <t>11876</t>
  </si>
  <si>
    <t>Integrated Network Modelling System rev 1 BP072013</t>
  </si>
  <si>
    <t>11880</t>
  </si>
  <si>
    <t>Fire Protection 300 Pirie St - Sprinkler System rev 2 BP072013</t>
  </si>
  <si>
    <t>11881</t>
  </si>
  <si>
    <t>Furniture and General Building Upgrades 2017 - 2018 - rev 2 BP072013</t>
  </si>
  <si>
    <t>11882</t>
  </si>
  <si>
    <t>General Utility Upgrade 2017 - 2018 rev 2 BP072013</t>
  </si>
  <si>
    <t>11883</t>
  </si>
  <si>
    <t>ICT Data Centre Expansion - rev 2 BP072013</t>
  </si>
  <si>
    <t>11884</t>
  </si>
  <si>
    <t>Fire Protection Rymill - Sprinkler System</t>
  </si>
  <si>
    <t>11890</t>
  </si>
  <si>
    <t>Unit Asset replacement rev 12</t>
  </si>
  <si>
    <t>11891</t>
  </si>
  <si>
    <t>Hummocks to Ardrossan West Double Circuit Easement - Rev2</t>
  </si>
  <si>
    <t>11892</t>
  </si>
  <si>
    <t>City West 2nd Cable Easement - Rev1</t>
  </si>
  <si>
    <t>11893</t>
  </si>
  <si>
    <t>Mallala to Templers West 275kV Transmission Line Land Acquisition - Rev1</t>
  </si>
  <si>
    <t>11894</t>
  </si>
  <si>
    <t>Inventory Replenishment 2017-2018 - rev 1 BP072013</t>
  </si>
  <si>
    <t>11896</t>
  </si>
  <si>
    <t>Mechanical 300 &amp; 276 Pirie St. 2017-2018 rev 1 BP072013</t>
  </si>
  <si>
    <t>11898</t>
  </si>
  <si>
    <t>Waterloo - Robertstown #1 Line Reinstatement rev 4 LU46</t>
  </si>
  <si>
    <t>11899</t>
  </si>
  <si>
    <t>Fleet Vehicles Purchase 2017-2018 rev 1 BP072013</t>
  </si>
  <si>
    <t>11902</t>
  </si>
  <si>
    <t>Yorke Peninisula Reinforcement Option A rev 17 BP072013</t>
  </si>
  <si>
    <t>11904</t>
  </si>
  <si>
    <t>Brinkworth to Belalie or Mokota 275kV Line Easement - Rev2</t>
  </si>
  <si>
    <t>11910</t>
  </si>
  <si>
    <t>Yadnarie to Wudinna Backbone Telecommunications Link rev 3 BP072013</t>
  </si>
  <si>
    <t>11911</t>
  </si>
  <si>
    <t>DCN Network Refresh - Rev1</t>
  </si>
  <si>
    <t>11913</t>
  </si>
  <si>
    <t>Munno Para 275/66kV 2nd Transformer - Rev 9 BP072013</t>
  </si>
  <si>
    <t>11915</t>
  </si>
  <si>
    <t>Furniture and General Building Upgrades 2018-2019 rev 1 BP072013</t>
  </si>
  <si>
    <t>11916</t>
  </si>
  <si>
    <t>Fleet Vehicle Purchase 2018-2019 rev 1 BP072013</t>
  </si>
  <si>
    <t>11975</t>
  </si>
  <si>
    <t>OPSWAN Replacement 2017-2019 - Rev 3 BP072013</t>
  </si>
  <si>
    <t>11981</t>
  </si>
  <si>
    <t>Furniture and General Building Upgrades 2018 - 2019</t>
  </si>
  <si>
    <t>12002</t>
  </si>
  <si>
    <t>Corporate Network Refresh 2018-2020 rev 1 BP072013</t>
  </si>
  <si>
    <t>12003</t>
  </si>
  <si>
    <t>12008</t>
  </si>
  <si>
    <t>Project &amp; Portfolio Management Systems Functional Enhancements 2018-2020 rev 1 BP072013</t>
  </si>
  <si>
    <t>12010</t>
  </si>
  <si>
    <t>SAP Functional Enhancements 2018-2020 rev 2 BP072013</t>
  </si>
  <si>
    <t>12011</t>
  </si>
  <si>
    <t>SPF Functional Enhancements 2018-2020 rev 2 BP072013</t>
  </si>
  <si>
    <t>12022</t>
  </si>
  <si>
    <t>Telstra Leased Copper Services Exit and Transition rev 3 BP072013</t>
  </si>
  <si>
    <t>12027</t>
  </si>
  <si>
    <t>Mechanical 300 Pirie St  2018 - 2019 rev 1 BP072013</t>
  </si>
  <si>
    <t>12028</t>
  </si>
  <si>
    <t>Furniture and General Building Upgrades 2019 - 2020 rev 1 BP072013</t>
  </si>
  <si>
    <t>12029</t>
  </si>
  <si>
    <t>Roof Keswick North, 300 &amp; 276 Pirie  2019 - 2020 rev 1 BP072013</t>
  </si>
  <si>
    <t>12030</t>
  </si>
  <si>
    <t>Fleet Vehicle Purchase 2019 -2020 rev 1 BP072013</t>
  </si>
  <si>
    <t>12070</t>
  </si>
  <si>
    <t>ICT Hardware 2018-2020 rev 2 BP072013</t>
  </si>
  <si>
    <t>12071</t>
  </si>
  <si>
    <t>ICT Software 2018-2020 rev 2 BP072013</t>
  </si>
  <si>
    <t>12073</t>
  </si>
  <si>
    <t>IT OCS Software 2018-2020 rev 2 BP072013</t>
  </si>
  <si>
    <t>12103</t>
  </si>
  <si>
    <t>Transmission Operator Situational Awareness rev 2 PB072013</t>
  </si>
  <si>
    <t>12104</t>
  </si>
  <si>
    <t>City West - Western Suburbs Reinforcement Rev 7 BP072013</t>
  </si>
  <si>
    <t>12105</t>
  </si>
  <si>
    <t>Electrical 300 Pirie St 2020 - 2021 rev 1 PB072013</t>
  </si>
  <si>
    <t>12106</t>
  </si>
  <si>
    <t>Furniture and General Building Upgrades 2020 - 2021 rev 1 BP072013</t>
  </si>
  <si>
    <t>12107</t>
  </si>
  <si>
    <t>Electrical Rymill Bldg. 2020 - 2021 rev 1 BP072013</t>
  </si>
  <si>
    <t>12108</t>
  </si>
  <si>
    <t>Mechanical Keswick North 2020 - 2021 rev 1 BP072013</t>
  </si>
  <si>
    <t>12109</t>
  </si>
  <si>
    <t>Fire Panel Keswick North 2020 -2021 rev 1 PB072013</t>
  </si>
  <si>
    <t>12110</t>
  </si>
  <si>
    <t>Mechanical Back Up Control Centre 2020 -2021 rev 1 BP072013</t>
  </si>
  <si>
    <t>12111</t>
  </si>
  <si>
    <t>Fleet Vehicle Purchase 2020 -2021 rev 1 BP072013</t>
  </si>
  <si>
    <t>12112</t>
  </si>
  <si>
    <t>Outage Management Functional Upgrade rev 1 BP072013</t>
  </si>
  <si>
    <t>12204</t>
  </si>
  <si>
    <t>UPS Replacement 300 Pirie St 2021-2022 rev 1 BP072013</t>
  </si>
  <si>
    <t>12205</t>
  </si>
  <si>
    <t>Furniture and General Building Upgrades 2021 - 2022 rev 1 BP072013</t>
  </si>
  <si>
    <t>12206</t>
  </si>
  <si>
    <t>Electrical Back Up Control Centre 2021 -2022 rev 1 BP072013</t>
  </si>
  <si>
    <t>12207</t>
  </si>
  <si>
    <t>Fleet Vehicle Purchase 2021 -2022 rev 1 BP072013</t>
  </si>
  <si>
    <t>12303</t>
  </si>
  <si>
    <t>Murray Bridge to Hahndorf Pump Station No 1 - Option A - 2 No TF - Rev 10</t>
  </si>
  <si>
    <t>12304</t>
  </si>
  <si>
    <t>Murray Bridge Hahndorf Pump Station No 2 Option A - 2 No TF - Rev 9 BP072013</t>
  </si>
  <si>
    <t>12305</t>
  </si>
  <si>
    <t>Murray Bridge - Hahndorf Pump Station No 3 Option A - 2 No TF -  Rev 8</t>
  </si>
  <si>
    <t>12307</t>
  </si>
  <si>
    <t>Sugar Loaf Hill 132/33kV Substation - Rev 16 LU46</t>
  </si>
  <si>
    <t>12309</t>
  </si>
  <si>
    <t>Kingsford 275/66kV Substation - Rev 12 BP072013</t>
  </si>
  <si>
    <t>12310</t>
  </si>
  <si>
    <t>2nd 275kV Cable to City West Substation Rev 6 PB072013</t>
  </si>
  <si>
    <t>12311</t>
  </si>
  <si>
    <t>Southern Suburbs Reinforcement Rev 7 BP072013</t>
  </si>
  <si>
    <t>12323</t>
  </si>
  <si>
    <t>Jamestown 275/66kV Two Transformer Substation - Rev 8 LU46 BP072013</t>
  </si>
  <si>
    <t>12702</t>
  </si>
  <si>
    <t>Munno Para Capacitor Bank #2 - Rev 10 LU46</t>
  </si>
  <si>
    <t>12803</t>
  </si>
  <si>
    <t>South East Region TF Reinforcement - Option B- Rev 11 LU46</t>
  </si>
  <si>
    <t>12805</t>
  </si>
  <si>
    <t>Templers West to Brinkworth 275kV Double Ckt Line Rev 6 LU46</t>
  </si>
  <si>
    <t>13304</t>
  </si>
  <si>
    <t>Templers West to Para 275kV Double Circuit Line - Rev 6 LU46</t>
  </si>
  <si>
    <t>11567</t>
  </si>
  <si>
    <t>11662</t>
  </si>
  <si>
    <t>11743</t>
  </si>
  <si>
    <t>Bungama - Baroota 132 kV Line Rating Com</t>
  </si>
  <si>
    <t>11658</t>
  </si>
  <si>
    <t>Fire Fighting System Replacements</t>
  </si>
  <si>
    <t>11659</t>
  </si>
  <si>
    <t>11749</t>
  </si>
  <si>
    <t>14012</t>
  </si>
  <si>
    <t>11576</t>
  </si>
  <si>
    <t>11566</t>
  </si>
  <si>
    <t>Business Planning System Including WFP</t>
  </si>
  <si>
    <t>11751</t>
  </si>
  <si>
    <t>14009</t>
  </si>
  <si>
    <t>10504</t>
  </si>
  <si>
    <t>Mannum-Adelaide Pump Nos. 1,2,3 Substati</t>
  </si>
  <si>
    <t>10922</t>
  </si>
  <si>
    <t>Northern Region Network Stability Limita</t>
  </si>
  <si>
    <t>11660</t>
  </si>
  <si>
    <t>14101</t>
  </si>
  <si>
    <t>89998</t>
  </si>
  <si>
    <t>Clearing Account Project - Mount Millar CB</t>
  </si>
  <si>
    <t>14052</t>
  </si>
  <si>
    <t>14058</t>
  </si>
  <si>
    <t>14059</t>
  </si>
  <si>
    <t>14029</t>
  </si>
  <si>
    <t>14039</t>
  </si>
  <si>
    <t>14040</t>
  </si>
  <si>
    <t>14020</t>
  </si>
  <si>
    <t>14053</t>
  </si>
  <si>
    <t>14088</t>
  </si>
  <si>
    <t>14007</t>
  </si>
  <si>
    <t>14114</t>
  </si>
  <si>
    <t>14119</t>
  </si>
  <si>
    <t>14038</t>
  </si>
  <si>
    <t>14089</t>
  </si>
  <si>
    <t>11747</t>
  </si>
  <si>
    <t>14016</t>
  </si>
  <si>
    <t>Asset Health Monitoring and Assessment</t>
  </si>
  <si>
    <t>14030</t>
  </si>
  <si>
    <t>14120</t>
  </si>
  <si>
    <t>30827</t>
  </si>
  <si>
    <t>Yorke Peninsula Windfarm Globe Derby Substation $35M UNREG</t>
  </si>
  <si>
    <t>11379</t>
  </si>
  <si>
    <t>14122</t>
  </si>
  <si>
    <t>14129</t>
  </si>
  <si>
    <t>14134</t>
  </si>
  <si>
    <t>Estimates Asset Class $</t>
  </si>
  <si>
    <t>11852</t>
  </si>
  <si>
    <t>11917</t>
  </si>
  <si>
    <t>12013</t>
  </si>
  <si>
    <t>12301</t>
  </si>
  <si>
    <t>14008</t>
  </si>
  <si>
    <t>14010</t>
  </si>
  <si>
    <t>14011</t>
  </si>
  <si>
    <t>14013</t>
  </si>
  <si>
    <t>14014</t>
  </si>
  <si>
    <t>14015</t>
  </si>
  <si>
    <t>14017</t>
  </si>
  <si>
    <t>14018</t>
  </si>
  <si>
    <t>14021</t>
  </si>
  <si>
    <t>14024</t>
  </si>
  <si>
    <t>14041</t>
  </si>
  <si>
    <t>14084</t>
  </si>
  <si>
    <t>14097</t>
  </si>
  <si>
    <t>14100</t>
  </si>
  <si>
    <t>14107</t>
  </si>
  <si>
    <t>14108</t>
  </si>
  <si>
    <t>14109</t>
  </si>
  <si>
    <t>14121</t>
  </si>
  <si>
    <t>14128</t>
  </si>
  <si>
    <t>Grand Total</t>
  </si>
  <si>
    <t>Sum of Commissioned $</t>
  </si>
  <si>
    <t>Check</t>
  </si>
  <si>
    <t>Total Classes</t>
  </si>
  <si>
    <t>10640</t>
  </si>
  <si>
    <t>10628</t>
  </si>
  <si>
    <t>Neuroodla Substation Aged Asset Replacem</t>
  </si>
  <si>
    <t>Business Process Improvement - Stage 1</t>
  </si>
  <si>
    <t>EC.11139</t>
  </si>
  <si>
    <t>10020</t>
  </si>
  <si>
    <t>WIP at Jun 2016</t>
  </si>
  <si>
    <t>Working Capital</t>
  </si>
  <si>
    <t>Accelerated Depreciation</t>
  </si>
  <si>
    <t>Refurbishment Projects 2008-2013</t>
  </si>
  <si>
    <t>INCURRED</t>
  </si>
  <si>
    <t>COMMISSIONED</t>
  </si>
  <si>
    <t>F16</t>
  </si>
  <si>
    <t>F17</t>
  </si>
  <si>
    <t>F18</t>
  </si>
  <si>
    <t>F19</t>
  </si>
  <si>
    <t>F20</t>
  </si>
  <si>
    <t>F21</t>
  </si>
  <si>
    <t>F22</t>
  </si>
  <si>
    <t>F23</t>
  </si>
  <si>
    <t>$m</t>
  </si>
  <si>
    <t xml:space="preserve">Round to </t>
  </si>
  <si>
    <t>Cumulative cpi to 2023</t>
  </si>
  <si>
    <t>F14</t>
  </si>
  <si>
    <t>F15</t>
  </si>
  <si>
    <t>RFM</t>
  </si>
  <si>
    <t>PTRM</t>
  </si>
  <si>
    <t>Total F16-F23</t>
  </si>
  <si>
    <t>Check total</t>
  </si>
  <si>
    <t>NCIPAP TF Management Relay DR-E3 Uprat</t>
  </si>
  <si>
    <t>EC.14133</t>
  </si>
  <si>
    <t>Dalrymple ESCRI Energy Storage</t>
  </si>
  <si>
    <t>Kilburn 275 kV Emergency Bypass</t>
  </si>
  <si>
    <t>$m Nominal</t>
  </si>
  <si>
    <t>$m Real (2017-18)</t>
  </si>
  <si>
    <t>IT Storage Computer Hardware Refurb19-20</t>
  </si>
  <si>
    <t>Database Platform Refresh 17-18</t>
  </si>
  <si>
    <t>Windows Backoffice Mgmt Sys Refresh17-18</t>
  </si>
  <si>
    <t>Licenses, Maintenance, Minor Soft 17-18</t>
  </si>
  <si>
    <t>IT Security Technology Refresh 17-18</t>
  </si>
  <si>
    <t>Intranet and Extranet Refresh 18-19</t>
  </si>
  <si>
    <t>Local Area Network Equip Refresh 21-22</t>
  </si>
  <si>
    <t>Geospatial Systems Refresh 18-19</t>
  </si>
  <si>
    <t>Project Portfoilo Mgmt Sys Refresh 21-22</t>
  </si>
  <si>
    <t>ERP Systems Refresh</t>
  </si>
  <si>
    <t>Geospatial Systems Refresh 23-24</t>
  </si>
  <si>
    <t>Licenses, Maintenance, Minor Soft 22-23</t>
  </si>
  <si>
    <t>Licenses, Maintenance, Minor Soft 19-20</t>
  </si>
  <si>
    <t>IT Systems Admin and Monitoring Tools Re</t>
  </si>
  <si>
    <t>IT Security Technology Refresh 21-22</t>
  </si>
  <si>
    <t>Licenses, Maintenance, Minor Soft 21-22</t>
  </si>
  <si>
    <t>Windows Backoffice Mgmt Sys Refresh20-21</t>
  </si>
  <si>
    <t>IT Security Technology Refresh 22-23</t>
  </si>
  <si>
    <t>Intranet Platform Refresh 22-23</t>
  </si>
  <si>
    <t>VOIP Network Refresh 2018-23</t>
  </si>
  <si>
    <t>IT Architecture Support Systems Implemen</t>
  </si>
  <si>
    <t>Treasury and Risk Systems Implementation</t>
  </si>
  <si>
    <t>Optimise Inventory Management System</t>
  </si>
  <si>
    <t>Stakeholder Management Sys Refresh 17-18</t>
  </si>
  <si>
    <t>Records and Drg Mgmt tools Consolidate</t>
  </si>
  <si>
    <t>Stakeholder Mgmt Systems Refresh 23-24</t>
  </si>
  <si>
    <t>Archive and Optimise SAP Data</t>
  </si>
  <si>
    <t>Advanced Analytics for Bus Intelligence</t>
  </si>
  <si>
    <t>Bus Process Rules and Auto Tools Imp</t>
  </si>
  <si>
    <t>Treasury and Risk Systems Refresh</t>
  </si>
  <si>
    <t>Financial Budget and Forecast System Ref</t>
  </si>
  <si>
    <t>Project Opex Resource Modelling Sys Refr</t>
  </si>
  <si>
    <t>IT Backup and Archiving Systems Replace</t>
  </si>
  <si>
    <t>Virtual Application Capability Refresh</t>
  </si>
  <si>
    <t>Database Platform Refresh 19-20</t>
  </si>
  <si>
    <t>14133</t>
  </si>
  <si>
    <t>Discount to $Real 2017/18</t>
  </si>
  <si>
    <t>cpi</t>
  </si>
  <si>
    <t>14137</t>
  </si>
  <si>
    <t>14138</t>
  </si>
  <si>
    <t>14139</t>
  </si>
  <si>
    <t>14140</t>
  </si>
  <si>
    <t>14141</t>
  </si>
  <si>
    <t>14142</t>
  </si>
  <si>
    <t>14143</t>
  </si>
  <si>
    <t>14144</t>
  </si>
  <si>
    <t>14145</t>
  </si>
  <si>
    <t>MWPS1 – NWB F1854 132 kV Line Conductor and Earthwire Refurbishment</t>
  </si>
  <si>
    <t>MWPS3 – MWPS2 F1849 132 kV Line Conductor and Earthwire Refurbishment</t>
  </si>
  <si>
    <t>MWPS4 - Robertstown F1855 132 kV Line Conductor and Earthwire Refurbishment</t>
  </si>
  <si>
    <t>MWPS2 – MWPS1 F1853 132 kV Line Conductor and Earthwire Refurbishment</t>
  </si>
  <si>
    <t>Robertstown – MWPS3 F1847 132 kV Line Conductor and Earthwire Refurbishment</t>
  </si>
  <si>
    <t>Waterloo – Waterloo East F1806 132 kV Line Conductor and Earthwire Refurbishment</t>
  </si>
  <si>
    <t>Waterloo East - MWPS4 F1888 132 kV Line Conductor and Earthwire Refurbishment</t>
  </si>
  <si>
    <t>14081</t>
  </si>
  <si>
    <t>14080</t>
  </si>
  <si>
    <t>14105</t>
  </si>
  <si>
    <t>11426</t>
  </si>
  <si>
    <t>14076</t>
  </si>
  <si>
    <t>NCIPAP</t>
  </si>
  <si>
    <t>[CLSD]-Neuroodla Substation Replacement</t>
  </si>
  <si>
    <t>[CLSD]-Mt Gunson Substation Replacement</t>
  </si>
  <si>
    <t>[CLSD]-Riverland Bearer</t>
  </si>
  <si>
    <t>Actual 2016</t>
  </si>
  <si>
    <t>Plan 2019</t>
  </si>
  <si>
    <t>Plan 2020</t>
  </si>
  <si>
    <t>Plan 2021</t>
  </si>
  <si>
    <t>Plan 2022</t>
  </si>
  <si>
    <t>Plan 2023</t>
  </si>
  <si>
    <t>Plan 2017</t>
  </si>
  <si>
    <t>Plan 2018</t>
  </si>
  <si>
    <t>Contingent - Actual</t>
  </si>
  <si>
    <t>Contingent - High</t>
  </si>
  <si>
    <t>Asset Managment Optimisation</t>
  </si>
  <si>
    <t>Integrated Project and Resource Model</t>
  </si>
  <si>
    <t>LAN Corporate Refresh 17-18</t>
  </si>
  <si>
    <t>CLSD-Mechanical 300 Pirie Street 2015-16</t>
  </si>
  <si>
    <t>CLSD-Vehicle Purchases 2015-16</t>
  </si>
  <si>
    <t>CLSC-Furniture and Building Upgr 2015-16</t>
  </si>
  <si>
    <t>CLSD-UPS Battery Bank No1 -300 Pirie St</t>
  </si>
  <si>
    <t>AC Switchboard Replacement 2013-18</t>
  </si>
  <si>
    <t>IT Hardware Refresh Maintain 16-18</t>
  </si>
  <si>
    <t>Intranet Platform Refresh 16-17</t>
  </si>
  <si>
    <t>IT Hardware Refresh and Maintain 19-20</t>
  </si>
  <si>
    <t>IT Hardware Refresh Maintain 21-22</t>
  </si>
  <si>
    <t>IT Hardware Refresh Maintain  22-23</t>
  </si>
  <si>
    <t>CLSD Supply Chain Management Procedure</t>
  </si>
  <si>
    <t>DEFD Eyre Peninsula Islanding Controls</t>
  </si>
  <si>
    <t>Canowie CB Arrangement Upgrade</t>
  </si>
  <si>
    <t>Leigh Creek South Transformer Replacemen</t>
  </si>
  <si>
    <t>CLSD-Keswick Precinct Led Lighting Upgra</t>
  </si>
  <si>
    <t>CLSD-Workplace Accommod Alterations 2015</t>
  </si>
  <si>
    <t>EC.14135</t>
  </si>
  <si>
    <t>Electric Vehicle Fleet and Charging Infr</t>
  </si>
  <si>
    <t>EC.14136</t>
  </si>
  <si>
    <t>Rymill Building Accommodation Security a</t>
  </si>
  <si>
    <t>EC.14137</t>
  </si>
  <si>
    <t>Cultana - Yadnarie F1810 132 kV Line Con</t>
  </si>
  <si>
    <t>EC.14145</t>
  </si>
  <si>
    <t>Yadnarie - Pt Lincoln F1811 132 kV Line</t>
  </si>
  <si>
    <t>EC.14155</t>
  </si>
  <si>
    <t>MBHPS3-Kanmantoo-Back Callington F1850 1</t>
  </si>
  <si>
    <t>CLSD-300 Pirie Street L1 West Upgrade</t>
  </si>
  <si>
    <t>Munno Para 66 kV Control Scheme</t>
  </si>
  <si>
    <t>EC.14166</t>
  </si>
  <si>
    <t>NCIPAP Robertstown-Tungkillo 275 kV Remo</t>
  </si>
  <si>
    <t>EC.14167</t>
  </si>
  <si>
    <t>NCIPAP Davenport-Robertstown 275 kV Line</t>
  </si>
  <si>
    <t>EC.14168</t>
  </si>
  <si>
    <t>NCIPAP Smart Wires PowerLine Guardian Te</t>
  </si>
  <si>
    <t>EC.14169</t>
  </si>
  <si>
    <t>NCIPAP South East - Tungkillo 275kV Dyna</t>
  </si>
  <si>
    <t>EC.14170</t>
  </si>
  <si>
    <t>EC.14171</t>
  </si>
  <si>
    <t>South Australia Energy Transformation</t>
  </si>
  <si>
    <t>EC.14172</t>
  </si>
  <si>
    <t>Eyre Peninsula Transmission Supply</t>
  </si>
  <si>
    <t>EC.14174</t>
  </si>
  <si>
    <t>Templers Plant Limit Increase</t>
  </si>
  <si>
    <t>Mid North 132 kV Dynamic Line Ratings</t>
  </si>
  <si>
    <t>EC.14176</t>
  </si>
  <si>
    <t>Surge Arrester Unit Asset Replacement 20</t>
  </si>
  <si>
    <t>EC.14178</t>
  </si>
  <si>
    <t>Elevating Work Platform Procurement for</t>
  </si>
  <si>
    <t>EC.14179</t>
  </si>
  <si>
    <t>Live Line Manual Development</t>
  </si>
  <si>
    <t>EC.14180</t>
  </si>
  <si>
    <t>Pimba PLC Replacement</t>
  </si>
  <si>
    <t>EC.14181</t>
  </si>
  <si>
    <t>Tailem Bend Second Communication Link</t>
  </si>
  <si>
    <t>EC.14182</t>
  </si>
  <si>
    <t>South East SVC Computer Control System R</t>
  </si>
  <si>
    <t>EC.14184</t>
  </si>
  <si>
    <t>Secondary Injection Test Unit</t>
  </si>
  <si>
    <t>EC.14185</t>
  </si>
  <si>
    <t>SF6 Trailer Mounted Service Cart</t>
  </si>
  <si>
    <t>EC.14187</t>
  </si>
  <si>
    <t>SA Over-Frequency Generation Shedding (OFGS) Scheme</t>
  </si>
  <si>
    <t>EC.14188</t>
  </si>
  <si>
    <t>Warehousing project</t>
  </si>
  <si>
    <t>EC.14189</t>
  </si>
  <si>
    <t>Temporary Transmission Structures Acquisition</t>
  </si>
  <si>
    <t>12</t>
  </si>
  <si>
    <t>EC.11104 Davenport 100MVAr Capacitor Bank Rev 11</t>
  </si>
  <si>
    <t>EC.11749 AC Switchboard Replacement level 1 rev3</t>
  </si>
  <si>
    <t>Far North</t>
  </si>
  <si>
    <t>EC.11829 Regional N-1 Secure Control Schemes - Copy</t>
  </si>
  <si>
    <t>EC11854 Telco Asset Replacement 2013-2018 Level 3</t>
  </si>
  <si>
    <t>ESCRI SA Phase 2</t>
  </si>
  <si>
    <t>Doran Costan</t>
  </si>
  <si>
    <t>Rev 2</t>
  </si>
  <si>
    <t>Rev 1</t>
  </si>
  <si>
    <t>EC.14178 Elevating Work Platform Procurement for Live Work rev1</t>
  </si>
  <si>
    <t>EC.14179 Live Line Manual Development</t>
  </si>
  <si>
    <t>On Hold</t>
  </si>
  <si>
    <t>EC.11552 Mt. Benson 132/33 kV Substation Land Acquisition - Rev2</t>
  </si>
  <si>
    <t>EC.11606 Enterprise Integration Platform Refresh</t>
  </si>
  <si>
    <t>EC.11661 Substation Computer Based Local Control Facilities Replacement rev 3</t>
  </si>
  <si>
    <t>EC.11722 Brinkworth West Circuit Entry Easement Acquisition - Rev1</t>
  </si>
  <si>
    <t>EC.11725 Mintaro to Waterloo Easement Widening Land  Acquisition - Rev1</t>
  </si>
  <si>
    <t>EC.11726 Lincoln Gap Substation Land Acquisition - Rev3 BP072013</t>
  </si>
  <si>
    <t>EC.11727 Fourth Northern Suburbs Connection Point Land Acquistion - Rev3 BP072013</t>
  </si>
  <si>
    <t>EC.11892 City West 2nd Cable Easement - Rev1</t>
  </si>
  <si>
    <t>EC.11898 Waterloo - Robertstown #1 Line Reinstatement rev 5</t>
  </si>
  <si>
    <t>EC.11902 Yorke Peninsula Reinforcement 04/2016 rev 1</t>
  </si>
  <si>
    <t>EC.11906 Application Virtualisation rev 2</t>
  </si>
  <si>
    <t>EC.11907 Intranet &amp; Extranet Refresh 18-19</t>
  </si>
  <si>
    <t>EC.11918 People Management Upgrade rev 2</t>
  </si>
  <si>
    <t>EC.12002 Local Area Network Equipment Refresh 21-22</t>
  </si>
  <si>
    <t>EC.12004 Geospatial Systems Refresh 18-19</t>
  </si>
  <si>
    <t>EC.12005 IT Storage &amp; Computer Hardware Refurb 19-20</t>
  </si>
  <si>
    <t>EC.12008 Project and Portfolio Management Systems Refresh 21-22</t>
  </si>
  <si>
    <t>EC.12010 ERP Systems Refresh</t>
  </si>
  <si>
    <t>EC.12017 Geospatial Systems Refresh 23-24</t>
  </si>
  <si>
    <t>EC.12021 Licenses, Maintenance, Minor Software 22-23</t>
  </si>
  <si>
    <t>EC.12070 Refresh and Maintain IT Hardware 19-20</t>
  </si>
  <si>
    <t>EC.12071 Licenses, Maintenance, Minor Software 19-20</t>
  </si>
  <si>
    <t>EC.12072 IT Security Technology Refresh 19-20</t>
  </si>
  <si>
    <t>EC.12107 Electrical Rymill Bldg. 2020 - 2021 rev 1 BP072013</t>
  </si>
  <si>
    <t>EC.12109 Fire Panel Keswick North 2020 -2021 rev 1 PB072013</t>
  </si>
  <si>
    <t>EC.12206 Electrical Back Up Control Centre 2021 -2022 rev 1 BP072013</t>
  </si>
  <si>
    <t>EC.12210 Refresh and Maintain IT Hardware 21-22</t>
  </si>
  <si>
    <t>EC.12211 IT Security Technology Refresh 21-22</t>
  </si>
  <si>
    <t>EC.12402 Refresh and Maintain IT Hardware 22-23</t>
  </si>
  <si>
    <t>EC.12403 Licenses, Maintenance, Minor Software 21-22</t>
  </si>
  <si>
    <t>EC.12404 Windows Backoffice Management Systems Refresh 20-21</t>
  </si>
  <si>
    <t>EC.12406 Intranet Platform Refresh 22-23</t>
  </si>
  <si>
    <t>EC.14019 Estimating System Upgrade with Maintenance Enhancements</t>
  </si>
  <si>
    <t>EC.14023 IT Systems Admin and Monitoring Tools Refresh</t>
  </si>
  <si>
    <t>EC.14031 Protection Systems Unit Asset Replacement 2018-23 rev 5</t>
  </si>
  <si>
    <t>EC.14033 Circuit Breaker Unit Asset Replacement 2018-23 rev 5</t>
  </si>
  <si>
    <t>EC.14034 Isolator Unit Asset Replacement 2018-23 rev 9</t>
  </si>
  <si>
    <t>EC.14045 110v Battery Charger Unit Asset Replacement 2018-2023 - rev 3</t>
  </si>
  <si>
    <t>EC.14047 Transformer Bushing Unit Asset Replacement 2018-2023 rev 6</t>
  </si>
  <si>
    <t>EC.14066 Telco Tower Capacity Increase rev 2</t>
  </si>
  <si>
    <t>EC.14075 Substation Air Conditioning System Unit Asset replacement 2018-2013 .rev 7</t>
  </si>
  <si>
    <t>EC.14081 Line Insulator Systems Refurbishment - Rev 5</t>
  </si>
  <si>
    <t>EC.14084 Line Conductor and Earthwire Replacement 2018-2023 Option 1 Generation rev 4</t>
  </si>
  <si>
    <t>EC.14097 Records and Drawing Management Tools Consolidate and Refresh</t>
  </si>
  <si>
    <t>EC.14099 Stakeholder Management Systems Refresh 23-24</t>
  </si>
  <si>
    <t>EC.14106 IT Service Operations System Upgrade 2 rev 2</t>
  </si>
  <si>
    <t>EC.14107 Archive and Optimise SAP Data</t>
  </si>
  <si>
    <t>EC.14108 Advanced Analytics for Business Intelligence Implementation</t>
  </si>
  <si>
    <t>EC.14109 Business Process Rules and Automation Tools Implementation</t>
  </si>
  <si>
    <t>EC.14110 Integrated Project and Resource Modelling System rev 3</t>
  </si>
  <si>
    <t>EC.14111 Treasury and Risk Systems Refresh</t>
  </si>
  <si>
    <t>EC.14112 Financial Budgeting and Forecasting Systems Refresh</t>
  </si>
  <si>
    <t>EC.14113 Project and Opex Resource Modelling Systems Refresh</t>
  </si>
  <si>
    <t>EC.14115 IT Backup and Archiving Systems Replacement</t>
  </si>
  <si>
    <t>EC.14116 Virtual Application Capability Refresh</t>
  </si>
  <si>
    <t>EC.14117 Social Media Monitoring rev 2</t>
  </si>
  <si>
    <t>EC.14118 Database Platform Refresh 19-20</t>
  </si>
  <si>
    <t>EC.14137 Cultana - Yadnarie F1810 132 kV Line Conductor and Earthwire Refurbishment Live Line Option 3 rev 2</t>
  </si>
  <si>
    <t>EC.14138</t>
  </si>
  <si>
    <t>EC.14139</t>
  </si>
  <si>
    <t>EC.14140</t>
  </si>
  <si>
    <t>EC.14141</t>
  </si>
  <si>
    <t>EC.14142</t>
  </si>
  <si>
    <t>EC.14143</t>
  </si>
  <si>
    <t>EC.14144</t>
  </si>
  <si>
    <t>EC.14145 Yadnarie – Port Lincoln F1811 132 kV Line Conductor and Earthwire Refurbishment Option 3 rev 2</t>
  </si>
  <si>
    <t>EC.14146</t>
  </si>
  <si>
    <t>EC.14146 Cherry Gardens - Happy Valley F1906 275kV Line Insulator Systems Refurbishment - Rev 1</t>
  </si>
  <si>
    <t>EC.14147</t>
  </si>
  <si>
    <t>EC.14147 TIPS - New Osborne No3 F1714 66 kV Line Insulator Systems Refurbishment - Rev 1</t>
  </si>
  <si>
    <t>EC.14148</t>
  </si>
  <si>
    <t>EC.14148 TIPS - New Osborne No4 F1715 66 kV Line Insulator Systems Refurbishment - Rev 1</t>
  </si>
  <si>
    <t>EC.14149</t>
  </si>
  <si>
    <t>EC.14149 Waterloo – Mintaro F1805 132 kV Line Insulator Systems Refurbishment - Rev 1</t>
  </si>
  <si>
    <t>EC.14150</t>
  </si>
  <si>
    <t>EC.14150 Davenport - Leigh Creek F1813 132 kV Line Insulator Systems Refurbishment - Rev 1</t>
  </si>
  <si>
    <t>EC.14151</t>
  </si>
  <si>
    <t>EC.14151 NWB - Monash No1 F1820 132 kV Line Insulator Systems Refurbishment - Rev 1</t>
  </si>
  <si>
    <t>EC.14152</t>
  </si>
  <si>
    <t>EC.14152 Keith - Kincraig F1828 132 kV Line Insulator Systems Refurbishment - Rev 1</t>
  </si>
  <si>
    <t>EC.14153</t>
  </si>
  <si>
    <t>EC.14153 South East - Mount Gambier F1829 132 kV Line Insulator Systems Refurbishment - Rev 1</t>
  </si>
  <si>
    <t>EC.14154</t>
  </si>
  <si>
    <t>EC.14154 Kincraig - Penola West F1831 132 kV Line Insulator Systems Refurbishment - Rev 1</t>
  </si>
  <si>
    <t>EC.14155 MBHPS3-Kanmantoo-Back Callington F1850 132 kV Line Insulator Systems Refurbishment - Rev 2</t>
  </si>
  <si>
    <t>EC.14156</t>
  </si>
  <si>
    <t>EC.14156 Pelican Point – PGW F1901 275 kV Line Insulator Systems Refurbishment - Rev 1</t>
  </si>
  <si>
    <t>EC.14157</t>
  </si>
  <si>
    <t>EC.14157 TIPS - Para No4 F1902  275 kV Line Insulator Systems Refurbishment - Rev 1</t>
  </si>
  <si>
    <t>EC.14158</t>
  </si>
  <si>
    <t>EC.14158 TIPS - Cherry Gardens F1903 275kV Line Insulator Systems Refurbishment - Rev 2</t>
  </si>
  <si>
    <t>EC.14159</t>
  </si>
  <si>
    <t>EC.14159 TIPS - Magill F1912 275 kV Line Insulator Systems Refurbishment - Rev 1</t>
  </si>
  <si>
    <t>EC.14160</t>
  </si>
  <si>
    <t>EC.14160 Para - Tungkillo F1921 275 kV Line Insulator Systems Refurbishment - Rev 1</t>
  </si>
  <si>
    <t>EC.14161</t>
  </si>
  <si>
    <t>EC.14161 PGW - Para F1940 275 kV Line Insulator Systems Refurbishment - Rev 1</t>
  </si>
  <si>
    <t>EC.14162</t>
  </si>
  <si>
    <t>EC.14162 Para – Robertstown F1945 275 kV Line Insulator Systems Refurbishment - Rev 2</t>
  </si>
  <si>
    <t>EC.14163</t>
  </si>
  <si>
    <t>EC.14163 Para – Munno Para F1956 275 kV Line Insulator Systems Refurbishment - Rev 2</t>
  </si>
  <si>
    <t>EC14170 Kilburn Substation Emergency Bypass</t>
  </si>
  <si>
    <t>EC.14176 Surge Arrestor Unit Asset Replacement 2018-23 rev3 (wo stand&amp; exc 11 extra SA)</t>
  </si>
  <si>
    <t>EC.14182 South East SVC Computer Control System Replacement Rev 3</t>
  </si>
  <si>
    <t>90001</t>
  </si>
  <si>
    <t>90002</t>
  </si>
  <si>
    <t>90003</t>
  </si>
  <si>
    <t>90004</t>
  </si>
  <si>
    <t>90005</t>
  </si>
  <si>
    <t>90006</t>
  </si>
  <si>
    <t>90007</t>
  </si>
  <si>
    <t>90008</t>
  </si>
  <si>
    <t>90009</t>
  </si>
  <si>
    <t>90010</t>
  </si>
  <si>
    <t>90011</t>
  </si>
  <si>
    <t>90012</t>
  </si>
  <si>
    <t>90013</t>
  </si>
  <si>
    <t>90014</t>
  </si>
  <si>
    <t>90015</t>
  </si>
  <si>
    <t>90016</t>
  </si>
  <si>
    <t>14135</t>
  </si>
  <si>
    <t>14136</t>
  </si>
  <si>
    <t>14164</t>
  </si>
  <si>
    <t>14166</t>
  </si>
  <si>
    <t>14169</t>
  </si>
  <si>
    <t>14170</t>
  </si>
  <si>
    <t>14171</t>
  </si>
  <si>
    <t>14172</t>
  </si>
  <si>
    <t>14174</t>
  </si>
  <si>
    <t>14175</t>
  </si>
  <si>
    <t>14179</t>
  </si>
  <si>
    <t>14181</t>
  </si>
  <si>
    <t>14184</t>
  </si>
  <si>
    <t>14185</t>
  </si>
  <si>
    <t>14187</t>
  </si>
  <si>
    <t>14188</t>
  </si>
  <si>
    <t>14189</t>
  </si>
  <si>
    <t>11139</t>
  </si>
  <si>
    <t>14078</t>
  </si>
  <si>
    <t>14168</t>
  </si>
  <si>
    <t>CLSD-Furniture and Building Upg 2015-16</t>
  </si>
  <si>
    <t>Manual</t>
  </si>
  <si>
    <t>Opex</t>
  </si>
  <si>
    <t>Capex</t>
  </si>
  <si>
    <t>Net of provision movements</t>
  </si>
  <si>
    <t>Provisions Adjustment</t>
  </si>
  <si>
    <t>Actual</t>
  </si>
  <si>
    <t>CPI from prior year</t>
  </si>
  <si>
    <t>Commissioned $ 2017/18</t>
  </si>
  <si>
    <t>Cum Cpi F17-F23</t>
  </si>
  <si>
    <t>2024</t>
  </si>
  <si>
    <t>EC.14190</t>
  </si>
  <si>
    <t>Yorke Peninsula Telecoms Bearer</t>
  </si>
  <si>
    <t>EC.14191</t>
  </si>
  <si>
    <t>Davenport-Cultana Telecoms Bearer</t>
  </si>
  <si>
    <t>EC.14193</t>
  </si>
  <si>
    <t>Transformer GIC Monitoring</t>
  </si>
  <si>
    <t>EC.14196</t>
  </si>
  <si>
    <t>East Terrace 275 kV GIS Gas Monitoring S</t>
  </si>
  <si>
    <t>EC.14198</t>
  </si>
  <si>
    <t>Substation Access Roads and Drainage Upg</t>
  </si>
  <si>
    <t>EC.14199</t>
  </si>
  <si>
    <t>East Terrace, Northfield and Kilburn Eme</t>
  </si>
  <si>
    <t>EC.14200</t>
  </si>
  <si>
    <t>160 MVA 275_132 kV Emergency Transformer</t>
  </si>
  <si>
    <t>14131</t>
  </si>
  <si>
    <t>14132</t>
  </si>
  <si>
    <t>14178</t>
  </si>
  <si>
    <t>14190</t>
  </si>
  <si>
    <t>Yorke Peninsula Telecoms Bearer -rev 1</t>
  </si>
  <si>
    <t>14191</t>
  </si>
  <si>
    <t>Davenport - Cultana Telecoms Bearer</t>
  </si>
  <si>
    <t>14198</t>
  </si>
  <si>
    <t>14199</t>
  </si>
  <si>
    <t>East Terrace, Northfield and Kilburn Emergency Transformer Deployment Preparation rev 3</t>
  </si>
  <si>
    <t>14196</t>
  </si>
  <si>
    <t>14193</t>
  </si>
  <si>
    <t>NCIPAP 2013-2018</t>
  </si>
  <si>
    <t>(All)</t>
  </si>
  <si>
    <t>Communications equipment - 2019 on</t>
  </si>
  <si>
    <t>EC.14201</t>
  </si>
  <si>
    <t>Re-deployable Telecommunication Site</t>
  </si>
  <si>
    <t>EC.14202</t>
  </si>
  <si>
    <t>Revenue Meter Replacement 2018-23</t>
  </si>
  <si>
    <t>EC.14203</t>
  </si>
  <si>
    <t>Telco DC Power Systems Upgrade</t>
  </si>
  <si>
    <t>EC.14205</t>
  </si>
  <si>
    <t>Secondary Systems Product Evaluation 201</t>
  </si>
  <si>
    <t>EC.14206</t>
  </si>
  <si>
    <t>Renewable Microgrid Demonstration Testbe</t>
  </si>
  <si>
    <t>EC.14207</t>
  </si>
  <si>
    <t>Special Protection and Wide Area Monitor</t>
  </si>
  <si>
    <t>EC.14209</t>
  </si>
  <si>
    <t>Substation Improvements for System Black</t>
  </si>
  <si>
    <t>EC.14210</t>
  </si>
  <si>
    <t>High Risk Substation Environmental Inves</t>
  </si>
  <si>
    <t>NGM Access Enhancements</t>
  </si>
  <si>
    <t>EC.14214</t>
  </si>
  <si>
    <t>Transmission Line Access Track Upgrade</t>
  </si>
  <si>
    <t>EC.14215</t>
  </si>
  <si>
    <t>Para 275 kV 50 MVar Reactor</t>
  </si>
  <si>
    <t>EC.14216</t>
  </si>
  <si>
    <t>Blyth West 275 kV 50 Mvar Reactor</t>
  </si>
  <si>
    <t>EC.14211</t>
  </si>
  <si>
    <t>NCIPAP South East 275 kV Capacitor Bank</t>
  </si>
  <si>
    <t>EC.14193 Transformer GIC Monitoring</t>
  </si>
  <si>
    <t>EC.14201 Re-Deployable Telecommunication Site rev 1 KM</t>
  </si>
  <si>
    <t>EC.14202 Revenue Meter Replacement 2018-23</t>
  </si>
  <si>
    <t>EC.14203 Telco DC Power Systems Upgrade</t>
  </si>
  <si>
    <t>EC.14205 Secondary Systems Product Evaluation 2018-2023</t>
  </si>
  <si>
    <t>Rev Reset</t>
  </si>
  <si>
    <t>EC.14216 Blythe West 275kV 50MVar Reactor</t>
  </si>
  <si>
    <t>Project Number</t>
  </si>
  <si>
    <t>Estimate Name</t>
  </si>
  <si>
    <t>Total Cost (Adjusted)</t>
  </si>
  <si>
    <t>Labour content</t>
  </si>
  <si>
    <t>Ave Labour %</t>
  </si>
  <si>
    <t>EC.10306 South East 3rd 275/132kV Transformer -rev 3</t>
  </si>
  <si>
    <t>EC.11002 Tungkillo Stage 2 ( Tailem Bend to Cherry Gardens ) rev 13</t>
  </si>
  <si>
    <t>EC.11003 Tungkillo Stage 3 (Robertstown to Para ) rev 13</t>
  </si>
  <si>
    <t>EC.11994 Inventory Purchase 2018-19 rev 4</t>
  </si>
  <si>
    <t>EC.12013 Standards Major Review 2018-2023 rev 5</t>
  </si>
  <si>
    <t>EC.12094 Inventory Purchases 2019-2020 rev 4</t>
  </si>
  <si>
    <t>EC.12301 Automated Asset Health Monitoring &amp; Assement rev 3</t>
  </si>
  <si>
    <t>EC.14026 Inventory Purchases 2020-21 rev 4</t>
  </si>
  <si>
    <t>EC.14027 Inventory Purchases 2021-2022 rev 4</t>
  </si>
  <si>
    <t>EC.14028 Inventory Purchases 2022-2023 rev 4</t>
  </si>
  <si>
    <t>EC.14041 NCIPAP 5 Davenport - Robertstown Removal of Plant Limits REV 2</t>
  </si>
  <si>
    <t>EC.14046 AC Board Unit Asset Replacement 2018-2023 rev 4</t>
  </si>
  <si>
    <t>EC.14049 Leigh Creek South Transformer Replacement (5MVA 132/11kV) rev 12</t>
  </si>
  <si>
    <t>EC.14056 Templers West  275kV Reactor Option 1 rev 6</t>
  </si>
  <si>
    <t>EC.14065 NCIPAP Transformer Management Relay DR-E3 Uprating Program rev 4</t>
  </si>
  <si>
    <t>EC.14070 Substation Operational Data Network Replacement rev 3</t>
  </si>
  <si>
    <t>EC.14071 Robertstown Circuit Breaker Arrangement Upgrade Option 1 rev 6</t>
  </si>
  <si>
    <t>EC.14076 Line Support Systems Refurbishment 2018-2023 rev 1</t>
  </si>
  <si>
    <t>EC.14077 Mannum Transformer  1 and 2 Replacement rev 10</t>
  </si>
  <si>
    <t>EC.14090 Mount Gambier Transformer 1 Replacement rev 9</t>
  </si>
  <si>
    <t>EC.14091 Online Asset Condition Assessment Equipment Replacement 2018-2023 rev 13</t>
  </si>
  <si>
    <t>EC.14103 OT Data Centre Replacement 2018-23 rev 2</t>
  </si>
  <si>
    <t>EC.14104 OT Network Architecture and Security Standards Refresh 2018-23 rev2</t>
  </si>
  <si>
    <t>EC.14105 Brinkworth to Waterloo Bearer Replacement rev 4</t>
  </si>
  <si>
    <t>EC.14121 Project Delivery Optimisation 2</t>
  </si>
  <si>
    <t>EC.14166 NCIPAP Robertstown-Tungkillo Plant Limits rev2</t>
  </si>
  <si>
    <t>EC.14167 NCIPAP Davenport - Robertstown 275kV Line Uprating - Rev 4</t>
  </si>
  <si>
    <t>EC.14168 NCIPAP SmartWires Powerline Guardian</t>
  </si>
  <si>
    <t>EC.14169 NCIPAP South East - Tungkillo 275kV Dynamic Line Rating rev 1</t>
  </si>
  <si>
    <t>EC.14180 Pimba Telecoms Bearer rev 2</t>
  </si>
  <si>
    <t>EC.14181 Tailem Bend Telecoms Network Bypass rev 2</t>
  </si>
  <si>
    <t>EC.14211 NCIPAP South East Additional 275kV System Capacitor rev1</t>
  </si>
  <si>
    <t>EC.XXXXXA</t>
  </si>
  <si>
    <t>EC.XXXXX Spencer Gulf Emergency Restoration Response - Overhead Line - Option 1</t>
  </si>
  <si>
    <t>All Projects Details - Commodities</t>
  </si>
  <si>
    <t>(blank)</t>
  </si>
  <si>
    <t>Escalator</t>
  </si>
  <si>
    <t>&lt;=== Labour Escalator applied = 1</t>
  </si>
  <si>
    <t>14200</t>
  </si>
  <si>
    <t>14206</t>
  </si>
  <si>
    <t>14207</t>
  </si>
  <si>
    <t>14210</t>
  </si>
  <si>
    <t>14211</t>
  </si>
  <si>
    <t>14213</t>
  </si>
  <si>
    <t>.</t>
  </si>
  <si>
    <t>EC.14200 160MVA 275/132kV Emergency Transformer Deployment Preparation rev3</t>
  </si>
  <si>
    <t>EC.14206 Renewable Microgrid Demonstration Testbed</t>
  </si>
  <si>
    <t>EC.14207 Special Protection and Wide Area Monitoring Scheme (SPS-WAMS)</t>
  </si>
  <si>
    <t>EC.14210 High Risk Substation Environmental Investigation Project rev1</t>
  </si>
  <si>
    <t>Check Total</t>
  </si>
  <si>
    <t>Transmission Line Resilience</t>
  </si>
  <si>
    <t>XXXXX</t>
  </si>
  <si>
    <t>Labour content per History in RIN Capex Master</t>
  </si>
  <si>
    <t>Total Cost</t>
  </si>
  <si>
    <t>Labour Content</t>
  </si>
  <si>
    <t>Ave.</t>
  </si>
  <si>
    <t>BIS Jan 2017</t>
  </si>
  <si>
    <t>BIS Feb 2016</t>
  </si>
  <si>
    <t>Deloitte</t>
  </si>
  <si>
    <t>Labour Cost Rate AER - Feb 2016</t>
  </si>
  <si>
    <t>Average Labour Cost Rate - Jan 2017</t>
  </si>
  <si>
    <t xml:space="preserve">Weighted Labour Cost Escalation - Feb 2016 </t>
  </si>
  <si>
    <t>Weighted Labour Cost Escalation - Jan 2017</t>
  </si>
  <si>
    <t>Labour Escalation Factor F18</t>
  </si>
  <si>
    <t>Labour Escalation Factor F19</t>
  </si>
  <si>
    <t>Labour Escalation Factor F20</t>
  </si>
  <si>
    <t>Labour Escalation Factor F21</t>
  </si>
  <si>
    <t>Labour Escalation Factor F22</t>
  </si>
  <si>
    <t>Labour Escalation Factor F23</t>
  </si>
  <si>
    <t>Labour Escalation Factor F24</t>
  </si>
  <si>
    <t>Before Provisions adjustment</t>
  </si>
  <si>
    <t>Provisions adjustment $m</t>
  </si>
  <si>
    <t>After Provisions adjustment</t>
  </si>
  <si>
    <t>Incurred</t>
  </si>
  <si>
    <t>Communications equipment - 2019 on (10 year life)</t>
  </si>
  <si>
    <t>Commissioned</t>
  </si>
  <si>
    <t>EC.11316F18</t>
  </si>
  <si>
    <t>EC.11890F18</t>
  </si>
  <si>
    <t>EC.11316F19</t>
  </si>
  <si>
    <t>EC.11890F19</t>
  </si>
  <si>
    <t>14048</t>
  </si>
  <si>
    <t>EC.14081F20</t>
  </si>
  <si>
    <t>EC.14081F21</t>
  </si>
  <si>
    <t>EC.14081F22</t>
  </si>
  <si>
    <t>EC.14084F22</t>
  </si>
  <si>
    <t>EC.14081F23</t>
  </si>
  <si>
    <t>EC.14084F23</t>
  </si>
  <si>
    <t>Cherry Gardens - Happy Valley F1906 275kV Line Insulator Systems Refurbishment - Rev 1</t>
  </si>
  <si>
    <t>TIPS - New Osborne No3 F1714 66 kV Line Insulator Systems Refurbishment - Rev 1</t>
  </si>
  <si>
    <t>TIPS - New Osborne No4 F1715 66 kV Line Insulator Systems Refurbishment - Rev 1</t>
  </si>
  <si>
    <t>Waterloo – Mintaro F1805 132 kV Line Insulator Systems Refurbishment - Rev 1</t>
  </si>
  <si>
    <t>Davenport - Leigh Creek F1813 132 kV Line Insulator Systems Refurbishment - Rev 1</t>
  </si>
  <si>
    <t>NWB - Monash No1 F1820 132 kV Line Insulator Systems Refurbishment - Rev 1</t>
  </si>
  <si>
    <t>Keith - Kincraig F1828 132 kV Line Insulator Systems Refurbishment - Rev 1</t>
  </si>
  <si>
    <t>South East - Mount Gambier F1829 132 kV Line Insulator Systems Refurbishment - Rev 1</t>
  </si>
  <si>
    <t>Kincraig - Penola West F1831 132 kV Line Insulator Systems Refurbishment - Rev 1</t>
  </si>
  <si>
    <t>Pelican Point – PGW F1901 275 kV Line Insulator Systems Refurbishment - Rev 1</t>
  </si>
  <si>
    <t>TIPS - Cherry Gardens F1903 275kV Line Insulator Systems Refurbishment - Rev 2</t>
  </si>
  <si>
    <t>TIPS - Magill F1912 275 kV Line Insulator Systems Refurbishment - Rev 1</t>
  </si>
  <si>
    <t>Para - Tungkillo F1921 275 kV Line Insulator Systems Refurbishment - Rev 1</t>
  </si>
  <si>
    <t>PGW - Para F1940 275 kV Line Insulator Systems Refurbishment - Rev 1</t>
  </si>
  <si>
    <t>Para – Robertstown F1945 275 kV Line Insulator Systems Refurbishment - Rev 2</t>
  </si>
  <si>
    <t>Para – Munno Para F1956 275 kV Line Insulator Systems Refurbishment - Rev 2</t>
  </si>
  <si>
    <t>EC.14055</t>
  </si>
  <si>
    <t>Torrens Island North Substation Tie Bus</t>
  </si>
  <si>
    <t>EC.14218</t>
  </si>
  <si>
    <t>Spencer Gulf Crossing Bypass</t>
  </si>
  <si>
    <t>Spare 1</t>
  </si>
  <si>
    <t>21/02/2017</t>
  </si>
  <si>
    <t>135 Estimates Selected</t>
  </si>
  <si>
    <t>EC.12005 IT Storage &amp; Computer Hardware Refurb 19-20 rev 5</t>
  </si>
  <si>
    <t>EC.12017 Geospatial Systems Refresh 23-24 rev 3</t>
  </si>
  <si>
    <t>EC.12021 Licenses, Maintenance, Minor Software 22-23  rev 3</t>
  </si>
  <si>
    <t>EC.12071 Licenses, Maintenance, Minor Software 19-20 -rev 5</t>
  </si>
  <si>
    <t>EC.12403 Licenses, Maintenance, Minor Software 21-22 rev 3</t>
  </si>
  <si>
    <t>EC.12406 Intranet Platform Refresh 22-23 rev 3</t>
  </si>
  <si>
    <t>EC.14055 Torrens Island North Substation Tie Bus Installation rev2</t>
  </si>
  <si>
    <t>EC.14070 Substation Operational Data Network Replacement rev 4</t>
  </si>
  <si>
    <t>Expand Substation</t>
  </si>
  <si>
    <t>13</t>
  </si>
  <si>
    <t>EC.14118 Database Platform Refresh 19-20 -REV4</t>
  </si>
  <si>
    <t>EC.14209 Substation Improvements for System Black Conditions rev 3</t>
  </si>
  <si>
    <t>EC.14214 Transmission Line Access Track Upgrade rev3 (based on 10km access track at F1810)</t>
  </si>
  <si>
    <t>EC.14215 Para 275kV 50MVar Reactor - Copy</t>
  </si>
  <si>
    <t>EC.11602 Tailem Bend CB Upgrade  rev 1</t>
  </si>
  <si>
    <t>EC.11862 VOIP Network Refresh Level 3b</t>
  </si>
  <si>
    <t>B</t>
  </si>
  <si>
    <t>EC.14131 Motorised Isolator LOPA Improvement rev1</t>
  </si>
  <si>
    <t>EC.14174 Templers Plant Limit Increase - (scope for EC14174 only)</t>
  </si>
  <si>
    <t>EC.14188 Electranet Warehousing and Storage rev1</t>
  </si>
  <si>
    <t>EC.14190 Yorke Peninsula Telecoms Bearer -rev 1</t>
  </si>
  <si>
    <t>EC.14191 Davenport - Cultana Telecoms Bearer</t>
  </si>
  <si>
    <t>EC.14198 Substation Access Roads and Drainage Upgrade rev 6 (full option)</t>
  </si>
  <si>
    <t>EC.14199 East Terrace, Northfield and Kilburn Emergency Transformer Deployment Preparation rev 3</t>
  </si>
  <si>
    <t>EC.14218 Spencer Gulf Emergency Restoration Response - Overhead Line - Southern Route - Preparatory Works</t>
  </si>
  <si>
    <t>EC.14133 ESCRI SA - Rev 4</t>
  </si>
  <si>
    <t>Rev 4</t>
  </si>
  <si>
    <t>EC.11002 NCIPAP Tungkillo Stage 2 ( Tailem Bend to Cherry Gardens ) rev 13</t>
  </si>
  <si>
    <t>in Mthly RAB Calc</t>
  </si>
  <si>
    <t>Actual/
Success</t>
  </si>
  <si>
    <t>Date Capitalised</t>
  </si>
  <si>
    <t>Review</t>
  </si>
  <si>
    <t>Capitalised F11-F16</t>
  </si>
  <si>
    <t>Success in R4</t>
  </si>
  <si>
    <t>Increase Regulated Inventory Stoc</t>
  </si>
  <si>
    <t>T Bend - Snuggery Real Time Rating</t>
  </si>
  <si>
    <t>10713</t>
  </si>
  <si>
    <t>Short term accommodation project</t>
  </si>
  <si>
    <t>Success</t>
  </si>
  <si>
    <t>11187</t>
  </si>
  <si>
    <t>Test Equipment 2010-2011</t>
  </si>
  <si>
    <t>Inventory Purchases 2010/11</t>
  </si>
  <si>
    <t>Clare North New SDH Radio Link</t>
  </si>
  <si>
    <t>Enter/Sys (SAP) System Improvem</t>
  </si>
  <si>
    <t>HR PMP Full Solution</t>
  </si>
  <si>
    <t>Morph. Vale East Low Rated Plant</t>
  </si>
  <si>
    <t>Furn. &amp; Gen. Bldg Upgrades - 09/10</t>
  </si>
  <si>
    <t>Inventory Purchases 2009/10</t>
  </si>
  <si>
    <t>Pool Car Replacement</t>
  </si>
  <si>
    <t>12101</t>
  </si>
  <si>
    <t>14068</t>
  </si>
  <si>
    <t>14126</t>
  </si>
  <si>
    <t>14127</t>
  </si>
  <si>
    <t>14130</t>
  </si>
  <si>
    <t>300 Pirie Street L1 West Upgrade</t>
  </si>
  <si>
    <t>11606</t>
  </si>
  <si>
    <t>11661</t>
  </si>
  <si>
    <t>11741</t>
  </si>
  <si>
    <t>11900</t>
  </si>
  <si>
    <t>11907</t>
  </si>
  <si>
    <t>11994</t>
  </si>
  <si>
    <t>12004</t>
  </si>
  <si>
    <t>12005</t>
  </si>
  <si>
    <t>12014</t>
  </si>
  <si>
    <t>12017</t>
  </si>
  <si>
    <t>12021</t>
  </si>
  <si>
    <t>12072</t>
  </si>
  <si>
    <t>12094</t>
  </si>
  <si>
    <t>12115</t>
  </si>
  <si>
    <t>12203</t>
  </si>
  <si>
    <t>12210</t>
  </si>
  <si>
    <t>12211</t>
  </si>
  <si>
    <t>12330</t>
  </si>
  <si>
    <t>12334</t>
  </si>
  <si>
    <t>12335</t>
  </si>
  <si>
    <t>12336</t>
  </si>
  <si>
    <t>12337</t>
  </si>
  <si>
    <t>12390</t>
  </si>
  <si>
    <t>12400</t>
  </si>
  <si>
    <t>12401</t>
  </si>
  <si>
    <t>12402</t>
  </si>
  <si>
    <t>12403</t>
  </si>
  <si>
    <t>12404</t>
  </si>
  <si>
    <t>12405</t>
  </si>
  <si>
    <t>12406</t>
  </si>
  <si>
    <t>12408</t>
  </si>
  <si>
    <t>12500</t>
  </si>
  <si>
    <t>12601</t>
  </si>
  <si>
    <t>12701</t>
  </si>
  <si>
    <t>12804</t>
  </si>
  <si>
    <t>14019</t>
  </si>
  <si>
    <t>14023</t>
  </si>
  <si>
    <t>14025</t>
  </si>
  <si>
    <t>14026</t>
  </si>
  <si>
    <t>14027</t>
  </si>
  <si>
    <t>14028</t>
  </si>
  <si>
    <t>14031</t>
  </si>
  <si>
    <t>14032</t>
  </si>
  <si>
    <t>14033</t>
  </si>
  <si>
    <t>14034</t>
  </si>
  <si>
    <t>14035</t>
  </si>
  <si>
    <t>14037</t>
  </si>
  <si>
    <t>14042</t>
  </si>
  <si>
    <t>14043</t>
  </si>
  <si>
    <t>14045</t>
  </si>
  <si>
    <t>14046</t>
  </si>
  <si>
    <t>14047</t>
  </si>
  <si>
    <t>14049</t>
  </si>
  <si>
    <t>14050</t>
  </si>
  <si>
    <t>14051</t>
  </si>
  <si>
    <t>14056</t>
  </si>
  <si>
    <t>14057</t>
  </si>
  <si>
    <t>14060</t>
  </si>
  <si>
    <t>14061</t>
  </si>
  <si>
    <t>14062</t>
  </si>
  <si>
    <t>14065</t>
  </si>
  <si>
    <t>14066</t>
  </si>
  <si>
    <t>14067</t>
  </si>
  <si>
    <t>14069</t>
  </si>
  <si>
    <t>14070</t>
  </si>
  <si>
    <t>14071</t>
  </si>
  <si>
    <t>14074</t>
  </si>
  <si>
    <t>14075</t>
  </si>
  <si>
    <t>14077</t>
  </si>
  <si>
    <t>14079</t>
  </si>
  <si>
    <t>14085</t>
  </si>
  <si>
    <t>14086</t>
  </si>
  <si>
    <t>14087</t>
  </si>
  <si>
    <t>14090</t>
  </si>
  <si>
    <t>14091</t>
  </si>
  <si>
    <t>14092</t>
  </si>
  <si>
    <t>14099</t>
  </si>
  <si>
    <t>14102</t>
  </si>
  <si>
    <t>14103</t>
  </si>
  <si>
    <t>14104</t>
  </si>
  <si>
    <t>14106</t>
  </si>
  <si>
    <t>14110</t>
  </si>
  <si>
    <t>14111</t>
  </si>
  <si>
    <t>14112</t>
  </si>
  <si>
    <t>14113</t>
  </si>
  <si>
    <t>14115</t>
  </si>
  <si>
    <t>14116</t>
  </si>
  <si>
    <t>14117</t>
  </si>
  <si>
    <t>14118</t>
  </si>
  <si>
    <t>14155</t>
  </si>
  <si>
    <t>14165</t>
  </si>
  <si>
    <t>14167</t>
  </si>
  <si>
    <t>14176</t>
  </si>
  <si>
    <t>14180</t>
  </si>
  <si>
    <t>14182</t>
  </si>
  <si>
    <t>14055</t>
  </si>
  <si>
    <t>Torrens Island North Substation Tie Bus Installation rev2</t>
  </si>
  <si>
    <t>14146</t>
  </si>
  <si>
    <t>14147</t>
  </si>
  <si>
    <t>14148</t>
  </si>
  <si>
    <t>14149</t>
  </si>
  <si>
    <t>14150</t>
  </si>
  <si>
    <t>14151</t>
  </si>
  <si>
    <t>14152</t>
  </si>
  <si>
    <t>14153</t>
  </si>
  <si>
    <t>14154</t>
  </si>
  <si>
    <t>14156</t>
  </si>
  <si>
    <t>14157</t>
  </si>
  <si>
    <t>TIPS - Para No4 F1902  275 kV Line Insulator Systems Refurbishment - Rev 1</t>
  </si>
  <si>
    <t>14158</t>
  </si>
  <si>
    <t>14159</t>
  </si>
  <si>
    <t>14160</t>
  </si>
  <si>
    <t>14161</t>
  </si>
  <si>
    <t>14162</t>
  </si>
  <si>
    <t>14163</t>
  </si>
  <si>
    <t>14202</t>
  </si>
  <si>
    <t>14205</t>
  </si>
  <si>
    <t>Secondary Systems Product Evaluation 2018-2023</t>
  </si>
  <si>
    <t>14209</t>
  </si>
  <si>
    <t>Substation Improvements for System Black Conditions rev 3</t>
  </si>
  <si>
    <t>14214</t>
  </si>
  <si>
    <t>Transmission Line Access Track Upgrade rev3 (based on 10km access track at F1810)</t>
  </si>
  <si>
    <t>14215</t>
  </si>
  <si>
    <t>Para 275kV 50MVar Reactor - Copy</t>
  </si>
  <si>
    <t>14216</t>
  </si>
  <si>
    <t>Blythe West 275kV 50MVar Reactor</t>
  </si>
  <si>
    <t>Substation Access Roads and Drainage Upgrade rev 6 (full option)</t>
  </si>
  <si>
    <t>160MVA 275/132kV Emergency Transformer Deployment Preparation rev3</t>
  </si>
  <si>
    <t>14201</t>
  </si>
  <si>
    <t>Re-Deployable Telecommunication Site rev 1 KM</t>
  </si>
  <si>
    <t>14203</t>
  </si>
  <si>
    <t>Renewable Microgrid Demonstration Testbed</t>
  </si>
  <si>
    <t>Special Protection and Wide Area Monitoring Scheme (SPS-WAMS)</t>
  </si>
  <si>
    <t>High Risk Substation Environmental Investigation Project rev1</t>
  </si>
  <si>
    <t>14218</t>
  </si>
  <si>
    <t>Spencer Gulf Emergency Restoration Response - Overhead Line - Southern Route - Preparatory Works</t>
  </si>
  <si>
    <t>VLU Formula</t>
  </si>
  <si>
    <t>DB</t>
  </si>
  <si>
    <t>R4 NCIPAP</t>
  </si>
  <si>
    <t>Not required for Reset Submission</t>
  </si>
  <si>
    <t>Manual Adjustment</t>
  </si>
  <si>
    <t>Labour escalation factors derived form Success Estimator commodity report</t>
  </si>
  <si>
    <t>Linked to "Project Labour Content" worksheet</t>
  </si>
  <si>
    <t>Not listed</t>
  </si>
  <si>
    <t>Capitalised/Actual</t>
  </si>
  <si>
    <t>=VLOOKUP(RIGHT(A20,5),'Q:\Planning &amp; Finance\Month End Reporting\Monthly RAB calc\F17\[161201 F17 WIP for RAB calc v2.xlsx]Project splits'!$C$5:$C$783,1,FALSE)</t>
  </si>
  <si>
    <t>EC.11816F18</t>
  </si>
  <si>
    <t>Part capitalisation splits applied</t>
  </si>
  <si>
    <t>Provisions F17-F23</t>
  </si>
  <si>
    <t>Check total F17-F23</t>
  </si>
  <si>
    <t>Total F17-F23</t>
  </si>
  <si>
    <t>Revised Rates</t>
  </si>
  <si>
    <t>Revised Rates 07-Mar 2017 2 dec pl</t>
  </si>
  <si>
    <t>Revised Rates 07-Mar 2017 1dec pl</t>
  </si>
  <si>
    <t>INCURRED $Nominal</t>
  </si>
  <si>
    <t>COMMISSIONED $Nominal</t>
  </si>
  <si>
    <t>Nil</t>
  </si>
  <si>
    <t>Ex Ante</t>
  </si>
  <si>
    <t>$m Real (June 2018) incl 1/2 cpi</t>
  </si>
  <si>
    <t>Communications - other (post 2018)</t>
  </si>
  <si>
    <t>Cum cpi to 2023 for commissioned calc (col AA)</t>
  </si>
  <si>
    <t>Labour %</t>
  </si>
  <si>
    <t>Success Estimator Commodities report</t>
  </si>
  <si>
    <t>Use for labour content where no specific project detail is available</t>
  </si>
  <si>
    <t>Commissioned by Year</t>
  </si>
  <si>
    <t>Last spend year $</t>
  </si>
  <si>
    <t>Project splits VLU</t>
  </si>
  <si>
    <t>Success VLU</t>
  </si>
  <si>
    <t>Check totals</t>
  </si>
  <si>
    <t>&lt;===$17/18 Real = 1; $Nominal = 0</t>
  </si>
  <si>
    <t>Capitalisation year</t>
  </si>
  <si>
    <t>Before Provisions adjustment $m Nominal</t>
  </si>
  <si>
    <t>Provisions adjustment $m Nominal</t>
  </si>
  <si>
    <t>After Provisions adjustment $m Nominal</t>
  </si>
  <si>
    <t>Estimate(s)</t>
  </si>
  <si>
    <t>Total Nominal 2017-2023</t>
  </si>
  <si>
    <t>Incurred spend F17-F23</t>
  </si>
  <si>
    <t>No spend</t>
  </si>
  <si>
    <t>Incurred spend up to 2016 is always $Nominal</t>
  </si>
  <si>
    <t>Incurred spend from 2017-2023 is $Nominal when cell A18 is set to 0 and $Real 2017/18 when Cell A18 is set to 1</t>
  </si>
  <si>
    <t xml:space="preserve">Incurred spend 2017-2023 is set to </t>
  </si>
  <si>
    <t>&lt;==Forecast cpi 2017/18-2022/23</t>
  </si>
  <si>
    <t>Cum cpi to $2017/20</t>
  </si>
  <si>
    <t>Cum labour escalator</t>
  </si>
  <si>
    <t>Ave. 2019-23</t>
  </si>
  <si>
    <t>Total 2006-2023</t>
  </si>
  <si>
    <t>Sum ABS</t>
  </si>
  <si>
    <t xml:space="preserve">cpi built into initial estimate data </t>
  </si>
  <si>
    <t>Projects capitalised pre Jun 2016 but with ongoing spend which will be capitalised annually.  Includes any WIP balance at 2016</t>
  </si>
  <si>
    <t>Initial project forecast data assumes 2.5% cpi.  This is amended to 1.97% on the "Incurred" worksheet</t>
  </si>
  <si>
    <t>Inputs for Roll Forward Model</t>
  </si>
  <si>
    <t>Inputs for PTRM</t>
  </si>
  <si>
    <t>Table of Contents</t>
  </si>
  <si>
    <t>For RFM &amp; PTRM</t>
  </si>
  <si>
    <t>Incurred 2.5% cpi</t>
  </si>
  <si>
    <t>Commissioned Extra</t>
  </si>
  <si>
    <t>Project splits</t>
  </si>
  <si>
    <t>Project labour content</t>
  </si>
  <si>
    <t>RFM &amp; PTRM format &amp; adjust for provision movments</t>
  </si>
  <si>
    <t>Asset class splits</t>
  </si>
  <si>
    <t>RIT-T</t>
  </si>
  <si>
    <t>Spare</t>
  </si>
  <si>
    <t>Labour Escalation</t>
  </si>
  <si>
    <t>Check to "Commissioned"</t>
  </si>
  <si>
    <t>Per "Commissioned"</t>
  </si>
  <si>
    <t>Labour escalators and project labour content.</t>
  </si>
  <si>
    <t>Asset class allocations from Success Estimator estimating system</t>
  </si>
  <si>
    <t>Model Inputs - PTRM</t>
  </si>
  <si>
    <t>Model Inputs - RFM</t>
  </si>
  <si>
    <t>Project commissioning by year with asset class allocations (pivot table)</t>
  </si>
  <si>
    <t>Balance of projects already partly capitalised.  These have been excluded from the "Commissioned" worksheet</t>
  </si>
  <si>
    <t>Success Asset Classes</t>
  </si>
  <si>
    <t>Easements</t>
  </si>
  <si>
    <t>Security/ Compliance</t>
  </si>
  <si>
    <t>CPI Discounter</t>
  </si>
  <si>
    <t>TOTAL</t>
  </si>
  <si>
    <t>Capex Forecast Summary</t>
  </si>
  <si>
    <t>Category - $m Nominal</t>
  </si>
  <si>
    <t>Category - $m Real 2017-18</t>
  </si>
  <si>
    <t>Estimate basis</t>
  </si>
  <si>
    <t>based upon actual historical costs for similar projects</t>
  </si>
  <si>
    <t>derived directly from competitive tender processes</t>
  </si>
  <si>
    <t>based upon competitive tender processes for similar projects</t>
  </si>
  <si>
    <t>based upon estimates obtained from contractors or manufacturers</t>
  </si>
  <si>
    <t>This colour denotes projects which have capitalisations in more than one year.  The projects have been split to facilitate this.</t>
  </si>
  <si>
    <t>Add 1/2 cpi for $m Real June 2018</t>
  </si>
  <si>
    <t>Capex 15yr View</t>
  </si>
  <si>
    <t xml:space="preserve">Set to 0 (nominal) for RFM/PTRM table inputs </t>
  </si>
  <si>
    <t>Incurred 2.5% cpi - base total</t>
  </si>
  <si>
    <t>Incurred capex spend workings, capitalisation dates and asset class allocations.</t>
  </si>
  <si>
    <t>Original capex forecast data.  This assumes 2.5% cpi which is adjusted to the proposal cpi of 1.97% on the "Incurred" worksheet.</t>
  </si>
  <si>
    <t>Other project asset class allocations.</t>
  </si>
  <si>
    <t>Capex summary tables 2009-2023</t>
  </si>
  <si>
    <t>Asset Class allocations =====&gt;</t>
  </si>
  <si>
    <t>Note: Historic incurred spend data are not comprehensive.  Annual historic spend is shown for projects which are active in financial years 2016 to 2023.</t>
  </si>
  <si>
    <t>This colour denotes projects which have capitalisations in more than one year.  These projects have been split to facilitate this.</t>
  </si>
  <si>
    <t>Note: Communications - other (post 2018).  New class proposed with 10 year life.  Assets were previously allocated to "Communications - other", 15 year life.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</si>
</sst>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43" formatCode="_-* #,##0.00_-;\-* #,##0.00_-;_-* &quot;-&quot;??_-;_-@_-"/>
    <numFmt numFmtId="164" formatCode="_(* #,##0.00_);_(* \(#,##0.00\);_(* &quot;-&quot;??_);_(@_)"/>
    <numFmt numFmtId="165" formatCode="#,##0\ ;\(#,##0\)"/>
    <numFmt numFmtId="166" formatCode="###,000"/>
    <numFmt numFmtId="167" formatCode="[$-C09]dd\-mmm\-yy;@"/>
    <numFmt numFmtId="168" formatCode="0.0%"/>
    <numFmt numFmtId="169" formatCode="#,##0.000\ ;\(#,##0.000\)"/>
    <numFmt numFmtId="170" formatCode="0.000"/>
    <numFmt numFmtId="171" formatCode="0.000%"/>
    <numFmt numFmtId="172" formatCode="#,##0.000"/>
    <numFmt numFmtId="173" formatCode="0.0000%"/>
    <numFmt numFmtId="174" formatCode="_(&quot;$&quot;* #,##0.00_);_(&quot;$&quot;* \(#,##0.00\);_(&quot;$&quot;* &quot;-&quot;??_);_(@_)"/>
    <numFmt numFmtId="175" formatCode="0.0000"/>
    <numFmt numFmtId="176" formatCode="d/mm/yy;@"/>
    <numFmt numFmtId="177" formatCode="[$-10409]&quot;$&quot;#,##0.00"/>
    <numFmt numFmtId="178" formatCode="_(#,##0.00%_);\(#,##0.00%\);_(&quot;-&quot;_)"/>
    <numFmt numFmtId="179" formatCode="#,##0.0000"/>
    <numFmt numFmtId="180" formatCode="#,##0.00000\ ;\(#,##0.00000\)"/>
    <numFmt numFmtId="181" formatCode="0.0"/>
  </numFmts>
  <fonts count="75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Verdana"/>
      <family val="2"/>
    </font>
    <font>
      <sz val="8"/>
      <color rgb="FF000000"/>
      <name val="Verdana"/>
      <family val="2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sz val="10"/>
      <color theme="1"/>
      <name val="Trebuchet MS"/>
      <family val="2"/>
    </font>
    <font>
      <sz val="8"/>
      <name val="Arial"/>
      <family val="2"/>
    </font>
    <font>
      <b/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rgb="FF000000"/>
      <name val="Arial"/>
      <family val="2"/>
    </font>
    <font>
      <b/>
      <sz val="8"/>
      <color theme="1"/>
      <name val="Verdana"/>
      <family val="2"/>
    </font>
    <font>
      <b/>
      <sz val="11"/>
      <color rgb="FF0000FF"/>
      <name val="Calibri"/>
      <family val="2"/>
      <scheme val="minor"/>
    </font>
    <font>
      <b/>
      <sz val="8"/>
      <color rgb="FF0000FF"/>
      <name val="Verdana"/>
      <family val="2"/>
    </font>
    <font>
      <b/>
      <sz val="12"/>
      <color theme="1"/>
      <name val="Verdana"/>
      <family val="2"/>
    </font>
    <font>
      <sz val="8"/>
      <name val="Verdana"/>
      <family val="2"/>
    </font>
    <font>
      <b/>
      <sz val="9"/>
      <color indexed="81"/>
      <name val="Tahoma"/>
      <family val="2"/>
    </font>
    <font>
      <sz val="8"/>
      <color rgb="FF0000FF"/>
      <name val="Verdana"/>
      <family val="2"/>
    </font>
    <font>
      <sz val="10"/>
      <color rgb="FF0000FF"/>
      <name val="Calibri"/>
      <family val="2"/>
    </font>
    <font>
      <sz val="10"/>
      <color rgb="FF0000FF"/>
      <name val="Calibri"/>
      <family val="2"/>
      <scheme val="minor"/>
    </font>
    <font>
      <sz val="9"/>
      <color indexed="81"/>
      <name val="Tahoma"/>
      <family val="2"/>
    </font>
    <font>
      <sz val="8"/>
      <color theme="1"/>
      <name val="Arial"/>
      <family val="2"/>
    </font>
    <font>
      <b/>
      <sz val="10"/>
      <name val="Arial"/>
      <family val="2"/>
    </font>
    <font>
      <sz val="11"/>
      <color rgb="FF9C65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0"/>
      <color rgb="FF000000"/>
      <name val="Arial"/>
      <family val="2"/>
    </font>
    <font>
      <b/>
      <sz val="10"/>
      <color rgb="FFFFFFFF"/>
      <name val="Arial"/>
      <family val="2"/>
    </font>
    <font>
      <sz val="10"/>
      <color theme="1"/>
      <name val="Verdana"/>
      <family val="2"/>
    </font>
    <font>
      <b/>
      <sz val="8"/>
      <color rgb="FFFF0000"/>
      <name val="Verdana"/>
      <family val="2"/>
    </font>
    <font>
      <sz val="11"/>
      <color theme="1"/>
      <name val="Arial"/>
      <family val="2"/>
    </font>
    <font>
      <sz val="18"/>
      <color indexed="8"/>
      <name val="Tahoma"/>
      <family val="2"/>
    </font>
    <font>
      <sz val="10"/>
      <color rgb="FFFFFFFF"/>
      <name val="Arial"/>
      <family val="2"/>
    </font>
    <font>
      <b/>
      <sz val="10"/>
      <color rgb="FFFF0000"/>
      <name val="Arial"/>
      <family val="2"/>
    </font>
    <font>
      <b/>
      <sz val="11.95"/>
      <color indexed="8"/>
      <name val="Arial"/>
      <family val="2"/>
    </font>
    <font>
      <sz val="10"/>
      <name val="Arial"/>
      <family val="2"/>
    </font>
    <font>
      <sz val="8"/>
      <color rgb="FF000000"/>
      <name val="Arial"/>
      <family val="2"/>
    </font>
    <font>
      <sz val="8"/>
      <color indexed="8"/>
      <name val="Arial"/>
      <family val="2"/>
    </font>
    <font>
      <b/>
      <sz val="8"/>
      <color rgb="FFFF0000"/>
      <name val="Arial"/>
      <family val="2"/>
    </font>
    <font>
      <sz val="8"/>
      <color theme="0"/>
      <name val="Arial"/>
      <family val="2"/>
    </font>
    <font>
      <sz val="8"/>
      <color rgb="FF0000FF"/>
      <name val="Arial"/>
      <family val="2"/>
    </font>
    <font>
      <b/>
      <sz val="8"/>
      <color rgb="FF0000FF"/>
      <name val="Verdana"/>
      <family val="2"/>
    </font>
    <font>
      <sz val="11"/>
      <color rgb="FF0000FF"/>
      <name val="Arial"/>
      <family val="2"/>
    </font>
    <font>
      <sz val="18"/>
      <color indexed="8"/>
      <name val="Arial"/>
      <family val="2"/>
    </font>
    <font>
      <b/>
      <sz val="11"/>
      <color theme="1"/>
      <name val="Arial"/>
      <family val="2"/>
    </font>
    <font>
      <b/>
      <sz val="8"/>
      <color indexed="8"/>
      <name val="Arial"/>
      <family val="2"/>
    </font>
    <font>
      <b/>
      <sz val="9"/>
      <color theme="1"/>
      <name val="Verdana"/>
      <family val="2"/>
    </font>
    <font>
      <b/>
      <sz val="9"/>
      <color rgb="FFFF0000"/>
      <name val="Verdana"/>
      <family val="2"/>
    </font>
    <font>
      <sz val="9"/>
      <color theme="1"/>
      <name val="Arial"/>
      <family val="2"/>
    </font>
    <font>
      <b/>
      <sz val="8"/>
      <color theme="1"/>
      <name val="Arial"/>
      <family val="2"/>
    </font>
    <font>
      <u/>
      <sz val="11"/>
      <color theme="10"/>
      <name val="Calibri"/>
      <family val="2"/>
      <scheme val="minor"/>
    </font>
    <font>
      <sz val="18"/>
      <color theme="1"/>
      <name val="Arial"/>
      <family val="2"/>
    </font>
    <font>
      <b/>
      <sz val="10"/>
      <color theme="1"/>
      <name val="Verdana"/>
      <family val="2"/>
    </font>
    <font>
      <b/>
      <sz val="11"/>
      <color theme="1"/>
      <name val="Verdana"/>
      <family val="2"/>
    </font>
    <font>
      <sz val="8"/>
      <color rgb="FF002060"/>
      <name val="Verdana"/>
      <family val="2"/>
    </font>
    <font>
      <b/>
      <sz val="10"/>
      <color theme="0"/>
      <name val="Arial"/>
      <family val="2"/>
    </font>
    <font>
      <i/>
      <sz val="10"/>
      <color theme="1"/>
      <name val="Arial"/>
      <family val="2"/>
    </font>
    <font>
      <b/>
      <sz val="11"/>
      <color theme="0"/>
      <name val="Arial"/>
      <family val="2"/>
    </font>
    <font>
      <sz val="11"/>
      <color theme="10"/>
      <name val="Arial"/>
      <family val="2"/>
    </font>
    <font>
      <b/>
      <sz val="9"/>
      <name val="Verdana"/>
      <family val="2"/>
    </font>
    <font>
      <b/>
      <sz val="11"/>
      <color rgb="FFFF0000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theme="9" tint="0.79998168889431442"/>
        <bgColor rgb="FFFFFFFF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0"/>
      </patternFill>
    </fill>
    <fill>
      <patternFill patternType="solid">
        <fgColor rgb="FFFF99CC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EB9C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theme="7" tint="0.59999389629810485"/>
        <bgColor rgb="FFFFFFFF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-0.499984740745262"/>
        <bgColor indexed="64"/>
      </patternFill>
    </fill>
  </fills>
  <borders count="99">
    <border>
      <left/>
      <right/>
      <top/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-0.24994659260841701"/>
      </left>
      <right/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/>
      <top style="thin">
        <color theme="3" tint="0.59996337778862885"/>
      </top>
      <bottom style="thin">
        <color theme="3" tint="0.59996337778862885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rgb="FF333F4F"/>
      </left>
      <right style="thin">
        <color rgb="FF333F4F"/>
      </right>
      <top style="thin">
        <color rgb="FF333F4F"/>
      </top>
      <bottom style="thin">
        <color rgb="FF333F4F"/>
      </bottom>
      <diagonal/>
    </border>
    <border>
      <left style="thin">
        <color rgb="FFACB9CA"/>
      </left>
      <right style="thin">
        <color rgb="FFACB9CA"/>
      </right>
      <top style="thin">
        <color rgb="FFACB9CA"/>
      </top>
      <bottom style="thin">
        <color rgb="FFACB9CA"/>
      </bottom>
      <diagonal/>
    </border>
    <border>
      <left/>
      <right style="thick">
        <color auto="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3" tint="-0.24994659260841701"/>
      </top>
      <bottom style="thin">
        <color theme="3" tint="-0.24994659260841701"/>
      </bottom>
      <diagonal/>
    </border>
    <border>
      <left/>
      <right style="thick">
        <color auto="1"/>
      </right>
      <top style="thin">
        <color indexed="64"/>
      </top>
      <bottom style="thin">
        <color indexed="64"/>
      </bottom>
      <diagonal/>
    </border>
    <border>
      <left style="thin">
        <color theme="3" tint="-0.24994659260841701"/>
      </left>
      <right style="thick">
        <color auto="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ck">
        <color auto="1"/>
      </right>
      <top style="thin">
        <color theme="3" tint="0.59996337778862885"/>
      </top>
      <bottom style="thin">
        <color theme="3" tint="0.59996337778862885"/>
      </bottom>
      <diagonal/>
    </border>
    <border>
      <left/>
      <right style="thick">
        <color auto="1"/>
      </right>
      <top style="thin">
        <color indexed="64"/>
      </top>
      <bottom style="medium">
        <color indexed="64"/>
      </bottom>
      <diagonal/>
    </border>
    <border>
      <left/>
      <right/>
      <top style="thin">
        <color theme="3" tint="0.59996337778862885"/>
      </top>
      <bottom style="thin">
        <color theme="3" tint="0.59996337778862885"/>
      </bottom>
      <diagonal/>
    </border>
    <border>
      <left/>
      <right style="thick">
        <color auto="1"/>
      </right>
      <top style="thin">
        <color indexed="64"/>
      </top>
      <bottom/>
      <diagonal/>
    </border>
    <border>
      <left/>
      <right style="thick">
        <color auto="1"/>
      </right>
      <top/>
      <bottom style="thin">
        <color indexed="64"/>
      </bottom>
      <diagonal/>
    </border>
    <border>
      <left style="thin">
        <color indexed="10"/>
      </left>
      <right/>
      <top/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indexed="10"/>
      </left>
      <right style="hair">
        <color indexed="10"/>
      </right>
      <top/>
      <bottom style="hair">
        <color indexed="10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indexed="10"/>
      </left>
      <right style="hair">
        <color indexed="10"/>
      </right>
      <top/>
      <bottom/>
      <diagonal/>
    </border>
    <border>
      <left style="hair">
        <color indexed="10"/>
      </left>
      <right style="hair">
        <color indexed="10"/>
      </right>
      <top style="hair">
        <color indexed="10"/>
      </top>
      <bottom style="hair">
        <color indexed="10"/>
      </bottom>
      <diagonal/>
    </border>
    <border>
      <left style="hair">
        <color indexed="10"/>
      </left>
      <right style="hair">
        <color indexed="10"/>
      </right>
      <top style="hair">
        <color indexed="10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theme="4" tint="0.39997558519241921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theme="3" tint="-0.24994659260841701"/>
      </right>
      <top style="medium">
        <color indexed="64"/>
      </top>
      <bottom style="thin">
        <color theme="3" tint="-0.24994659260841701"/>
      </bottom>
      <diagonal/>
    </border>
    <border>
      <left style="thin">
        <color theme="3" tint="-0.24994659260841701"/>
      </left>
      <right style="thin">
        <color theme="3" tint="-0.24994659260841701"/>
      </right>
      <top style="medium">
        <color indexed="64"/>
      </top>
      <bottom style="thin">
        <color theme="3" tint="-0.24994659260841701"/>
      </bottom>
      <diagonal/>
    </border>
    <border>
      <left style="thin">
        <color theme="3" tint="-0.24994659260841701"/>
      </left>
      <right/>
      <top style="medium">
        <color indexed="64"/>
      </top>
      <bottom style="thin">
        <color theme="3" tint="-0.24994659260841701"/>
      </bottom>
      <diagonal/>
    </border>
    <border>
      <left style="thin">
        <color theme="3" tint="-0.24994659260841701"/>
      </left>
      <right style="thick">
        <color auto="1"/>
      </right>
      <top style="medium">
        <color indexed="64"/>
      </top>
      <bottom style="thin">
        <color theme="3" tint="-0.24994659260841701"/>
      </bottom>
      <diagonal/>
    </border>
    <border>
      <left/>
      <right/>
      <top style="medium">
        <color indexed="64"/>
      </top>
      <bottom style="thin">
        <color theme="3" tint="-0.24994659260841701"/>
      </bottom>
      <diagonal/>
    </border>
    <border>
      <left style="thin">
        <color theme="3" tint="-0.24994659260841701"/>
      </left>
      <right style="medium">
        <color indexed="64"/>
      </right>
      <top style="medium">
        <color indexed="64"/>
      </top>
      <bottom style="thin">
        <color theme="3" tint="-0.2499465926084170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 style="thin">
        <color indexed="64"/>
      </top>
      <bottom/>
      <diagonal/>
    </border>
    <border>
      <left style="thick">
        <color auto="1"/>
      </left>
      <right/>
      <top/>
      <bottom style="thin">
        <color indexed="64"/>
      </bottom>
      <diagonal/>
    </border>
    <border>
      <left style="thick">
        <color auto="1"/>
      </left>
      <right/>
      <top style="thin">
        <color indexed="64"/>
      </top>
      <bottom style="thin">
        <color indexed="64"/>
      </bottom>
      <diagonal/>
    </border>
    <border>
      <left style="thick">
        <color auto="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ck">
        <color auto="1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</borders>
  <cellStyleXfs count="52">
    <xf numFmtId="0" fontId="0" fillId="0" borderId="0"/>
    <xf numFmtId="9" fontId="11" fillId="0" borderId="0" applyFont="0" applyFill="0" applyBorder="0" applyAlignment="0" applyProtection="0"/>
    <xf numFmtId="0" fontId="14" fillId="2" borderId="1" applyNumberFormat="0" applyAlignment="0" applyProtection="0">
      <alignment horizontal="left" vertical="center" indent="1"/>
    </xf>
    <xf numFmtId="166" fontId="15" fillId="3" borderId="1" applyNumberFormat="0" applyAlignment="0" applyProtection="0">
      <alignment horizontal="left" vertical="center" indent="1"/>
    </xf>
    <xf numFmtId="166" fontId="15" fillId="0" borderId="3" applyNumberFormat="0" applyProtection="0">
      <alignment horizontal="right" vertical="center"/>
    </xf>
    <xf numFmtId="0" fontId="16" fillId="0" borderId="0"/>
    <xf numFmtId="0" fontId="19" fillId="0" borderId="0"/>
    <xf numFmtId="0" fontId="20" fillId="0" borderId="0"/>
    <xf numFmtId="0" fontId="16" fillId="0" borderId="0"/>
    <xf numFmtId="0" fontId="20" fillId="0" borderId="0"/>
    <xf numFmtId="9" fontId="20" fillId="0" borderId="0" applyFont="0" applyFill="0" applyBorder="0" applyAlignment="0" applyProtection="0"/>
    <xf numFmtId="0" fontId="25" fillId="0" borderId="0"/>
    <xf numFmtId="0" fontId="11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4" fillId="2" borderId="25" applyNumberFormat="0" applyAlignment="0" applyProtection="0">
      <alignment horizontal="left" vertical="center" indent="1"/>
    </xf>
    <xf numFmtId="166" fontId="14" fillId="0" borderId="25" applyNumberFormat="0" applyProtection="0">
      <alignment horizontal="right" vertical="center"/>
    </xf>
    <xf numFmtId="43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38" fillId="16" borderId="0" applyNumberFormat="0" applyBorder="0" applyAlignment="0" applyProtection="0"/>
    <xf numFmtId="0" fontId="39" fillId="18" borderId="0">
      <alignment vertical="center"/>
      <protection locked="0"/>
    </xf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0" fillId="0" borderId="0"/>
    <xf numFmtId="0" fontId="14" fillId="2" borderId="48" applyNumberFormat="0" applyAlignment="0" applyProtection="0">
      <alignment horizontal="left" vertical="center" indent="1"/>
    </xf>
    <xf numFmtId="166" fontId="15" fillId="3" borderId="48" applyNumberFormat="0" applyAlignment="0" applyProtection="0">
      <alignment horizontal="left" vertical="center" indent="1"/>
    </xf>
    <xf numFmtId="166" fontId="15" fillId="0" borderId="49" applyNumberFormat="0" applyProtection="0">
      <alignment horizontal="right" vertical="center"/>
    </xf>
    <xf numFmtId="0" fontId="9" fillId="0" borderId="0"/>
    <xf numFmtId="17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7" fillId="0" borderId="0"/>
    <xf numFmtId="17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0" fontId="5" fillId="0" borderId="0"/>
    <xf numFmtId="9" fontId="5" fillId="0" borderId="0" applyFont="0" applyFill="0" applyBorder="0" applyAlignment="0" applyProtection="0"/>
    <xf numFmtId="166" fontId="15" fillId="3" borderId="48" applyNumberFormat="0" applyAlignment="0" applyProtection="0">
      <alignment horizontal="left" vertical="center" indent="1"/>
    </xf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49" fillId="0" borderId="0"/>
    <xf numFmtId="0" fontId="3" fillId="0" borderId="0"/>
    <xf numFmtId="17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64" fillId="0" borderId="0" applyNumberFormat="0" applyFill="0" applyBorder="0" applyAlignment="0" applyProtection="0"/>
  </cellStyleXfs>
  <cellXfs count="815">
    <xf numFmtId="0" fontId="0" fillId="0" borderId="0" xfId="0"/>
    <xf numFmtId="0" fontId="12" fillId="0" borderId="0" xfId="0" applyFont="1"/>
    <xf numFmtId="10" fontId="13" fillId="0" borderId="0" xfId="1" applyNumberFormat="1" applyFont="1" applyFill="1" applyBorder="1"/>
    <xf numFmtId="165" fontId="12" fillId="0" borderId="0" xfId="0" applyNumberFormat="1" applyFont="1"/>
    <xf numFmtId="0" fontId="14" fillId="2" borderId="1" xfId="2" quotePrefix="1" applyNumberFormat="1" applyFont="1" applyBorder="1" applyAlignment="1"/>
    <xf numFmtId="0" fontId="14" fillId="2" borderId="1" xfId="2" applyNumberFormat="1" applyFont="1" applyBorder="1" applyAlignment="1"/>
    <xf numFmtId="0" fontId="15" fillId="3" borderId="1" xfId="3" quotePrefix="1" applyNumberFormat="1" applyFont="1" applyBorder="1" applyAlignment="1">
      <alignment horizontal="center"/>
    </xf>
    <xf numFmtId="0" fontId="15" fillId="3" borderId="2" xfId="3" quotePrefix="1" applyNumberFormat="1" applyFont="1" applyBorder="1" applyAlignment="1">
      <alignment horizontal="center"/>
    </xf>
    <xf numFmtId="0" fontId="15" fillId="4" borderId="2" xfId="3" quotePrefix="1" applyNumberFormat="1" applyFont="1" applyFill="1" applyBorder="1" applyAlignment="1">
      <alignment horizontal="center"/>
    </xf>
    <xf numFmtId="0" fontId="14" fillId="2" borderId="1" xfId="2" quotePrefix="1" applyNumberFormat="1" applyFont="1" applyBorder="1" applyAlignment="1">
      <alignment vertical="center" wrapText="1"/>
    </xf>
    <xf numFmtId="0" fontId="14" fillId="2" borderId="1" xfId="2" applyNumberFormat="1" applyFont="1" applyBorder="1" applyAlignment="1">
      <alignment vertical="center"/>
    </xf>
    <xf numFmtId="0" fontId="14" fillId="2" borderId="1" xfId="2" quotePrefix="1" applyNumberFormat="1" applyFont="1" applyBorder="1" applyAlignment="1">
      <alignment vertical="center"/>
    </xf>
    <xf numFmtId="0" fontId="15" fillId="3" borderId="1" xfId="3" quotePrefix="1" applyNumberFormat="1" applyFont="1" applyBorder="1" applyAlignment="1"/>
    <xf numFmtId="0" fontId="15" fillId="3" borderId="1" xfId="3" quotePrefix="1" applyNumberFormat="1" applyFont="1" applyAlignment="1"/>
    <xf numFmtId="165" fontId="15" fillId="0" borderId="3" xfId="4" applyNumberFormat="1" applyFont="1">
      <alignment horizontal="right" vertical="center"/>
    </xf>
    <xf numFmtId="165" fontId="15" fillId="0" borderId="4" xfId="4" applyNumberFormat="1" applyFont="1" applyBorder="1">
      <alignment horizontal="right" vertical="center"/>
    </xf>
    <xf numFmtId="165" fontId="15" fillId="5" borderId="4" xfId="4" applyNumberFormat="1" applyFont="1" applyFill="1" applyBorder="1">
      <alignment horizontal="right" vertical="center"/>
    </xf>
    <xf numFmtId="0" fontId="21" fillId="8" borderId="0" xfId="7" applyFont="1" applyFill="1" applyAlignment="1">
      <alignment horizontal="center" vertical="center" wrapText="1"/>
    </xf>
    <xf numFmtId="0" fontId="21" fillId="8" borderId="0" xfId="8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0" fontId="23" fillId="0" borderId="0" xfId="0" applyFont="1"/>
    <xf numFmtId="0" fontId="24" fillId="0" borderId="0" xfId="0" applyFont="1"/>
    <xf numFmtId="165" fontId="23" fillId="0" borderId="0" xfId="0" applyNumberFormat="1" applyFont="1"/>
    <xf numFmtId="0" fontId="23" fillId="0" borderId="0" xfId="0" applyNumberFormat="1" applyFont="1" applyAlignment="1">
      <alignment horizontal="center"/>
    </xf>
    <xf numFmtId="165" fontId="23" fillId="0" borderId="0" xfId="0" quotePrefix="1" applyNumberFormat="1" applyFont="1"/>
    <xf numFmtId="167" fontId="23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4" fontId="23" fillId="0" borderId="0" xfId="0" applyNumberFormat="1" applyFont="1" applyAlignment="1">
      <alignment horizontal="center"/>
    </xf>
    <xf numFmtId="0" fontId="29" fillId="0" borderId="0" xfId="0" applyFont="1"/>
    <xf numFmtId="0" fontId="12" fillId="0" borderId="0" xfId="0" applyFont="1" applyAlignment="1">
      <alignment horizontal="center" vertical="center"/>
    </xf>
    <xf numFmtId="168" fontId="12" fillId="0" borderId="0" xfId="1" applyNumberFormat="1" applyFont="1"/>
    <xf numFmtId="10" fontId="12" fillId="0" borderId="0" xfId="1" applyNumberFormat="1" applyFont="1"/>
    <xf numFmtId="0" fontId="23" fillId="0" borderId="0" xfId="0" applyNumberFormat="1" applyFont="1" applyFill="1" applyAlignment="1">
      <alignment horizontal="center"/>
    </xf>
    <xf numFmtId="0" fontId="15" fillId="3" borderId="1" xfId="3" quotePrefix="1" applyNumberFormat="1" applyFont="1" applyBorder="1" applyAlignment="1">
      <alignment horizontal="center" vertical="center" wrapText="1"/>
    </xf>
    <xf numFmtId="0" fontId="15" fillId="4" borderId="2" xfId="3" quotePrefix="1" applyNumberFormat="1" applyFont="1" applyFill="1" applyBorder="1" applyAlignment="1">
      <alignment horizontal="center" vertical="center" wrapText="1"/>
    </xf>
    <xf numFmtId="0" fontId="30" fillId="8" borderId="0" xfId="7" applyFont="1" applyFill="1" applyAlignment="1">
      <alignment horizontal="center" vertical="center" wrapText="1"/>
    </xf>
    <xf numFmtId="0" fontId="30" fillId="8" borderId="0" xfId="8" applyFont="1" applyFill="1" applyAlignment="1">
      <alignment horizontal="center" vertical="center" wrapText="1"/>
    </xf>
    <xf numFmtId="165" fontId="12" fillId="0" borderId="0" xfId="1" applyNumberFormat="1" applyFont="1"/>
    <xf numFmtId="0" fontId="12" fillId="0" borderId="0" xfId="0" applyFont="1" applyAlignment="1">
      <alignment horizontal="right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 vertical="center" wrapText="1"/>
    </xf>
    <xf numFmtId="0" fontId="16" fillId="0" borderId="0" xfId="5"/>
    <xf numFmtId="0" fontId="12" fillId="11" borderId="0" xfId="0" applyFont="1" applyFill="1" applyAlignment="1">
      <alignment horizontal="center" vertical="center" wrapText="1"/>
    </xf>
    <xf numFmtId="43" fontId="16" fillId="12" borderId="0" xfId="0" applyNumberFormat="1" applyFont="1" applyFill="1" applyBorder="1" applyAlignment="1"/>
    <xf numFmtId="0" fontId="12" fillId="9" borderId="0" xfId="0" applyFont="1" applyFill="1" applyBorder="1"/>
    <xf numFmtId="165" fontId="12" fillId="9" borderId="0" xfId="0" applyNumberFormat="1" applyFont="1" applyFill="1" applyBorder="1"/>
    <xf numFmtId="0" fontId="12" fillId="9" borderId="12" xfId="0" applyFont="1" applyFill="1" applyBorder="1"/>
    <xf numFmtId="0" fontId="12" fillId="9" borderId="13" xfId="0" applyFont="1" applyFill="1" applyBorder="1"/>
    <xf numFmtId="0" fontId="26" fillId="9" borderId="12" xfId="0" applyFont="1" applyFill="1" applyBorder="1" applyAlignment="1">
      <alignment horizontal="right"/>
    </xf>
    <xf numFmtId="0" fontId="26" fillId="9" borderId="14" xfId="0" applyFont="1" applyFill="1" applyBorder="1" applyAlignment="1">
      <alignment horizontal="right"/>
    </xf>
    <xf numFmtId="0" fontId="12" fillId="9" borderId="16" xfId="0" applyFont="1" applyFill="1" applyBorder="1"/>
    <xf numFmtId="165" fontId="12" fillId="9" borderId="10" xfId="0" applyNumberFormat="1" applyFont="1" applyFill="1" applyBorder="1"/>
    <xf numFmtId="165" fontId="12" fillId="9" borderId="11" xfId="0" applyNumberFormat="1" applyFont="1" applyFill="1" applyBorder="1"/>
    <xf numFmtId="165" fontId="12" fillId="9" borderId="12" xfId="0" applyNumberFormat="1" applyFont="1" applyFill="1" applyBorder="1"/>
    <xf numFmtId="165" fontId="12" fillId="9" borderId="14" xfId="0" applyNumberFormat="1" applyFont="1" applyFill="1" applyBorder="1"/>
    <xf numFmtId="165" fontId="12" fillId="9" borderId="15" xfId="0" applyNumberFormat="1" applyFont="1" applyFill="1" applyBorder="1"/>
    <xf numFmtId="0" fontId="32" fillId="0" borderId="0" xfId="0" applyFont="1"/>
    <xf numFmtId="165" fontId="32" fillId="0" borderId="0" xfId="0" applyNumberFormat="1" applyFont="1"/>
    <xf numFmtId="165" fontId="33" fillId="0" borderId="0" xfId="0" applyNumberFormat="1" applyFont="1"/>
    <xf numFmtId="165" fontId="34" fillId="0" borderId="0" xfId="0" quotePrefix="1" applyNumberFormat="1" applyFont="1"/>
    <xf numFmtId="0" fontId="34" fillId="0" borderId="0" xfId="0" applyNumberFormat="1" applyFont="1" applyAlignment="1">
      <alignment horizontal="center"/>
    </xf>
    <xf numFmtId="165" fontId="34" fillId="0" borderId="0" xfId="0" applyNumberFormat="1" applyFont="1"/>
    <xf numFmtId="9" fontId="34" fillId="0" borderId="0" xfId="1" applyFont="1"/>
    <xf numFmtId="10" fontId="32" fillId="0" borderId="0" xfId="1" applyNumberFormat="1" applyFont="1"/>
    <xf numFmtId="165" fontId="12" fillId="8" borderId="0" xfId="0" applyNumberFormat="1" applyFont="1" applyFill="1"/>
    <xf numFmtId="0" fontId="12" fillId="8" borderId="0" xfId="0" applyFont="1" applyFill="1"/>
    <xf numFmtId="165" fontId="12" fillId="9" borderId="24" xfId="0" applyNumberFormat="1" applyFont="1" applyFill="1" applyBorder="1"/>
    <xf numFmtId="165" fontId="12" fillId="9" borderId="20" xfId="0" applyNumberFormat="1" applyFont="1" applyFill="1" applyBorder="1"/>
    <xf numFmtId="165" fontId="13" fillId="0" borderId="0" xfId="1" applyNumberFormat="1" applyFont="1" applyFill="1" applyBorder="1" applyAlignment="1">
      <alignment horizontal="center"/>
    </xf>
    <xf numFmtId="165" fontId="12" fillId="0" borderId="0" xfId="0" applyNumberFormat="1" applyFont="1" applyAlignment="1">
      <alignment horizontal="center"/>
    </xf>
    <xf numFmtId="165" fontId="12" fillId="0" borderId="17" xfId="0" applyNumberFormat="1" applyFont="1" applyBorder="1"/>
    <xf numFmtId="165" fontId="12" fillId="0" borderId="0" xfId="0" applyNumberFormat="1" applyFont="1" applyAlignment="1">
      <alignment vertical="center"/>
    </xf>
    <xf numFmtId="165" fontId="12" fillId="8" borderId="0" xfId="0" applyNumberFormat="1" applyFont="1" applyFill="1" applyBorder="1"/>
    <xf numFmtId="165" fontId="12" fillId="11" borderId="0" xfId="0" applyNumberFormat="1" applyFont="1" applyFill="1" applyAlignment="1">
      <alignment horizontal="right"/>
    </xf>
    <xf numFmtId="165" fontId="16" fillId="0" borderId="0" xfId="5" applyNumberFormat="1"/>
    <xf numFmtId="0" fontId="12" fillId="8" borderId="0" xfId="0" applyFont="1" applyFill="1" applyAlignment="1">
      <alignment wrapText="1"/>
    </xf>
    <xf numFmtId="0" fontId="12" fillId="8" borderId="0" xfId="0" applyFont="1" applyFill="1" applyAlignment="1">
      <alignment vertical="center"/>
    </xf>
    <xf numFmtId="0" fontId="42" fillId="0" borderId="0" xfId="0" applyFont="1"/>
    <xf numFmtId="9" fontId="12" fillId="0" borderId="0" xfId="1" applyFont="1"/>
    <xf numFmtId="10" fontId="28" fillId="6" borderId="7" xfId="0" applyNumberFormat="1" applyFont="1" applyFill="1" applyBorder="1" applyAlignment="1">
      <alignment horizontal="center"/>
    </xf>
    <xf numFmtId="0" fontId="32" fillId="19" borderId="0" xfId="0" applyFont="1" applyFill="1"/>
    <xf numFmtId="0" fontId="12" fillId="19" borderId="0" xfId="0" applyFont="1" applyFill="1"/>
    <xf numFmtId="10" fontId="32" fillId="19" borderId="0" xfId="1" applyNumberFormat="1" applyFont="1" applyFill="1" applyBorder="1"/>
    <xf numFmtId="10" fontId="12" fillId="19" borderId="0" xfId="1" applyNumberFormat="1" applyFont="1" applyFill="1"/>
    <xf numFmtId="10" fontId="12" fillId="19" borderId="0" xfId="0" applyNumberFormat="1" applyFont="1" applyFill="1"/>
    <xf numFmtId="165" fontId="12" fillId="19" borderId="0" xfId="0" applyNumberFormat="1" applyFont="1" applyFill="1" applyBorder="1"/>
    <xf numFmtId="10" fontId="12" fillId="19" borderId="0" xfId="1" applyNumberFormat="1" applyFont="1" applyFill="1" applyBorder="1"/>
    <xf numFmtId="10" fontId="32" fillId="19" borderId="21" xfId="1" applyNumberFormat="1" applyFont="1" applyFill="1" applyBorder="1"/>
    <xf numFmtId="10" fontId="13" fillId="19" borderId="0" xfId="1" applyNumberFormat="1" applyFont="1" applyFill="1" applyBorder="1"/>
    <xf numFmtId="171" fontId="13" fillId="19" borderId="0" xfId="1" applyNumberFormat="1" applyFont="1" applyFill="1" applyBorder="1"/>
    <xf numFmtId="10" fontId="32" fillId="19" borderId="21" xfId="1" applyNumberFormat="1" applyFont="1" applyFill="1" applyBorder="1" applyAlignment="1">
      <alignment vertical="center"/>
    </xf>
    <xf numFmtId="0" fontId="15" fillId="3" borderId="48" xfId="29" quotePrefix="1" applyNumberFormat="1" applyFont="1" applyFill="1" applyBorder="1" applyAlignment="1"/>
    <xf numFmtId="165" fontId="13" fillId="0" borderId="0" xfId="1" applyNumberFormat="1" applyFont="1" applyFill="1" applyBorder="1"/>
    <xf numFmtId="165" fontId="23" fillId="0" borderId="0" xfId="0" quotePrefix="1" applyNumberFormat="1" applyFont="1" applyFill="1"/>
    <xf numFmtId="4" fontId="23" fillId="0" borderId="0" xfId="0" applyNumberFormat="1" applyFont="1" applyFill="1" applyAlignment="1">
      <alignment horizontal="center"/>
    </xf>
    <xf numFmtId="165" fontId="12" fillId="0" borderId="0" xfId="0" applyNumberFormat="1" applyFont="1" applyFill="1"/>
    <xf numFmtId="165" fontId="15" fillId="5" borderId="4" xfId="4" quotePrefix="1" applyNumberFormat="1" applyFont="1" applyFill="1" applyBorder="1">
      <alignment horizontal="right" vertical="center"/>
    </xf>
    <xf numFmtId="173" fontId="12" fillId="0" borderId="0" xfId="0" applyNumberFormat="1" applyFont="1"/>
    <xf numFmtId="10" fontId="12" fillId="0" borderId="0" xfId="0" applyNumberFormat="1" applyFont="1"/>
    <xf numFmtId="0" fontId="26" fillId="19" borderId="0" xfId="0" applyFont="1" applyFill="1"/>
    <xf numFmtId="0" fontId="46" fillId="24" borderId="0" xfId="0" applyFont="1" applyFill="1" applyAlignment="1">
      <alignment vertical="center"/>
    </xf>
    <xf numFmtId="0" fontId="41" fillId="24" borderId="0" xfId="0" applyFont="1" applyFill="1" applyAlignment="1">
      <alignment horizontal="right" vertical="center"/>
    </xf>
    <xf numFmtId="0" fontId="41" fillId="24" borderId="0" xfId="0" applyFont="1" applyFill="1" applyAlignment="1">
      <alignment horizontal="center" vertical="center" wrapText="1"/>
    </xf>
    <xf numFmtId="9" fontId="12" fillId="19" borderId="0" xfId="1" applyFont="1" applyFill="1" applyBorder="1"/>
    <xf numFmtId="0" fontId="12" fillId="0" borderId="0" xfId="0" applyFont="1" applyBorder="1"/>
    <xf numFmtId="165" fontId="12" fillId="0" borderId="0" xfId="0" applyNumberFormat="1" applyFont="1" applyBorder="1" applyAlignment="1">
      <alignment vertical="center"/>
    </xf>
    <xf numFmtId="0" fontId="32" fillId="19" borderId="0" xfId="0" applyFont="1" applyFill="1" applyBorder="1"/>
    <xf numFmtId="0" fontId="12" fillId="19" borderId="0" xfId="0" applyFont="1" applyFill="1" applyBorder="1"/>
    <xf numFmtId="165" fontId="12" fillId="0" borderId="0" xfId="0" applyNumberFormat="1" applyFont="1" applyBorder="1"/>
    <xf numFmtId="0" fontId="15" fillId="4" borderId="57" xfId="3" quotePrefix="1" applyNumberFormat="1" applyFont="1" applyFill="1" applyBorder="1" applyAlignment="1">
      <alignment horizontal="center" vertical="center" wrapText="1"/>
    </xf>
    <xf numFmtId="165" fontId="12" fillId="0" borderId="50" xfId="0" applyNumberFormat="1" applyFont="1" applyBorder="1" applyAlignment="1">
      <alignment vertical="center"/>
    </xf>
    <xf numFmtId="165" fontId="12" fillId="9" borderId="50" xfId="0" applyNumberFormat="1" applyFont="1" applyFill="1" applyBorder="1"/>
    <xf numFmtId="10" fontId="12" fillId="19" borderId="50" xfId="1" applyNumberFormat="1" applyFont="1" applyFill="1" applyBorder="1"/>
    <xf numFmtId="165" fontId="12" fillId="0" borderId="50" xfId="0" applyNumberFormat="1" applyFont="1" applyBorder="1"/>
    <xf numFmtId="0" fontId="15" fillId="4" borderId="59" xfId="3" quotePrefix="1" applyNumberFormat="1" applyFont="1" applyFill="1" applyBorder="1" applyAlignment="1">
      <alignment horizontal="center" vertical="center" wrapText="1"/>
    </xf>
    <xf numFmtId="165" fontId="12" fillId="0" borderId="61" xfId="0" applyNumberFormat="1" applyFont="1" applyBorder="1"/>
    <xf numFmtId="165" fontId="12" fillId="9" borderId="51" xfId="0" applyNumberFormat="1" applyFont="1" applyFill="1" applyBorder="1"/>
    <xf numFmtId="165" fontId="12" fillId="9" borderId="56" xfId="0" applyNumberFormat="1" applyFont="1" applyFill="1" applyBorder="1"/>
    <xf numFmtId="0" fontId="15" fillId="4" borderId="57" xfId="3" quotePrefix="1" applyNumberFormat="1" applyFont="1" applyFill="1" applyBorder="1" applyAlignment="1">
      <alignment horizontal="center"/>
    </xf>
    <xf numFmtId="165" fontId="15" fillId="5" borderId="62" xfId="4" applyNumberFormat="1" applyFont="1" applyFill="1" applyBorder="1">
      <alignment horizontal="right" vertical="center"/>
    </xf>
    <xf numFmtId="165" fontId="13" fillId="0" borderId="50" xfId="1" applyNumberFormat="1" applyFont="1" applyFill="1" applyBorder="1" applyAlignment="1">
      <alignment horizontal="center"/>
    </xf>
    <xf numFmtId="165" fontId="12" fillId="9" borderId="63" xfId="0" applyNumberFormat="1" applyFont="1" applyFill="1" applyBorder="1"/>
    <xf numFmtId="165" fontId="12" fillId="9" borderId="64" xfId="0" applyNumberFormat="1" applyFont="1" applyFill="1" applyBorder="1"/>
    <xf numFmtId="10" fontId="32" fillId="19" borderId="50" xfId="1" applyNumberFormat="1" applyFont="1" applyFill="1" applyBorder="1"/>
    <xf numFmtId="10" fontId="32" fillId="19" borderId="58" xfId="1" applyNumberFormat="1" applyFont="1" applyFill="1" applyBorder="1" applyAlignment="1">
      <alignment vertical="center"/>
    </xf>
    <xf numFmtId="171" fontId="13" fillId="19" borderId="50" xfId="1" applyNumberFormat="1" applyFont="1" applyFill="1" applyBorder="1"/>
    <xf numFmtId="0" fontId="15" fillId="4" borderId="59" xfId="3" quotePrefix="1" applyNumberFormat="1" applyFont="1" applyFill="1" applyBorder="1" applyAlignment="1">
      <alignment horizontal="center"/>
    </xf>
    <xf numFmtId="165" fontId="15" fillId="5" borderId="60" xfId="4" applyNumberFormat="1" applyFont="1" applyFill="1" applyBorder="1">
      <alignment horizontal="right" vertical="center"/>
    </xf>
    <xf numFmtId="0" fontId="15" fillId="4" borderId="2" xfId="3" quotePrefix="1" applyNumberFormat="1" applyFont="1" applyFill="1" applyBorder="1" applyAlignment="1">
      <alignment horizontal="left" vertical="center" wrapText="1"/>
    </xf>
    <xf numFmtId="165" fontId="12" fillId="0" borderId="0" xfId="0" applyNumberFormat="1" applyFont="1" applyFill="1" applyBorder="1"/>
    <xf numFmtId="0" fontId="12" fillId="0" borderId="0" xfId="0" applyFont="1" applyFill="1" applyBorder="1"/>
    <xf numFmtId="0" fontId="12" fillId="0" borderId="39" xfId="0" applyFont="1" applyBorder="1"/>
    <xf numFmtId="0" fontId="12" fillId="0" borderId="40" xfId="0" applyFont="1" applyBorder="1"/>
    <xf numFmtId="0" fontId="12" fillId="0" borderId="32" xfId="0" applyFont="1" applyBorder="1"/>
    <xf numFmtId="165" fontId="12" fillId="0" borderId="0" xfId="0" applyNumberFormat="1" applyFont="1" applyAlignment="1">
      <alignment horizontal="left"/>
    </xf>
    <xf numFmtId="0" fontId="17" fillId="7" borderId="54" xfId="5" applyFont="1" applyFill="1" applyBorder="1" applyAlignment="1" applyProtection="1">
      <alignment vertical="top" readingOrder="1"/>
      <protection locked="0"/>
    </xf>
    <xf numFmtId="0" fontId="16" fillId="0" borderId="55" xfId="5" applyBorder="1" applyAlignment="1" applyProtection="1">
      <alignment vertical="top" wrapText="1"/>
      <protection locked="0"/>
    </xf>
    <xf numFmtId="0" fontId="45" fillId="0" borderId="0" xfId="5" applyFont="1" applyAlignment="1" applyProtection="1">
      <alignment horizontal="left" vertical="top" readingOrder="1"/>
      <protection locked="0"/>
    </xf>
    <xf numFmtId="0" fontId="16" fillId="0" borderId="0" xfId="5" applyAlignment="1">
      <alignment horizontal="left"/>
    </xf>
    <xf numFmtId="0" fontId="18" fillId="0" borderId="44" xfId="5" applyFont="1" applyBorder="1" applyAlignment="1" applyProtection="1">
      <alignment vertical="top" wrapText="1" readingOrder="1"/>
      <protection locked="0"/>
    </xf>
    <xf numFmtId="176" fontId="16" fillId="0" borderId="0" xfId="5" applyNumberFormat="1" applyAlignment="1">
      <alignment horizontal="center" readingOrder="1"/>
    </xf>
    <xf numFmtId="0" fontId="4" fillId="0" borderId="0" xfId="5" applyFont="1" applyAlignment="1">
      <alignment horizontal="center" vertical="center"/>
    </xf>
    <xf numFmtId="49" fontId="4" fillId="0" borderId="0" xfId="5" applyNumberFormat="1" applyFont="1" applyAlignment="1">
      <alignment horizontal="center" vertical="center"/>
    </xf>
    <xf numFmtId="0" fontId="4" fillId="0" borderId="0" xfId="44"/>
    <xf numFmtId="0" fontId="4" fillId="0" borderId="0" xfId="44" applyAlignment="1">
      <alignment horizontal="center"/>
    </xf>
    <xf numFmtId="0" fontId="22" fillId="8" borderId="0" xfId="47" applyFont="1" applyFill="1" applyAlignment="1">
      <alignment horizontal="center" vertical="center" wrapText="1"/>
    </xf>
    <xf numFmtId="0" fontId="17" fillId="10" borderId="66" xfId="47" applyFont="1" applyFill="1" applyBorder="1" applyAlignment="1" applyProtection="1">
      <alignment horizontal="center" vertical="center" wrapText="1" readingOrder="1"/>
      <protection locked="0"/>
    </xf>
    <xf numFmtId="0" fontId="17" fillId="10" borderId="66" xfId="47" applyFont="1" applyFill="1" applyBorder="1" applyAlignment="1" applyProtection="1">
      <alignment vertical="center" wrapText="1" readingOrder="1"/>
      <protection locked="0"/>
    </xf>
    <xf numFmtId="0" fontId="49" fillId="8" borderId="0" xfId="47" applyFill="1" applyAlignment="1">
      <alignment horizontal="center" vertical="center"/>
    </xf>
    <xf numFmtId="0" fontId="4" fillId="0" borderId="0" xfId="44" applyAlignment="1">
      <alignment horizontal="center" vertical="center"/>
    </xf>
    <xf numFmtId="0" fontId="4" fillId="0" borderId="0" xfId="44" applyAlignment="1">
      <alignment horizontal="center" vertical="center" wrapText="1"/>
    </xf>
    <xf numFmtId="0" fontId="21" fillId="23" borderId="0" xfId="8" applyFont="1" applyFill="1"/>
    <xf numFmtId="0" fontId="36" fillId="23" borderId="8" xfId="44" applyFont="1" applyFill="1" applyBorder="1" applyAlignment="1">
      <alignment horizontal="center" vertical="center"/>
    </xf>
    <xf numFmtId="9" fontId="21" fillId="23" borderId="8" xfId="13" applyFont="1" applyFill="1" applyBorder="1" applyAlignment="1">
      <alignment vertical="center"/>
    </xf>
    <xf numFmtId="178" fontId="21" fillId="23" borderId="8" xfId="13" applyNumberFormat="1" applyFont="1" applyFill="1" applyBorder="1" applyAlignment="1">
      <alignment vertical="center"/>
    </xf>
    <xf numFmtId="178" fontId="36" fillId="23" borderId="8" xfId="13" applyNumberFormat="1" applyFont="1" applyFill="1" applyBorder="1" applyAlignment="1">
      <alignment horizontal="center" vertical="center"/>
    </xf>
    <xf numFmtId="0" fontId="36" fillId="0" borderId="0" xfId="44" applyFont="1"/>
    <xf numFmtId="0" fontId="36" fillId="0" borderId="0" xfId="44" applyFont="1" applyAlignment="1">
      <alignment horizontal="center" vertical="center"/>
    </xf>
    <xf numFmtId="0" fontId="21" fillId="0" borderId="0" xfId="8" applyFont="1" applyFill="1" applyAlignment="1">
      <alignment horizontal="center" vertical="center"/>
    </xf>
    <xf numFmtId="165" fontId="36" fillId="0" borderId="0" xfId="44" applyNumberFormat="1" applyFont="1"/>
    <xf numFmtId="0" fontId="21" fillId="23" borderId="67" xfId="8" applyFont="1" applyFill="1" applyBorder="1"/>
    <xf numFmtId="0" fontId="36" fillId="23" borderId="67" xfId="8" applyFont="1" applyFill="1" applyBorder="1" applyAlignment="1">
      <alignment horizontal="center" vertical="center" wrapText="1"/>
    </xf>
    <xf numFmtId="0" fontId="50" fillId="23" borderId="67" xfId="8" applyFont="1" applyFill="1" applyBorder="1" applyAlignment="1">
      <alignment horizontal="left" vertical="center"/>
    </xf>
    <xf numFmtId="178" fontId="21" fillId="23" borderId="67" xfId="13" applyNumberFormat="1" applyFont="1" applyFill="1" applyBorder="1" applyAlignment="1">
      <alignment horizontal="center" vertical="center"/>
    </xf>
    <xf numFmtId="0" fontId="36" fillId="23" borderId="67" xfId="44" applyFont="1" applyFill="1" applyBorder="1" applyAlignment="1">
      <alignment horizontal="center" vertical="center"/>
    </xf>
    <xf numFmtId="9" fontId="21" fillId="23" borderId="67" xfId="45" applyFont="1" applyFill="1" applyBorder="1" applyAlignment="1">
      <alignment vertical="center"/>
    </xf>
    <xf numFmtId="178" fontId="36" fillId="23" borderId="67" xfId="13" applyNumberFormat="1" applyFont="1" applyFill="1" applyBorder="1" applyAlignment="1">
      <alignment horizontal="center" vertical="center"/>
    </xf>
    <xf numFmtId="49" fontId="21" fillId="23" borderId="67" xfId="8" applyNumberFormat="1" applyFont="1" applyFill="1" applyBorder="1" applyAlignment="1">
      <alignment horizontal="center" vertical="center"/>
    </xf>
    <xf numFmtId="0" fontId="21" fillId="23" borderId="67" xfId="8" applyFont="1" applyFill="1" applyBorder="1" applyAlignment="1">
      <alignment vertical="center" wrapText="1"/>
    </xf>
    <xf numFmtId="0" fontId="36" fillId="23" borderId="67" xfId="44" applyFont="1" applyFill="1" applyBorder="1" applyAlignment="1">
      <alignment vertical="center"/>
    </xf>
    <xf numFmtId="0" fontId="36" fillId="23" borderId="68" xfId="44" applyFont="1" applyFill="1" applyBorder="1" applyAlignment="1">
      <alignment horizontal="center" vertical="center"/>
    </xf>
    <xf numFmtId="0" fontId="36" fillId="23" borderId="68" xfId="44" applyFont="1" applyFill="1" applyBorder="1" applyAlignment="1">
      <alignment vertical="center"/>
    </xf>
    <xf numFmtId="178" fontId="21" fillId="23" borderId="68" xfId="13" applyNumberFormat="1" applyFont="1" applyFill="1" applyBorder="1" applyAlignment="1">
      <alignment horizontal="center" vertical="center"/>
    </xf>
    <xf numFmtId="0" fontId="21" fillId="23" borderId="69" xfId="8" applyFont="1" applyFill="1" applyBorder="1"/>
    <xf numFmtId="0" fontId="36" fillId="23" borderId="70" xfId="8" applyFont="1" applyFill="1" applyBorder="1" applyAlignment="1">
      <alignment horizontal="center" vertical="center" wrapText="1"/>
    </xf>
    <xf numFmtId="0" fontId="50" fillId="23" borderId="70" xfId="8" applyFont="1" applyFill="1" applyBorder="1" applyAlignment="1">
      <alignment horizontal="left" vertical="center"/>
    </xf>
    <xf numFmtId="178" fontId="21" fillId="23" borderId="70" xfId="13" applyNumberFormat="1" applyFont="1" applyFill="1" applyBorder="1" applyAlignment="1">
      <alignment horizontal="center" vertical="center"/>
    </xf>
    <xf numFmtId="0" fontId="36" fillId="23" borderId="8" xfId="8" applyFont="1" applyFill="1" applyBorder="1" applyAlignment="1">
      <alignment horizontal="center" vertical="center" wrapText="1"/>
    </xf>
    <xf numFmtId="0" fontId="50" fillId="23" borderId="8" xfId="8" applyFont="1" applyFill="1" applyBorder="1" applyAlignment="1">
      <alignment horizontal="left" vertical="center"/>
    </xf>
    <xf numFmtId="178" fontId="21" fillId="23" borderId="8" xfId="13" applyNumberFormat="1" applyFont="1" applyFill="1" applyBorder="1" applyAlignment="1">
      <alignment horizontal="center" vertical="center"/>
    </xf>
    <xf numFmtId="0" fontId="36" fillId="23" borderId="68" xfId="8" applyFont="1" applyFill="1" applyBorder="1" applyAlignment="1">
      <alignment horizontal="center" vertical="center" wrapText="1"/>
    </xf>
    <xf numFmtId="0" fontId="50" fillId="23" borderId="68" xfId="8" applyFont="1" applyFill="1" applyBorder="1" applyAlignment="1">
      <alignment horizontal="left" vertical="center"/>
    </xf>
    <xf numFmtId="49" fontId="21" fillId="23" borderId="68" xfId="8" applyNumberFormat="1" applyFont="1" applyFill="1" applyBorder="1" applyAlignment="1">
      <alignment horizontal="center" vertical="center"/>
    </xf>
    <xf numFmtId="0" fontId="21" fillId="23" borderId="68" xfId="8" applyFont="1" applyFill="1" applyBorder="1" applyAlignment="1">
      <alignment vertical="center" wrapText="1"/>
    </xf>
    <xf numFmtId="0" fontId="36" fillId="23" borderId="70" xfId="44" applyFont="1" applyFill="1" applyBorder="1" applyAlignment="1">
      <alignment horizontal="center" vertical="center"/>
    </xf>
    <xf numFmtId="9" fontId="21" fillId="23" borderId="70" xfId="45" applyFont="1" applyFill="1" applyBorder="1" applyAlignment="1">
      <alignment vertical="center"/>
    </xf>
    <xf numFmtId="178" fontId="36" fillId="23" borderId="70" xfId="13" applyNumberFormat="1" applyFont="1" applyFill="1" applyBorder="1" applyAlignment="1">
      <alignment horizontal="center" vertical="center"/>
    </xf>
    <xf numFmtId="9" fontId="21" fillId="23" borderId="8" xfId="45" applyFont="1" applyFill="1" applyBorder="1" applyAlignment="1">
      <alignment vertical="center"/>
    </xf>
    <xf numFmtId="0" fontId="51" fillId="23" borderId="68" xfId="8" applyFont="1" applyFill="1" applyBorder="1" applyAlignment="1" applyProtection="1">
      <alignment horizontal="center" vertical="center" wrapText="1"/>
      <protection locked="0"/>
    </xf>
    <xf numFmtId="0" fontId="51" fillId="23" borderId="68" xfId="8" applyFont="1" applyFill="1" applyBorder="1" applyAlignment="1" applyProtection="1">
      <alignment vertical="center" wrapText="1"/>
      <protection locked="0"/>
    </xf>
    <xf numFmtId="0" fontId="51" fillId="23" borderId="67" xfId="8" applyFont="1" applyFill="1" applyBorder="1" applyAlignment="1" applyProtection="1">
      <alignment horizontal="center" vertical="center" wrapText="1"/>
      <protection locked="0"/>
    </xf>
    <xf numFmtId="0" fontId="51" fillId="23" borderId="67" xfId="8" applyFont="1" applyFill="1" applyBorder="1" applyAlignment="1" applyProtection="1">
      <alignment vertical="center" wrapText="1"/>
      <protection locked="0"/>
    </xf>
    <xf numFmtId="9" fontId="21" fillId="23" borderId="68" xfId="45" applyFont="1" applyFill="1" applyBorder="1" applyAlignment="1">
      <alignment vertical="center"/>
    </xf>
    <xf numFmtId="178" fontId="36" fillId="23" borderId="68" xfId="13" applyNumberFormat="1" applyFont="1" applyFill="1" applyBorder="1" applyAlignment="1">
      <alignment horizontal="center" vertical="center"/>
    </xf>
    <xf numFmtId="0" fontId="21" fillId="23" borderId="71" xfId="8" applyFont="1" applyFill="1" applyBorder="1"/>
    <xf numFmtId="0" fontId="36" fillId="23" borderId="68" xfId="12" applyFont="1" applyFill="1" applyBorder="1" applyAlignment="1">
      <alignment horizontal="center" vertical="center"/>
    </xf>
    <xf numFmtId="0" fontId="36" fillId="23" borderId="68" xfId="12" applyFont="1" applyFill="1" applyBorder="1" applyAlignment="1">
      <alignment vertical="center"/>
    </xf>
    <xf numFmtId="0" fontId="36" fillId="23" borderId="67" xfId="8" applyFont="1" applyFill="1" applyBorder="1" applyAlignment="1">
      <alignment vertical="center"/>
    </xf>
    <xf numFmtId="0" fontId="36" fillId="0" borderId="0" xfId="44" applyFont="1" applyAlignment="1">
      <alignment horizontal="center"/>
    </xf>
    <xf numFmtId="14" fontId="21" fillId="23" borderId="67" xfId="8" applyNumberFormat="1" applyFont="1" applyFill="1" applyBorder="1" applyAlignment="1">
      <alignment horizontal="center"/>
    </xf>
    <xf numFmtId="0" fontId="36" fillId="23" borderId="67" xfId="12" applyFont="1" applyFill="1" applyBorder="1" applyAlignment="1">
      <alignment horizontal="center" vertical="center"/>
    </xf>
    <xf numFmtId="0" fontId="36" fillId="23" borderId="67" xfId="12" applyFont="1" applyFill="1" applyBorder="1" applyAlignment="1">
      <alignment vertical="center"/>
    </xf>
    <xf numFmtId="0" fontId="21" fillId="23" borderId="67" xfId="8" applyFont="1" applyFill="1" applyBorder="1" applyAlignment="1">
      <alignment horizontal="center"/>
    </xf>
    <xf numFmtId="0" fontId="21" fillId="23" borderId="67" xfId="8" applyFont="1" applyFill="1" applyBorder="1" applyAlignment="1">
      <alignment horizontal="center" vertical="center"/>
    </xf>
    <xf numFmtId="0" fontId="21" fillId="23" borderId="67" xfId="8" applyFont="1" applyFill="1" applyBorder="1" applyAlignment="1">
      <alignment vertical="center"/>
    </xf>
    <xf numFmtId="0" fontId="21" fillId="23" borderId="0" xfId="8" applyFont="1" applyFill="1" applyBorder="1" applyAlignment="1">
      <alignment horizontal="center"/>
    </xf>
    <xf numFmtId="49" fontId="21" fillId="23" borderId="8" xfId="8" applyNumberFormat="1" applyFont="1" applyFill="1" applyBorder="1" applyAlignment="1">
      <alignment horizontal="center" vertical="center"/>
    </xf>
    <xf numFmtId="0" fontId="21" fillId="23" borderId="8" xfId="8" applyFont="1" applyFill="1" applyBorder="1" applyAlignment="1">
      <alignment vertical="center"/>
    </xf>
    <xf numFmtId="49" fontId="52" fillId="23" borderId="67" xfId="8" applyNumberFormat="1" applyFont="1" applyFill="1" applyBorder="1" applyAlignment="1">
      <alignment horizontal="center" vertical="center"/>
    </xf>
    <xf numFmtId="49" fontId="52" fillId="23" borderId="67" xfId="8" applyNumberFormat="1" applyFont="1" applyFill="1" applyBorder="1" applyAlignment="1">
      <alignment vertical="center"/>
    </xf>
    <xf numFmtId="14" fontId="21" fillId="23" borderId="0" xfId="8" applyNumberFormat="1" applyFont="1" applyFill="1" applyBorder="1" applyAlignment="1">
      <alignment horizontal="center"/>
    </xf>
    <xf numFmtId="0" fontId="51" fillId="23" borderId="8" xfId="8" applyFont="1" applyFill="1" applyBorder="1" applyAlignment="1" applyProtection="1">
      <alignment horizontal="center" vertical="center" wrapText="1"/>
      <protection locked="0"/>
    </xf>
    <xf numFmtId="0" fontId="51" fillId="23" borderId="8" xfId="8" applyFont="1" applyFill="1" applyBorder="1" applyAlignment="1" applyProtection="1">
      <alignment vertical="center" wrapText="1"/>
      <protection locked="0"/>
    </xf>
    <xf numFmtId="49" fontId="52" fillId="23" borderId="70" xfId="8" applyNumberFormat="1" applyFont="1" applyFill="1" applyBorder="1" applyAlignment="1">
      <alignment horizontal="center" vertical="center"/>
    </xf>
    <xf numFmtId="49" fontId="52" fillId="23" borderId="70" xfId="8" applyNumberFormat="1" applyFont="1" applyFill="1" applyBorder="1" applyAlignment="1">
      <alignment vertical="center"/>
    </xf>
    <xf numFmtId="49" fontId="21" fillId="23" borderId="70" xfId="8" applyNumberFormat="1" applyFont="1" applyFill="1" applyBorder="1" applyAlignment="1">
      <alignment horizontal="center" vertical="center"/>
    </xf>
    <xf numFmtId="0" fontId="21" fillId="23" borderId="70" xfId="8" applyFont="1" applyFill="1" applyBorder="1" applyAlignment="1">
      <alignment vertical="center" wrapText="1"/>
    </xf>
    <xf numFmtId="0" fontId="36" fillId="13" borderId="0" xfId="44" applyFont="1" applyFill="1" applyBorder="1"/>
    <xf numFmtId="0" fontId="21" fillId="13" borderId="0" xfId="8" applyFont="1" applyFill="1" applyBorder="1"/>
    <xf numFmtId="49" fontId="21" fillId="13" borderId="67" xfId="8" applyNumberFormat="1" applyFont="1" applyFill="1" applyBorder="1" applyAlignment="1">
      <alignment horizontal="center" vertical="center"/>
    </xf>
    <xf numFmtId="0" fontId="21" fillId="13" borderId="67" xfId="8" applyFont="1" applyFill="1" applyBorder="1" applyAlignment="1">
      <alignment vertical="center" wrapText="1"/>
    </xf>
    <xf numFmtId="178" fontId="21" fillId="13" borderId="67" xfId="8" applyNumberFormat="1" applyFont="1" applyFill="1" applyBorder="1" applyAlignment="1">
      <alignment vertical="center"/>
    </xf>
    <xf numFmtId="178" fontId="21" fillId="13" borderId="67" xfId="8" applyNumberFormat="1" applyFont="1" applyFill="1" applyBorder="1" applyAlignment="1">
      <alignment horizontal="center" vertical="center"/>
    </xf>
    <xf numFmtId="0" fontId="36" fillId="0" borderId="0" xfId="44" applyFont="1" applyFill="1"/>
    <xf numFmtId="0" fontId="36" fillId="0" borderId="0" xfId="44" applyFont="1" applyFill="1" applyAlignment="1">
      <alignment horizontal="center" vertical="center"/>
    </xf>
    <xf numFmtId="0" fontId="51" fillId="13" borderId="8" xfId="8" applyFont="1" applyFill="1" applyBorder="1" applyAlignment="1" applyProtection="1">
      <alignment horizontal="center" vertical="center" wrapText="1"/>
      <protection locked="0"/>
    </xf>
    <xf numFmtId="0" fontId="51" fillId="13" borderId="8" xfId="8" applyFont="1" applyFill="1" applyBorder="1" applyAlignment="1" applyProtection="1">
      <alignment vertical="center" wrapText="1"/>
      <protection locked="0"/>
    </xf>
    <xf numFmtId="178" fontId="21" fillId="13" borderId="8" xfId="14" applyNumberFormat="1" applyFont="1" applyFill="1" applyBorder="1" applyAlignment="1">
      <alignment horizontal="right" vertical="center"/>
    </xf>
    <xf numFmtId="178" fontId="21" fillId="13" borderId="8" xfId="8" applyNumberFormat="1" applyFont="1" applyFill="1" applyBorder="1" applyAlignment="1">
      <alignment horizontal="right" vertical="center"/>
    </xf>
    <xf numFmtId="0" fontId="21" fillId="13" borderId="67" xfId="8" applyFont="1" applyFill="1" applyBorder="1"/>
    <xf numFmtId="49" fontId="21" fillId="13" borderId="70" xfId="8" applyNumberFormat="1" applyFont="1" applyFill="1" applyBorder="1" applyAlignment="1">
      <alignment horizontal="center" vertical="center"/>
    </xf>
    <xf numFmtId="0" fontId="21" fillId="13" borderId="70" xfId="8" applyFont="1" applyFill="1" applyBorder="1" applyAlignment="1">
      <alignment vertical="center" wrapText="1"/>
    </xf>
    <xf numFmtId="178" fontId="21" fillId="13" borderId="70" xfId="8" applyNumberFormat="1" applyFont="1" applyFill="1" applyBorder="1" applyAlignment="1">
      <alignment vertical="center"/>
    </xf>
    <xf numFmtId="178" fontId="21" fillId="13" borderId="70" xfId="8" applyNumberFormat="1" applyFont="1" applyFill="1" applyBorder="1" applyAlignment="1">
      <alignment horizontal="center" vertical="center"/>
    </xf>
    <xf numFmtId="0" fontId="36" fillId="13" borderId="8" xfId="8" applyFont="1" applyFill="1" applyBorder="1" applyAlignment="1">
      <alignment horizontal="center" vertical="center" wrapText="1"/>
    </xf>
    <xf numFmtId="0" fontId="50" fillId="13" borderId="8" xfId="8" applyFont="1" applyFill="1" applyBorder="1" applyAlignment="1">
      <alignment horizontal="left" vertical="center"/>
    </xf>
    <xf numFmtId="178" fontId="21" fillId="13" borderId="8" xfId="8" applyNumberFormat="1" applyFont="1" applyFill="1" applyBorder="1" applyAlignment="1">
      <alignment vertical="center"/>
    </xf>
    <xf numFmtId="178" fontId="21" fillId="13" borderId="8" xfId="8" applyNumberFormat="1" applyFont="1" applyFill="1" applyBorder="1" applyAlignment="1">
      <alignment horizontal="center" vertical="center"/>
    </xf>
    <xf numFmtId="0" fontId="51" fillId="13" borderId="67" xfId="8" applyFont="1" applyFill="1" applyBorder="1" applyAlignment="1" applyProtection="1">
      <alignment horizontal="center" vertical="center" wrapText="1"/>
      <protection locked="0"/>
    </xf>
    <xf numFmtId="0" fontId="51" fillId="13" borderId="67" xfId="8" applyFont="1" applyFill="1" applyBorder="1" applyAlignment="1" applyProtection="1">
      <alignment vertical="center" wrapText="1"/>
      <protection locked="0"/>
    </xf>
    <xf numFmtId="178" fontId="21" fillId="13" borderId="67" xfId="45" applyNumberFormat="1" applyFont="1" applyFill="1" applyBorder="1" applyAlignment="1">
      <alignment vertical="center"/>
    </xf>
    <xf numFmtId="0" fontId="51" fillId="13" borderId="70" xfId="8" applyFont="1" applyFill="1" applyBorder="1" applyAlignment="1" applyProtection="1">
      <alignment horizontal="center" vertical="center" wrapText="1"/>
      <protection locked="0"/>
    </xf>
    <xf numFmtId="0" fontId="51" fillId="13" borderId="70" xfId="8" applyFont="1" applyFill="1" applyBorder="1" applyAlignment="1" applyProtection="1">
      <alignment vertical="center" wrapText="1"/>
      <protection locked="0"/>
    </xf>
    <xf numFmtId="0" fontId="36" fillId="13" borderId="8" xfId="44" applyFont="1" applyFill="1" applyBorder="1" applyAlignment="1">
      <alignment horizontal="center" vertical="center"/>
    </xf>
    <xf numFmtId="9" fontId="21" fillId="13" borderId="8" xfId="45" applyFont="1" applyFill="1" applyBorder="1" applyAlignment="1">
      <alignment vertical="center"/>
    </xf>
    <xf numFmtId="178" fontId="21" fillId="13" borderId="8" xfId="45" applyNumberFormat="1" applyFont="1" applyFill="1" applyBorder="1" applyAlignment="1">
      <alignment vertical="center"/>
    </xf>
    <xf numFmtId="178" fontId="21" fillId="13" borderId="8" xfId="47" applyNumberFormat="1" applyFont="1" applyFill="1" applyBorder="1" applyAlignment="1">
      <alignment vertical="center"/>
    </xf>
    <xf numFmtId="178" fontId="36" fillId="13" borderId="8" xfId="45" applyNumberFormat="1" applyFont="1" applyFill="1" applyBorder="1" applyAlignment="1">
      <alignment vertical="center"/>
    </xf>
    <xf numFmtId="0" fontId="36" fillId="13" borderId="67" xfId="8" applyFont="1" applyFill="1" applyBorder="1" applyAlignment="1">
      <alignment horizontal="center" vertical="center" wrapText="1"/>
    </xf>
    <xf numFmtId="0" fontId="50" fillId="13" borderId="67" xfId="8" applyFont="1" applyFill="1" applyBorder="1" applyAlignment="1">
      <alignment horizontal="left" vertical="center"/>
    </xf>
    <xf numFmtId="49" fontId="21" fillId="13" borderId="68" xfId="8" applyNumberFormat="1" applyFont="1" applyFill="1" applyBorder="1" applyAlignment="1">
      <alignment horizontal="center" vertical="center"/>
    </xf>
    <xf numFmtId="0" fontId="21" fillId="13" borderId="68" xfId="8" applyFont="1" applyFill="1" applyBorder="1" applyAlignment="1">
      <alignment vertical="center" wrapText="1"/>
    </xf>
    <xf numFmtId="178" fontId="21" fillId="13" borderId="68" xfId="8" applyNumberFormat="1" applyFont="1" applyFill="1" applyBorder="1" applyAlignment="1">
      <alignment vertical="center"/>
    </xf>
    <xf numFmtId="178" fontId="21" fillId="13" borderId="68" xfId="8" applyNumberFormat="1" applyFont="1" applyFill="1" applyBorder="1" applyAlignment="1">
      <alignment horizontal="center" vertical="center"/>
    </xf>
    <xf numFmtId="0" fontId="21" fillId="9" borderId="0" xfId="8" applyFont="1" applyFill="1" applyBorder="1" applyAlignment="1">
      <alignment horizontal="center"/>
    </xf>
    <xf numFmtId="0" fontId="21" fillId="9" borderId="0" xfId="8" applyFont="1" applyFill="1"/>
    <xf numFmtId="49" fontId="21" fillId="9" borderId="68" xfId="8" applyNumberFormat="1" applyFont="1" applyFill="1" applyBorder="1" applyAlignment="1">
      <alignment horizontal="center" vertical="center"/>
    </xf>
    <xf numFmtId="0" fontId="21" fillId="9" borderId="68" xfId="8" applyFont="1" applyFill="1" applyBorder="1" applyAlignment="1">
      <alignment vertical="center" wrapText="1"/>
    </xf>
    <xf numFmtId="178" fontId="21" fillId="9" borderId="68" xfId="8" applyNumberFormat="1" applyFont="1" applyFill="1" applyBorder="1" applyAlignment="1">
      <alignment vertical="center"/>
    </xf>
    <xf numFmtId="0" fontId="21" fillId="9" borderId="72" xfId="8" applyFont="1" applyFill="1" applyBorder="1" applyAlignment="1">
      <alignment horizontal="center"/>
    </xf>
    <xf numFmtId="49" fontId="21" fillId="13" borderId="8" xfId="8" applyNumberFormat="1" applyFont="1" applyFill="1" applyBorder="1" applyAlignment="1">
      <alignment horizontal="center" vertical="center"/>
    </xf>
    <xf numFmtId="0" fontId="21" fillId="13" borderId="8" xfId="8" applyFont="1" applyFill="1" applyBorder="1" applyAlignment="1">
      <alignment vertical="center" wrapText="1"/>
    </xf>
    <xf numFmtId="178" fontId="21" fillId="13" borderId="70" xfId="45" applyNumberFormat="1" applyFont="1" applyFill="1" applyBorder="1" applyAlignment="1">
      <alignment vertical="center"/>
    </xf>
    <xf numFmtId="0" fontId="21" fillId="13" borderId="67" xfId="8" applyFont="1" applyFill="1" applyBorder="1" applyAlignment="1">
      <alignment horizontal="center" vertical="center"/>
    </xf>
    <xf numFmtId="0" fontId="21" fillId="13" borderId="67" xfId="8" applyFont="1" applyFill="1" applyBorder="1" applyAlignment="1">
      <alignment vertical="center"/>
    </xf>
    <xf numFmtId="178" fontId="21" fillId="13" borderId="67" xfId="14" applyNumberFormat="1" applyFont="1" applyFill="1" applyBorder="1" applyAlignment="1">
      <alignment horizontal="center" vertical="center"/>
    </xf>
    <xf numFmtId="0" fontId="36" fillId="13" borderId="67" xfId="8" applyFont="1" applyFill="1" applyBorder="1" applyAlignment="1">
      <alignment vertical="center"/>
    </xf>
    <xf numFmtId="178" fontId="21" fillId="13" borderId="67" xfId="14" applyNumberFormat="1" applyFont="1" applyFill="1" applyBorder="1" applyAlignment="1">
      <alignment vertical="center"/>
    </xf>
    <xf numFmtId="0" fontId="36" fillId="13" borderId="70" xfId="8" applyFont="1" applyFill="1" applyBorder="1" applyAlignment="1">
      <alignment horizontal="center" vertical="center" wrapText="1"/>
    </xf>
    <xf numFmtId="0" fontId="50" fillId="13" borderId="70" xfId="8" applyFont="1" applyFill="1" applyBorder="1" applyAlignment="1">
      <alignment horizontal="left" vertical="center"/>
    </xf>
    <xf numFmtId="0" fontId="21" fillId="9" borderId="67" xfId="8" applyFont="1" applyFill="1" applyBorder="1" applyAlignment="1">
      <alignment horizontal="center"/>
    </xf>
    <xf numFmtId="0" fontId="21" fillId="9" borderId="67" xfId="8" applyFont="1" applyFill="1" applyBorder="1"/>
    <xf numFmtId="0" fontId="51" fillId="9" borderId="67" xfId="8" applyFont="1" applyFill="1" applyBorder="1" applyAlignment="1" applyProtection="1">
      <alignment horizontal="center" vertical="center" wrapText="1"/>
      <protection locked="0"/>
    </xf>
    <xf numFmtId="0" fontId="51" fillId="9" borderId="67" xfId="8" applyFont="1" applyFill="1" applyBorder="1" applyAlignment="1" applyProtection="1">
      <alignment vertical="center" wrapText="1"/>
      <protection locked="0"/>
    </xf>
    <xf numFmtId="178" fontId="21" fillId="9" borderId="67" xfId="8" applyNumberFormat="1" applyFont="1" applyFill="1" applyBorder="1" applyAlignment="1">
      <alignment vertical="center"/>
    </xf>
    <xf numFmtId="0" fontId="21" fillId="13" borderId="71" xfId="8" applyFont="1" applyFill="1" applyBorder="1"/>
    <xf numFmtId="0" fontId="21" fillId="9" borderId="71" xfId="8" applyFont="1" applyFill="1" applyBorder="1" applyAlignment="1">
      <alignment horizontal="center"/>
    </xf>
    <xf numFmtId="49" fontId="36" fillId="13" borderId="67" xfId="8" applyNumberFormat="1" applyFont="1" applyFill="1" applyBorder="1" applyAlignment="1">
      <alignment horizontal="center" vertical="center"/>
    </xf>
    <xf numFmtId="178" fontId="21" fillId="9" borderId="70" xfId="8" applyNumberFormat="1" applyFont="1" applyFill="1" applyBorder="1" applyAlignment="1">
      <alignment vertical="center"/>
    </xf>
    <xf numFmtId="0" fontId="51" fillId="13" borderId="68" xfId="8" applyFont="1" applyFill="1" applyBorder="1" applyAlignment="1" applyProtection="1">
      <alignment horizontal="center" vertical="center" wrapText="1"/>
      <protection locked="0"/>
    </xf>
    <xf numFmtId="0" fontId="51" fillId="13" borderId="68" xfId="8" applyFont="1" applyFill="1" applyBorder="1" applyAlignment="1" applyProtection="1">
      <alignment vertical="center" wrapText="1"/>
      <protection locked="0"/>
    </xf>
    <xf numFmtId="0" fontId="21" fillId="13" borderId="72" xfId="8" applyFont="1" applyFill="1" applyBorder="1"/>
    <xf numFmtId="0" fontId="21" fillId="13" borderId="67" xfId="8" applyFont="1" applyFill="1" applyBorder="1" applyAlignment="1">
      <alignment horizontal="center"/>
    </xf>
    <xf numFmtId="14" fontId="21" fillId="13" borderId="67" xfId="8" applyNumberFormat="1" applyFont="1" applyFill="1" applyBorder="1" applyAlignment="1">
      <alignment horizontal="center"/>
    </xf>
    <xf numFmtId="0" fontId="21" fillId="13" borderId="73" xfId="8" applyFont="1" applyFill="1" applyBorder="1"/>
    <xf numFmtId="0" fontId="21" fillId="9" borderId="71" xfId="8" applyFont="1" applyFill="1" applyBorder="1"/>
    <xf numFmtId="0" fontId="36" fillId="9" borderId="68" xfId="8" applyFont="1" applyFill="1" applyBorder="1" applyAlignment="1">
      <alignment horizontal="center" vertical="center" wrapText="1"/>
    </xf>
    <xf numFmtId="0" fontId="50" fillId="9" borderId="68" xfId="8" applyFont="1" applyFill="1" applyBorder="1" applyAlignment="1">
      <alignment horizontal="left" vertical="center"/>
    </xf>
    <xf numFmtId="49" fontId="36" fillId="13" borderId="67" xfId="44" applyNumberFormat="1" applyFont="1" applyFill="1" applyBorder="1" applyAlignment="1">
      <alignment horizontal="center" vertical="center"/>
    </xf>
    <xf numFmtId="49" fontId="51" fillId="13" borderId="67" xfId="47" applyNumberFormat="1" applyFont="1" applyFill="1" applyBorder="1" applyAlignment="1">
      <alignment vertical="center"/>
    </xf>
    <xf numFmtId="0" fontId="21" fillId="13" borderId="72" xfId="8" applyFont="1" applyFill="1" applyBorder="1" applyAlignment="1">
      <alignment horizontal="center"/>
    </xf>
    <xf numFmtId="0" fontId="21" fillId="13" borderId="69" xfId="8" applyFont="1" applyFill="1" applyBorder="1"/>
    <xf numFmtId="0" fontId="21" fillId="9" borderId="69" xfId="8" applyFont="1" applyFill="1" applyBorder="1" applyAlignment="1">
      <alignment horizontal="center"/>
    </xf>
    <xf numFmtId="0" fontId="21" fillId="21" borderId="67" xfId="8" applyFont="1" applyFill="1" applyBorder="1"/>
    <xf numFmtId="0" fontId="21" fillId="21" borderId="69" xfId="8" applyFont="1" applyFill="1" applyBorder="1"/>
    <xf numFmtId="0" fontId="36" fillId="21" borderId="70" xfId="8" applyFont="1" applyFill="1" applyBorder="1" applyAlignment="1">
      <alignment horizontal="center" vertical="center" wrapText="1"/>
    </xf>
    <xf numFmtId="0" fontId="50" fillId="21" borderId="70" xfId="8" applyFont="1" applyFill="1" applyBorder="1" applyAlignment="1">
      <alignment horizontal="left" vertical="center"/>
    </xf>
    <xf numFmtId="178" fontId="21" fillId="21" borderId="70" xfId="8" applyNumberFormat="1" applyFont="1" applyFill="1" applyBorder="1" applyAlignment="1">
      <alignment vertical="center"/>
    </xf>
    <xf numFmtId="178" fontId="21" fillId="21" borderId="70" xfId="8" applyNumberFormat="1" applyFont="1" applyFill="1" applyBorder="1" applyAlignment="1">
      <alignment horizontal="center" vertical="center"/>
    </xf>
    <xf numFmtId="0" fontId="21" fillId="21" borderId="72" xfId="8" applyFont="1" applyFill="1" applyBorder="1"/>
    <xf numFmtId="0" fontId="36" fillId="21" borderId="67" xfId="8" applyFont="1" applyFill="1" applyBorder="1" applyAlignment="1">
      <alignment horizontal="center" vertical="center" wrapText="1"/>
    </xf>
    <xf numFmtId="0" fontId="50" fillId="21" borderId="67" xfId="8" applyFont="1" applyFill="1" applyBorder="1" applyAlignment="1">
      <alignment horizontal="left" vertical="center"/>
    </xf>
    <xf numFmtId="178" fontId="21" fillId="21" borderId="67" xfId="8" applyNumberFormat="1" applyFont="1" applyFill="1" applyBorder="1" applyAlignment="1">
      <alignment vertical="center"/>
    </xf>
    <xf numFmtId="178" fontId="21" fillId="21" borderId="67" xfId="8" applyNumberFormat="1" applyFont="1" applyFill="1" applyBorder="1" applyAlignment="1">
      <alignment horizontal="center" vertical="center"/>
    </xf>
    <xf numFmtId="0" fontId="36" fillId="13" borderId="67" xfId="44" applyFont="1" applyFill="1" applyBorder="1" applyAlignment="1">
      <alignment horizontal="center" vertical="center"/>
    </xf>
    <xf numFmtId="9" fontId="21" fillId="13" borderId="67" xfId="45" applyFont="1" applyFill="1" applyBorder="1" applyAlignment="1">
      <alignment vertical="center"/>
    </xf>
    <xf numFmtId="178" fontId="21" fillId="13" borderId="70" xfId="47" applyNumberFormat="1" applyFont="1" applyFill="1" applyBorder="1" applyAlignment="1">
      <alignment vertical="center"/>
    </xf>
    <xf numFmtId="178" fontId="36" fillId="13" borderId="70" xfId="45" applyNumberFormat="1" applyFont="1" applyFill="1" applyBorder="1" applyAlignment="1">
      <alignment vertical="center"/>
    </xf>
    <xf numFmtId="178" fontId="21" fillId="13" borderId="67" xfId="14" applyNumberFormat="1" applyFont="1" applyFill="1" applyBorder="1" applyAlignment="1">
      <alignment horizontal="right" vertical="center"/>
    </xf>
    <xf numFmtId="178" fontId="21" fillId="13" borderId="67" xfId="8" applyNumberFormat="1" applyFont="1" applyFill="1" applyBorder="1" applyAlignment="1">
      <alignment horizontal="right" vertical="center"/>
    </xf>
    <xf numFmtId="0" fontId="21" fillId="9" borderId="72" xfId="8" applyFont="1" applyFill="1" applyBorder="1"/>
    <xf numFmtId="0" fontId="52" fillId="9" borderId="67" xfId="8" applyFont="1" applyFill="1" applyBorder="1" applyAlignment="1" applyProtection="1">
      <alignment horizontal="center" vertical="center" wrapText="1"/>
      <protection locked="0"/>
    </xf>
    <xf numFmtId="0" fontId="52" fillId="9" borderId="67" xfId="8" applyFont="1" applyFill="1" applyBorder="1" applyAlignment="1" applyProtection="1">
      <alignment vertical="center" wrapText="1"/>
      <protection locked="0"/>
    </xf>
    <xf numFmtId="0" fontId="51" fillId="21" borderId="67" xfId="8" applyFont="1" applyFill="1" applyBorder="1" applyAlignment="1" applyProtection="1">
      <alignment horizontal="center" vertical="center" wrapText="1"/>
      <protection locked="0"/>
    </xf>
    <xf numFmtId="0" fontId="51" fillId="21" borderId="67" xfId="8" applyFont="1" applyFill="1" applyBorder="1" applyAlignment="1" applyProtection="1">
      <alignment vertical="center" wrapText="1"/>
      <protection locked="0"/>
    </xf>
    <xf numFmtId="178" fontId="21" fillId="21" borderId="67" xfId="45" applyNumberFormat="1" applyFont="1" applyFill="1" applyBorder="1" applyAlignment="1">
      <alignment vertical="center"/>
    </xf>
    <xf numFmtId="0" fontId="21" fillId="9" borderId="73" xfId="8" applyFont="1" applyFill="1" applyBorder="1" applyAlignment="1">
      <alignment horizontal="center"/>
    </xf>
    <xf numFmtId="0" fontId="21" fillId="9" borderId="69" xfId="8" applyFont="1" applyFill="1" applyBorder="1"/>
    <xf numFmtId="49" fontId="36" fillId="9" borderId="70" xfId="44" applyNumberFormat="1" applyFont="1" applyFill="1" applyBorder="1" applyAlignment="1">
      <alignment horizontal="center" vertical="center"/>
    </xf>
    <xf numFmtId="49" fontId="51" fillId="9" borderId="70" xfId="47" applyNumberFormat="1" applyFont="1" applyFill="1" applyBorder="1" applyAlignment="1">
      <alignment vertical="center"/>
    </xf>
    <xf numFmtId="0" fontId="36" fillId="21" borderId="67" xfId="12" applyFont="1" applyFill="1" applyBorder="1" applyAlignment="1">
      <alignment horizontal="center" vertical="center"/>
    </xf>
    <xf numFmtId="0" fontId="36" fillId="21" borderId="67" xfId="12" applyFont="1" applyFill="1" applyBorder="1" applyAlignment="1">
      <alignment vertical="center"/>
    </xf>
    <xf numFmtId="178" fontId="36" fillId="21" borderId="70" xfId="12" applyNumberFormat="1" applyFont="1" applyFill="1" applyBorder="1" applyAlignment="1">
      <alignment vertical="center"/>
    </xf>
    <xf numFmtId="0" fontId="21" fillId="21" borderId="0" xfId="8" applyFont="1" applyFill="1" applyBorder="1"/>
    <xf numFmtId="178" fontId="21" fillId="21" borderId="70" xfId="45" applyNumberFormat="1" applyFont="1" applyFill="1" applyBorder="1" applyAlignment="1">
      <alignment vertical="center"/>
    </xf>
    <xf numFmtId="0" fontId="21" fillId="13" borderId="0" xfId="8" applyFont="1" applyFill="1" applyBorder="1" applyAlignment="1">
      <alignment horizontal="center"/>
    </xf>
    <xf numFmtId="0" fontId="21" fillId="13" borderId="69" xfId="8" applyFont="1" applyFill="1" applyBorder="1" applyAlignment="1">
      <alignment horizontal="center"/>
    </xf>
    <xf numFmtId="0" fontId="21" fillId="13" borderId="73" xfId="8" applyFont="1" applyFill="1" applyBorder="1" applyAlignment="1">
      <alignment horizontal="center"/>
    </xf>
    <xf numFmtId="0" fontId="36" fillId="9" borderId="67" xfId="44" applyFont="1" applyFill="1" applyBorder="1" applyAlignment="1">
      <alignment horizontal="center" vertical="center"/>
    </xf>
    <xf numFmtId="0" fontId="36" fillId="9" borderId="67" xfId="44" applyFont="1" applyFill="1" applyBorder="1" applyAlignment="1">
      <alignment vertical="center"/>
    </xf>
    <xf numFmtId="14" fontId="21" fillId="9" borderId="72" xfId="8" applyNumberFormat="1" applyFont="1" applyFill="1" applyBorder="1" applyAlignment="1">
      <alignment horizontal="center"/>
    </xf>
    <xf numFmtId="0" fontId="51" fillId="9" borderId="8" xfId="8" applyFont="1" applyFill="1" applyBorder="1" applyAlignment="1" applyProtection="1">
      <alignment horizontal="center" vertical="center" wrapText="1"/>
      <protection locked="0"/>
    </xf>
    <xf numFmtId="0" fontId="51" fillId="9" borderId="8" xfId="8" applyFont="1" applyFill="1" applyBorder="1" applyAlignment="1" applyProtection="1">
      <alignment vertical="center" wrapText="1"/>
      <protection locked="0"/>
    </xf>
    <xf numFmtId="178" fontId="21" fillId="9" borderId="8" xfId="8" applyNumberFormat="1" applyFont="1" applyFill="1" applyBorder="1" applyAlignment="1">
      <alignment vertical="center"/>
    </xf>
    <xf numFmtId="14" fontId="21" fillId="9" borderId="67" xfId="8" applyNumberFormat="1" applyFont="1" applyFill="1" applyBorder="1" applyAlignment="1">
      <alignment horizontal="center"/>
    </xf>
    <xf numFmtId="49" fontId="21" fillId="9" borderId="67" xfId="8" applyNumberFormat="1" applyFont="1" applyFill="1" applyBorder="1" applyAlignment="1">
      <alignment horizontal="center" vertical="center"/>
    </xf>
    <xf numFmtId="0" fontId="21" fillId="9" borderId="67" xfId="8" applyFont="1" applyFill="1" applyBorder="1" applyAlignment="1">
      <alignment vertical="center"/>
    </xf>
    <xf numFmtId="14" fontId="21" fillId="13" borderId="73" xfId="8" applyNumberFormat="1" applyFont="1" applyFill="1" applyBorder="1" applyAlignment="1">
      <alignment horizontal="center"/>
    </xf>
    <xf numFmtId="0" fontId="21" fillId="13" borderId="71" xfId="8" applyFont="1" applyFill="1" applyBorder="1" applyAlignment="1">
      <alignment horizontal="center"/>
    </xf>
    <xf numFmtId="14" fontId="21" fillId="13" borderId="71" xfId="8" applyNumberFormat="1" applyFont="1" applyFill="1" applyBorder="1" applyAlignment="1">
      <alignment horizontal="center"/>
    </xf>
    <xf numFmtId="0" fontId="36" fillId="13" borderId="68" xfId="8" applyFont="1" applyFill="1" applyBorder="1" applyAlignment="1">
      <alignment horizontal="center" vertical="center" wrapText="1"/>
    </xf>
    <xf numFmtId="0" fontId="50" fillId="13" borderId="68" xfId="8" applyFont="1" applyFill="1" applyBorder="1" applyAlignment="1">
      <alignment horizontal="left" vertical="center"/>
    </xf>
    <xf numFmtId="0" fontId="51" fillId="9" borderId="70" xfId="8" applyFont="1" applyFill="1" applyBorder="1" applyAlignment="1" applyProtection="1">
      <alignment horizontal="center" vertical="center" wrapText="1"/>
      <protection locked="0"/>
    </xf>
    <xf numFmtId="0" fontId="51" fillId="9" borderId="70" xfId="8" applyFont="1" applyFill="1" applyBorder="1" applyAlignment="1" applyProtection="1">
      <alignment vertical="center" wrapText="1"/>
      <protection locked="0"/>
    </xf>
    <xf numFmtId="0" fontId="51" fillId="9" borderId="68" xfId="8" applyFont="1" applyFill="1" applyBorder="1" applyAlignment="1" applyProtection="1">
      <alignment horizontal="center" vertical="center" wrapText="1"/>
      <protection locked="0"/>
    </xf>
    <xf numFmtId="0" fontId="51" fillId="9" borderId="68" xfId="8" applyFont="1" applyFill="1" applyBorder="1" applyAlignment="1" applyProtection="1">
      <alignment vertical="center" wrapText="1"/>
      <protection locked="0"/>
    </xf>
    <xf numFmtId="0" fontId="36" fillId="0" borderId="0" xfId="44" applyFont="1" applyFill="1" applyAlignment="1">
      <alignment horizontal="center"/>
    </xf>
    <xf numFmtId="0" fontId="21" fillId="13" borderId="8" xfId="8" applyFont="1" applyFill="1" applyBorder="1" applyAlignment="1" applyProtection="1">
      <alignment horizontal="center" vertical="center" wrapText="1"/>
      <protection locked="0"/>
    </xf>
    <xf numFmtId="0" fontId="36" fillId="13" borderId="67" xfId="44" applyFont="1" applyFill="1" applyBorder="1" applyAlignment="1">
      <alignment vertical="center"/>
    </xf>
    <xf numFmtId="0" fontId="53" fillId="9" borderId="67" xfId="8" applyFont="1" applyFill="1" applyBorder="1" applyAlignment="1">
      <alignment horizontal="center" vertical="center"/>
    </xf>
    <xf numFmtId="0" fontId="53" fillId="9" borderId="67" xfId="8" applyFont="1" applyFill="1" applyBorder="1" applyAlignment="1" applyProtection="1">
      <alignment horizontal="center" vertical="center" wrapText="1"/>
      <protection locked="0"/>
    </xf>
    <xf numFmtId="178" fontId="21" fillId="13" borderId="70" xfId="8" applyNumberFormat="1" applyFont="1" applyFill="1" applyBorder="1" applyAlignment="1">
      <alignment horizontal="right" vertical="center"/>
    </xf>
    <xf numFmtId="0" fontId="52" fillId="9" borderId="8" xfId="8" applyFont="1" applyFill="1" applyBorder="1" applyAlignment="1" applyProtection="1">
      <alignment horizontal="center" vertical="center" wrapText="1"/>
      <protection locked="0"/>
    </xf>
    <xf numFmtId="0" fontId="52" fillId="9" borderId="8" xfId="8" applyFont="1" applyFill="1" applyBorder="1" applyAlignment="1" applyProtection="1">
      <alignment vertical="center" wrapText="1"/>
      <protection locked="0"/>
    </xf>
    <xf numFmtId="14" fontId="21" fillId="9" borderId="0" xfId="8" applyNumberFormat="1" applyFont="1" applyFill="1" applyBorder="1" applyAlignment="1">
      <alignment horizontal="center"/>
    </xf>
    <xf numFmtId="0" fontId="36" fillId="9" borderId="67" xfId="8" applyFont="1" applyFill="1" applyBorder="1" applyAlignment="1">
      <alignment horizontal="center" vertical="center" wrapText="1"/>
    </xf>
    <xf numFmtId="0" fontId="50" fillId="9" borderId="67" xfId="8" applyFont="1" applyFill="1" applyBorder="1" applyAlignment="1">
      <alignment horizontal="left" vertical="center"/>
    </xf>
    <xf numFmtId="178" fontId="21" fillId="9" borderId="67" xfId="8" applyNumberFormat="1" applyFont="1" applyFill="1" applyBorder="1" applyAlignment="1">
      <alignment horizontal="center" vertical="center"/>
    </xf>
    <xf numFmtId="14" fontId="21" fillId="13" borderId="72" xfId="8" applyNumberFormat="1" applyFont="1" applyFill="1" applyBorder="1" applyAlignment="1">
      <alignment horizontal="center"/>
    </xf>
    <xf numFmtId="178" fontId="21" fillId="13" borderId="70" xfId="14" applyNumberFormat="1" applyFont="1" applyFill="1" applyBorder="1" applyAlignment="1">
      <alignment horizontal="right" vertical="center"/>
    </xf>
    <xf numFmtId="49" fontId="36" fillId="9" borderId="67" xfId="44" applyNumberFormat="1" applyFont="1" applyFill="1" applyBorder="1" applyAlignment="1">
      <alignment horizontal="center" vertical="center"/>
    </xf>
    <xf numFmtId="49" fontId="51" fillId="9" borderId="67" xfId="47" applyNumberFormat="1" applyFont="1" applyFill="1" applyBorder="1" applyAlignment="1">
      <alignment vertical="center"/>
    </xf>
    <xf numFmtId="178" fontId="21" fillId="13" borderId="68" xfId="45" applyNumberFormat="1" applyFont="1" applyFill="1" applyBorder="1" applyAlignment="1">
      <alignment vertical="center"/>
    </xf>
    <xf numFmtId="0" fontId="21" fillId="21" borderId="67" xfId="8" applyFont="1" applyFill="1" applyBorder="1" applyAlignment="1">
      <alignment horizontal="center"/>
    </xf>
    <xf numFmtId="0" fontId="21" fillId="21" borderId="71" xfId="8" applyFont="1" applyFill="1" applyBorder="1" applyAlignment="1">
      <alignment horizontal="center"/>
    </xf>
    <xf numFmtId="0" fontId="51" fillId="21" borderId="68" xfId="8" applyFont="1" applyFill="1" applyBorder="1" applyAlignment="1" applyProtection="1">
      <alignment horizontal="center" vertical="center" wrapText="1"/>
      <protection locked="0"/>
    </xf>
    <xf numFmtId="0" fontId="51" fillId="21" borderId="68" xfId="8" applyFont="1" applyFill="1" applyBorder="1" applyAlignment="1" applyProtection="1">
      <alignment vertical="center" wrapText="1"/>
      <protection locked="0"/>
    </xf>
    <xf numFmtId="49" fontId="36" fillId="21" borderId="67" xfId="44" applyNumberFormat="1" applyFont="1" applyFill="1" applyBorder="1" applyAlignment="1">
      <alignment horizontal="center" vertical="center"/>
    </xf>
    <xf numFmtId="49" fontId="51" fillId="21" borderId="67" xfId="47" applyNumberFormat="1" applyFont="1" applyFill="1" applyBorder="1" applyAlignment="1">
      <alignment vertical="center"/>
    </xf>
    <xf numFmtId="0" fontId="21" fillId="21" borderId="69" xfId="8" applyFont="1" applyFill="1" applyBorder="1" applyAlignment="1">
      <alignment horizontal="center"/>
    </xf>
    <xf numFmtId="49" fontId="36" fillId="21" borderId="70" xfId="44" applyNumberFormat="1" applyFont="1" applyFill="1" applyBorder="1" applyAlignment="1">
      <alignment horizontal="center" vertical="center"/>
    </xf>
    <xf numFmtId="49" fontId="51" fillId="21" borderId="70" xfId="47" applyNumberFormat="1" applyFont="1" applyFill="1" applyBorder="1" applyAlignment="1">
      <alignment vertical="center"/>
    </xf>
    <xf numFmtId="0" fontId="21" fillId="21" borderId="73" xfId="8" applyFont="1" applyFill="1" applyBorder="1" applyAlignment="1">
      <alignment horizontal="center"/>
    </xf>
    <xf numFmtId="49" fontId="51" fillId="21" borderId="8" xfId="47" applyNumberFormat="1" applyFont="1" applyFill="1" applyBorder="1" applyAlignment="1">
      <alignment horizontal="center" vertical="center"/>
    </xf>
    <xf numFmtId="49" fontId="51" fillId="21" borderId="8" xfId="47" applyNumberFormat="1" applyFont="1" applyFill="1" applyBorder="1" applyAlignment="1">
      <alignment vertical="center"/>
    </xf>
    <xf numFmtId="0" fontId="36" fillId="9" borderId="68" xfId="44" applyFont="1" applyFill="1" applyBorder="1" applyAlignment="1">
      <alignment horizontal="center" vertical="center"/>
    </xf>
    <xf numFmtId="0" fontId="36" fillId="9" borderId="68" xfId="44" applyFont="1" applyFill="1" applyBorder="1" applyAlignment="1">
      <alignment vertical="center"/>
    </xf>
    <xf numFmtId="49" fontId="51" fillId="21" borderId="70" xfId="47" applyNumberFormat="1" applyFont="1" applyFill="1" applyBorder="1" applyAlignment="1">
      <alignment horizontal="center" vertical="center"/>
    </xf>
    <xf numFmtId="0" fontId="51" fillId="13" borderId="67" xfId="8" quotePrefix="1" applyFont="1" applyFill="1" applyBorder="1" applyAlignment="1" applyProtection="1">
      <alignment horizontal="center" vertical="center" wrapText="1"/>
      <protection locked="0"/>
    </xf>
    <xf numFmtId="0" fontId="36" fillId="21" borderId="8" xfId="44" applyFont="1" applyFill="1" applyBorder="1" applyAlignment="1">
      <alignment horizontal="center" vertical="center"/>
    </xf>
    <xf numFmtId="0" fontId="36" fillId="9" borderId="70" xfId="44" applyFont="1" applyFill="1" applyBorder="1" applyAlignment="1">
      <alignment horizontal="center" vertical="center"/>
    </xf>
    <xf numFmtId="0" fontId="36" fillId="9" borderId="70" xfId="44" applyFont="1" applyFill="1" applyBorder="1" applyAlignment="1">
      <alignment vertical="center"/>
    </xf>
    <xf numFmtId="0" fontId="36" fillId="21" borderId="8" xfId="44" applyFont="1" applyFill="1" applyBorder="1" applyAlignment="1">
      <alignment vertical="center"/>
    </xf>
    <xf numFmtId="178" fontId="36" fillId="21" borderId="70" xfId="44" applyNumberFormat="1" applyFont="1" applyFill="1" applyBorder="1" applyAlignment="1">
      <alignment vertical="center"/>
    </xf>
    <xf numFmtId="178" fontId="21" fillId="21" borderId="70" xfId="47" applyNumberFormat="1" applyFont="1" applyFill="1" applyBorder="1" applyAlignment="1">
      <alignment vertical="center"/>
    </xf>
    <xf numFmtId="49" fontId="36" fillId="21" borderId="0" xfId="44" applyNumberFormat="1" applyFont="1" applyFill="1" applyBorder="1" applyAlignment="1">
      <alignment horizontal="center" vertical="center"/>
    </xf>
    <xf numFmtId="0" fontId="36" fillId="21" borderId="0" xfId="44" applyFont="1" applyFill="1" applyBorder="1" applyAlignment="1">
      <alignment vertical="center"/>
    </xf>
    <xf numFmtId="178" fontId="21" fillId="21" borderId="0" xfId="47" applyNumberFormat="1" applyFont="1" applyFill="1" applyBorder="1" applyAlignment="1">
      <alignment vertical="center"/>
    </xf>
    <xf numFmtId="0" fontId="36" fillId="21" borderId="0" xfId="44" applyFont="1" applyFill="1" applyBorder="1" applyAlignment="1">
      <alignment horizontal="center" vertical="center"/>
    </xf>
    <xf numFmtId="178" fontId="36" fillId="21" borderId="8" xfId="44" applyNumberFormat="1" applyFont="1" applyFill="1" applyBorder="1" applyAlignment="1">
      <alignment vertical="center"/>
    </xf>
    <xf numFmtId="178" fontId="21" fillId="21" borderId="0" xfId="8" applyNumberFormat="1" applyFont="1" applyFill="1" applyBorder="1" applyAlignment="1">
      <alignment horizontal="center" vertical="center"/>
    </xf>
    <xf numFmtId="178" fontId="21" fillId="13" borderId="67" xfId="47" applyNumberFormat="1" applyFont="1" applyFill="1" applyBorder="1" applyAlignment="1">
      <alignment vertical="center"/>
    </xf>
    <xf numFmtId="49" fontId="21" fillId="13" borderId="0" xfId="8" applyNumberFormat="1" applyFont="1" applyFill="1" applyBorder="1" applyAlignment="1">
      <alignment horizontal="center" vertical="center"/>
    </xf>
    <xf numFmtId="0" fontId="21" fillId="13" borderId="0" xfId="8" applyFont="1" applyFill="1" applyBorder="1" applyAlignment="1">
      <alignment vertical="center" wrapText="1"/>
    </xf>
    <xf numFmtId="178" fontId="21" fillId="13" borderId="0" xfId="8" applyNumberFormat="1" applyFont="1" applyFill="1" applyBorder="1" applyAlignment="1">
      <alignment horizontal="center" vertical="center"/>
    </xf>
    <xf numFmtId="49" fontId="36" fillId="9" borderId="0" xfId="44" applyNumberFormat="1" applyFont="1" applyFill="1" applyAlignment="1">
      <alignment horizontal="center"/>
    </xf>
    <xf numFmtId="0" fontId="36" fillId="9" borderId="0" xfId="44" applyFont="1" applyFill="1"/>
    <xf numFmtId="0" fontId="36" fillId="13" borderId="67" xfId="44" applyFont="1" applyFill="1" applyBorder="1"/>
    <xf numFmtId="49" fontId="36" fillId="13" borderId="67" xfId="44" applyNumberFormat="1" applyFont="1" applyFill="1" applyBorder="1" applyAlignment="1">
      <alignment horizontal="center"/>
    </xf>
    <xf numFmtId="178" fontId="21" fillId="0" borderId="70" xfId="8" applyNumberFormat="1" applyFont="1" applyFill="1" applyBorder="1" applyAlignment="1">
      <alignment vertical="center"/>
    </xf>
    <xf numFmtId="178" fontId="12" fillId="0" borderId="67" xfId="13" applyNumberFormat="1" applyFont="1" applyFill="1" applyBorder="1"/>
    <xf numFmtId="178" fontId="12" fillId="13" borderId="67" xfId="46" applyNumberFormat="1" applyFont="1" applyFill="1" applyBorder="1"/>
    <xf numFmtId="49" fontId="53" fillId="9" borderId="0" xfId="44" applyNumberFormat="1" applyFont="1" applyFill="1" applyAlignment="1">
      <alignment horizontal="center"/>
    </xf>
    <xf numFmtId="0" fontId="36" fillId="21" borderId="67" xfId="44" applyFont="1" applyFill="1" applyBorder="1"/>
    <xf numFmtId="49" fontId="36" fillId="21" borderId="67" xfId="44" applyNumberFormat="1" applyFont="1" applyFill="1" applyBorder="1" applyAlignment="1">
      <alignment horizontal="center"/>
    </xf>
    <xf numFmtId="178" fontId="12" fillId="21" borderId="67" xfId="46" applyNumberFormat="1" applyFont="1" applyFill="1" applyBorder="1"/>
    <xf numFmtId="49" fontId="36" fillId="9" borderId="67" xfId="44" applyNumberFormat="1" applyFont="1" applyFill="1" applyBorder="1" applyAlignment="1">
      <alignment horizontal="center"/>
    </xf>
    <xf numFmtId="0" fontId="36" fillId="9" borderId="67" xfId="44" applyFont="1" applyFill="1" applyBorder="1"/>
    <xf numFmtId="49" fontId="36" fillId="9" borderId="8" xfId="44" applyNumberFormat="1" applyFont="1" applyFill="1" applyBorder="1" applyAlignment="1">
      <alignment horizontal="center"/>
    </xf>
    <xf numFmtId="0" fontId="36" fillId="9" borderId="8" xfId="44" applyFont="1" applyFill="1" applyBorder="1"/>
    <xf numFmtId="49" fontId="36" fillId="9" borderId="70" xfId="44" applyNumberFormat="1" applyFont="1" applyFill="1" applyBorder="1" applyAlignment="1">
      <alignment horizontal="center"/>
    </xf>
    <xf numFmtId="0" fontId="36" fillId="9" borderId="70" xfId="44" applyFont="1" applyFill="1" applyBorder="1"/>
    <xf numFmtId="178" fontId="12" fillId="21" borderId="67" xfId="13" applyNumberFormat="1" applyFont="1" applyFill="1" applyBorder="1"/>
    <xf numFmtId="49" fontId="52" fillId="9" borderId="0" xfId="44" applyNumberFormat="1" applyFont="1" applyFill="1" applyAlignment="1">
      <alignment horizontal="center"/>
    </xf>
    <xf numFmtId="0" fontId="52" fillId="9" borderId="0" xfId="44" applyFont="1" applyFill="1"/>
    <xf numFmtId="49" fontId="52" fillId="21" borderId="67" xfId="44" applyNumberFormat="1" applyFont="1" applyFill="1" applyBorder="1" applyAlignment="1">
      <alignment horizontal="center"/>
    </xf>
    <xf numFmtId="0" fontId="52" fillId="21" borderId="67" xfId="44" applyFont="1" applyFill="1" applyBorder="1"/>
    <xf numFmtId="178" fontId="43" fillId="21" borderId="67" xfId="46" applyNumberFormat="1" applyFont="1" applyFill="1" applyBorder="1"/>
    <xf numFmtId="178" fontId="52" fillId="9" borderId="70" xfId="8" applyNumberFormat="1" applyFont="1" applyFill="1" applyBorder="1" applyAlignment="1">
      <alignment vertical="center"/>
    </xf>
    <xf numFmtId="49" fontId="36" fillId="23" borderId="67" xfId="44" applyNumberFormat="1" applyFont="1" applyFill="1" applyBorder="1"/>
    <xf numFmtId="178" fontId="21" fillId="23" borderId="70" xfId="8" applyNumberFormat="1" applyFont="1" applyFill="1" applyBorder="1" applyAlignment="1">
      <alignment vertical="center"/>
    </xf>
    <xf numFmtId="49" fontId="36" fillId="9" borderId="67" xfId="44" applyNumberFormat="1" applyFont="1" applyFill="1" applyBorder="1"/>
    <xf numFmtId="0" fontId="47" fillId="0" borderId="0" xfId="44" applyFont="1"/>
    <xf numFmtId="0" fontId="36" fillId="9" borderId="0" xfId="44" applyFont="1" applyFill="1" applyBorder="1"/>
    <xf numFmtId="49" fontId="36" fillId="9" borderId="0" xfId="44" applyNumberFormat="1" applyFont="1" applyFill="1" applyBorder="1" applyAlignment="1">
      <alignment horizontal="center"/>
    </xf>
    <xf numFmtId="178" fontId="21" fillId="9" borderId="0" xfId="8" applyNumberFormat="1" applyFont="1" applyFill="1" applyBorder="1" applyAlignment="1">
      <alignment vertical="center"/>
    </xf>
    <xf numFmtId="0" fontId="21" fillId="21" borderId="0" xfId="8" applyFont="1" applyFill="1" applyBorder="1" applyAlignment="1">
      <alignment horizontal="center"/>
    </xf>
    <xf numFmtId="0" fontId="36" fillId="21" borderId="67" xfId="44" applyFont="1" applyFill="1" applyBorder="1" applyAlignment="1">
      <alignment horizontal="left"/>
    </xf>
    <xf numFmtId="178" fontId="52" fillId="9" borderId="67" xfId="8" applyNumberFormat="1" applyFont="1" applyFill="1" applyBorder="1" applyAlignment="1">
      <alignment vertical="center"/>
    </xf>
    <xf numFmtId="178" fontId="52" fillId="9" borderId="7" xfId="8" applyNumberFormat="1" applyFont="1" applyFill="1" applyBorder="1" applyAlignment="1">
      <alignment vertical="center"/>
    </xf>
    <xf numFmtId="178" fontId="21" fillId="9" borderId="74" xfId="8" applyNumberFormat="1" applyFont="1" applyFill="1" applyBorder="1" applyAlignment="1">
      <alignment vertical="center"/>
    </xf>
    <xf numFmtId="178" fontId="21" fillId="9" borderId="75" xfId="8" applyNumberFormat="1" applyFont="1" applyFill="1" applyBorder="1" applyAlignment="1">
      <alignment vertical="center"/>
    </xf>
    <xf numFmtId="0" fontId="54" fillId="0" borderId="0" xfId="0" applyFont="1"/>
    <xf numFmtId="165" fontId="15" fillId="17" borderId="62" xfId="4" applyNumberFormat="1" applyFont="1" applyFill="1" applyBorder="1">
      <alignment horizontal="right" vertical="center"/>
    </xf>
    <xf numFmtId="0" fontId="4" fillId="0" borderId="0" xfId="44" quotePrefix="1" applyFill="1" applyAlignment="1">
      <alignment horizontal="left" vertical="center"/>
    </xf>
    <xf numFmtId="0" fontId="16" fillId="0" borderId="0" xfId="8" quotePrefix="1" applyFill="1" applyAlignment="1">
      <alignment horizontal="left" vertical="center"/>
    </xf>
    <xf numFmtId="165" fontId="36" fillId="0" borderId="0" xfId="44" quotePrefix="1" applyNumberFormat="1" applyFont="1"/>
    <xf numFmtId="0" fontId="4" fillId="9" borderId="0" xfId="44" applyFill="1" applyAlignment="1">
      <alignment horizontal="center"/>
    </xf>
    <xf numFmtId="0" fontId="4" fillId="9" borderId="0" xfId="44" applyFill="1"/>
    <xf numFmtId="165" fontId="21" fillId="23" borderId="0" xfId="13" applyNumberFormat="1" applyFont="1" applyFill="1" applyBorder="1" applyAlignment="1">
      <alignment horizontal="center" vertical="center"/>
    </xf>
    <xf numFmtId="165" fontId="21" fillId="23" borderId="0" xfId="13" applyNumberFormat="1" applyFont="1" applyFill="1" applyBorder="1" applyAlignment="1">
      <alignment horizontal="left" vertical="center"/>
    </xf>
    <xf numFmtId="0" fontId="16" fillId="0" borderId="55" xfId="5" quotePrefix="1" applyBorder="1" applyAlignment="1" applyProtection="1">
      <alignment horizontal="right" vertical="top"/>
      <protection locked="0"/>
    </xf>
    <xf numFmtId="0" fontId="15" fillId="3" borderId="0" xfId="3" quotePrefix="1" applyNumberFormat="1" applyFont="1" applyBorder="1" applyAlignment="1"/>
    <xf numFmtId="10" fontId="12" fillId="0" borderId="0" xfId="1" applyNumberFormat="1" applyFont="1" applyFill="1"/>
    <xf numFmtId="178" fontId="52" fillId="21" borderId="67" xfId="45" applyNumberFormat="1" applyFont="1" applyFill="1" applyBorder="1" applyAlignment="1">
      <alignment vertical="center"/>
    </xf>
    <xf numFmtId="178" fontId="52" fillId="23" borderId="8" xfId="13" applyNumberFormat="1" applyFont="1" applyFill="1" applyBorder="1" applyAlignment="1">
      <alignment vertical="center"/>
    </xf>
    <xf numFmtId="178" fontId="52" fillId="21" borderId="70" xfId="8" applyNumberFormat="1" applyFont="1" applyFill="1" applyBorder="1" applyAlignment="1">
      <alignment vertical="center"/>
    </xf>
    <xf numFmtId="0" fontId="44" fillId="0" borderId="0" xfId="0" applyFont="1"/>
    <xf numFmtId="0" fontId="56" fillId="0" borderId="0" xfId="0" applyFont="1" applyAlignment="1">
      <alignment horizontal="right"/>
    </xf>
    <xf numFmtId="0" fontId="57" fillId="0" borderId="0" xfId="0" applyFont="1" applyAlignment="1" applyProtection="1">
      <alignment vertical="top" readingOrder="1"/>
      <protection locked="0"/>
    </xf>
    <xf numFmtId="0" fontId="58" fillId="0" borderId="0" xfId="0" applyFont="1"/>
    <xf numFmtId="0" fontId="44" fillId="0" borderId="0" xfId="0" applyFont="1" applyAlignment="1">
      <alignment vertical="center"/>
    </xf>
    <xf numFmtId="0" fontId="2" fillId="0" borderId="0" xfId="0" applyFont="1"/>
    <xf numFmtId="0" fontId="2" fillId="0" borderId="0" xfId="0" applyFont="1" applyAlignment="1">
      <alignment vertical="center"/>
    </xf>
    <xf numFmtId="9" fontId="2" fillId="0" borderId="0" xfId="1" applyFont="1"/>
    <xf numFmtId="0" fontId="44" fillId="0" borderId="0" xfId="0" applyFont="1" applyFill="1"/>
    <xf numFmtId="0" fontId="51" fillId="0" borderId="52" xfId="0" applyFont="1" applyFill="1" applyBorder="1" applyAlignment="1" applyProtection="1">
      <alignment vertical="top" wrapText="1" readingOrder="1"/>
      <protection locked="0"/>
    </xf>
    <xf numFmtId="0" fontId="51" fillId="0" borderId="54" xfId="0" applyFont="1" applyFill="1" applyBorder="1" applyAlignment="1" applyProtection="1">
      <alignment vertical="top" readingOrder="1"/>
      <protection locked="0"/>
    </xf>
    <xf numFmtId="0" fontId="51" fillId="0" borderId="54" xfId="0" applyFont="1" applyFill="1" applyBorder="1" applyAlignment="1" applyProtection="1">
      <alignment vertical="top" wrapText="1" readingOrder="1"/>
      <protection locked="0"/>
    </xf>
    <xf numFmtId="0" fontId="51" fillId="0" borderId="54" xfId="0" applyFont="1" applyFill="1" applyBorder="1" applyAlignment="1" applyProtection="1">
      <alignment horizontal="center" vertical="center" wrapText="1" readingOrder="1"/>
      <protection locked="0"/>
    </xf>
    <xf numFmtId="0" fontId="51" fillId="0" borderId="54" xfId="0" applyFont="1" applyFill="1" applyBorder="1" applyAlignment="1" applyProtection="1">
      <alignment horizontal="center" vertical="center" wrapText="1"/>
      <protection locked="0"/>
    </xf>
    <xf numFmtId="0" fontId="44" fillId="0" borderId="53" xfId="0" applyFont="1" applyFill="1" applyBorder="1" applyAlignment="1" applyProtection="1">
      <alignment vertical="top" wrapText="1"/>
      <protection locked="0"/>
    </xf>
    <xf numFmtId="0" fontId="44" fillId="0" borderId="55" xfId="0" applyFont="1" applyFill="1" applyBorder="1" applyAlignment="1" applyProtection="1">
      <alignment vertical="top" wrapText="1"/>
      <protection locked="0"/>
    </xf>
    <xf numFmtId="0" fontId="51" fillId="0" borderId="52" xfId="0" applyFont="1" applyFill="1" applyBorder="1" applyAlignment="1" applyProtection="1">
      <alignment vertical="center" wrapText="1"/>
      <protection locked="0"/>
    </xf>
    <xf numFmtId="0" fontId="51" fillId="0" borderId="54" xfId="0" applyFont="1" applyFill="1" applyBorder="1" applyAlignment="1" applyProtection="1">
      <alignment vertical="center"/>
      <protection locked="0"/>
    </xf>
    <xf numFmtId="0" fontId="51" fillId="0" borderId="54" xfId="0" applyFont="1" applyFill="1" applyBorder="1" applyAlignment="1" applyProtection="1">
      <alignment vertical="center" wrapText="1"/>
      <protection locked="0"/>
    </xf>
    <xf numFmtId="0" fontId="60" fillId="9" borderId="23" xfId="0" applyFont="1" applyFill="1" applyBorder="1" applyAlignment="1">
      <alignment horizontal="center" vertical="center" wrapText="1"/>
    </xf>
    <xf numFmtId="0" fontId="12" fillId="21" borderId="33" xfId="0" applyFont="1" applyFill="1" applyBorder="1"/>
    <xf numFmtId="0" fontId="12" fillId="21" borderId="51" xfId="0" applyFont="1" applyFill="1" applyBorder="1" applyAlignment="1">
      <alignment horizontal="center"/>
    </xf>
    <xf numFmtId="0" fontId="12" fillId="21" borderId="35" xfId="0" applyFont="1" applyFill="1" applyBorder="1" applyAlignment="1">
      <alignment horizontal="center"/>
    </xf>
    <xf numFmtId="0" fontId="12" fillId="21" borderId="78" xfId="0" applyFont="1" applyFill="1" applyBorder="1"/>
    <xf numFmtId="0" fontId="12" fillId="21" borderId="21" xfId="0" applyFont="1" applyFill="1" applyBorder="1" applyAlignment="1">
      <alignment horizontal="center"/>
    </xf>
    <xf numFmtId="0" fontId="12" fillId="21" borderId="22" xfId="0" applyFont="1" applyFill="1" applyBorder="1" applyAlignment="1">
      <alignment horizontal="center"/>
    </xf>
    <xf numFmtId="165" fontId="12" fillId="0" borderId="0" xfId="0" applyNumberFormat="1" applyFont="1" applyAlignment="1">
      <alignment horizontal="center" vertical="center"/>
    </xf>
    <xf numFmtId="165" fontId="12" fillId="8" borderId="0" xfId="0" applyNumberFormat="1" applyFont="1" applyFill="1" applyAlignment="1">
      <alignment horizontal="center" vertical="center"/>
    </xf>
    <xf numFmtId="0" fontId="12" fillId="21" borderId="79" xfId="0" applyFont="1" applyFill="1" applyBorder="1" applyAlignment="1">
      <alignment horizontal="center"/>
    </xf>
    <xf numFmtId="0" fontId="12" fillId="21" borderId="80" xfId="0" applyFont="1" applyFill="1" applyBorder="1" applyAlignment="1">
      <alignment horizontal="center"/>
    </xf>
    <xf numFmtId="0" fontId="12" fillId="21" borderId="81" xfId="0" applyFont="1" applyFill="1" applyBorder="1"/>
    <xf numFmtId="0" fontId="12" fillId="0" borderId="0" xfId="0" pivotButton="1" applyFont="1"/>
    <xf numFmtId="0" fontId="12" fillId="0" borderId="0" xfId="0" pivotButton="1" applyFont="1" applyAlignment="1">
      <alignment wrapText="1"/>
    </xf>
    <xf numFmtId="165" fontId="32" fillId="15" borderId="0" xfId="0" applyNumberFormat="1" applyFont="1" applyFill="1"/>
    <xf numFmtId="0" fontId="32" fillId="15" borderId="0" xfId="0" applyFont="1" applyFill="1"/>
    <xf numFmtId="0" fontId="12" fillId="0" borderId="0" xfId="0" applyFont="1" applyFill="1"/>
    <xf numFmtId="165" fontId="18" fillId="0" borderId="54" xfId="5" applyNumberFormat="1" applyFont="1" applyBorder="1" applyAlignment="1" applyProtection="1">
      <alignment vertical="center" wrapText="1" readingOrder="1"/>
      <protection locked="0"/>
    </xf>
    <xf numFmtId="165" fontId="16" fillId="0" borderId="0" xfId="5" applyNumberFormat="1" applyAlignment="1">
      <alignment horizontal="right" vertical="center" readingOrder="1"/>
    </xf>
    <xf numFmtId="10" fontId="16" fillId="0" borderId="0" xfId="13" applyNumberFormat="1" applyFont="1" applyAlignment="1">
      <alignment vertical="center" wrapText="1" readingOrder="1"/>
    </xf>
    <xf numFmtId="10" fontId="16" fillId="0" borderId="0" xfId="8" applyNumberFormat="1" applyFont="1" applyAlignment="1">
      <alignment vertical="center" readingOrder="1"/>
    </xf>
    <xf numFmtId="0" fontId="16" fillId="0" borderId="0" xfId="5" applyAlignment="1">
      <alignment vertical="center" readingOrder="1"/>
    </xf>
    <xf numFmtId="165" fontId="18" fillId="0" borderId="66" xfId="5" applyNumberFormat="1" applyFont="1" applyBorder="1" applyAlignment="1" applyProtection="1">
      <alignment vertical="center" wrapText="1" readingOrder="1"/>
      <protection locked="0"/>
    </xf>
    <xf numFmtId="165" fontId="16" fillId="0" borderId="6" xfId="5" applyNumberFormat="1" applyBorder="1" applyAlignment="1">
      <alignment vertical="center" readingOrder="1"/>
    </xf>
    <xf numFmtId="9" fontId="16" fillId="0" borderId="46" xfId="5" applyNumberFormat="1" applyFill="1" applyBorder="1" applyAlignment="1" applyProtection="1">
      <alignment horizontal="left" vertical="center" wrapText="1"/>
      <protection locked="0"/>
    </xf>
    <xf numFmtId="0" fontId="16" fillId="0" borderId="0" xfId="5" applyFill="1" applyAlignment="1">
      <alignment horizontal="left" vertical="center"/>
    </xf>
    <xf numFmtId="0" fontId="17" fillId="7" borderId="54" xfId="5" applyFont="1" applyFill="1" applyBorder="1" applyAlignment="1" applyProtection="1">
      <alignment horizontal="center" vertical="center" wrapText="1" readingOrder="1"/>
      <protection locked="0"/>
    </xf>
    <xf numFmtId="0" fontId="21" fillId="0" borderId="0" xfId="5" applyFont="1" applyAlignment="1">
      <alignment horizontal="center" vertical="center" wrapText="1"/>
    </xf>
    <xf numFmtId="0" fontId="16" fillId="0" borderId="0" xfId="5" applyAlignment="1">
      <alignment horizontal="center" vertical="center"/>
    </xf>
    <xf numFmtId="0" fontId="51" fillId="0" borderId="45" xfId="5" applyFont="1" applyBorder="1" applyAlignment="1" applyProtection="1">
      <alignment vertical="top" wrapText="1" readingOrder="1"/>
      <protection locked="0"/>
    </xf>
    <xf numFmtId="0" fontId="21" fillId="0" borderId="46" xfId="5" applyFont="1" applyBorder="1" applyAlignment="1" applyProtection="1">
      <alignment vertical="top" wrapText="1" readingOrder="1"/>
      <protection locked="0"/>
    </xf>
    <xf numFmtId="0" fontId="16" fillId="0" borderId="54" xfId="5" applyFont="1" applyFill="1" applyBorder="1" applyAlignment="1" applyProtection="1">
      <alignment vertical="center" wrapText="1" readingOrder="1"/>
      <protection locked="0"/>
    </xf>
    <xf numFmtId="0" fontId="16" fillId="0" borderId="55" xfId="5" applyFont="1" applyFill="1" applyBorder="1" applyAlignment="1" applyProtection="1">
      <alignment vertical="center" wrapText="1" readingOrder="1"/>
      <protection locked="0"/>
    </xf>
    <xf numFmtId="176" fontId="16" fillId="0" borderId="54" xfId="5" applyNumberFormat="1" applyFont="1" applyFill="1" applyBorder="1" applyAlignment="1" applyProtection="1">
      <alignment horizontal="center" vertical="center" wrapText="1" readingOrder="1"/>
      <protection locked="0"/>
    </xf>
    <xf numFmtId="0" fontId="16" fillId="0" borderId="54" xfId="5" applyFont="1" applyFill="1" applyBorder="1" applyAlignment="1" applyProtection="1">
      <alignment horizontal="center" vertical="center" wrapText="1" readingOrder="1"/>
      <protection locked="0"/>
    </xf>
    <xf numFmtId="165" fontId="16" fillId="0" borderId="54" xfId="5" applyNumberFormat="1" applyFont="1" applyFill="1" applyBorder="1" applyAlignment="1" applyProtection="1">
      <alignment vertical="center" wrapText="1" readingOrder="1"/>
      <protection locked="0"/>
    </xf>
    <xf numFmtId="0" fontId="16" fillId="0" borderId="65" xfId="5" applyFont="1" applyFill="1" applyBorder="1" applyAlignment="1" applyProtection="1">
      <alignment vertical="center" wrapText="1" readingOrder="1"/>
      <protection locked="0"/>
    </xf>
    <xf numFmtId="0" fontId="16" fillId="0" borderId="66" xfId="5" applyFont="1" applyFill="1" applyBorder="1" applyAlignment="1" applyProtection="1">
      <alignment vertical="center" wrapText="1" readingOrder="1"/>
      <protection locked="0"/>
    </xf>
    <xf numFmtId="0" fontId="16" fillId="0" borderId="82" xfId="5" applyFont="1" applyFill="1" applyBorder="1" applyAlignment="1" applyProtection="1">
      <alignment vertical="center" wrapText="1" readingOrder="1"/>
      <protection locked="0"/>
    </xf>
    <xf numFmtId="176" fontId="16" fillId="0" borderId="66" xfId="5" applyNumberFormat="1" applyFont="1" applyFill="1" applyBorder="1" applyAlignment="1" applyProtection="1">
      <alignment horizontal="center" vertical="center" wrapText="1" readingOrder="1"/>
      <protection locked="0"/>
    </xf>
    <xf numFmtId="0" fontId="16" fillId="0" borderId="66" xfId="5" applyFont="1" applyFill="1" applyBorder="1" applyAlignment="1" applyProtection="1">
      <alignment horizontal="center" vertical="center" wrapText="1" readingOrder="1"/>
      <protection locked="0"/>
    </xf>
    <xf numFmtId="177" fontId="16" fillId="0" borderId="66" xfId="5" applyNumberFormat="1" applyFont="1" applyFill="1" applyBorder="1" applyAlignment="1" applyProtection="1">
      <alignment vertical="center" wrapText="1" readingOrder="1"/>
      <protection locked="0"/>
    </xf>
    <xf numFmtId="165" fontId="16" fillId="0" borderId="66" xfId="5" applyNumberFormat="1" applyFont="1" applyFill="1" applyBorder="1" applyAlignment="1" applyProtection="1">
      <alignment vertical="center" wrapText="1" readingOrder="1"/>
      <protection locked="0"/>
    </xf>
    <xf numFmtId="0" fontId="16" fillId="0" borderId="6" xfId="5" applyFont="1" applyFill="1" applyBorder="1" applyAlignment="1">
      <alignment vertical="center" readingOrder="1"/>
    </xf>
    <xf numFmtId="0" fontId="16" fillId="0" borderId="6" xfId="5" applyFont="1" applyFill="1" applyBorder="1" applyAlignment="1" applyProtection="1">
      <alignment vertical="center" wrapText="1" readingOrder="1"/>
      <protection locked="0"/>
    </xf>
    <xf numFmtId="176" fontId="16" fillId="0" borderId="6" xfId="5" applyNumberFormat="1" applyFont="1" applyFill="1" applyBorder="1" applyAlignment="1">
      <alignment horizontal="center" vertical="center" readingOrder="1"/>
    </xf>
    <xf numFmtId="0" fontId="16" fillId="0" borderId="6" xfId="5" applyFont="1" applyFill="1" applyBorder="1" applyAlignment="1">
      <alignment horizontal="center" vertical="center" readingOrder="1"/>
    </xf>
    <xf numFmtId="165" fontId="16" fillId="0" borderId="6" xfId="5" applyNumberFormat="1" applyFont="1" applyFill="1" applyBorder="1" applyAlignment="1">
      <alignment vertical="center" readingOrder="1"/>
    </xf>
    <xf numFmtId="0" fontId="37" fillId="8" borderId="54" xfId="5" applyFont="1" applyFill="1" applyBorder="1" applyAlignment="1" applyProtection="1">
      <alignment horizontal="center" vertical="center" wrapText="1" readingOrder="1"/>
      <protection locked="0"/>
    </xf>
    <xf numFmtId="0" fontId="37" fillId="8" borderId="55" xfId="5" applyFont="1" applyFill="1" applyBorder="1" applyAlignment="1" applyProtection="1">
      <alignment horizontal="center" vertical="center" wrapText="1"/>
      <protection locked="0"/>
    </xf>
    <xf numFmtId="0" fontId="16" fillId="8" borderId="0" xfId="8" applyFont="1" applyFill="1" applyAlignment="1">
      <alignment horizontal="center" vertical="center" wrapText="1"/>
    </xf>
    <xf numFmtId="0" fontId="37" fillId="8" borderId="0" xfId="5" applyFont="1" applyFill="1" applyAlignment="1">
      <alignment horizontal="center" vertical="center" wrapText="1"/>
    </xf>
    <xf numFmtId="0" fontId="21" fillId="21" borderId="72" xfId="8" applyFont="1" applyFill="1" applyBorder="1" applyAlignment="1">
      <alignment horizontal="center"/>
    </xf>
    <xf numFmtId="0" fontId="21" fillId="21" borderId="72" xfId="8" applyFont="1" applyFill="1" applyBorder="1" applyAlignment="1">
      <alignment horizontal="left"/>
    </xf>
    <xf numFmtId="0" fontId="21" fillId="21" borderId="70" xfId="8" applyFont="1" applyFill="1" applyBorder="1" applyAlignment="1">
      <alignment horizontal="center" vertical="center"/>
    </xf>
    <xf numFmtId="0" fontId="21" fillId="21" borderId="70" xfId="8" applyFont="1" applyFill="1" applyBorder="1" applyAlignment="1">
      <alignment vertical="center"/>
    </xf>
    <xf numFmtId="178" fontId="21" fillId="21" borderId="70" xfId="14" applyNumberFormat="1" applyFont="1" applyFill="1" applyBorder="1" applyAlignment="1">
      <alignment horizontal="center" vertical="center"/>
    </xf>
    <xf numFmtId="178" fontId="36" fillId="21" borderId="67" xfId="12" applyNumberFormat="1" applyFont="1" applyFill="1" applyBorder="1" applyAlignment="1">
      <alignment vertical="center"/>
    </xf>
    <xf numFmtId="0" fontId="51" fillId="21" borderId="70" xfId="8" applyFont="1" applyFill="1" applyBorder="1" applyAlignment="1" applyProtection="1">
      <alignment horizontal="center" vertical="center" wrapText="1"/>
      <protection locked="0"/>
    </xf>
    <xf numFmtId="0" fontId="51" fillId="21" borderId="70" xfId="8" applyFont="1" applyFill="1" applyBorder="1" applyAlignment="1" applyProtection="1">
      <alignment vertical="center" wrapText="1"/>
      <protection locked="0"/>
    </xf>
    <xf numFmtId="0" fontId="36" fillId="21" borderId="67" xfId="44" applyFont="1" applyFill="1" applyBorder="1" applyAlignment="1">
      <alignment horizontal="center" vertical="center"/>
    </xf>
    <xf numFmtId="0" fontId="36" fillId="21" borderId="67" xfId="44" applyFont="1" applyFill="1" applyBorder="1" applyAlignment="1">
      <alignment vertical="center"/>
    </xf>
    <xf numFmtId="0" fontId="36" fillId="21" borderId="8" xfId="12" applyFont="1" applyFill="1" applyBorder="1" applyAlignment="1">
      <alignment horizontal="center" vertical="center"/>
    </xf>
    <xf numFmtId="0" fontId="36" fillId="21" borderId="8" xfId="12" applyFont="1" applyFill="1" applyBorder="1" applyAlignment="1">
      <alignment vertical="center"/>
    </xf>
    <xf numFmtId="165" fontId="4" fillId="0" borderId="0" xfId="44" applyNumberFormat="1" applyAlignment="1">
      <alignment horizontal="right" vertical="center" wrapText="1"/>
    </xf>
    <xf numFmtId="0" fontId="32" fillId="19" borderId="0" xfId="0" applyFont="1" applyFill="1" applyBorder="1" applyAlignment="1">
      <alignment horizontal="left" vertical="center"/>
    </xf>
    <xf numFmtId="0" fontId="12" fillId="9" borderId="83" xfId="0" applyFont="1" applyFill="1" applyBorder="1"/>
    <xf numFmtId="0" fontId="12" fillId="9" borderId="84" xfId="0" applyFont="1" applyFill="1" applyBorder="1"/>
    <xf numFmtId="0" fontId="61" fillId="9" borderId="12" xfId="0" applyFont="1" applyFill="1" applyBorder="1" applyAlignment="1">
      <alignment horizontal="center"/>
    </xf>
    <xf numFmtId="0" fontId="32" fillId="19" borderId="0" xfId="0" applyFont="1" applyFill="1" applyBorder="1" applyAlignment="1">
      <alignment horizontal="right"/>
    </xf>
    <xf numFmtId="0" fontId="32" fillId="19" borderId="0" xfId="0" applyFont="1" applyFill="1" applyBorder="1" applyAlignment="1">
      <alignment horizontal="right" vertical="center"/>
    </xf>
    <xf numFmtId="0" fontId="32" fillId="19" borderId="0" xfId="0" applyFont="1" applyFill="1" applyAlignment="1">
      <alignment horizontal="right"/>
    </xf>
    <xf numFmtId="0" fontId="59" fillId="8" borderId="54" xfId="0" applyFont="1" applyFill="1" applyBorder="1" applyAlignment="1" applyProtection="1">
      <alignment horizontal="center" vertical="center" wrapText="1"/>
      <protection locked="0"/>
    </xf>
    <xf numFmtId="165" fontId="51" fillId="0" borderId="85" xfId="0" applyNumberFormat="1" applyFont="1" applyFill="1" applyBorder="1" applyAlignment="1" applyProtection="1">
      <alignment vertical="center" wrapText="1"/>
      <protection locked="0"/>
    </xf>
    <xf numFmtId="165" fontId="51" fillId="0" borderId="85" xfId="0" applyNumberFormat="1" applyFont="1" applyFill="1" applyBorder="1" applyAlignment="1" applyProtection="1">
      <alignment vertical="top" wrapText="1" readingOrder="1"/>
      <protection locked="0"/>
    </xf>
    <xf numFmtId="165" fontId="36" fillId="0" borderId="6" xfId="0" applyNumberFormat="1" applyFont="1" applyBorder="1" applyAlignment="1">
      <alignment vertical="center"/>
    </xf>
    <xf numFmtId="9" fontId="36" fillId="0" borderId="6" xfId="13" applyFont="1" applyBorder="1" applyAlignment="1">
      <alignment horizontal="center" vertical="center"/>
    </xf>
    <xf numFmtId="165" fontId="36" fillId="0" borderId="6" xfId="0" applyNumberFormat="1" applyFont="1" applyBorder="1"/>
    <xf numFmtId="9" fontId="36" fillId="0" borderId="6" xfId="13" applyFont="1" applyBorder="1" applyAlignment="1">
      <alignment horizontal="center"/>
    </xf>
    <xf numFmtId="0" fontId="63" fillId="8" borderId="6" xfId="0" applyFont="1" applyFill="1" applyBorder="1" applyAlignment="1">
      <alignment horizontal="center" vertical="center" wrapText="1"/>
    </xf>
    <xf numFmtId="0" fontId="59" fillId="8" borderId="54" xfId="0" applyFont="1" applyFill="1" applyBorder="1" applyAlignment="1" applyProtection="1">
      <alignment horizontal="center" vertical="center" wrapText="1" readingOrder="1"/>
      <protection locked="0"/>
    </xf>
    <xf numFmtId="0" fontId="59" fillId="8" borderId="54" xfId="0" applyFont="1" applyFill="1" applyBorder="1" applyAlignment="1" applyProtection="1">
      <alignment horizontal="center" vertical="center" readingOrder="1"/>
      <protection locked="0"/>
    </xf>
    <xf numFmtId="0" fontId="59" fillId="8" borderId="85" xfId="0" applyFont="1" applyFill="1" applyBorder="1" applyAlignment="1" applyProtection="1">
      <alignment horizontal="center" vertical="center" wrapText="1" readingOrder="1"/>
      <protection locked="0"/>
    </xf>
    <xf numFmtId="0" fontId="63" fillId="21" borderId="39" xfId="0" applyFont="1" applyFill="1" applyBorder="1" applyAlignment="1">
      <alignment horizontal="left" vertical="center"/>
    </xf>
    <xf numFmtId="0" fontId="63" fillId="21" borderId="40" xfId="0" applyFont="1" applyFill="1" applyBorder="1" applyAlignment="1">
      <alignment horizontal="center" vertical="center"/>
    </xf>
    <xf numFmtId="0" fontId="63" fillId="21" borderId="40" xfId="0" applyFont="1" applyFill="1" applyBorder="1" applyAlignment="1">
      <alignment horizontal="center" vertical="center" wrapText="1"/>
    </xf>
    <xf numFmtId="0" fontId="63" fillId="20" borderId="76" xfId="0" applyFont="1" applyFill="1" applyBorder="1" applyAlignment="1">
      <alignment horizontal="center" vertical="center" wrapText="1"/>
    </xf>
    <xf numFmtId="0" fontId="36" fillId="0" borderId="32" xfId="0" applyFont="1" applyBorder="1" applyAlignment="1">
      <alignment horizontal="left" vertical="center"/>
    </xf>
    <xf numFmtId="165" fontId="36" fillId="0" borderId="0" xfId="0" applyNumberFormat="1" applyFont="1" applyBorder="1" applyAlignment="1">
      <alignment vertical="center"/>
    </xf>
    <xf numFmtId="9" fontId="36" fillId="0" borderId="36" xfId="13" applyFont="1" applyBorder="1" applyAlignment="1">
      <alignment horizontal="center" vertical="center"/>
    </xf>
    <xf numFmtId="0" fontId="36" fillId="0" borderId="32" xfId="0" applyFont="1" applyBorder="1" applyAlignment="1">
      <alignment horizontal="left"/>
    </xf>
    <xf numFmtId="165" fontId="36" fillId="0" borderId="0" xfId="0" applyNumberFormat="1" applyFont="1" applyBorder="1"/>
    <xf numFmtId="9" fontId="36" fillId="0" borderId="36" xfId="13" applyFont="1" applyBorder="1" applyAlignment="1">
      <alignment horizontal="center"/>
    </xf>
    <xf numFmtId="0" fontId="63" fillId="21" borderId="32" xfId="0" applyFont="1" applyFill="1" applyBorder="1" applyAlignment="1">
      <alignment horizontal="left"/>
    </xf>
    <xf numFmtId="165" fontId="63" fillId="21" borderId="0" xfId="0" applyNumberFormat="1" applyFont="1" applyFill="1" applyBorder="1"/>
    <xf numFmtId="9" fontId="63" fillId="21" borderId="36" xfId="13" applyFont="1" applyFill="1" applyBorder="1" applyAlignment="1">
      <alignment horizontal="center"/>
    </xf>
    <xf numFmtId="0" fontId="36" fillId="0" borderId="42" xfId="0" applyFont="1" applyBorder="1" applyAlignment="1">
      <alignment horizontal="left" vertical="center"/>
    </xf>
    <xf numFmtId="0" fontId="36" fillId="0" borderId="77" xfId="0" applyFont="1" applyBorder="1" applyAlignment="1">
      <alignment vertical="center"/>
    </xf>
    <xf numFmtId="168" fontId="36" fillId="0" borderId="43" xfId="0" applyNumberFormat="1" applyFont="1" applyBorder="1" applyAlignment="1">
      <alignment horizontal="center" vertical="center"/>
    </xf>
    <xf numFmtId="0" fontId="12" fillId="9" borderId="51" xfId="0" applyFont="1" applyFill="1" applyBorder="1"/>
    <xf numFmtId="165" fontId="12" fillId="9" borderId="84" xfId="0" applyNumberFormat="1" applyFont="1" applyFill="1" applyBorder="1"/>
    <xf numFmtId="165" fontId="12" fillId="9" borderId="13" xfId="0" applyNumberFormat="1" applyFont="1" applyFill="1" applyBorder="1"/>
    <xf numFmtId="165" fontId="12" fillId="9" borderId="16" xfId="0" applyNumberFormat="1" applyFont="1" applyFill="1" applyBorder="1"/>
    <xf numFmtId="0" fontId="30" fillId="8" borderId="40" xfId="7" applyFont="1" applyFill="1" applyBorder="1" applyAlignment="1">
      <alignment horizontal="center" vertical="center" wrapText="1"/>
    </xf>
    <xf numFmtId="0" fontId="30" fillId="8" borderId="40" xfId="8" applyFont="1" applyFill="1" applyBorder="1" applyAlignment="1">
      <alignment horizontal="center" vertical="center" wrapText="1"/>
    </xf>
    <xf numFmtId="0" fontId="12" fillId="0" borderId="41" xfId="0" applyFont="1" applyBorder="1"/>
    <xf numFmtId="165" fontId="12" fillId="0" borderId="36" xfId="0" applyNumberFormat="1" applyFont="1" applyBorder="1"/>
    <xf numFmtId="165" fontId="12" fillId="0" borderId="77" xfId="0" applyNumberFormat="1" applyFont="1" applyBorder="1"/>
    <xf numFmtId="165" fontId="12" fillId="0" borderId="43" xfId="0" applyNumberFormat="1" applyFont="1" applyBorder="1"/>
    <xf numFmtId="0" fontId="30" fillId="0" borderId="0" xfId="0" applyFont="1" applyFill="1" applyBorder="1"/>
    <xf numFmtId="0" fontId="30" fillId="0" borderId="21" xfId="0" applyFont="1" applyFill="1" applyBorder="1" applyAlignment="1">
      <alignment horizontal="right"/>
    </xf>
    <xf numFmtId="0" fontId="12" fillId="0" borderId="78" xfId="0" applyFont="1" applyBorder="1"/>
    <xf numFmtId="0" fontId="30" fillId="0" borderId="21" xfId="0" applyFont="1" applyFill="1" applyBorder="1"/>
    <xf numFmtId="171" fontId="30" fillId="0" borderId="21" xfId="1" applyNumberFormat="1" applyFont="1" applyFill="1" applyBorder="1"/>
    <xf numFmtId="171" fontId="30" fillId="0" borderId="22" xfId="1" applyNumberFormat="1" applyFont="1" applyFill="1" applyBorder="1"/>
    <xf numFmtId="10" fontId="30" fillId="0" borderId="21" xfId="1" applyNumberFormat="1" applyFont="1" applyFill="1" applyBorder="1"/>
    <xf numFmtId="10" fontId="30" fillId="0" borderId="22" xfId="1" applyNumberFormat="1" applyFont="1" applyFill="1" applyBorder="1"/>
    <xf numFmtId="0" fontId="12" fillId="0" borderId="78" xfId="0" applyFont="1" applyFill="1" applyBorder="1"/>
    <xf numFmtId="10" fontId="12" fillId="0" borderId="21" xfId="0" applyNumberFormat="1" applyFont="1" applyFill="1" applyBorder="1"/>
    <xf numFmtId="10" fontId="12" fillId="0" borderId="21" xfId="1" applyNumberFormat="1" applyFont="1" applyFill="1" applyBorder="1"/>
    <xf numFmtId="10" fontId="12" fillId="0" borderId="22" xfId="1" applyNumberFormat="1" applyFont="1" applyFill="1" applyBorder="1"/>
    <xf numFmtId="0" fontId="12" fillId="0" borderId="21" xfId="0" applyFont="1" applyFill="1" applyBorder="1"/>
    <xf numFmtId="165" fontId="12" fillId="0" borderId="21" xfId="0" applyNumberFormat="1" applyFont="1" applyFill="1" applyBorder="1"/>
    <xf numFmtId="165" fontId="12" fillId="0" borderId="22" xfId="0" applyNumberFormat="1" applyFont="1" applyFill="1" applyBorder="1"/>
    <xf numFmtId="0" fontId="12" fillId="0" borderId="41" xfId="0" applyFont="1" applyBorder="1" applyAlignment="1">
      <alignment horizontal="center" vertical="center"/>
    </xf>
    <xf numFmtId="0" fontId="12" fillId="8" borderId="0" xfId="0" applyFont="1" applyFill="1" applyBorder="1"/>
    <xf numFmtId="165" fontId="12" fillId="8" borderId="36" xfId="0" applyNumberFormat="1" applyFont="1" applyFill="1" applyBorder="1"/>
    <xf numFmtId="0" fontId="12" fillId="0" borderId="42" xfId="0" applyFont="1" applyBorder="1" applyAlignment="1">
      <alignment horizontal="right"/>
    </xf>
    <xf numFmtId="0" fontId="12" fillId="8" borderId="39" xfId="0" applyFont="1" applyFill="1" applyBorder="1"/>
    <xf numFmtId="0" fontId="12" fillId="8" borderId="32" xfId="0" applyFont="1" applyFill="1" applyBorder="1" applyAlignment="1">
      <alignment horizontal="center"/>
    </xf>
    <xf numFmtId="0" fontId="12" fillId="8" borderId="42" xfId="0" applyFont="1" applyFill="1" applyBorder="1"/>
    <xf numFmtId="0" fontId="65" fillId="0" borderId="0" xfId="0" applyFont="1"/>
    <xf numFmtId="0" fontId="12" fillId="8" borderId="0" xfId="0" applyFont="1" applyFill="1" applyAlignment="1">
      <alignment horizontal="center" vertical="center" wrapText="1"/>
    </xf>
    <xf numFmtId="0" fontId="12" fillId="8" borderId="0" xfId="0" applyFont="1" applyFill="1" applyAlignment="1">
      <alignment horizontal="center" vertical="center"/>
    </xf>
    <xf numFmtId="0" fontId="12" fillId="8" borderId="32" xfId="0" applyFont="1" applyFill="1" applyBorder="1" applyAlignment="1">
      <alignment horizontal="center" vertical="center" wrapText="1"/>
    </xf>
    <xf numFmtId="0" fontId="12" fillId="8" borderId="0" xfId="0" applyFont="1" applyFill="1" applyBorder="1" applyAlignment="1">
      <alignment horizontal="center" vertical="center" wrapText="1"/>
    </xf>
    <xf numFmtId="0" fontId="12" fillId="8" borderId="36" xfId="0" applyFont="1" applyFill="1" applyBorder="1" applyAlignment="1">
      <alignment horizontal="center" vertical="center" wrapText="1"/>
    </xf>
    <xf numFmtId="0" fontId="66" fillId="0" borderId="0" xfId="0" applyFont="1"/>
    <xf numFmtId="0" fontId="67" fillId="0" borderId="0" xfId="0" applyFont="1"/>
    <xf numFmtId="0" fontId="26" fillId="0" borderId="0" xfId="0" applyFont="1" applyBorder="1"/>
    <xf numFmtId="165" fontId="15" fillId="26" borderId="3" xfId="4" applyNumberFormat="1" applyFont="1" applyFill="1">
      <alignment horizontal="right" vertical="center"/>
    </xf>
    <xf numFmtId="0" fontId="28" fillId="26" borderId="0" xfId="0" applyFont="1" applyFill="1"/>
    <xf numFmtId="0" fontId="32" fillId="25" borderId="1" xfId="3" quotePrefix="1" applyNumberFormat="1" applyFont="1" applyFill="1" applyBorder="1" applyAlignment="1"/>
    <xf numFmtId="0" fontId="32" fillId="25" borderId="1" xfId="3" quotePrefix="1" applyNumberFormat="1" applyFont="1" applyFill="1" applyAlignment="1"/>
    <xf numFmtId="165" fontId="32" fillId="26" borderId="4" xfId="4" applyNumberFormat="1" applyFont="1" applyFill="1" applyBorder="1">
      <alignment horizontal="right" vertical="center"/>
    </xf>
    <xf numFmtId="165" fontId="32" fillId="26" borderId="60" xfId="4" applyNumberFormat="1" applyFont="1" applyFill="1" applyBorder="1">
      <alignment horizontal="right" vertical="center"/>
    </xf>
    <xf numFmtId="165" fontId="32" fillId="26" borderId="62" xfId="4" applyNumberFormat="1" applyFont="1" applyFill="1" applyBorder="1">
      <alignment horizontal="right" vertical="center"/>
    </xf>
    <xf numFmtId="0" fontId="32" fillId="26" borderId="0" xfId="0" applyFont="1" applyFill="1"/>
    <xf numFmtId="0" fontId="32" fillId="25" borderId="0" xfId="3" quotePrefix="1" applyNumberFormat="1" applyFont="1" applyFill="1" applyBorder="1" applyAlignment="1"/>
    <xf numFmtId="165" fontId="32" fillId="26" borderId="3" xfId="4" applyNumberFormat="1" applyFont="1" applyFill="1">
      <alignment horizontal="right" vertical="center"/>
    </xf>
    <xf numFmtId="0" fontId="55" fillId="26" borderId="9" xfId="0" applyFont="1" applyFill="1" applyBorder="1" applyAlignment="1">
      <alignment horizontal="center" vertical="center" wrapText="1"/>
    </xf>
    <xf numFmtId="167" fontId="23" fillId="0" borderId="0" xfId="0" applyNumberFormat="1" applyFont="1" applyFill="1" applyAlignment="1">
      <alignment horizontal="center"/>
    </xf>
    <xf numFmtId="0" fontId="68" fillId="21" borderId="0" xfId="0" applyFont="1" applyFill="1" applyAlignment="1">
      <alignment horizontal="center" vertical="top" wrapText="1"/>
    </xf>
    <xf numFmtId="0" fontId="68" fillId="21" borderId="0" xfId="0" applyFont="1" applyFill="1" applyAlignment="1">
      <alignment horizontal="center" wrapText="1"/>
    </xf>
    <xf numFmtId="171" fontId="68" fillId="21" borderId="0" xfId="1" applyNumberFormat="1" applyFont="1" applyFill="1" applyAlignment="1">
      <alignment horizontal="center"/>
    </xf>
    <xf numFmtId="168" fontId="68" fillId="21" borderId="0" xfId="1" applyNumberFormat="1" applyFont="1" applyFill="1" applyAlignment="1">
      <alignment horizontal="center"/>
    </xf>
    <xf numFmtId="0" fontId="12" fillId="0" borderId="41" xfId="0" applyFont="1" applyBorder="1" applyAlignment="1">
      <alignment horizontal="center"/>
    </xf>
    <xf numFmtId="0" fontId="12" fillId="0" borderId="32" xfId="0" applyFont="1" applyBorder="1" applyAlignment="1">
      <alignment horizontal="center" vertical="center" wrapText="1"/>
    </xf>
    <xf numFmtId="0" fontId="12" fillId="0" borderId="36" xfId="0" applyFont="1" applyBorder="1" applyAlignment="1">
      <alignment horizontal="center" vertical="center" wrapText="1"/>
    </xf>
    <xf numFmtId="165" fontId="12" fillId="0" borderId="32" xfId="0" applyNumberFormat="1" applyFont="1" applyBorder="1"/>
    <xf numFmtId="165" fontId="12" fillId="0" borderId="36" xfId="0" applyNumberFormat="1" applyFont="1" applyBorder="1" applyAlignment="1">
      <alignment horizontal="right"/>
    </xf>
    <xf numFmtId="165" fontId="12" fillId="0" borderId="42" xfId="0" applyNumberFormat="1" applyFont="1" applyBorder="1"/>
    <xf numFmtId="165" fontId="12" fillId="0" borderId="43" xfId="0" applyNumberFormat="1" applyFont="1" applyBorder="1" applyAlignment="1">
      <alignment horizontal="center"/>
    </xf>
    <xf numFmtId="165" fontId="15" fillId="26" borderId="4" xfId="4" applyNumberFormat="1" applyFont="1" applyFill="1" applyBorder="1">
      <alignment horizontal="right" vertical="center"/>
    </xf>
    <xf numFmtId="165" fontId="32" fillId="26" borderId="0" xfId="0" applyNumberFormat="1" applyFont="1" applyFill="1"/>
    <xf numFmtId="165" fontId="28" fillId="26" borderId="0" xfId="0" applyNumberFormat="1" applyFont="1" applyFill="1"/>
    <xf numFmtId="170" fontId="2" fillId="0" borderId="0" xfId="0" applyNumberFormat="1" applyFont="1"/>
    <xf numFmtId="170" fontId="2" fillId="0" borderId="0" xfId="0" applyNumberFormat="1" applyFont="1" applyAlignment="1">
      <alignment horizontal="right"/>
    </xf>
    <xf numFmtId="181" fontId="2" fillId="0" borderId="0" xfId="0" applyNumberFormat="1" applyFont="1" applyAlignment="1">
      <alignment horizontal="right"/>
    </xf>
    <xf numFmtId="0" fontId="69" fillId="27" borderId="0" xfId="0" applyFont="1" applyFill="1" applyAlignment="1">
      <alignment vertical="center" wrapText="1"/>
    </xf>
    <xf numFmtId="170" fontId="44" fillId="0" borderId="0" xfId="0" applyNumberFormat="1" applyFont="1"/>
    <xf numFmtId="181" fontId="44" fillId="0" borderId="0" xfId="0" applyNumberFormat="1" applyFont="1"/>
    <xf numFmtId="0" fontId="70" fillId="0" borderId="0" xfId="0" applyFont="1"/>
    <xf numFmtId="171" fontId="70" fillId="0" borderId="0" xfId="1" applyNumberFormat="1" applyFont="1"/>
    <xf numFmtId="171" fontId="70" fillId="0" borderId="0" xfId="0" applyNumberFormat="1" applyFont="1"/>
    <xf numFmtId="0" fontId="58" fillId="0" borderId="86" xfId="0" applyFont="1" applyBorder="1"/>
    <xf numFmtId="181" fontId="58" fillId="0" borderId="86" xfId="0" applyNumberFormat="1" applyFont="1" applyBorder="1"/>
    <xf numFmtId="0" fontId="22" fillId="0" borderId="86" xfId="0" applyFont="1" applyBorder="1"/>
    <xf numFmtId="1" fontId="71" fillId="27" borderId="0" xfId="0" applyNumberFormat="1" applyFont="1" applyFill="1" applyAlignment="1">
      <alignment vertical="center"/>
    </xf>
    <xf numFmtId="0" fontId="71" fillId="27" borderId="0" xfId="0" applyFont="1" applyFill="1" applyAlignment="1">
      <alignment vertical="center"/>
    </xf>
    <xf numFmtId="181" fontId="1" fillId="0" borderId="0" xfId="0" applyNumberFormat="1" applyFont="1"/>
    <xf numFmtId="0" fontId="1" fillId="0" borderId="0" xfId="0" applyFont="1" applyAlignment="1">
      <alignment horizontal="right"/>
    </xf>
    <xf numFmtId="170" fontId="1" fillId="0" borderId="0" xfId="0" applyNumberFormat="1" applyFont="1" applyAlignment="1">
      <alignment horizontal="right"/>
    </xf>
    <xf numFmtId="0" fontId="1" fillId="0" borderId="0" xfId="0" applyFont="1"/>
    <xf numFmtId="0" fontId="2" fillId="0" borderId="6" xfId="0" applyFont="1" applyBorder="1" applyAlignment="1">
      <alignment vertical="center"/>
    </xf>
    <xf numFmtId="0" fontId="2" fillId="0" borderId="6" xfId="0" applyFont="1" applyBorder="1" applyAlignment="1">
      <alignment horizontal="center" vertical="center"/>
    </xf>
    <xf numFmtId="2" fontId="22" fillId="0" borderId="6" xfId="0" applyNumberFormat="1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2" fontId="25" fillId="6" borderId="6" xfId="0" applyNumberFormat="1" applyFont="1" applyFill="1" applyBorder="1" applyAlignment="1">
      <alignment horizontal="center" vertical="center"/>
    </xf>
    <xf numFmtId="2" fontId="40" fillId="6" borderId="6" xfId="0" applyNumberFormat="1" applyFont="1" applyFill="1" applyBorder="1" applyAlignment="1">
      <alignment horizontal="center" vertical="center"/>
    </xf>
    <xf numFmtId="0" fontId="40" fillId="6" borderId="6" xfId="0" applyFont="1" applyFill="1" applyBorder="1" applyAlignment="1">
      <alignment horizontal="center" vertical="center"/>
    </xf>
    <xf numFmtId="0" fontId="2" fillId="0" borderId="6" xfId="0" applyFont="1" applyBorder="1"/>
    <xf numFmtId="2" fontId="25" fillId="6" borderId="6" xfId="0" applyNumberFormat="1" applyFont="1" applyFill="1" applyBorder="1" applyAlignment="1">
      <alignment horizontal="right" vertical="center"/>
    </xf>
    <xf numFmtId="0" fontId="2" fillId="0" borderId="6" xfId="0" applyFont="1" applyBorder="1" applyAlignment="1">
      <alignment horizontal="right" vertical="center"/>
    </xf>
    <xf numFmtId="0" fontId="22" fillId="0" borderId="6" xfId="0" applyFont="1" applyBorder="1" applyAlignment="1">
      <alignment horizontal="right" vertical="center"/>
    </xf>
    <xf numFmtId="0" fontId="22" fillId="0" borderId="6" xfId="0" applyFont="1" applyBorder="1" applyAlignment="1">
      <alignment vertical="center"/>
    </xf>
    <xf numFmtId="0" fontId="47" fillId="0" borderId="6" xfId="0" applyFont="1" applyBorder="1" applyAlignment="1">
      <alignment horizontal="right" vertical="center"/>
    </xf>
    <xf numFmtId="0" fontId="2" fillId="6" borderId="6" xfId="0" applyFont="1" applyFill="1" applyBorder="1" applyAlignment="1">
      <alignment vertical="center"/>
    </xf>
    <xf numFmtId="2" fontId="2" fillId="6" borderId="6" xfId="0" applyNumberFormat="1" applyFont="1" applyFill="1" applyBorder="1" applyAlignment="1">
      <alignment horizontal="center" vertical="center"/>
    </xf>
    <xf numFmtId="2" fontId="22" fillId="6" borderId="6" xfId="0" applyNumberFormat="1" applyFont="1" applyFill="1" applyBorder="1" applyAlignment="1">
      <alignment horizontal="center" vertical="center"/>
    </xf>
    <xf numFmtId="0" fontId="22" fillId="6" borderId="6" xfId="0" applyFont="1" applyFill="1" applyBorder="1" applyAlignment="1">
      <alignment horizontal="center" vertical="center"/>
    </xf>
    <xf numFmtId="0" fontId="14" fillId="2" borderId="87" xfId="2" quotePrefix="1" applyNumberFormat="1" applyFont="1" applyBorder="1" applyAlignment="1">
      <alignment vertical="center"/>
    </xf>
    <xf numFmtId="0" fontId="14" fillId="2" borderId="88" xfId="2" quotePrefix="1" applyNumberFormat="1" applyFont="1" applyBorder="1" applyAlignment="1">
      <alignment vertical="center"/>
    </xf>
    <xf numFmtId="0" fontId="15" fillId="4" borderId="89" xfId="3" quotePrefix="1" applyNumberFormat="1" applyFont="1" applyFill="1" applyBorder="1" applyAlignment="1">
      <alignment horizontal="center" vertical="center" wrapText="1"/>
    </xf>
    <xf numFmtId="0" fontId="15" fillId="4" borderId="90" xfId="3" quotePrefix="1" applyNumberFormat="1" applyFont="1" applyFill="1" applyBorder="1" applyAlignment="1">
      <alignment horizontal="center" vertical="center" wrapText="1"/>
    </xf>
    <xf numFmtId="0" fontId="15" fillId="4" borderId="91" xfId="3" quotePrefix="1" applyNumberFormat="1" applyFont="1" applyFill="1" applyBorder="1" applyAlignment="1">
      <alignment horizontal="center" vertical="center" wrapText="1"/>
    </xf>
    <xf numFmtId="0" fontId="15" fillId="4" borderId="92" xfId="3" quotePrefix="1" applyNumberFormat="1" applyFont="1" applyFill="1" applyBorder="1" applyAlignment="1">
      <alignment horizontal="center" vertical="center" wrapText="1"/>
    </xf>
    <xf numFmtId="0" fontId="26" fillId="0" borderId="42" xfId="0" applyFont="1" applyBorder="1"/>
    <xf numFmtId="0" fontId="12" fillId="0" borderId="77" xfId="0" applyFont="1" applyBorder="1"/>
    <xf numFmtId="165" fontId="12" fillId="0" borderId="38" xfId="0" applyNumberFormat="1" applyFont="1" applyBorder="1"/>
    <xf numFmtId="165" fontId="12" fillId="0" borderId="0" xfId="0" quotePrefix="1" applyNumberFormat="1" applyFont="1" applyFill="1"/>
    <xf numFmtId="4" fontId="12" fillId="0" borderId="0" xfId="0" applyNumberFormat="1" applyFont="1" applyFill="1" applyAlignment="1">
      <alignment horizontal="center"/>
    </xf>
    <xf numFmtId="0" fontId="12" fillId="0" borderId="0" xfId="0" applyNumberFormat="1" applyFont="1" applyFill="1" applyAlignment="1">
      <alignment horizontal="center"/>
    </xf>
    <xf numFmtId="15" fontId="12" fillId="0" borderId="0" xfId="0" applyNumberFormat="1" applyFont="1" applyFill="1" applyAlignment="1">
      <alignment horizontal="center"/>
    </xf>
    <xf numFmtId="165" fontId="12" fillId="0" borderId="0" xfId="0" applyNumberFormat="1" applyFont="1" applyFill="1" applyAlignment="1">
      <alignment horizontal="center"/>
    </xf>
    <xf numFmtId="0" fontId="12" fillId="0" borderId="0" xfId="1" applyNumberFormat="1" applyFont="1"/>
    <xf numFmtId="165" fontId="43" fillId="0" borderId="0" xfId="0" quotePrefix="1" applyNumberFormat="1" applyFont="1" applyFill="1"/>
    <xf numFmtId="179" fontId="12" fillId="0" borderId="0" xfId="0" applyNumberFormat="1" applyFont="1" applyFill="1" applyAlignment="1">
      <alignment horizontal="center"/>
    </xf>
    <xf numFmtId="0" fontId="22" fillId="0" borderId="0" xfId="0" applyFont="1"/>
    <xf numFmtId="0" fontId="1" fillId="9" borderId="18" xfId="0" applyFont="1" applyFill="1" applyBorder="1"/>
    <xf numFmtId="0" fontId="1" fillId="9" borderId="19" xfId="0" applyFont="1" applyFill="1" applyBorder="1" applyAlignment="1">
      <alignment horizontal="center"/>
    </xf>
    <xf numFmtId="165" fontId="1" fillId="0" borderId="0" xfId="0" applyNumberFormat="1" applyFont="1"/>
    <xf numFmtId="10" fontId="1" fillId="0" borderId="0" xfId="1" applyNumberFormat="1" applyFont="1"/>
    <xf numFmtId="0" fontId="1" fillId="0" borderId="0" xfId="0" applyFont="1" applyAlignment="1">
      <alignment horizontal="center"/>
    </xf>
    <xf numFmtId="0" fontId="22" fillId="8" borderId="0" xfId="0" applyFont="1" applyFill="1"/>
    <xf numFmtId="0" fontId="22" fillId="8" borderId="0" xfId="0" applyFont="1" applyFill="1" applyAlignment="1">
      <alignment horizontal="center"/>
    </xf>
    <xf numFmtId="165" fontId="1" fillId="0" borderId="0" xfId="0" quotePrefix="1" applyNumberFormat="1" applyFont="1"/>
    <xf numFmtId="43" fontId="1" fillId="12" borderId="0" xfId="0" applyNumberFormat="1" applyFont="1" applyFill="1" applyBorder="1" applyAlignment="1"/>
    <xf numFmtId="165" fontId="1" fillId="22" borderId="0" xfId="0" quotePrefix="1" applyNumberFormat="1" applyFont="1" applyFill="1"/>
    <xf numFmtId="0" fontId="1" fillId="0" borderId="0" xfId="0" applyFont="1" applyBorder="1"/>
    <xf numFmtId="43" fontId="1" fillId="12" borderId="17" xfId="0" applyNumberFormat="1" applyFont="1" applyFill="1" applyBorder="1" applyAlignment="1"/>
    <xf numFmtId="165" fontId="1" fillId="13" borderId="26" xfId="0" applyNumberFormat="1" applyFont="1" applyFill="1" applyBorder="1"/>
    <xf numFmtId="165" fontId="1" fillId="13" borderId="17" xfId="0" applyNumberFormat="1" applyFont="1" applyFill="1" applyBorder="1"/>
    <xf numFmtId="165" fontId="1" fillId="13" borderId="27" xfId="0" applyNumberFormat="1" applyFont="1" applyFill="1" applyBorder="1"/>
    <xf numFmtId="165" fontId="1" fillId="5" borderId="26" xfId="0" applyNumberFormat="1" applyFont="1" applyFill="1" applyBorder="1"/>
    <xf numFmtId="165" fontId="1" fillId="5" borderId="17" xfId="0" applyNumberFormat="1" applyFont="1" applyFill="1" applyBorder="1"/>
    <xf numFmtId="165" fontId="1" fillId="5" borderId="27" xfId="0" applyNumberFormat="1" applyFont="1" applyFill="1" applyBorder="1"/>
    <xf numFmtId="165" fontId="1" fillId="0" borderId="0" xfId="0" applyNumberFormat="1" applyFont="1" applyBorder="1"/>
    <xf numFmtId="169" fontId="1" fillId="0" borderId="17" xfId="0" applyNumberFormat="1" applyFont="1" applyBorder="1"/>
    <xf numFmtId="0" fontId="1" fillId="13" borderId="14" xfId="0" applyFont="1" applyFill="1" applyBorder="1"/>
    <xf numFmtId="0" fontId="1" fillId="13" borderId="15" xfId="0" applyFont="1" applyFill="1" applyBorder="1"/>
    <xf numFmtId="165" fontId="1" fillId="13" borderId="16" xfId="0" applyNumberFormat="1" applyFont="1" applyFill="1" applyBorder="1"/>
    <xf numFmtId="0" fontId="1" fillId="5" borderId="14" xfId="0" applyFont="1" applyFill="1" applyBorder="1"/>
    <xf numFmtId="0" fontId="1" fillId="5" borderId="15" xfId="0" applyFont="1" applyFill="1" applyBorder="1"/>
    <xf numFmtId="165" fontId="1" fillId="5" borderId="16" xfId="0" applyNumberFormat="1" applyFont="1" applyFill="1" applyBorder="1"/>
    <xf numFmtId="169" fontId="1" fillId="0" borderId="0" xfId="0" applyNumberFormat="1" applyFont="1"/>
    <xf numFmtId="0" fontId="1" fillId="6" borderId="0" xfId="0" applyFont="1" applyFill="1"/>
    <xf numFmtId="0" fontId="22" fillId="8" borderId="0" xfId="0" applyFont="1" applyFill="1" applyBorder="1"/>
    <xf numFmtId="0" fontId="16" fillId="22" borderId="0" xfId="0" applyFont="1" applyFill="1"/>
    <xf numFmtId="165" fontId="1" fillId="11" borderId="0" xfId="0" applyNumberFormat="1" applyFont="1" applyFill="1" applyBorder="1"/>
    <xf numFmtId="165" fontId="1" fillId="11" borderId="0" xfId="0" applyNumberFormat="1" applyFont="1" applyFill="1"/>
    <xf numFmtId="0" fontId="1" fillId="11" borderId="0" xfId="0" applyFont="1" applyFill="1"/>
    <xf numFmtId="0" fontId="1" fillId="11" borderId="0" xfId="0" applyFont="1" applyFill="1" applyAlignment="1">
      <alignment horizontal="right"/>
    </xf>
    <xf numFmtId="165" fontId="1" fillId="11" borderId="21" xfId="0" applyNumberFormat="1" applyFont="1" applyFill="1" applyBorder="1"/>
    <xf numFmtId="0" fontId="22" fillId="6" borderId="0" xfId="0" applyFont="1" applyFill="1"/>
    <xf numFmtId="165" fontId="22" fillId="6" borderId="0" xfId="0" applyNumberFormat="1" applyFont="1" applyFill="1"/>
    <xf numFmtId="169" fontId="1" fillId="13" borderId="26" xfId="0" applyNumberFormat="1" applyFont="1" applyFill="1" applyBorder="1"/>
    <xf numFmtId="172" fontId="1" fillId="0" borderId="0" xfId="0" applyNumberFormat="1" applyFont="1"/>
    <xf numFmtId="175" fontId="1" fillId="0" borderId="0" xfId="0" applyNumberFormat="1" applyFont="1"/>
    <xf numFmtId="180" fontId="1" fillId="0" borderId="0" xfId="1" applyNumberFormat="1" applyFont="1"/>
    <xf numFmtId="170" fontId="1" fillId="0" borderId="0" xfId="0" applyNumberFormat="1" applyFont="1"/>
    <xf numFmtId="170" fontId="1" fillId="0" borderId="0" xfId="0" applyNumberFormat="1" applyFont="1" applyAlignment="1">
      <alignment horizontal="center"/>
    </xf>
    <xf numFmtId="170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" fillId="14" borderId="28" xfId="0" applyFont="1" applyFill="1" applyBorder="1"/>
    <xf numFmtId="170" fontId="1" fillId="14" borderId="29" xfId="0" quotePrefix="1" applyNumberFormat="1" applyFont="1" applyFill="1" applyBorder="1" applyAlignment="1">
      <alignment horizontal="right"/>
    </xf>
    <xf numFmtId="170" fontId="1" fillId="14" borderId="30" xfId="0" quotePrefix="1" applyNumberFormat="1" applyFont="1" applyFill="1" applyBorder="1" applyAlignment="1">
      <alignment horizontal="right"/>
    </xf>
    <xf numFmtId="170" fontId="22" fillId="14" borderId="31" xfId="0" applyNumberFormat="1" applyFont="1" applyFill="1" applyBorder="1" applyAlignment="1">
      <alignment horizontal="right"/>
    </xf>
    <xf numFmtId="0" fontId="1" fillId="14" borderId="29" xfId="0" quotePrefix="1" applyFont="1" applyFill="1" applyBorder="1" applyAlignment="1">
      <alignment horizontal="right"/>
    </xf>
    <xf numFmtId="0" fontId="1" fillId="14" borderId="30" xfId="0" quotePrefix="1" applyFont="1" applyFill="1" applyBorder="1" applyAlignment="1">
      <alignment horizontal="right"/>
    </xf>
    <xf numFmtId="0" fontId="22" fillId="14" borderId="31" xfId="0" applyFont="1" applyFill="1" applyBorder="1" applyAlignment="1">
      <alignment horizontal="right"/>
    </xf>
    <xf numFmtId="0" fontId="1" fillId="13" borderId="32" xfId="0" applyFont="1" applyFill="1" applyBorder="1"/>
    <xf numFmtId="2" fontId="1" fillId="13" borderId="33" xfId="18" applyNumberFormat="1" applyFont="1" applyFill="1" applyBorder="1"/>
    <xf numFmtId="2" fontId="1" fillId="13" borderId="34" xfId="18" applyNumberFormat="1" applyFont="1" applyFill="1" applyBorder="1"/>
    <xf numFmtId="2" fontId="1" fillId="13" borderId="35" xfId="18" applyNumberFormat="1" applyFont="1" applyFill="1" applyBorder="1"/>
    <xf numFmtId="2" fontId="22" fillId="13" borderId="36" xfId="18" applyNumberFormat="1" applyFont="1" applyFill="1" applyBorder="1"/>
    <xf numFmtId="2" fontId="1" fillId="0" borderId="0" xfId="0" applyNumberFormat="1" applyFont="1"/>
    <xf numFmtId="2" fontId="1" fillId="13" borderId="12" xfId="18" applyNumberFormat="1" applyFont="1" applyFill="1" applyBorder="1"/>
    <xf numFmtId="2" fontId="1" fillId="13" borderId="0" xfId="18" applyNumberFormat="1" applyFont="1" applyFill="1" applyBorder="1"/>
    <xf numFmtId="2" fontId="1" fillId="13" borderId="13" xfId="18" applyNumberFormat="1" applyFont="1" applyFill="1" applyBorder="1"/>
    <xf numFmtId="0" fontId="1" fillId="14" borderId="37" xfId="0" applyFont="1" applyFill="1" applyBorder="1"/>
    <xf numFmtId="2" fontId="22" fillId="14" borderId="26" xfId="0" quotePrefix="1" applyNumberFormat="1" applyFont="1" applyFill="1" applyBorder="1" applyAlignment="1">
      <alignment horizontal="right"/>
    </xf>
    <xf numFmtId="2" fontId="22" fillId="14" borderId="17" xfId="0" quotePrefix="1" applyNumberFormat="1" applyFont="1" applyFill="1" applyBorder="1" applyAlignment="1">
      <alignment horizontal="right"/>
    </xf>
    <xf numFmtId="2" fontId="22" fillId="14" borderId="27" xfId="0" quotePrefix="1" applyNumberFormat="1" applyFont="1" applyFill="1" applyBorder="1" applyAlignment="1">
      <alignment horizontal="right"/>
    </xf>
    <xf numFmtId="2" fontId="22" fillId="14" borderId="38" xfId="0" quotePrefix="1" applyNumberFormat="1" applyFont="1" applyFill="1" applyBorder="1" applyAlignment="1">
      <alignment horizontal="right"/>
    </xf>
    <xf numFmtId="43" fontId="1" fillId="0" borderId="0" xfId="0" applyNumberFormat="1" applyFont="1"/>
    <xf numFmtId="43" fontId="1" fillId="14" borderId="29" xfId="0" quotePrefix="1" applyNumberFormat="1" applyFont="1" applyFill="1" applyBorder="1" applyAlignment="1">
      <alignment horizontal="right"/>
    </xf>
    <xf numFmtId="43" fontId="1" fillId="14" borderId="30" xfId="0" quotePrefix="1" applyNumberFormat="1" applyFont="1" applyFill="1" applyBorder="1" applyAlignment="1">
      <alignment horizontal="right"/>
    </xf>
    <xf numFmtId="43" fontId="22" fillId="14" borderId="31" xfId="0" applyNumberFormat="1" applyFont="1" applyFill="1" applyBorder="1" applyAlignment="1">
      <alignment horizontal="right"/>
    </xf>
    <xf numFmtId="0" fontId="62" fillId="0" borderId="6" xfId="0" applyFont="1" applyBorder="1" applyAlignment="1"/>
    <xf numFmtId="0" fontId="62" fillId="0" borderId="6" xfId="0" applyFont="1" applyBorder="1"/>
    <xf numFmtId="0" fontId="72" fillId="0" borderId="6" xfId="51" applyFont="1" applyBorder="1"/>
    <xf numFmtId="0" fontId="28" fillId="0" borderId="0" xfId="0" applyFont="1"/>
    <xf numFmtId="0" fontId="12" fillId="9" borderId="56" xfId="0" applyFont="1" applyFill="1" applyBorder="1"/>
    <xf numFmtId="0" fontId="27" fillId="8" borderId="39" xfId="0" applyFont="1" applyFill="1" applyBorder="1" applyAlignment="1">
      <alignment horizontal="center"/>
    </xf>
    <xf numFmtId="0" fontId="27" fillId="8" borderId="40" xfId="0" applyFont="1" applyFill="1" applyBorder="1" applyAlignment="1">
      <alignment horizontal="center"/>
    </xf>
    <xf numFmtId="0" fontId="27" fillId="8" borderId="41" xfId="0" applyFont="1" applyFill="1" applyBorder="1" applyAlignment="1">
      <alignment horizontal="center"/>
    </xf>
    <xf numFmtId="0" fontId="12" fillId="9" borderId="12" xfId="0" applyFont="1" applyFill="1" applyBorder="1" applyAlignment="1">
      <alignment horizontal="left" wrapText="1"/>
    </xf>
    <xf numFmtId="0" fontId="12" fillId="9" borderId="13" xfId="0" applyFont="1" applyFill="1" applyBorder="1" applyAlignment="1">
      <alignment horizontal="left" wrapText="1"/>
    </xf>
    <xf numFmtId="0" fontId="12" fillId="0" borderId="0" xfId="0" applyFont="1" applyAlignment="1">
      <alignment horizontal="left" vertical="center" wrapText="1"/>
    </xf>
    <xf numFmtId="0" fontId="12" fillId="0" borderId="18" xfId="0" applyFont="1" applyBorder="1" applyAlignment="1">
      <alignment horizontal="center" wrapText="1"/>
    </xf>
    <xf numFmtId="0" fontId="12" fillId="0" borderId="19" xfId="0" applyFont="1" applyBorder="1" applyAlignment="1">
      <alignment horizontal="center" wrapText="1"/>
    </xf>
    <xf numFmtId="0" fontId="17" fillId="7" borderId="54" xfId="5" applyFont="1" applyFill="1" applyBorder="1" applyAlignment="1" applyProtection="1">
      <alignment horizontal="center" vertical="center" wrapText="1" readingOrder="1"/>
      <protection locked="0"/>
    </xf>
    <xf numFmtId="0" fontId="16" fillId="0" borderId="55" xfId="5" applyBorder="1" applyAlignment="1" applyProtection="1">
      <alignment horizontal="center" vertical="center" wrapText="1"/>
      <protection locked="0"/>
    </xf>
    <xf numFmtId="0" fontId="48" fillId="7" borderId="44" xfId="5" applyFont="1" applyFill="1" applyBorder="1" applyAlignment="1" applyProtection="1">
      <alignment vertical="top" wrapText="1" readingOrder="1"/>
      <protection locked="0"/>
    </xf>
    <xf numFmtId="0" fontId="16" fillId="0" borderId="46" xfId="5" applyBorder="1" applyAlignment="1" applyProtection="1">
      <alignment vertical="top" wrapText="1"/>
      <protection locked="0"/>
    </xf>
    <xf numFmtId="0" fontId="48" fillId="7" borderId="5" xfId="5" applyFont="1" applyFill="1" applyBorder="1" applyAlignment="1" applyProtection="1">
      <alignment vertical="top" wrapText="1" readingOrder="1"/>
      <protection locked="0"/>
    </xf>
    <xf numFmtId="0" fontId="16" fillId="0" borderId="47" xfId="5" applyBorder="1" applyAlignment="1" applyProtection="1">
      <alignment vertical="top" wrapText="1"/>
      <protection locked="0"/>
    </xf>
    <xf numFmtId="0" fontId="18" fillId="0" borderId="44" xfId="5" applyFont="1" applyBorder="1" applyAlignment="1" applyProtection="1">
      <alignment vertical="top" wrapText="1" readingOrder="1"/>
      <protection locked="0"/>
    </xf>
    <xf numFmtId="0" fontId="51" fillId="0" borderId="44" xfId="5" applyFont="1" applyBorder="1" applyAlignment="1" applyProtection="1">
      <alignment vertical="top" wrapText="1" readingOrder="1"/>
      <protection locked="0"/>
    </xf>
    <xf numFmtId="0" fontId="21" fillId="0" borderId="46" xfId="5" applyFont="1" applyBorder="1" applyAlignment="1" applyProtection="1">
      <alignment vertical="top" wrapText="1"/>
      <protection locked="0"/>
    </xf>
    <xf numFmtId="0" fontId="32" fillId="26" borderId="9" xfId="0" applyFont="1" applyFill="1" applyBorder="1" applyAlignment="1">
      <alignment horizontal="center" vertical="center" wrapText="1"/>
    </xf>
    <xf numFmtId="10" fontId="28" fillId="5" borderId="6" xfId="0" applyNumberFormat="1" applyFont="1" applyFill="1" applyBorder="1" applyAlignment="1">
      <alignment horizontal="center"/>
    </xf>
    <xf numFmtId="0" fontId="28" fillId="5" borderId="6" xfId="0" applyFont="1" applyFill="1" applyBorder="1"/>
    <xf numFmtId="0" fontId="28" fillId="5" borderId="6" xfId="0" applyFont="1" applyFill="1" applyBorder="1" applyAlignment="1">
      <alignment horizontal="center"/>
    </xf>
    <xf numFmtId="0" fontId="15" fillId="4" borderId="6" xfId="3" quotePrefix="1" applyNumberFormat="1" applyFont="1" applyFill="1" applyBorder="1" applyAlignment="1">
      <alignment horizontal="center"/>
    </xf>
    <xf numFmtId="9" fontId="12" fillId="0" borderId="0" xfId="1" applyFont="1" applyFill="1"/>
    <xf numFmtId="9" fontId="32" fillId="0" borderId="0" xfId="1" applyFont="1" applyFill="1"/>
    <xf numFmtId="0" fontId="73" fillId="0" borderId="32" xfId="0" applyFont="1" applyFill="1" applyBorder="1" applyAlignment="1">
      <alignment horizontal="left" vertical="center" wrapText="1"/>
    </xf>
    <xf numFmtId="0" fontId="73" fillId="0" borderId="0" xfId="0" applyFont="1" applyFill="1" applyBorder="1" applyAlignment="1">
      <alignment horizontal="left" vertical="center" wrapText="1"/>
    </xf>
    <xf numFmtId="0" fontId="60" fillId="0" borderId="0" xfId="0" applyFont="1" applyAlignment="1">
      <alignment horizontal="left" vertical="center" wrapText="1"/>
    </xf>
    <xf numFmtId="0" fontId="36" fillId="0" borderId="0" xfId="0" applyFont="1" applyAlignment="1">
      <alignment horizontal="left" wrapText="1"/>
    </xf>
    <xf numFmtId="0" fontId="36" fillId="0" borderId="0" xfId="0" applyFont="1"/>
    <xf numFmtId="0" fontId="15" fillId="3" borderId="2" xfId="3" quotePrefix="1" applyNumberFormat="1" applyFont="1" applyBorder="1" applyAlignment="1">
      <alignment horizontal="center" vertical="center" wrapText="1"/>
    </xf>
    <xf numFmtId="0" fontId="12" fillId="0" borderId="93" xfId="0" applyFont="1" applyBorder="1"/>
    <xf numFmtId="165" fontId="12" fillId="0" borderId="93" xfId="0" applyNumberFormat="1" applyFont="1" applyBorder="1" applyAlignment="1">
      <alignment vertical="center"/>
    </xf>
    <xf numFmtId="165" fontId="12" fillId="9" borderId="94" xfId="0" applyNumberFormat="1" applyFont="1" applyFill="1" applyBorder="1"/>
    <xf numFmtId="165" fontId="12" fillId="9" borderId="93" xfId="0" applyNumberFormat="1" applyFont="1" applyFill="1" applyBorder="1"/>
    <xf numFmtId="165" fontId="12" fillId="9" borderId="95" xfId="0" applyNumberFormat="1" applyFont="1" applyFill="1" applyBorder="1"/>
    <xf numFmtId="0" fontId="32" fillId="19" borderId="93" xfId="0" applyFont="1" applyFill="1" applyBorder="1"/>
    <xf numFmtId="0" fontId="12" fillId="19" borderId="93" xfId="0" applyFont="1" applyFill="1" applyBorder="1"/>
    <xf numFmtId="10" fontId="12" fillId="19" borderId="93" xfId="1" applyNumberFormat="1" applyFont="1" applyFill="1" applyBorder="1"/>
    <xf numFmtId="10" fontId="32" fillId="19" borderId="96" xfId="1" applyNumberFormat="1" applyFont="1" applyFill="1" applyBorder="1"/>
    <xf numFmtId="171" fontId="13" fillId="19" borderId="93" xfId="1" applyNumberFormat="1" applyFont="1" applyFill="1" applyBorder="1"/>
    <xf numFmtId="10" fontId="13" fillId="0" borderId="93" xfId="1" applyNumberFormat="1" applyFont="1" applyFill="1" applyBorder="1"/>
    <xf numFmtId="165" fontId="12" fillId="0" borderId="93" xfId="0" applyNumberFormat="1" applyFont="1" applyBorder="1"/>
    <xf numFmtId="0" fontId="15" fillId="3" borderId="97" xfId="3" quotePrefix="1" applyNumberFormat="1" applyFont="1" applyBorder="1" applyAlignment="1">
      <alignment horizontal="center"/>
    </xf>
    <xf numFmtId="0" fontId="15" fillId="3" borderId="97" xfId="3" quotePrefix="1" applyNumberFormat="1" applyFont="1" applyBorder="1" applyAlignment="1">
      <alignment horizontal="center" vertical="center" wrapText="1"/>
    </xf>
    <xf numFmtId="165" fontId="15" fillId="0" borderId="98" xfId="4" applyNumberFormat="1" applyFont="1" applyBorder="1">
      <alignment horizontal="right" vertical="center"/>
    </xf>
    <xf numFmtId="165" fontId="32" fillId="26" borderId="98" xfId="4" applyNumberFormat="1" applyFont="1" applyFill="1" applyBorder="1">
      <alignment horizontal="right" vertical="center"/>
    </xf>
    <xf numFmtId="165" fontId="15" fillId="26" borderId="98" xfId="4" applyNumberFormat="1" applyFont="1" applyFill="1" applyBorder="1">
      <alignment horizontal="right" vertical="center"/>
    </xf>
    <xf numFmtId="0" fontId="74" fillId="0" borderId="0" xfId="0" applyFont="1"/>
    <xf numFmtId="165" fontId="1" fillId="8" borderId="26" xfId="0" applyNumberFormat="1" applyFont="1" applyFill="1" applyBorder="1"/>
    <xf numFmtId="0" fontId="1" fillId="0" borderId="0" xfId="0" applyFont="1" applyFill="1"/>
    <xf numFmtId="165" fontId="1" fillId="0" borderId="0" xfId="0" applyNumberFormat="1" applyFont="1" applyFill="1"/>
    <xf numFmtId="0" fontId="22" fillId="0" borderId="0" xfId="0" applyFont="1" applyFill="1"/>
    <xf numFmtId="165" fontId="22" fillId="0" borderId="0" xfId="0" applyNumberFormat="1" applyFont="1" applyFill="1"/>
    <xf numFmtId="165" fontId="1" fillId="8" borderId="0" xfId="0" quotePrefix="1" applyNumberFormat="1" applyFont="1" applyFill="1"/>
    <xf numFmtId="0" fontId="1" fillId="8" borderId="0" xfId="0" applyFont="1" applyFill="1"/>
  </cellXfs>
  <cellStyles count="52">
    <cellStyle name="Comma" xfId="18" builtinId="3"/>
    <cellStyle name="Comma 2" xfId="33"/>
    <cellStyle name="Comma 2 2" xfId="38"/>
    <cellStyle name="Comma 2 3" xfId="25"/>
    <cellStyle name="Comma 2 3 10" xfId="26"/>
    <cellStyle name="Comma 2 4" xfId="50"/>
    <cellStyle name="Currency 2" xfId="32"/>
    <cellStyle name="Currency 2 2" xfId="37"/>
    <cellStyle name="Currency 2 3" xfId="49"/>
    <cellStyle name="Hyperlink" xfId="51" builtinId="8"/>
    <cellStyle name="Neutral 2" xfId="21"/>
    <cellStyle name="Normal" xfId="0" builtinId="0"/>
    <cellStyle name="Normal 2" xfId="5"/>
    <cellStyle name="Normal 2 2" xfId="24"/>
    <cellStyle name="Normal 2 2 2" xfId="12"/>
    <cellStyle name="Normal 2 3" xfId="8"/>
    <cellStyle name="Normal 2 4" xfId="7"/>
    <cellStyle name="Normal 2 7" xfId="23"/>
    <cellStyle name="Normal 3" xfId="11"/>
    <cellStyle name="Normal 3 19" xfId="19"/>
    <cellStyle name="Normal 3 4 17" xfId="31"/>
    <cellStyle name="Normal 3 4 17 2" xfId="36"/>
    <cellStyle name="Normal 3 4 17 3" xfId="48"/>
    <cellStyle name="Normal 4" xfId="9"/>
    <cellStyle name="Normal 5" xfId="27"/>
    <cellStyle name="Normal 5 2" xfId="39"/>
    <cellStyle name="Normal 6" xfId="34"/>
    <cellStyle name="Normal 7" xfId="6"/>
    <cellStyle name="Normal 7 17" xfId="44"/>
    <cellStyle name="Normal 7 2" xfId="43"/>
    <cellStyle name="Normal 8" xfId="40"/>
    <cellStyle name="Normal 9" xfId="47"/>
    <cellStyle name="Percent" xfId="1" builtinId="5"/>
    <cellStyle name="Percent 11" xfId="46"/>
    <cellStyle name="Percent 2" xfId="10"/>
    <cellStyle name="Percent 2 2 2" xfId="20"/>
    <cellStyle name="Percent 3" xfId="13"/>
    <cellStyle name="Percent 3 2" xfId="14"/>
    <cellStyle name="Percent 3 3" xfId="15"/>
    <cellStyle name="Percent 3 5" xfId="45"/>
    <cellStyle name="Percent 4" xfId="35"/>
    <cellStyle name="Percent 5" xfId="41"/>
    <cellStyle name="SAPDataCell" xfId="4"/>
    <cellStyle name="SAPDataCell 2" xfId="30"/>
    <cellStyle name="SAPDataTotalCell" xfId="17"/>
    <cellStyle name="SAPDimensionCell" xfId="2"/>
    <cellStyle name="SAPDimensionCell 2" xfId="28"/>
    <cellStyle name="SAPMemberCell" xfId="3"/>
    <cellStyle name="SAPMemberCell 2" xfId="29"/>
    <cellStyle name="SAPMemberCell 3" xfId="42"/>
    <cellStyle name="SAPMemberTotalCell" xfId="16"/>
    <cellStyle name="TableLvl3" xfId="22"/>
  </cellStyles>
  <dxfs count="637"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ont>
        <b val="0"/>
      </font>
    </dxf>
    <dxf>
      <font>
        <b val="0"/>
      </font>
    </dxf>
    <dxf>
      <font>
        <b val="0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ont>
        <color rgb="FF0000FF"/>
      </font>
      <fill>
        <patternFill patternType="solid">
          <fgColor indexed="64"/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rgb="FF0000FF"/>
      </font>
    </dxf>
    <dxf>
      <font>
        <color rgb="FF0000FF"/>
      </font>
    </dxf>
    <dxf>
      <font>
        <color rgb="FF0000FF"/>
      </font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color rgb="FF0000FF"/>
      </font>
    </dxf>
    <dxf>
      <fill>
        <patternFill>
          <bgColor rgb="FFFFC000"/>
        </patternFill>
      </fill>
    </dxf>
    <dxf>
      <font>
        <color rgb="FF0000FF"/>
      </font>
    </dxf>
    <dxf>
      <font>
        <color rgb="FF0000FF"/>
      </font>
    </dxf>
    <dxf>
      <font>
        <color rgb="FF0000FF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b/>
      </font>
    </dxf>
    <dxf>
      <fill>
        <patternFill patternType="solid">
          <bgColor rgb="FFFFC000"/>
        </patternFill>
      </fill>
    </dxf>
    <dxf>
      <font>
        <color rgb="FF0000FF"/>
      </font>
    </dxf>
    <dxf>
      <font>
        <b/>
      </font>
    </dxf>
    <dxf>
      <font>
        <color rgb="FF0000FF"/>
      </font>
    </dxf>
    <dxf>
      <fill>
        <patternFill>
          <bgColor rgb="FF92D050"/>
        </patternFill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vertical="center" readingOrder="0"/>
    </dxf>
    <dxf>
      <alignment vertical="center" readingOrder="0"/>
    </dxf>
    <dxf>
      <alignment wrapText="1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numFmt numFmtId="165" formatCode="#,##0\ ;\(#,##0\)"/>
    </dxf>
  </dxfs>
  <tableStyles count="0" defaultTableStyle="TableStyleMedium2" defaultPivotStyle="PivotStyleLight16"/>
  <colors>
    <mruColors>
      <color rgb="FFFF99CC"/>
      <color rgb="FF0000FF"/>
      <color rgb="FFCCECFF"/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Capex Profile 2009 to 2023 $m Real 2017-18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'Capex 15yr View'!$B$23</c:f>
              <c:strCache>
                <c:ptCount val="1"/>
                <c:pt idx="0">
                  <c:v>Augmentation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'Capex 15yr View'!$C$22:$Q$22</c:f>
              <c:numCache>
                <c:formatCode>0</c:formatCode>
                <c:ptCount val="1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</c:numCache>
            </c:numRef>
          </c:cat>
          <c:val>
            <c:numRef>
              <c:f>'Capex 15yr View'!$C$23:$Q$23</c:f>
              <c:numCache>
                <c:formatCode>0.0</c:formatCode>
                <c:ptCount val="15"/>
                <c:pt idx="0">
                  <c:v>17.506553809015053</c:v>
                </c:pt>
                <c:pt idx="1">
                  <c:v>50.762349355609196</c:v>
                </c:pt>
                <c:pt idx="2">
                  <c:v>187.61428596279396</c:v>
                </c:pt>
                <c:pt idx="3">
                  <c:v>80.880780599180738</c:v>
                </c:pt>
                <c:pt idx="4">
                  <c:v>62.238931699397348</c:v>
                </c:pt>
                <c:pt idx="5">
                  <c:v>28.228739246724377</c:v>
                </c:pt>
                <c:pt idx="6">
                  <c:v>10.568945512492082</c:v>
                </c:pt>
                <c:pt idx="7">
                  <c:v>38.108694114226005</c:v>
                </c:pt>
                <c:pt idx="8">
                  <c:v>16.267363772418005</c:v>
                </c:pt>
                <c:pt idx="9">
                  <c:v>17.827556392153447</c:v>
                </c:pt>
                <c:pt idx="10">
                  <c:v>13.825515364555063</c:v>
                </c:pt>
                <c:pt idx="11">
                  <c:v>1.5904189103725501</c:v>
                </c:pt>
                <c:pt idx="12">
                  <c:v>0.13199481610971622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ser>
          <c:idx val="1"/>
          <c:order val="1"/>
          <c:tx>
            <c:strRef>
              <c:f>'Capex 15yr View'!$B$24</c:f>
              <c:strCache>
                <c:ptCount val="1"/>
                <c:pt idx="0">
                  <c:v>Connection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'Capex 15yr View'!$C$22:$Q$22</c:f>
              <c:numCache>
                <c:formatCode>0</c:formatCode>
                <c:ptCount val="1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</c:numCache>
            </c:numRef>
          </c:cat>
          <c:val>
            <c:numRef>
              <c:f>'Capex 15yr View'!$C$24:$Q$24</c:f>
              <c:numCache>
                <c:formatCode>0.0</c:formatCode>
                <c:ptCount val="15"/>
                <c:pt idx="0">
                  <c:v>14.445967478767665</c:v>
                </c:pt>
                <c:pt idx="1">
                  <c:v>24.843690978745208</c:v>
                </c:pt>
                <c:pt idx="2">
                  <c:v>33.510833524874812</c:v>
                </c:pt>
                <c:pt idx="3">
                  <c:v>26.586331486831948</c:v>
                </c:pt>
                <c:pt idx="4">
                  <c:v>39.285566817350102</c:v>
                </c:pt>
                <c:pt idx="5">
                  <c:v>12.783308674989454</c:v>
                </c:pt>
                <c:pt idx="6">
                  <c:v>20.141357340660683</c:v>
                </c:pt>
                <c:pt idx="7">
                  <c:v>2.8171807433477745</c:v>
                </c:pt>
                <c:pt idx="8">
                  <c:v>3.6680455778670011</c:v>
                </c:pt>
                <c:pt idx="9">
                  <c:v>0</c:v>
                </c:pt>
                <c:pt idx="10">
                  <c:v>8.4334420893101406E-2</c:v>
                </c:pt>
                <c:pt idx="11">
                  <c:v>1.2498076207092821</c:v>
                </c:pt>
                <c:pt idx="12">
                  <c:v>4.9868070349059153</c:v>
                </c:pt>
                <c:pt idx="13">
                  <c:v>6.3729012505686425E-3</c:v>
                </c:pt>
                <c:pt idx="14">
                  <c:v>0</c:v>
                </c:pt>
              </c:numCache>
            </c:numRef>
          </c:val>
        </c:ser>
        <c:ser>
          <c:idx val="2"/>
          <c:order val="2"/>
          <c:tx>
            <c:strRef>
              <c:f>'Capex 15yr View'!$B$25</c:f>
              <c:strCache>
                <c:ptCount val="1"/>
                <c:pt idx="0">
                  <c:v>Replacement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'Capex 15yr View'!$C$22:$Q$22</c:f>
              <c:numCache>
                <c:formatCode>0</c:formatCode>
                <c:ptCount val="1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</c:numCache>
            </c:numRef>
          </c:cat>
          <c:val>
            <c:numRef>
              <c:f>'Capex 15yr View'!$C$25:$Q$25</c:f>
              <c:numCache>
                <c:formatCode>0.0</c:formatCode>
                <c:ptCount val="15"/>
                <c:pt idx="0">
                  <c:v>67.700169625072178</c:v>
                </c:pt>
                <c:pt idx="1">
                  <c:v>41.804287704619341</c:v>
                </c:pt>
                <c:pt idx="2">
                  <c:v>22.263252722408179</c:v>
                </c:pt>
                <c:pt idx="3">
                  <c:v>52.723948518189943</c:v>
                </c:pt>
                <c:pt idx="4">
                  <c:v>76.695137466455961</c:v>
                </c:pt>
                <c:pt idx="5">
                  <c:v>69.381685360246692</c:v>
                </c:pt>
                <c:pt idx="6">
                  <c:v>59.728815963151703</c:v>
                </c:pt>
                <c:pt idx="7">
                  <c:v>77.027932158673551</c:v>
                </c:pt>
                <c:pt idx="8">
                  <c:v>74.347227507267021</c:v>
                </c:pt>
                <c:pt idx="9">
                  <c:v>69.062252061825021</c:v>
                </c:pt>
                <c:pt idx="10">
                  <c:v>32.006130987790364</c:v>
                </c:pt>
                <c:pt idx="11">
                  <c:v>34.806087528098914</c:v>
                </c:pt>
                <c:pt idx="12">
                  <c:v>37.735786888925162</c:v>
                </c:pt>
                <c:pt idx="13">
                  <c:v>43.067724336845338</c:v>
                </c:pt>
                <c:pt idx="14">
                  <c:v>19.038431563338143</c:v>
                </c:pt>
              </c:numCache>
            </c:numRef>
          </c:val>
        </c:ser>
        <c:ser>
          <c:idx val="3"/>
          <c:order val="3"/>
          <c:tx>
            <c:strRef>
              <c:f>'Capex 15yr View'!$B$26</c:f>
              <c:strCache>
                <c:ptCount val="1"/>
                <c:pt idx="0">
                  <c:v>Refurbishment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'Capex 15yr View'!$C$22:$Q$22</c:f>
              <c:numCache>
                <c:formatCode>0</c:formatCode>
                <c:ptCount val="1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</c:numCache>
            </c:numRef>
          </c:cat>
          <c:val>
            <c:numRef>
              <c:f>'Capex 15yr View'!$C$26:$Q$26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2.1796523308557498</c:v>
                </c:pt>
                <c:pt idx="6">
                  <c:v>10.586853623098319</c:v>
                </c:pt>
                <c:pt idx="7">
                  <c:v>25.53585147071275</c:v>
                </c:pt>
                <c:pt idx="8">
                  <c:v>24.057507555972002</c:v>
                </c:pt>
                <c:pt idx="9">
                  <c:v>12.551903641847588</c:v>
                </c:pt>
                <c:pt idx="10">
                  <c:v>9.9579906610875764</c:v>
                </c:pt>
                <c:pt idx="11">
                  <c:v>38.195636619357863</c:v>
                </c:pt>
                <c:pt idx="12">
                  <c:v>47.981635713612583</c:v>
                </c:pt>
                <c:pt idx="13">
                  <c:v>40.921946605191962</c:v>
                </c:pt>
                <c:pt idx="14">
                  <c:v>21.752287159685192</c:v>
                </c:pt>
              </c:numCache>
            </c:numRef>
          </c:val>
        </c:ser>
        <c:ser>
          <c:idx val="4"/>
          <c:order val="4"/>
          <c:tx>
            <c:strRef>
              <c:f>'Capex 15yr View'!$B$27</c:f>
              <c:strCache>
                <c:ptCount val="1"/>
                <c:pt idx="0">
                  <c:v>Easements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'Capex 15yr View'!$C$22:$Q$22</c:f>
              <c:numCache>
                <c:formatCode>0</c:formatCode>
                <c:ptCount val="1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</c:numCache>
            </c:numRef>
          </c:cat>
          <c:val>
            <c:numRef>
              <c:f>'Capex 15yr View'!$C$27:$Q$27</c:f>
              <c:numCache>
                <c:formatCode>0.0</c:formatCode>
                <c:ptCount val="15"/>
                <c:pt idx="0">
                  <c:v>1.4690814385187454</c:v>
                </c:pt>
                <c:pt idx="1">
                  <c:v>0.23888164402639625</c:v>
                </c:pt>
                <c:pt idx="2">
                  <c:v>1.3914532951505112</c:v>
                </c:pt>
                <c:pt idx="3">
                  <c:v>13.797969505824177</c:v>
                </c:pt>
                <c:pt idx="4">
                  <c:v>16.001143787965631</c:v>
                </c:pt>
                <c:pt idx="5">
                  <c:v>6.0959816168056751</c:v>
                </c:pt>
                <c:pt idx="6">
                  <c:v>5.8896615529097209</c:v>
                </c:pt>
                <c:pt idx="7">
                  <c:v>4.6631332177257381</c:v>
                </c:pt>
                <c:pt idx="8">
                  <c:v>9.5848769757510031</c:v>
                </c:pt>
                <c:pt idx="9">
                  <c:v>-7.9069551335967589E-2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ser>
          <c:idx val="5"/>
          <c:order val="5"/>
          <c:tx>
            <c:strRef>
              <c:f>'Capex 15yr View'!$B$28</c:f>
              <c:strCache>
                <c:ptCount val="1"/>
                <c:pt idx="0">
                  <c:v>Security/ Compliance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'Capex 15yr View'!$C$22:$Q$22</c:f>
              <c:numCache>
                <c:formatCode>0</c:formatCode>
                <c:ptCount val="1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</c:numCache>
            </c:numRef>
          </c:cat>
          <c:val>
            <c:numRef>
              <c:f>'Capex 15yr View'!$C$28:$Q$28</c:f>
              <c:numCache>
                <c:formatCode>0.0</c:formatCode>
                <c:ptCount val="15"/>
                <c:pt idx="0">
                  <c:v>4.5296677687661324</c:v>
                </c:pt>
                <c:pt idx="1">
                  <c:v>9.5552657610558498</c:v>
                </c:pt>
                <c:pt idx="2">
                  <c:v>12.754988538879687</c:v>
                </c:pt>
                <c:pt idx="3">
                  <c:v>15.817184555456983</c:v>
                </c:pt>
                <c:pt idx="4">
                  <c:v>26.263946355419449</c:v>
                </c:pt>
                <c:pt idx="5">
                  <c:v>6.5015976235271173</c:v>
                </c:pt>
                <c:pt idx="6">
                  <c:v>3.1939641975357316</c:v>
                </c:pt>
                <c:pt idx="7">
                  <c:v>12.516675412059149</c:v>
                </c:pt>
                <c:pt idx="8">
                  <c:v>15.133165473096007</c:v>
                </c:pt>
                <c:pt idx="9">
                  <c:v>39.114764036898855</c:v>
                </c:pt>
                <c:pt idx="10">
                  <c:v>22.413574445720432</c:v>
                </c:pt>
                <c:pt idx="11">
                  <c:v>12.477065374120471</c:v>
                </c:pt>
                <c:pt idx="12">
                  <c:v>4.9031030201736003</c:v>
                </c:pt>
                <c:pt idx="13">
                  <c:v>3.4783921296408553</c:v>
                </c:pt>
                <c:pt idx="14">
                  <c:v>2.9569019379523982</c:v>
                </c:pt>
              </c:numCache>
            </c:numRef>
          </c:val>
        </c:ser>
        <c:ser>
          <c:idx val="6"/>
          <c:order val="6"/>
          <c:tx>
            <c:strRef>
              <c:f>'Capex 15yr View'!$B$29</c:f>
              <c:strCache>
                <c:ptCount val="1"/>
                <c:pt idx="0">
                  <c:v>Inventory/Spares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'Capex 15yr View'!$C$22:$Q$22</c:f>
              <c:numCache>
                <c:formatCode>0</c:formatCode>
                <c:ptCount val="1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</c:numCache>
            </c:numRef>
          </c:cat>
          <c:val>
            <c:numRef>
              <c:f>'Capex 15yr View'!$C$29:$Q$29</c:f>
              <c:numCache>
                <c:formatCode>0.0</c:formatCode>
                <c:ptCount val="15"/>
                <c:pt idx="0">
                  <c:v>4.6520912219760273</c:v>
                </c:pt>
                <c:pt idx="1">
                  <c:v>2.8665797283167547</c:v>
                </c:pt>
                <c:pt idx="2">
                  <c:v>2.5509977077759376</c:v>
                </c:pt>
                <c:pt idx="3">
                  <c:v>2.6922867328437414</c:v>
                </c:pt>
                <c:pt idx="4">
                  <c:v>4.5244613469420054</c:v>
                </c:pt>
                <c:pt idx="5">
                  <c:v>0.57533428321804569</c:v>
                </c:pt>
                <c:pt idx="6">
                  <c:v>2.1953236766703377</c:v>
                </c:pt>
                <c:pt idx="7">
                  <c:v>1.8380683227770629</c:v>
                </c:pt>
                <c:pt idx="8">
                  <c:v>4.4244156394350007</c:v>
                </c:pt>
                <c:pt idx="9">
                  <c:v>4.5017601317595997</c:v>
                </c:pt>
                <c:pt idx="10">
                  <c:v>2.3026802559468202</c:v>
                </c:pt>
                <c:pt idx="11">
                  <c:v>2.3080121330200827</c:v>
                </c:pt>
                <c:pt idx="12">
                  <c:v>2.2925712319475524</c:v>
                </c:pt>
                <c:pt idx="13">
                  <c:v>2.2956959245813593</c:v>
                </c:pt>
                <c:pt idx="14">
                  <c:v>2.2974542880650159</c:v>
                </c:pt>
              </c:numCache>
            </c:numRef>
          </c:val>
        </c:ser>
        <c:ser>
          <c:idx val="7"/>
          <c:order val="7"/>
          <c:tx>
            <c:strRef>
              <c:f>'Capex 15yr View'!$B$30</c:f>
              <c:strCache>
                <c:ptCount val="1"/>
                <c:pt idx="0">
                  <c:v>Information Technology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'Capex 15yr View'!$C$22:$Q$22</c:f>
              <c:numCache>
                <c:formatCode>0</c:formatCode>
                <c:ptCount val="1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</c:numCache>
            </c:numRef>
          </c:cat>
          <c:val>
            <c:numRef>
              <c:f>'Capex 15yr View'!$C$30:$Q$30</c:f>
              <c:numCache>
                <c:formatCode>0.0</c:formatCode>
                <c:ptCount val="15"/>
                <c:pt idx="0">
                  <c:v>7.8351010054333097</c:v>
                </c:pt>
                <c:pt idx="1">
                  <c:v>6.9275676767654906</c:v>
                </c:pt>
                <c:pt idx="2">
                  <c:v>8.46467421216561</c:v>
                </c:pt>
                <c:pt idx="3">
                  <c:v>8.6377532678736717</c:v>
                </c:pt>
                <c:pt idx="4">
                  <c:v>14.014794903942311</c:v>
                </c:pt>
                <c:pt idx="5">
                  <c:v>13.25190190380712</c:v>
                </c:pt>
                <c:pt idx="6">
                  <c:v>7.4908573247614072</c:v>
                </c:pt>
                <c:pt idx="7">
                  <c:v>10.229609445914482</c:v>
                </c:pt>
                <c:pt idx="8">
                  <c:v>13.736061420345004</c:v>
                </c:pt>
                <c:pt idx="9">
                  <c:v>12.491433890173571</c:v>
                </c:pt>
                <c:pt idx="10">
                  <c:v>14.571696358170698</c:v>
                </c:pt>
                <c:pt idx="11">
                  <c:v>7.9928678817225078</c:v>
                </c:pt>
                <c:pt idx="12">
                  <c:v>9.0099631902490902</c:v>
                </c:pt>
                <c:pt idx="13">
                  <c:v>9.3547824852610137</c:v>
                </c:pt>
                <c:pt idx="14">
                  <c:v>6.5305684419209609</c:v>
                </c:pt>
              </c:numCache>
            </c:numRef>
          </c:val>
        </c:ser>
        <c:ser>
          <c:idx val="8"/>
          <c:order val="8"/>
          <c:tx>
            <c:strRef>
              <c:f>'Capex 15yr View'!$B$31</c:f>
              <c:strCache>
                <c:ptCount val="1"/>
                <c:pt idx="0">
                  <c:v>Facilities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'Capex 15yr View'!$C$22:$Q$22</c:f>
              <c:numCache>
                <c:formatCode>0</c:formatCode>
                <c:ptCount val="1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</c:numCache>
            </c:numRef>
          </c:cat>
          <c:val>
            <c:numRef>
              <c:f>'Capex 15yr View'!$C$31:$Q$31</c:f>
              <c:numCache>
                <c:formatCode>0.0</c:formatCode>
                <c:ptCount val="15"/>
                <c:pt idx="0">
                  <c:v>1.1018110788890592</c:v>
                </c:pt>
                <c:pt idx="1">
                  <c:v>3.3443430163695469</c:v>
                </c:pt>
                <c:pt idx="2">
                  <c:v>0.81168108883779821</c:v>
                </c:pt>
                <c:pt idx="3">
                  <c:v>1.3461433664218707</c:v>
                </c:pt>
                <c:pt idx="4">
                  <c:v>2.096701599802393</c:v>
                </c:pt>
                <c:pt idx="5">
                  <c:v>1.2969038109646114</c:v>
                </c:pt>
                <c:pt idx="6">
                  <c:v>0.72896544350089909</c:v>
                </c:pt>
                <c:pt idx="7">
                  <c:v>0.9078512404805813</c:v>
                </c:pt>
                <c:pt idx="8">
                  <c:v>2.8958831266860003</c:v>
                </c:pt>
                <c:pt idx="9">
                  <c:v>4.8135962526582228</c:v>
                </c:pt>
                <c:pt idx="10">
                  <c:v>1.4766230250199501</c:v>
                </c:pt>
                <c:pt idx="11">
                  <c:v>1.1520524078218526</c:v>
                </c:pt>
                <c:pt idx="12">
                  <c:v>1.5011450756206841</c:v>
                </c:pt>
                <c:pt idx="13">
                  <c:v>1.1250693926290236</c:v>
                </c:pt>
                <c:pt idx="14">
                  <c:v>0.65939100007382101</c:v>
                </c:pt>
              </c:numCache>
            </c:numRef>
          </c:val>
        </c:ser>
        <c:ser>
          <c:idx val="9"/>
          <c:order val="9"/>
          <c:tx>
            <c:strRef>
              <c:f>'Capex 15yr View'!$B$32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'Capex 15yr View'!$C$22:$Q$22</c:f>
              <c:numCache>
                <c:formatCode>0</c:formatCode>
                <c:ptCount val="1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</c:numCache>
            </c:numRef>
          </c:cat>
          <c:val>
            <c:numRef>
              <c:f>'Capex 15yr View'!$C$32:$Q$32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3.0901108718759413E-2</c:v>
                </c:pt>
                <c:pt idx="8">
                  <c:v>0.95640274451700014</c:v>
                </c:pt>
                <c:pt idx="9">
                  <c:v>3.0237587892393969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35804040"/>
        <c:axId val="435800904"/>
      </c:barChart>
      <c:catAx>
        <c:axId val="4358040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5800904"/>
        <c:crosses val="autoZero"/>
        <c:auto val="1"/>
        <c:lblAlgn val="ctr"/>
        <c:lblOffset val="100"/>
        <c:noMultiLvlLbl val="0"/>
      </c:catAx>
      <c:valAx>
        <c:axId val="43580090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5804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568324</xdr:colOff>
      <xdr:row>3</xdr:row>
      <xdr:rowOff>25400</xdr:rowOff>
    </xdr:from>
    <xdr:to>
      <xdr:col>26</xdr:col>
      <xdr:colOff>577849</xdr:colOff>
      <xdr:row>34</xdr:row>
      <xdr:rowOff>88900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port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"/>
    </sheetNames>
    <sheetDataSet>
      <sheetData sheetId="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obertson, Ian (ENet)" refreshedDate="42821.809964236112" createdVersion="5" refreshedVersion="5" minRefreshableVersion="3" recordCount="339">
  <cacheSource type="worksheet">
    <worksheetSource ref="A22:AI361" sheet="Incurred"/>
  </cacheSource>
  <cacheFields count="35">
    <cacheField name="Project Definition" numFmtId="0">
      <sharedItems containsBlank="1" count="417">
        <s v="EC.10161"/>
        <s v="EC.10344"/>
        <s v="EC.10370"/>
        <s v="EC.10424"/>
        <s v="EC.10503"/>
        <s v="EC.10505"/>
        <s v="EC.10509"/>
        <s v="EC.10517"/>
        <s v="EC.10615"/>
        <s v="EC.10703"/>
        <s v="EC.11101"/>
        <s v="EC.11104"/>
        <s v="EC.11109"/>
        <s v="EC.11110"/>
        <s v="EC.11112"/>
        <s v="EC.11132"/>
        <s v="EC.11134"/>
        <s v="EC.11139"/>
        <s v="EC.11201"/>
        <s v="EC.11208"/>
        <s v="EC.11209"/>
        <s v="EC.11216"/>
        <s v="EC.11217"/>
        <s v="EC.11218"/>
        <s v="EC.11220"/>
        <s v="EC.11234"/>
        <s v="EC.11236"/>
        <s v="EC.11239"/>
        <s v="EC.11242"/>
        <s v="EC.11302"/>
        <s v="EC.11316"/>
        <s v="EC.11330"/>
        <s v="EC.11379"/>
        <s v="EC.11380"/>
        <s v="EC.11383"/>
        <s v="EC.11384"/>
        <s v="EC.11386"/>
        <s v="EC.11390"/>
        <s v="EC.11398"/>
        <s v="EC.11399"/>
        <s v="EC.11426"/>
        <s v="EC.11434"/>
        <s v="EC.11435"/>
        <s v="EC.11437"/>
        <s v="EC.11439"/>
        <s v="EC.11441"/>
        <s v="EC.11444"/>
        <s v="EC.11445"/>
        <s v="EC.11446"/>
        <s v="EC.11447"/>
        <s v="EC.11449"/>
        <s v="EC.11451"/>
        <s v="EC.11452"/>
        <s v="EC.11454"/>
        <s v="EC.11461"/>
        <s v="EC.11463"/>
        <s v="EC.11470"/>
        <s v="EC.11471"/>
        <s v="EC.11504"/>
        <s v="EC.11505"/>
        <s v="EC.11509"/>
        <s v="EC.11513"/>
        <s v="EC.11516"/>
        <s v="EC.11523"/>
        <s v="EC.11526"/>
        <s v="EC.11528"/>
        <s v="EC.11533"/>
        <s v="EC.11543"/>
        <s v="EC.11549"/>
        <s v="EC.11551"/>
        <s v="EC.11553"/>
        <s v="EC.11558"/>
        <s v="EC.11559"/>
        <s v="EC.11560"/>
        <s v="EC.11562"/>
        <s v="EC.11566"/>
        <s v="EC.11567"/>
        <s v="EC.11575"/>
        <s v="EC.11576"/>
        <s v="EC.11581"/>
        <s v="EC.11594"/>
        <s v="EC.11602"/>
        <s v="EC.11606"/>
        <s v="EC.11610"/>
        <s v="EC.11615"/>
        <s v="EC.11618"/>
        <s v="EC.11619"/>
        <s v="EC.11623"/>
        <s v="EC.11624"/>
        <s v="EC.11630"/>
        <s v="EC.11645"/>
        <s v="EC.11646"/>
        <s v="EC.11648"/>
        <s v="EC.11649"/>
        <s v="EC.11650"/>
        <s v="EC.11652"/>
        <s v="EC.11656"/>
        <s v="EC.11659"/>
        <s v="EC.11660"/>
        <s v="EC.11661"/>
        <s v="EC.11662"/>
        <s v="EC.11670"/>
        <s v="EC.11671"/>
        <s v="EC.11672"/>
        <s v="EC.11673"/>
        <s v="EC.11681"/>
        <s v="EC.11694"/>
        <s v="EC.11709"/>
        <s v="EC.11712"/>
        <s v="EC.11717"/>
        <s v="EC.11731"/>
        <s v="EC.11732"/>
        <s v="EC.11733"/>
        <s v="EC.11734"/>
        <s v="EC.11735"/>
        <s v="EC.11738"/>
        <s v="EC.11739"/>
        <s v="EC.11741"/>
        <s v="EC.11742"/>
        <s v="EC.11744"/>
        <s v="EC.11745"/>
        <s v="EC.11747"/>
        <s v="EC.11749"/>
        <s v="EC.11751"/>
        <s v="EC.11781"/>
        <s v="EC.11794"/>
        <s v="EC.11808"/>
        <s v="EC.11809"/>
        <s v="EC.11811"/>
        <s v="EC.11816"/>
        <s v="EC.11822"/>
        <s v="EC.11824"/>
        <s v="EC.11826"/>
        <s v="EC.11829"/>
        <s v="EC.11847"/>
        <s v="EC.11852"/>
        <s v="EC.11854"/>
        <s v="EC.11861"/>
        <s v="EC.11862"/>
        <s v="EC.11865"/>
        <s v="EC.11870"/>
        <s v="EC.11871"/>
        <s v="EC.11872"/>
        <s v="EC.11873"/>
        <s v="EC.11880"/>
        <s v="EC.11881"/>
        <s v="EC.11882"/>
        <s v="EC.11890"/>
        <s v="EC.11894"/>
        <s v="EC.11895"/>
        <s v="EC.11899"/>
        <s v="EC.11900"/>
        <s v="EC.11905"/>
        <s v="EC.11907"/>
        <s v="EC.11915"/>
        <s v="EC.11916"/>
        <s v="EC.11917"/>
        <s v="EC.11994"/>
        <s v="EC.12002"/>
        <s v="EC.12004"/>
        <s v="EC.12005"/>
        <s v="EC.12008"/>
        <s v="EC.12010"/>
        <s v="EC.12013"/>
        <s v="EC.12014"/>
        <s v="EC.12017"/>
        <s v="EC.12021"/>
        <s v="EC.12027"/>
        <s v="EC.12028"/>
        <s v="EC.12030"/>
        <s v="EC.12070"/>
        <s v="EC.12071"/>
        <s v="EC.12072"/>
        <s v="EC.12073"/>
        <s v="EC.12094"/>
        <s v="EC.12101"/>
        <s v="EC.12105"/>
        <s v="EC.12106"/>
        <s v="EC.12108"/>
        <s v="EC.12111"/>
        <s v="EC.12115"/>
        <s v="EC.12203"/>
        <s v="EC.12204"/>
        <s v="EC.12205"/>
        <s v="EC.12207"/>
        <s v="EC.12210"/>
        <s v="EC.12211"/>
        <s v="EC.12301"/>
        <s v="EC.12330"/>
        <s v="EC.12334"/>
        <s v="EC.12335"/>
        <s v="EC.12336"/>
        <s v="EC.12400"/>
        <s v="EC.12402"/>
        <s v="EC.12403"/>
        <s v="EC.12404"/>
        <s v="EC.12406"/>
        <s v="EC.12500"/>
        <s v="EC.14006"/>
        <s v="EC.14007"/>
        <s v="EC.14008"/>
        <s v="EC.14009"/>
        <s v="EC.14010"/>
        <s v="EC.14011"/>
        <s v="EC.14012"/>
        <s v="EC.14013"/>
        <s v="EC.14014"/>
        <s v="EC.14015"/>
        <s v="EC.14016"/>
        <s v="EC.14017"/>
        <s v="EC.14018"/>
        <s v="EC.14019"/>
        <s v="EC.14020"/>
        <s v="EC.14024"/>
        <s v="EC.14026"/>
        <s v="EC.14027"/>
        <s v="EC.14028"/>
        <s v="EC.14029"/>
        <s v="EC.14030"/>
        <s v="EC.14031"/>
        <s v="EC.14032"/>
        <s v="EC.14033"/>
        <s v="EC.14034"/>
        <s v="EC.14038"/>
        <s v="EC.14039"/>
        <s v="EC.14040"/>
        <s v="EC.14042"/>
        <s v="EC.14045"/>
        <s v="EC.14046"/>
        <s v="EC.14047"/>
        <s v="EC.14049"/>
        <s v="EC.14051"/>
        <s v="EC.14053"/>
        <s v="EC.14056"/>
        <s v="EC.14057"/>
        <s v="EC.14058"/>
        <s v="EC.14059"/>
        <s v="EC.14060"/>
        <s v="EC.14061"/>
        <s v="EC.14062"/>
        <s v="EC.14066"/>
        <s v="EC.14067"/>
        <s v="EC.14068"/>
        <s v="EC.14069"/>
        <s v="EC.14070"/>
        <s v="EC.14071"/>
        <s v="EC.14074"/>
        <s v="EC.14075"/>
        <s v="EC.14076"/>
        <s v="EC.14077"/>
        <s v="EC.14079"/>
        <s v="EC.14080"/>
        <s v="EC.14081"/>
        <s v="EC.14084"/>
        <s v="EC.14085"/>
        <s v="EC.14086"/>
        <s v="EC.14088"/>
        <s v="EC.14089"/>
        <s v="EC.14090"/>
        <s v="EC.14091"/>
        <s v="EC.14099"/>
        <s v="EC.14100"/>
        <s v="EC.14101"/>
        <s v="EC.14102"/>
        <s v="EC.14103"/>
        <s v="EC.14104"/>
        <s v="EC.14105"/>
        <s v="EC.14108"/>
        <s v="EC.14111"/>
        <s v="EC.14113"/>
        <s v="EC.14114"/>
        <s v="EC.14115"/>
        <s v="EC.14116"/>
        <s v="EC.14118"/>
        <s v="EC.14119"/>
        <s v="EC.14120"/>
        <s v="EC.14121"/>
        <s v="EC.14122"/>
        <s v="EC.14126"/>
        <s v="EC.14127"/>
        <s v="EC.14128"/>
        <s v="EC.14129"/>
        <s v="EC.14130"/>
        <s v="EC.14131"/>
        <s v="EC.14132"/>
        <s v="EC.14133"/>
        <s v="EC.14134"/>
        <s v="EC.14135"/>
        <s v="EC.14136"/>
        <s v="EC.14137"/>
        <s v="EC.14145"/>
        <s v="EC.14164"/>
        <s v="EC.14170"/>
        <s v="EC.14171"/>
        <s v="EC.14172"/>
        <s v="EC.14174"/>
        <s v="EC.14176"/>
        <s v="EC.14178"/>
        <s v="EC.14179"/>
        <s v="EC.14180"/>
        <s v="EC.14182"/>
        <s v="EC.14184"/>
        <s v="EC.14185"/>
        <s v="EC.14187"/>
        <s v="EC.14188"/>
        <s v="EC.14189"/>
        <s v="EC.14190"/>
        <s v="EC.14191"/>
        <s v="EC.14193"/>
        <s v="EC.14196"/>
        <s v="EC.14198"/>
        <s v="EC.14199"/>
        <s v="EC.14200"/>
        <s v="EC.14201"/>
        <s v="EC.14202"/>
        <s v="EC.14203"/>
        <s v="EC.14205"/>
        <s v="EC.14206"/>
        <s v="EC.14207"/>
        <s v="EC.14209"/>
        <s v="EC.14210"/>
        <s v="EC.14214"/>
        <s v="EC.14215"/>
        <s v="EC.14216"/>
        <s v="EC.11316F18"/>
        <s v="EC.11890F18"/>
        <s v="EC.11316F19"/>
        <s v="EC.11890F19"/>
        <s v="EC.14081F20"/>
        <s v="EC.14081F21"/>
        <s v="EC.14081F22"/>
        <s v="EC.14084F22"/>
        <s v="EC.14081F23"/>
        <s v="EC.14084F23"/>
        <s v="EC.11816F18"/>
        <s v="EC.14218"/>
        <s v="EC.14055"/>
        <m/>
        <s v="EC.11017" u="1"/>
        <s v="EC.11459" u="1"/>
        <s v="EC.11554" u="1"/>
        <s v="EC.11338" u="1"/>
        <s v="EC.10259" u="1"/>
        <s v="EC.10313" u="1"/>
        <s v="EC.11307" u="1"/>
        <s v="EC.11348" u="1"/>
        <s v="EC.11312" u="1"/>
        <s v="EC.11322" u="1"/>
        <s v="EC.11453" u="1"/>
        <s v="EC.10338" u="1"/>
        <s v="EC.11363" u="1"/>
        <s v="EC.11458" u="1"/>
        <s v="EC.11494" u="1"/>
        <s v="EC.11247" u="1"/>
        <s v="EC.11211" u="1"/>
        <s v="EC.11378" u="1"/>
        <s v="EC.11432" u="1"/>
        <s v="EC.11658" u="1"/>
        <s v="EC.11126" u="1"/>
        <s v="EC.11473" u="1"/>
        <s v="EC.11902" u="1"/>
        <s v="EC.10913" u="1"/>
        <s v="EC.11442" u="1"/>
        <s v="EC.11005" u="1"/>
        <s v="EC.11912" u="1"/>
        <s v="EC.11457" u="1"/>
        <s v="EC.11827" u="1"/>
        <s v="EC.10617" u="1"/>
        <s v="EC.11462" u="1"/>
        <s v="EC.11706" u="1"/>
        <s v="EC.11246" u="1"/>
        <s v="EC.11521" u="1"/>
        <s v="EC.11210" u="1"/>
        <s v="EC.11400" u="1"/>
        <s v="EC.11472" u="1"/>
        <s v="EC.11387" u="1"/>
        <s v="EC.11130" u="1"/>
        <s v="EC.11351" u="1"/>
        <s v="EC.11482" u="1"/>
        <s v="EC.11392" u="1"/>
        <s v="EC.11541" u="1"/>
        <s v="EC.10922" u="1"/>
        <s v="EC.11510" u="1"/>
        <s v="EC.10616" u="1"/>
        <s v="EC.11366" u="1"/>
        <s v="EC.10801" u="1"/>
        <s v="EC.11204" u="1"/>
        <s v="EC.10716" u="1"/>
        <s v="EC.11304" u="1"/>
        <s v="EC.11124" u="1"/>
        <s v="EC.11345" u="1"/>
        <s v="EC.11620" u="1"/>
        <s v="EC.11129" u="1"/>
        <s v="EC.11625" u="1"/>
        <s v="EC.11815" u="1"/>
        <s v="EC.11008" u="1"/>
        <s v="EC.11481" u="1"/>
        <s v="EC.10921" u="1"/>
        <s v="EC.11396" u="1"/>
        <s v="EC.11013" u="1"/>
        <s v="EC.11108" u="1"/>
        <s v="EC.11360" u="1"/>
        <s v="EC.10371" u="1"/>
        <s v="EC.11203" u="1"/>
        <s v="EC.11460" u="1"/>
        <s v="EC.11303" u="1"/>
        <s v="EC.11524" u="1"/>
        <s v="EC.10386" u="1"/>
        <s v="EC.11123" u="1"/>
        <s v="EC.11565" u="1"/>
        <s v="EC.10504" u="1"/>
        <s v="EC.11385" u="1"/>
        <s v="EC.11539" u="1"/>
        <s v="EC.11359" u="1"/>
        <s v="EC.11413" u="1"/>
        <s v="EC.11102" u="1"/>
        <s v="EC.11395" u="1"/>
      </sharedItems>
    </cacheField>
    <cacheField name="Title" numFmtId="0">
      <sharedItems containsBlank="1" count="405">
        <s v="Adelaide Central Reinforcement"/>
        <s v="Heywood Interconnector Upgrade"/>
        <s v="Clare North New 132_33 kV Substation"/>
        <s v="Riverland Reinforcement Land and Easemen"/>
        <s v="Waterloo Substation Replacement"/>
        <s v="Millbrook Pump Station Replacement"/>
        <s v="Whyalla Terminal Substation Replac"/>
        <s v="South East CB Upgrade"/>
        <s v="Ardrossan West 132kV Sub Rebuild 2x25MVA"/>
        <s v="SVC Secondary Systems Replacement (Para)"/>
        <s v="Cultana 275_132 kV Augmentation"/>
        <s v="Northern SA Region Voltage Support"/>
        <s v="TIPS 66kV Section Secondary Systems Upg."/>
        <s v="CLSD Eyre Peninsula Land &amp; Easement Acqu"/>
        <s v="[CLSD] Para-PGW-TIPS Telecoms Bearer"/>
        <s v="Fleurieu Peninsula Reinforcement Land an"/>
        <s v="Integrated Budgeting &amp; Forecasting"/>
        <s v="Business Process Improvement - Stage 1"/>
        <s v="Eyre Peninsula Reinforcement"/>
        <s v="Parafield Gardens West CB Complete Mesh"/>
        <s v="Munno Para New 275_66 kV Connection Poin"/>
        <s v="South East Dual Path Telecommunications"/>
        <s v="Asset Data Capture"/>
        <s v="Network Configuration Management System"/>
        <s v="Integrated Information Environment"/>
        <s v="Drawing Management System Tech Upgrade 1"/>
        <s v="IEC 61850 Training &amp; Development Facilit"/>
        <s v="CLSD SAEs for 2013-2018 Capital Projects"/>
        <s v="Aerial Services Implementation"/>
        <s v="Para 275Kv Secondary Systems &amp; Minor Pri"/>
        <s v="SA Water Pump Stations Transformer Repla"/>
        <s v="Alstom EMS Upgrade Stage 2"/>
        <s v="Energy Management System Functional Enha"/>
        <s v="Yadnarie Reactor Replacement"/>
        <s v=" Mt Barker South Triple Circuit Easement"/>
        <s v="Security and Video System Consolidation"/>
        <s v="Business Process Improvement - Stage 2"/>
        <s v="Tailem Bend 132kV Reactive Power Support"/>
        <s v="People Management System"/>
        <s v="Risk Management System"/>
        <s v="NCIPAP 4 W'oo East to Rob'town 132kv Upr"/>
        <s v="Enterprise Capture of IED Data"/>
        <s v="Outage Optimisation Improvements"/>
        <s v="BUCC Hardware Replacement"/>
        <s v="300 Pirie St Emergency Supplies 2013-14"/>
        <s v=" Para-Brinkworth-Davenport Hazard Mitiga"/>
        <s v="Penola West to South East Line Refurb"/>
        <s v="Tailem Bend to Keith #2 Line Refurb"/>
        <s v="Brinkworth to Mintaro Line Refurbishment"/>
        <s v="Magill to Happy Valley Line Reinsulation"/>
        <s v="(CLSD) Switching Manual Rewrite"/>
        <s v="BUCC Project Back Up Control Centre Upgr"/>
        <s v="Project Delivery Optimisation"/>
        <s v="Safety in Design Processes"/>
        <s v="Cultana to Stony Point Land and Easement"/>
        <s v="Emergency Unit Asset Replacement 2013-18"/>
        <s v="IT Hardware 1"/>
        <s v="IT Software 1"/>
        <s v="[CLSD]-Neuroodla Substation Replacement"/>
        <s v="[CLSD]-Mt Gunson Substation Replacement"/>
        <s v="Bungama Second 275_132kV Transformer"/>
        <s v="Business Reporting"/>
        <s v="Asset Managment Optimisation"/>
        <s v="IT Systems Management"/>
        <s v="Teleco Network Management Systems Upgrad"/>
        <s v="South East Backbone Telecoms Stage 2"/>
        <s v="Business Intelligence Upgrade 1"/>
        <s v="Magill Telecomms Bearer"/>
        <s v="Switching System Writer Application"/>
        <s v="Control Room Asset Replacement"/>
        <s v="South East Substation to Heywood Telecom"/>
        <s v="Electrical 300 Pirie Street 2014-15"/>
        <s v="Vehicle Purchases 2014-15"/>
        <s v="Magill - East Terrace Cable Pit Construc"/>
        <s v="Transmission Line Inspection Data Analys"/>
        <s v="Integrated Project and Resource Model"/>
        <s v="Accounts Payable Optimisation"/>
        <s v="Substation Operational Data Network Repl"/>
        <s v="PSS_E Computing Power Increase"/>
        <s v="Furniture and Building Upgrades 2014-15"/>
        <s v="Inventory Purchases 2014-15"/>
        <s v="Tailem Bend Substation Upgrade"/>
        <s v="IT Storage Computer Hardware Refurb19-20"/>
        <s v="LAN Corporate Refresh 17-18"/>
        <s v="Asset Design Manuals (ADM) Major Rewrite"/>
        <s v="Carpet - Keswick 2014-15"/>
        <s v="Fire Protection 300 Pirie 2015-16"/>
        <s v="Robertstown Telecoms Bearer"/>
        <s v="Mid North OPGW Bearer"/>
        <s v="Eyre Peninsula Reinforcement Land and Ea"/>
        <s v="Reactive Plant Control Scheme"/>
        <s v="Eyre Peninsula &amp; Upper NorthVoltage"/>
        <s v="UPS &amp; Battery Bank - BUCC 2015-16"/>
        <s v="CLSD-Mechanical 300 Pirie Street 2015-16"/>
        <s v="Electrical 300 Pirie Street 2015-16"/>
        <s v="CLSD-Vehicle Purchases 2015-16"/>
        <s v="Vegetation Management Analysis Tools"/>
        <s v="Substation and Telecommunication Buildin"/>
        <s v="Substation Battery Charger Replacement"/>
        <s v="Substation Computer Based Local Control"/>
        <s v="Tower Fall Arrestor Replacement and Audi"/>
        <s v="IT Hardware 2"/>
        <s v="IT Software 2"/>
        <s v="IT Security 2"/>
        <s v="IT OCS Software 2"/>
        <s v="CLSC-Furniture and Building Upgr 2015-16"/>
        <s v="Inventory Purchases 2015-16"/>
        <s v="(CLSD)Yadnarie - Port Lincoln Backbone"/>
        <s v="Engineering Systems Functional Upgrade"/>
        <s v="CLSD-UPS Battery Bank No1 -300 Pirie St"/>
        <s v="Vehicle Purchases 2016-17"/>
        <s v="Outage Management Functional Upgrade 1"/>
        <s v="Online Asset Condition Monitoring Equipm"/>
        <s v="Network Aerial Laser Survey 2013-18"/>
        <s v="Transmission Line Design"/>
        <s v="Mallala to Para Easement Expansion"/>
        <s v="Templers to Para Easement Expansion"/>
        <s v="Database Platform Refresh 17-18"/>
        <s v="Baroota Substation Replacement"/>
        <s v="Bund Refurbishments"/>
        <s v="Riverland 132 kV Line Uprate"/>
        <s v="Substation Lighting and Infrastructure R"/>
        <s v="AC Switchboard Replacement 2013-18"/>
        <s v="Westinghouse RTU Replacement"/>
        <s v="Furniture and Building Upgrades 2016-17"/>
        <s v="Inventory Purchases 2016-17"/>
        <s v="Windows Backoffice Mgmt Sys Refresh17-18"/>
        <s v="Common Information-Connectivity Model"/>
        <s v="Outage Management Functional Upgrade 3"/>
        <s v="One IP Substation Network Stage 1"/>
        <s v="[CLSD]-Riverland Bearer"/>
        <s v="Weather Stations 2013-18"/>
        <s v="Dalrymple Substation Upgrade"/>
        <s v="Regional N-1 Secure Control Schemes"/>
        <s v="NGM CT_VT Replacement Project"/>
        <s v="Historian Upgrade 2"/>
        <s v="Telco Asset Replacement 2013-18"/>
        <s v="Telecommunications Network Optimisation"/>
        <s v="Substation VOIP Network Completion"/>
        <s v="Network Config Mngmnt System Upgrade 1"/>
        <s v="IT Hardware Refresh Maintain 16-18"/>
        <s v="Licenses, Maintenance, Minor Soft 17-18"/>
        <s v="IT Security Technology Refresh 17-18"/>
        <s v="OT Software 3"/>
        <s v="Fire Protection 300 Pirie 2017-18"/>
        <s v="Furniture and Building Upgrades 2017-18"/>
        <s v="General Utility Upgrades 2017-18"/>
        <s v="Unit Asset Replacements 2013-18"/>
        <s v="Inventory Purchases 2017-18"/>
        <s v="SAEs for 2018-23 Capital Projects"/>
        <s v="Vehicle Purchases 2017-18"/>
        <s v="Intranet Platform Refresh 16-17"/>
        <s v="Yorke Peninsula Reinforcement Land &amp; Eas"/>
        <s v="Intranet and Extranet Refresh 18-19"/>
        <s v="Furniture and Building Upgrades 2018-19"/>
        <s v="Vehicle Purchases 2018-19"/>
        <s v="Investigation&amp;Integration of New Technol"/>
        <s v="Inventory Purchases 2018-19"/>
        <s v="Local Area Network Equip Refresh 21-22"/>
        <s v="Geospatial Systems Refresh 18-19"/>
        <s v="IT Storage and Virtualisation Refurb 2"/>
        <s v="Project Portfoilo Mgmt Sys Refresh 21-22"/>
        <s v="ERP Systems Refresh"/>
        <s v="Design Standards Major Review Reset 4"/>
        <s v="Protection System Modelling and Validati"/>
        <s v="Geospatial Systems Refresh 23-24"/>
        <s v="Licenses, Maintenance, Minor Soft 22-23"/>
        <s v="Mechanical 300 Pirie St 2018-19"/>
        <s v="Furniture and Gen Bldg Upgrades 2019-20"/>
        <s v="Vehicle Purchases 2019-20"/>
        <s v="IT Hardware Refresh and Maintain 19-20"/>
        <s v="Licenses, Maintenance, Minor Soft 19-20"/>
        <s v="IT Security 4"/>
        <s v="OT Software 4"/>
        <s v="Inventory Purchases 2019-2020"/>
        <s v="Records Management"/>
        <s v="Electrical 300 Pirie St 2020 - 2021"/>
        <s v="Furniture and Gen Bldg Upgrades 2020-21"/>
        <s v="Mechanical Keswick North 2020-21"/>
        <s v="Vehicle Purchases 2020-21"/>
        <s v="Telecommunications Unit AssetReplacement"/>
        <s v="OT Software 5"/>
        <s v="Generator Replacemt 300 Pirie St 2021-22"/>
        <s v="Furniture and Gen Bldg Upgrades 2021-22"/>
        <s v="Vehicle Purchases 2021-22"/>
        <s v="IT Hardware Refresh Maintain 21-22"/>
        <s v="IT Security Technology Refresh 21-22"/>
        <s v="Automated Asset Condition Assessment"/>
        <s v="One IP Substation Network - Stage 2"/>
        <s v="Furniture and  General Building upgrades"/>
        <s v="Vehicle Purchases 2022-23"/>
        <s v="Carpet Upgrades Pirie and Rymill 2022-23"/>
        <s v="OT Software 6"/>
        <s v="IT Hardware Refresh Maintain  22-23"/>
        <s v="Licenses, Maintenance, Minor Soft 21-22"/>
        <s v="Windows Backoffice Mgmt Sys Refresh20-21"/>
        <s v="Intranet Platform Refresh 22-23"/>
        <s v="VOIP Network Refresh 2018-23"/>
        <s v="CLSD R/town-North West Bend LineCorridor"/>
        <s v="CLSD Supply Chain Management Procedure"/>
        <s v="DEFD Eyre Peninsula Islanding Controls"/>
        <s v="SICAM PAS Substation Automation System M"/>
        <s v="Automated IED configuration management"/>
        <s v="Dynamics ratings systems upgrade"/>
        <s v="Operational Data Network Architecture an"/>
        <s v="System Switching Writer Enhancement 1"/>
        <s v="Energy Mngmnt System Technical Upgrade 2"/>
        <s v="IT Architecture Support Systems Implemen"/>
        <s v="Asset Cost and Risk Optimisation"/>
        <s v="Automated IED Data Capture"/>
        <s v="Treasury and Risk Systems Implementation"/>
        <s v="Estimating System Upgrade with Maint Enh"/>
        <s v="IT Service Operation System"/>
        <s v="SCADA and RTU configuration management"/>
        <s v="Inventory Purchases 2020-21"/>
        <s v="Inventory Purchases 2021-22"/>
        <s v="Inventory Purchases 2022-23"/>
        <s v="System Control Centre Fire Suppression S"/>
        <s v="Asset Access Manual Rewrite"/>
        <s v="Protection Systems Unit Asset Replacemen"/>
        <s v="Instrument Transformer Unit Asset Replac"/>
        <s v="Circuit Breaker Unit Asset Replacement 2"/>
        <s v="Isolator Unit Asset Replacement 2018-23"/>
        <s v="NCIPAP 1 Riverland 132 kV Line Uprating"/>
        <s v="NCIPAP 2 Upper South East Line Uprating"/>
        <s v="NCIPAP 3 Lower South East 275 kV Line Up"/>
        <s v="Canowie CB Arrangement Upgrade"/>
        <s v="Battery Charger Unit Asset Replacement 2"/>
        <s v="AC Board Unit Asset Replacement 2018-23"/>
        <s v="Transformer Bushing Unit Asset Replaceme"/>
        <s v="Leigh Creek South Transformer Replacemen"/>
        <s v="Operational Data Network Establishment"/>
        <s v="ElectraNet Corporate Website Functional"/>
        <s v="Para - Davenport Additional 275 kV Syste"/>
        <s v="Pirie Precinct Led Lighting Upgrade"/>
        <s v="Server Room Critical Air Conditioning 20"/>
        <s v="CLSD-Keswick Precinct Led Lighting Upgra"/>
        <s v="Workspace Layout Refresh Stage 1"/>
        <s v="Workspace Layout Refresh Stage 2"/>
        <s v="Workspace Layout Refresh Stage 3"/>
        <s v="Eastern Hills Telecommunications Tower C"/>
        <s v="Lift Upgrade 300 Pirie Street"/>
        <s v="Murraylink Control Scheme Replacement"/>
        <s v="Telecoms Network Optimisation 2018-23"/>
        <s v="Robertstown Circuit Breaker Arrangement"/>
        <s v="Neutral Earthing Resistors and Reactors"/>
        <s v="Substation Air Conditioning Systems Unit"/>
        <s v="Line Support Systems Refurbishment 2018-"/>
        <s v="Mannum Transformer 1 and 2 Replacement"/>
        <s v="Building Security Upgrade Unit Asset Rep"/>
        <s v="Substation Security Fencing 2018-23"/>
        <s v="Line Insulator Systems Refurbishment 201"/>
        <s v="Line Conductor and Earthwire Refurbishme"/>
        <s v="Gawler East Connection Point"/>
        <s v="Stakeholder Management Sys Refresh 17-18"/>
        <s v="High Voltage Switching Training Facility"/>
        <s v="Magill High Voltage Workshop Facility"/>
        <s v="Mount Gambier Transformer 1 Replacement"/>
        <s v="Online Asset Condition Assessment Equipm"/>
        <s v="Stakeholder Mgmt Systems Refresh 23-24"/>
        <s v="Asset Data Capture 2"/>
        <s v="CLSD-Workplace Accommod Alterations 2015"/>
        <s v="Telecoms Management Systems Replacement"/>
        <s v="Operational Data Network Environment Rep"/>
        <s v="Operational Data Network Security Standa"/>
        <s v="Brinkworth - Waterloo Bearer Replacement"/>
        <s v="Advanced Analytics for Bus Intelligence"/>
        <s v="Treasury and Risk Systems Refresh"/>
        <s v="Project Opex Resource Modelling Sys Refr"/>
        <s v="Kilburn Substation Land Acquisition"/>
        <s v="IT Backup and Archiving Systems Replace"/>
        <s v="Virtual Application Capability Refresh"/>
        <s v="Database Platform Refresh 19-20"/>
        <s v="NCIPAP Load Model Enhancements Capex Com"/>
        <s v="Back Up Control and Data Centre"/>
        <s v="Project Delivery Optimisation 2"/>
        <s v="Davenport Under-voltage Load Shedding"/>
        <s v="Monash and Berri Relay Replacement"/>
        <s v="GE D20 RTU Product Upgrades"/>
        <s v="SDM Framework for C50 RTU Upgrades"/>
        <s v="HV Test Equipment 2015-16"/>
        <s v="Magill Substation TF Fire Extinguishing"/>
        <s v="Motorised Isolator LOPA Improvement"/>
        <s v="Isolator Status Indication"/>
        <s v="Dalrymple ESCRI Energy Storage"/>
        <s v="Spare 160 MVA 275_132 kV Transformer"/>
        <s v="Electric Vehicle Fleet and Charging Infr"/>
        <s v="Rymill Building Accommodation Security a"/>
        <s v="Cultana - Yadnarie F1810 132 kV Line Con"/>
        <s v="Yadnarie - Pt Lincoln F1811 132 kV Line"/>
        <s v="CLSD-300 Pirie Street L1 West Upgrade"/>
        <s v="Kilburn 275 kV Emergency Bypass"/>
        <s v="South Australia Energy Transformation"/>
        <s v="Eyre Peninsula Transmission Supply"/>
        <s v="Templers Plant Limit Increase"/>
        <s v="Surge Arrester Unit Asset Replacement 20"/>
        <s v="Elevating Work Platform Procurement for"/>
        <s v="Live Line Manual Development"/>
        <s v="Pimba PLC Replacement"/>
        <s v="South East SVC Computer Control System R"/>
        <s v="Secondary Injection Test Unit"/>
        <s v="SF6 Trailer Mounted Service Cart"/>
        <s v="SA Over-Frequency Generation Shedding (OFGS) Scheme"/>
        <s v="Warehousing project"/>
        <s v="Temporary Transmission Structures Acquisition"/>
        <s v="Yorke Peninsula Telecoms Bearer"/>
        <s v="Davenport-Cultana Telecoms Bearer"/>
        <s v="Transformer GIC Monitoring"/>
        <s v="East Terrace 275 kV GIS Gas Monitoring S"/>
        <s v="Substation Access Roads and Drainage Upg"/>
        <s v="East Terrace, Northfield and Kilburn Eme"/>
        <s v="160 MVA 275_132 kV Emergency Transformer"/>
        <s v="Re-deployable Telecommunication Site"/>
        <s v="Revenue Meter Replacement 2018-23"/>
        <s v="Telco DC Power Systems Upgrade"/>
        <s v="Secondary Systems Product Evaluation 201"/>
        <s v="Renewable Microgrid Demonstration Testbe"/>
        <s v="Special Protection and Wide Area Monitor"/>
        <s v="Substation Improvements for System Black"/>
        <s v="High Risk Substation Environmental Inves"/>
        <s v="Transmission Line Access Track Upgrade"/>
        <s v="Para 275 kV 50 MVar Reactor"/>
        <s v="Blyth West 275 kV 50 Mvar Reactor"/>
        <s v="Spencer Gulf Crossing Bypass"/>
        <s v="Torrens Island North Substation Tie Bus"/>
        <m/>
        <s v="Kilburn to Northfield 275 kV Protection" u="1"/>
        <s v="Tungkillo 275kV 100Mvar Capacitor Bank" u="1"/>
        <s v="CLSD Wudinna 2x25 MVA 132/66kV TF Reinf" u="1"/>
        <s v="[CLSD] Fleurieu Peninsula Reinforcement" u="1"/>
        <s v="[CLSD] Carpet - 300 Pirie 2012-13" u="1"/>
        <s v="CLSD Munno Para Sub Land Acquisition" u="1"/>
        <s v="Geospatial System Functional Enhancement" u="1"/>
        <s v="Kincraig 132kV Capacitor Bank" u="1"/>
        <s v="[CLSD] New Osborne 66 kV VT Replacement" u="1"/>
        <s v="SAP Functional Upgrade 2" u="1"/>
        <s v="CLSD Archiving Solutions" u="1"/>
        <s v="CLSD IT Storage and Virtualisation Refur" u="1"/>
        <s v="Database Management Systems Consolidatio" u="1"/>
        <s v="Riverland Reactive Support Stage 2 (Nort" u="1"/>
        <s v="Hummocks 132/33 kV Transformer Upgrade" u="1"/>
        <s v="[CLSD] Auxiliary Supply Upgrades 2008-13" u="1"/>
        <s v="(CLSD) ICT Service Improvement" u="1"/>
        <s v="[CLSD[ Waterloo New Radio Link" u="1"/>
        <s v="[CLSD] Mechanical 300 Pirie St 12-13" u="1"/>
        <s v="[CLSD]Mt Barker South 275/66kV Injection" u="1"/>
        <s v="[CLSD] ICT Security 2010-2012" u="1"/>
        <s v="Davenport 275 kV Reactor Replacement Sta" u="1"/>
        <s v="CLSD Vehicle Purchases 2013-14" u="1"/>
        <s v="UPS Battery Bank No 2" u="1"/>
        <s v="TIPS 275_66kV Transformer Capacity" u="1"/>
        <s v="CLSD - Control System Virtualisation" u="1"/>
        <s v="(CLSD) ICT Bus. Cont Plan &amp; Disaster" u="1"/>
        <s v="CLSD - Vacuum Tap Changer Diverter Pilot" u="1"/>
        <s v="(CLSD) Substation Security Fence 2008-13" u="1"/>
        <s v="Document and Record Management" u="1"/>
        <s v="[CLSD] Network Aerial Laser Survey" u="1"/>
        <s v="Equipment Evaluation Facility" u="1"/>
        <s v="General Utility Upgrades 2013-14" u="1"/>
        <s v="[CLSD] Berri Sub Reloaction to Monash" u="1"/>
        <s v="Coonalpyn West New 132/33 kV Substation" u="1"/>
        <s v="PABX IP Convergence &amp; Phone Sys Upgrade" u="1"/>
        <s v="CLSD Energy Management System Functional" u="1"/>
        <s v="Happy Valley 275 kV Secondary Systems Re" u="1"/>
        <s v="Intranet Upgrade Project" u="1"/>
        <s v="Oracle Licences" u="1"/>
        <s v="TIPS 66 kV NGM CT/VT Replacement" u="1"/>
        <s v="CLSD Spare 120MVA &amp; 200MVA Transformers" u="1"/>
        <s v="[CLSD] East Terrace Second Transformer" u="1"/>
        <s v="[CLSD] Furniture &amp; Building Upgrd 12/13" u="1"/>
        <s v="Furniture &amp; Building Upgrades 2013-14" u="1"/>
        <s v="CLSD TIPS B 275kV Secondary Systems &amp; Mi" u="1"/>
        <s v="CLSD - Ratings Management" u="1"/>
        <s v="Building Electronic Security" u="1"/>
        <s v="(CLSD) Design Standard R&amp;D &amp; Further Opt" u="1"/>
        <s v="[CLSD] Develop Inspection Test Plans for" u="1"/>
        <s v="(CLSD) Kadina East Reactive Power Supp" u="1"/>
        <s v="CLSD TIPS A 275kV Secondary Systems Repl" u="1"/>
        <s v="Site Asset Replacements (Tenix Alliance)" u="1"/>
        <s v="[CLSD] Estimating Sys Function Upgrade 1" u="1"/>
        <s v="[CLSD] Northern Region Network Stability" u="1"/>
        <s v="[CLSD} Ametek PSPM Replacement" u="1"/>
        <s v="[CLSD] Davenport CT Replacement" u="1"/>
        <s v="Dorrien Third Transformer" u="1"/>
        <s v="Inventory Purchases 2013-2014" u="1"/>
        <s v="CLSD Templers 275kV Substation Stage 1" u="1"/>
        <s v="Transformer Refurbishment 2008-2013" u="1"/>
        <s v="IT OCS Software 1" u="1"/>
        <s v="[CLSD] Kanmantoo Substation Upgrade" u="1"/>
        <s v="IT Security 1" u="1"/>
        <s v="[CLSD] Vehicle Purchases 2012-13" u="1"/>
        <s v="[CLSD] Riverland 275kV Reinforcement" u="1"/>
        <s v="(CLSD) Kilburn 185 MVA TF Capacity Inc" u="1"/>
        <s v="Outage Management" u="1"/>
        <s v="CLSD-Fire&amp;Security Sys Upgrade to SDM" u="1"/>
        <s v="Strategic Land Acquisition" u="1"/>
        <s v="[CLSD] Carpet - Rymill 2012-13" u="1"/>
        <s v="[CLSD] Fire Fighting System Replacements" u="1"/>
        <s v="[CLSD] Mannum-Adelaide Pump Nos. 1,2,3" u="1"/>
        <s v="Yorke Peninsula Reinforcement" u="1"/>
        <s v="OPSWAN Implementation" u="1"/>
        <s v="[CLSD] Competency Based Assessments" u="1"/>
        <s v="CLSD-Barn Hill Radio Links Replace w/SDH" u="1"/>
        <s v="Mount Barker 2nd 225MV.A 275/66kV Transf" u="1"/>
        <s v="Happy Valley Transformer Noise Mitigatio" u="1"/>
      </sharedItems>
    </cacheField>
    <cacheField name="BP Category" numFmtId="0">
      <sharedItems containsBlank="1" count="6">
        <s v="ExAnte"/>
        <s v="Contingent - High"/>
        <s v="Contingent - Actual"/>
        <s v="NCIPAP 2013-2018"/>
        <m/>
        <e v="#N/A" u="1"/>
      </sharedItems>
    </cacheField>
    <cacheField name="Project Category" numFmtId="0">
      <sharedItems containsBlank="1"/>
    </cacheField>
    <cacheField name="Project Status" numFmtId="0">
      <sharedItems containsBlank="1"/>
    </cacheField>
    <cacheField name="Actual 2006" numFmtId="0">
      <sharedItems containsString="0" containsBlank="1" containsNumber="1" minValue="0" maxValue="24174.52"/>
    </cacheField>
    <cacheField name="Actual 2007" numFmtId="0">
      <sharedItems containsString="0" containsBlank="1" containsNumber="1" minValue="0" maxValue="5643382.1699999999"/>
    </cacheField>
    <cacheField name="Actual 2008" numFmtId="0">
      <sharedItems containsString="0" containsBlank="1" containsNumber="1" minValue="0" maxValue="6634694.54"/>
    </cacheField>
    <cacheField name="Actual 2009" numFmtId="0">
      <sharedItems containsString="0" containsBlank="1" containsNumber="1" minValue="0" maxValue="7459380.96"/>
    </cacheField>
    <cacheField name="Actual 2010" numFmtId="0">
      <sharedItems containsString="0" containsBlank="1" containsNumber="1" minValue="0" maxValue="20848276.829999998"/>
    </cacheField>
    <cacheField name="Actual 2011" numFmtId="0">
      <sharedItems containsString="0" containsBlank="1" containsNumber="1" minValue="0" maxValue="100800022.72"/>
    </cacheField>
    <cacheField name="Actual 2012" numFmtId="0">
      <sharedItems containsString="0" containsBlank="1" containsNumber="1" minValue="0" maxValue="32862274.5"/>
    </cacheField>
    <cacheField name="Actual 2013" numFmtId="0">
      <sharedItems containsString="0" containsBlank="1" containsNumber="1" minValue="0" maxValue="37695811.990000002"/>
    </cacheField>
    <cacheField name="Actual 2014" numFmtId="0">
      <sharedItems containsString="0" containsBlank="1" containsNumber="1" minValue="-633552.68999999994" maxValue="14103021.539999999"/>
    </cacheField>
    <cacheField name="Actual 2015" numFmtId="0">
      <sharedItems containsString="0" containsBlank="1" containsNumber="1" minValue="-92939.59" maxValue="18429504.32"/>
    </cacheField>
    <cacheField name="Actual 2016" numFmtId="0">
      <sharedItems containsString="0" containsBlank="1" containsNumber="1" minValue="-2260000" maxValue="31162866.48"/>
    </cacheField>
    <cacheField name="Plan 2017" numFmtId="0">
      <sharedItems containsBlank="1" containsMixedTypes="1" containsNumber="1" minValue="-756040.51" maxValue="22905550.649999999"/>
    </cacheField>
    <cacheField name="Plan 2018" numFmtId="0">
      <sharedItems containsBlank="1" containsMixedTypes="1" containsNumber="1" minValue="-1235806.1156848993" maxValue="10512294.153781982"/>
    </cacheField>
    <cacheField name="Plan 2019" numFmtId="0">
      <sharedItems containsBlank="1" containsMixedTypes="1" containsNumber="1" minValue="482.13412425877897" maxValue="6546164.7443279"/>
    </cacheField>
    <cacheField name="Plan 2020" numFmtId="0">
      <sharedItems containsBlank="1" containsMixedTypes="1" containsNumber="1" minValue="6375.8426996136614" maxValue="11425559.197839556"/>
    </cacheField>
    <cacheField name="Plan 2021" numFmtId="0">
      <sharedItems containsBlank="1" containsMixedTypes="1" containsNumber="1" minValue="6546.2399169036407" maxValue="16326427.404968617"/>
    </cacheField>
    <cacheField name="Plan 2022" numFmtId="0">
      <sharedItems containsBlank="1" containsMixedTypes="1" containsNumber="1" minValue="4528.3144650894646" maxValue="12462847.989105783"/>
    </cacheField>
    <cacheField name="Plan 2023" numFmtId="0">
      <sharedItems containsBlank="1" containsMixedTypes="1" containsNumber="1" minValue="2151.200607289913" maxValue="12159016.322699601"/>
    </cacheField>
    <cacheField name="Plan 2024" numFmtId="0">
      <sharedItems containsBlank="1" containsMixedTypes="1" containsNumber="1" minValue="-3.9080608367551367E-2" maxValue="1481575.9474667574"/>
    </cacheField>
    <cacheField name="Total Nominal 2017-2023" numFmtId="0">
      <sharedItems containsString="0" containsBlank="1" containsNumber="1" minValue="-590242.29" maxValue="178346741.08192813"/>
    </cacheField>
    <cacheField name="Absolute" numFmtId="0">
      <sharedItems containsString="0" containsBlank="1" containsNumber="1" minValue="1687.2490602645692" maxValue="178346741.08192813"/>
    </cacheField>
    <cacheField name="Escalate to 2023" numFmtId="0">
      <sharedItems containsString="0" containsBlank="1" containsNumber="1" minValue="-292269.63952773099" maxValue="227167493.30070397"/>
    </cacheField>
    <cacheField name="Commissioned $" numFmtId="165">
      <sharedItems containsBlank="1" containsMixedTypes="1" containsNumber="1" minValue="-224329.53515711648" maxValue="182968984.68382898"/>
    </cacheField>
    <cacheField name="End Year Factor" numFmtId="0">
      <sharedItems containsBlank="1" containsMixedTypes="1" containsNumber="1" minValue="1" maxValue="1.3028584904035505"/>
    </cacheField>
    <cacheField name="Last Spend year" numFmtId="0">
      <sharedItems containsBlank="1"/>
    </cacheField>
    <cacheField name="AIS Date" numFmtId="0">
      <sharedItems containsDate="1" containsBlank="1" containsMixedTypes="1" minDate="2010-05-06T00:00:00" maxDate="2034-09-06T00:00:00"/>
    </cacheField>
    <cacheField name="AIS Year" numFmtId="0">
      <sharedItems containsBlank="1" containsMixedTypes="1" containsNumber="1" containsInteger="1" minValue="2010" maxValue="2035" count="25">
        <n v="2012"/>
        <n v="2017"/>
        <n v="2011"/>
        <n v="2027"/>
        <n v="2014"/>
        <n v="2016"/>
        <n v="2013"/>
        <s v=""/>
        <n v="2015"/>
        <n v="2035"/>
        <n v="2018"/>
        <n v="2010"/>
        <n v="2019"/>
        <n v="2029"/>
        <n v="2030"/>
        <n v="2020"/>
        <n v="2023"/>
        <n v="2022"/>
        <n v="2021"/>
        <n v="2024"/>
        <n v="2025"/>
        <s v="RIT-T"/>
        <m/>
        <n v="2034" u="1"/>
        <n v="2026" u="1"/>
      </sharedItems>
    </cacheField>
    <cacheField name="Spare" numFmtId="0">
      <sharedItems containsNonDate="0" containsString="0" containsBlank="1"/>
    </cacheField>
    <cacheField name="Commissioned $ 2017/18" numFmtId="0">
      <sharedItems containsString="0" containsBlank="1" containsNumber="1" minValue="-265107.25163940928" maxValue="206055442.18714315"/>
    </cacheField>
    <cacheField name="Last spend year $" numFmtId="0">
      <sharedItems containsString="0" containsBlank="1" containsNumber="1" minValue="-2260000" maxValue="14184599.6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39">
  <r>
    <x v="0"/>
    <x v="0"/>
    <x v="0"/>
    <s v="Augmentation"/>
    <s v="Active"/>
    <n v="14438.5"/>
    <n v="5643382.1699999999"/>
    <n v="6634694.54"/>
    <n v="7459380.96"/>
    <n v="20848276.829999998"/>
    <n v="100800022.72"/>
    <n v="32862274.5"/>
    <n v="2236198.14"/>
    <n v="394226.32"/>
    <n v="137031.29999999999"/>
    <n v="283719.84000000003"/>
    <n v="135401.71"/>
    <n v="897693.5519281365"/>
    <s v=""/>
    <s v=""/>
    <s v=""/>
    <s v=""/>
    <s v=""/>
    <s v=""/>
    <n v="178346741.08192813"/>
    <n v="178346741.08192813"/>
    <n v="227167493.30070397"/>
    <n v="182968984.68382898"/>
    <n v="1.24156284570989"/>
    <s v="2018"/>
    <d v="2011-11-29T00:00:00"/>
    <x v="0"/>
    <m/>
    <n v="206055442.18714315"/>
    <n v="897693.5519281365"/>
  </r>
  <r>
    <x v="1"/>
    <x v="1"/>
    <x v="0"/>
    <s v="Augmentation"/>
    <s v="Active"/>
    <n v="0"/>
    <n v="0"/>
    <n v="0"/>
    <n v="0"/>
    <n v="0"/>
    <n v="0"/>
    <n v="798544.67"/>
    <n v="913779.99"/>
    <n v="1978728.67"/>
    <n v="5687410.8899999997"/>
    <n v="23030612.23"/>
    <n v="4035823.18"/>
    <n v="1581719.2506739143"/>
    <s v=""/>
    <s v=""/>
    <s v=""/>
    <s v=""/>
    <s v=""/>
    <s v=""/>
    <n v="38026618.880673915"/>
    <n v="38026618.880673915"/>
    <n v="43713124.788341306"/>
    <n v="38884573.237126336"/>
    <n v="1.1241765345287305"/>
    <s v="2018"/>
    <d v="2016-07-25T00:00:00"/>
    <x v="1"/>
    <m/>
    <n v="39650599.329897724"/>
    <n v="1581719.2506739143"/>
  </r>
  <r>
    <x v="2"/>
    <x v="2"/>
    <x v="0"/>
    <s v="Connection"/>
    <s v="Active"/>
    <n v="14316.59"/>
    <n v="182203.75"/>
    <n v="485896.08"/>
    <n v="1703092.27"/>
    <n v="14056261.109999999"/>
    <n v="5216315.03"/>
    <n v="228703"/>
    <n v="282437.38"/>
    <n v="-151764.68"/>
    <n v="247663.51"/>
    <n v="88534.74"/>
    <n v="521758.07"/>
    <s v=""/>
    <s v=""/>
    <s v=""/>
    <s v=""/>
    <s v=""/>
    <s v=""/>
    <s v=""/>
    <n v="22875416.849999998"/>
    <n v="23178946.209999997"/>
    <n v="29551272.103910919"/>
    <n v="23420464.422785688"/>
    <n v="1.2617713966064905"/>
    <s v="2017"/>
    <d v="2010-12-13T00:00:00"/>
    <x v="2"/>
    <m/>
    <n v="26804893.394248158"/>
    <n v="521758.07"/>
  </r>
  <r>
    <x v="3"/>
    <x v="3"/>
    <x v="0"/>
    <s v="Easements/Land"/>
    <s v="Deferred"/>
    <n v="24174.52"/>
    <n v="1563.51"/>
    <n v="0"/>
    <n v="383.71"/>
    <n v="0"/>
    <n v="0"/>
    <n v="0"/>
    <n v="0"/>
    <m/>
    <m/>
    <m/>
    <n v="-616364.03"/>
    <s v=""/>
    <s v=""/>
    <s v=""/>
    <s v=""/>
    <s v=""/>
    <s v=""/>
    <n v="-3.9080608367551367E-2"/>
    <n v="-590242.29"/>
    <n v="642485.77"/>
    <n v="0"/>
    <n v="0"/>
    <n v="1"/>
    <s v="2017"/>
    <d v="2026-10-22T00:00:00"/>
    <x v="3"/>
    <m/>
    <n v="0"/>
    <n v="-616364.03"/>
  </r>
  <r>
    <x v="4"/>
    <x v="4"/>
    <x v="0"/>
    <s v="Replacement"/>
    <s v="Active"/>
    <n v="21868.92"/>
    <n v="297382.73"/>
    <n v="171231.17"/>
    <n v="64637.61"/>
    <n v="0"/>
    <n v="61467.839999999997"/>
    <n v="2533646.94"/>
    <n v="25051794.890000001"/>
    <n v="12265063.91"/>
    <n v="816930.73"/>
    <n v="209044.69"/>
    <n v="51943.360000000001"/>
    <s v=""/>
    <s v=""/>
    <s v=""/>
    <s v=""/>
    <s v=""/>
    <s v=""/>
    <s v=""/>
    <n v="41545012.789999999"/>
    <n v="41545012.789999999"/>
    <n v="50027143.493675977"/>
    <n v="42512057.134561367"/>
    <n v="1.176775410687078"/>
    <s v="2017"/>
    <d v="2013-10-29T00:00:00"/>
    <x v="4"/>
    <m/>
    <n v="45377818.03272257"/>
    <n v="51943.360000000001"/>
  </r>
  <r>
    <x v="5"/>
    <x v="5"/>
    <x v="0"/>
    <s v="Replacement"/>
    <s v="Cancelled"/>
    <n v="5492.33"/>
    <n v="0"/>
    <n v="130.91999999999999"/>
    <n v="245.68"/>
    <n v="0"/>
    <n v="0"/>
    <n v="0"/>
    <n v="0"/>
    <m/>
    <m/>
    <m/>
    <s v=""/>
    <n v="-5846.8964414884686"/>
    <s v=""/>
    <s v=""/>
    <s v=""/>
    <s v=""/>
    <s v=""/>
    <s v=""/>
    <n v="22.033558511531737"/>
    <n v="11715.826441488469"/>
    <n v="0"/>
    <n v="0"/>
    <n v="1.1241765345287305"/>
    <s v="2018"/>
    <d v="2017-02-23T00:00:00"/>
    <x v="1"/>
    <m/>
    <n v="0"/>
    <n v="-5846.8964414884686"/>
  </r>
  <r>
    <x v="6"/>
    <x v="6"/>
    <x v="0"/>
    <s v="Replacement"/>
    <s v="Active"/>
    <n v="11910.28"/>
    <n v="753.68"/>
    <n v="110585"/>
    <n v="0"/>
    <n v="491172.67"/>
    <n v="2109341.7999999998"/>
    <n v="13925378.630000001"/>
    <n v="20268858.550000001"/>
    <n v="4400650.9400000004"/>
    <n v="1224600.4099999999"/>
    <n v="922861.43"/>
    <n v="282063.58"/>
    <s v=""/>
    <s v=""/>
    <s v=""/>
    <s v=""/>
    <s v=""/>
    <s v=""/>
    <s v=""/>
    <n v="43748176.969999991"/>
    <n v="43748176.969999991"/>
    <n v="53287558.445510857"/>
    <n v="46485647.738704823"/>
    <n v="1.1463228122589466"/>
    <s v="2017"/>
    <d v="2015-12-07T00:00:00"/>
    <x v="5"/>
    <m/>
    <n v="48335222.874640711"/>
    <n v="282063.58"/>
  </r>
  <r>
    <x v="7"/>
    <x v="7"/>
    <x v="0"/>
    <s v="Security/Compliance"/>
    <s v="Active"/>
    <n v="0"/>
    <n v="0"/>
    <n v="0"/>
    <n v="0"/>
    <n v="0"/>
    <n v="0"/>
    <n v="0"/>
    <n v="0"/>
    <n v="131231.91"/>
    <n v="1187948.25"/>
    <n v="3564305.29"/>
    <n v="404975.08"/>
    <s v=""/>
    <s v=""/>
    <s v=""/>
    <s v=""/>
    <s v=""/>
    <s v=""/>
    <s v=""/>
    <n v="5288460.53"/>
    <n v="5288460.53"/>
    <n v="6075161.5554942256"/>
    <n v="5299695.2433690969"/>
    <n v="1.1463228122589466"/>
    <s v="2017"/>
    <d v="2015-12-23T00:00:00"/>
    <x v="5"/>
    <m/>
    <n v="5510559.9946848387"/>
    <n v="404975.08"/>
  </r>
  <r>
    <x v="8"/>
    <x v="8"/>
    <x v="0"/>
    <s v="Augmentation"/>
    <s v="Active"/>
    <n v="0"/>
    <n v="0"/>
    <n v="38503"/>
    <n v="247149.1"/>
    <n v="673856.07"/>
    <n v="4689603.7300000004"/>
    <n v="9839939.1899999995"/>
    <n v="7572131.0899999999"/>
    <n v="697035.34"/>
    <n v="230314.93"/>
    <n v="82087.88"/>
    <n v="26390.36"/>
    <s v=""/>
    <s v=""/>
    <s v=""/>
    <s v=""/>
    <s v=""/>
    <s v=""/>
    <s v=""/>
    <n v="24097010.689999998"/>
    <n v="24097010.689999998"/>
    <n v="29779585.202260781"/>
    <n v="24585803.427235298"/>
    <n v="1.2112512527970509"/>
    <s v="2017"/>
    <d v="2012-11-30T00:00:00"/>
    <x v="6"/>
    <m/>
    <n v="27011987.973468278"/>
    <n v="26390.36"/>
  </r>
  <r>
    <x v="9"/>
    <x v="9"/>
    <x v="0"/>
    <s v="Replacement"/>
    <s v="Active"/>
    <n v="0"/>
    <n v="0"/>
    <n v="0"/>
    <n v="0"/>
    <n v="0"/>
    <n v="0"/>
    <n v="0"/>
    <n v="0"/>
    <m/>
    <n v="301176.65000000002"/>
    <n v="12290961.529999999"/>
    <n v="8877399.8599999994"/>
    <n v="245942.97033022958"/>
    <s v=""/>
    <s v=""/>
    <s v=""/>
    <s v=""/>
    <s v=""/>
    <s v=""/>
    <n v="21715481.01033023"/>
    <n v="21715481.01033023"/>
    <n v="24690087.375502229"/>
    <n v="21962820.444257572"/>
    <n v="1.1241765345287305"/>
    <s v="2018"/>
    <d v="2016-11-30T00:00:00"/>
    <x v="1"/>
    <m/>
    <n v="22395488.007009447"/>
    <n v="245942.97033022958"/>
  </r>
  <r>
    <x v="10"/>
    <x v="10"/>
    <x v="0"/>
    <s v="Augmentation"/>
    <s v="Active"/>
    <n v="0"/>
    <n v="0"/>
    <n v="77228"/>
    <n v="0"/>
    <n v="453453.13"/>
    <n v="1359903.97"/>
    <n v="14877728.73"/>
    <n v="37695811.990000002"/>
    <n v="11090338.27"/>
    <n v="1206213.96"/>
    <n v="1147486.3"/>
    <n v="944364.38"/>
    <s v=""/>
    <s v=""/>
    <s v=""/>
    <s v=""/>
    <s v=""/>
    <s v=""/>
    <s v=""/>
    <n v="68852528.730000004"/>
    <n v="68852528.730000004"/>
    <n v="83372180.280059263"/>
    <n v="70847996.587030277"/>
    <n v="1.176775410687078"/>
    <s v="2017"/>
    <d v="2014-03-20T00:00:00"/>
    <x v="4"/>
    <m/>
    <n v="75623898.578541026"/>
    <n v="944364.38"/>
  </r>
  <r>
    <x v="11"/>
    <x v="11"/>
    <x v="1"/>
    <s v="Augmentation"/>
    <s v="Active"/>
    <n v="0"/>
    <n v="0"/>
    <n v="0"/>
    <n v="0"/>
    <n v="0"/>
    <n v="0"/>
    <n v="0"/>
    <n v="0"/>
    <m/>
    <m/>
    <n v="40538.910000000003"/>
    <n v="74267.429999999993"/>
    <n v="-114806.34"/>
    <s v=""/>
    <s v=""/>
    <s v=""/>
    <s v=""/>
    <s v=""/>
    <s v=""/>
    <n v="0"/>
    <n v="229612.68"/>
    <n v="0"/>
    <s v=""/>
    <s v=""/>
    <s v="2018"/>
    <s v=""/>
    <x v="7"/>
    <m/>
    <n v="0"/>
    <n v="-114806.34"/>
  </r>
  <r>
    <x v="12"/>
    <x v="12"/>
    <x v="0"/>
    <s v="Replacement"/>
    <s v="Closed"/>
    <n v="0"/>
    <n v="0"/>
    <n v="18240"/>
    <n v="0"/>
    <n v="25691.19"/>
    <n v="263358.78999999998"/>
    <n v="2199097.6"/>
    <n v="7683992.3799999999"/>
    <n v="1100087.3"/>
    <n v="214079.04"/>
    <n v="16232.07"/>
    <s v=""/>
    <s v=""/>
    <s v=""/>
    <s v=""/>
    <s v=""/>
    <s v=""/>
    <s v=""/>
    <s v=""/>
    <n v="11520778.370000001"/>
    <n v="11520778.370000001"/>
    <n v="13990170.975900063"/>
    <n v="12046477.641468817"/>
    <n v="1.161349515790431"/>
    <s v="2016"/>
    <d v="2015-01-12T00:00:00"/>
    <x v="8"/>
    <m/>
    <n v="12689979.648174826"/>
    <n v="16232.07"/>
  </r>
  <r>
    <x v="13"/>
    <x v="13"/>
    <x v="0"/>
    <s v="Easements/Land"/>
    <s v="Closed"/>
    <n v="0"/>
    <n v="0"/>
    <n v="0"/>
    <n v="0"/>
    <n v="4826.04"/>
    <n v="101717.9"/>
    <n v="9808.48"/>
    <n v="0"/>
    <m/>
    <m/>
    <m/>
    <s v=""/>
    <n v="-115910.40018926366"/>
    <s v=""/>
    <s v=""/>
    <s v=""/>
    <s v=""/>
    <s v=""/>
    <s v=""/>
    <n v="442.01981073632487"/>
    <n v="232262.82018926364"/>
    <n v="0"/>
    <m/>
    <m/>
    <s v="2018"/>
    <m/>
    <x v="7"/>
    <m/>
    <n v="0"/>
    <n v="-115910.40018926366"/>
  </r>
  <r>
    <x v="14"/>
    <x v="14"/>
    <x v="0"/>
    <s v="Replacement"/>
    <s v="Closed"/>
    <n v="0"/>
    <n v="0"/>
    <n v="0"/>
    <n v="34867.480000000003"/>
    <n v="298117.36"/>
    <n v="814094.62"/>
    <n v="2193174.1800000002"/>
    <n v="50167.8"/>
    <n v="-74756.86"/>
    <m/>
    <n v="273.05"/>
    <s v=""/>
    <s v=""/>
    <s v=""/>
    <s v=""/>
    <s v=""/>
    <s v=""/>
    <s v=""/>
    <s v=""/>
    <n v="3315937.63"/>
    <n v="3465451.3499999996"/>
    <n v="4158429.7758408147"/>
    <n v="3349351.0136920568"/>
    <n v="1.24156284570989"/>
    <s v="2016"/>
    <d v="2011-11-10T00:00:00"/>
    <x v="0"/>
    <m/>
    <n v="3771961.7090232968"/>
    <n v="273.05"/>
  </r>
  <r>
    <x v="15"/>
    <x v="15"/>
    <x v="0"/>
    <s v="Easements/Land"/>
    <s v="Deferred"/>
    <n v="0"/>
    <n v="0"/>
    <n v="0"/>
    <n v="0"/>
    <n v="15015.66"/>
    <n v="326471.92"/>
    <n v="138665.04999999999"/>
    <n v="85507.51"/>
    <n v="174722.74"/>
    <n v="15657.66"/>
    <m/>
    <n v="-756040.51"/>
    <s v=""/>
    <s v=""/>
    <s v=""/>
    <s v=""/>
    <s v=""/>
    <s v=""/>
    <s v=""/>
    <n v="2.9999999911524355E-2"/>
    <n v="1512081.0499999998"/>
    <n v="0"/>
    <n v="0"/>
    <n v="1"/>
    <s v="2017"/>
    <d v="2034-09-05T00:00:00"/>
    <x v="9"/>
    <m/>
    <n v="0"/>
    <n v="-756040.51"/>
  </r>
  <r>
    <x v="16"/>
    <x v="16"/>
    <x v="0"/>
    <s v="Information Technology"/>
    <s v="Deferred"/>
    <n v="0"/>
    <n v="0"/>
    <n v="0"/>
    <n v="0"/>
    <n v="0"/>
    <n v="164575.43"/>
    <n v="240508.19"/>
    <n v="117943.46"/>
    <m/>
    <n v="39373.82"/>
    <m/>
    <s v=""/>
    <n v="593248.8043062411"/>
    <s v=""/>
    <s v=""/>
    <s v=""/>
    <s v=""/>
    <s v=""/>
    <s v=""/>
    <n v="1155649.7043062411"/>
    <n v="1155649.7043062411"/>
    <n v="1348880.4888437833"/>
    <n v="1223520.854801167"/>
    <n v="1.1024581097663335"/>
    <s v="2018"/>
    <d v="2018-05-29T00:00:00"/>
    <x v="10"/>
    <m/>
    <n v="1223520.8548011668"/>
    <n v="593248.8043062411"/>
  </r>
  <r>
    <x v="17"/>
    <x v="17"/>
    <x v="0"/>
    <s v="Information Technology"/>
    <s v="Closed"/>
    <n v="0"/>
    <n v="0"/>
    <n v="0"/>
    <n v="0"/>
    <n v="0"/>
    <n v="0"/>
    <n v="0"/>
    <n v="0"/>
    <m/>
    <m/>
    <n v="-254962.77"/>
    <s v=""/>
    <s v=""/>
    <s v=""/>
    <s v=""/>
    <s v=""/>
    <s v=""/>
    <s v=""/>
    <s v=""/>
    <n v="-254962.77"/>
    <n v="254962.77"/>
    <n v="-292269.63952773099"/>
    <n v="-224329.53515711648"/>
    <n v="1.3028584904035505"/>
    <s v="2016"/>
    <d v="2010-05-06T00:00:00"/>
    <x v="11"/>
    <m/>
    <n v="-265107.25163940928"/>
    <n v="-254962.77"/>
  </r>
  <r>
    <x v="18"/>
    <x v="18"/>
    <x v="2"/>
    <s v="Augmentation"/>
    <s v="Listed"/>
    <n v="0"/>
    <n v="0"/>
    <n v="0"/>
    <n v="0"/>
    <n v="0"/>
    <n v="0"/>
    <n v="1413756.58"/>
    <n v="871332.2"/>
    <n v="45.45"/>
    <m/>
    <m/>
    <s v=""/>
    <s v=""/>
    <s v=""/>
    <s v=""/>
    <s v=""/>
    <s v=""/>
    <s v=""/>
    <s v=""/>
    <n v="2285134.2300000004"/>
    <n v="2285134.2300000004"/>
    <n v="2810723.3459007079"/>
    <n v="2263859.0995316207"/>
    <n v="1.24156284570989"/>
    <s v="2014"/>
    <d v="2011-07-22T00:00:00"/>
    <x v="0"/>
    <m/>
    <n v="2549505.8007205743"/>
    <n v="45.45"/>
  </r>
  <r>
    <x v="19"/>
    <x v="19"/>
    <x v="0"/>
    <s v="Security/Compliance"/>
    <s v="Closed"/>
    <n v="0"/>
    <n v="0"/>
    <n v="5915"/>
    <n v="0"/>
    <n v="5170.29"/>
    <n v="166130.54999999999"/>
    <n v="291183.75"/>
    <n v="2416906.69"/>
    <n v="116388.69"/>
    <m/>
    <n v="-15090"/>
    <s v=""/>
    <s v=""/>
    <s v=""/>
    <s v=""/>
    <s v=""/>
    <s v=""/>
    <s v=""/>
    <s v=""/>
    <n v="2986604.9699999997"/>
    <n v="3016784.9699999997"/>
    <n v="3633149.0361319408"/>
    <n v="2999500.7458132114"/>
    <n v="1.2112512527970509"/>
    <s v="2016"/>
    <d v="2013-04-17T00:00:00"/>
    <x v="6"/>
    <m/>
    <n v="3295498.4900986282"/>
    <n v="-15090"/>
  </r>
  <r>
    <x v="20"/>
    <x v="20"/>
    <x v="0"/>
    <s v="Connection"/>
    <s v="Closed"/>
    <n v="0"/>
    <n v="0"/>
    <n v="0"/>
    <n v="0"/>
    <n v="0"/>
    <n v="459297.58"/>
    <n v="1236085.3700000001"/>
    <n v="4746280.5199999996"/>
    <n v="7405961.0599999996"/>
    <n v="18429504.32"/>
    <n v="37006.379999999997"/>
    <n v="189660.65"/>
    <s v=""/>
    <s v=""/>
    <s v=""/>
    <s v=""/>
    <s v=""/>
    <s v=""/>
    <s v=""/>
    <n v="32503795.879999999"/>
    <n v="32503795.879999999"/>
    <n v="38237026.540518641"/>
    <n v="33356246.714805108"/>
    <n v="1.1463228122589466"/>
    <s v="2017"/>
    <d v="2015-08-03T00:00:00"/>
    <x v="5"/>
    <m/>
    <n v="34683428.061155975"/>
    <n v="189660.65"/>
  </r>
  <r>
    <x v="21"/>
    <x v="21"/>
    <x v="0"/>
    <s v="Security/Compliance"/>
    <s v="Closed"/>
    <n v="0"/>
    <n v="0"/>
    <n v="0"/>
    <n v="107614.86"/>
    <n v="2026660.21"/>
    <n v="5821932.9500000002"/>
    <n v="5526002.0099999998"/>
    <n v="580408.01"/>
    <n v="546782.29"/>
    <n v="3550.71"/>
    <n v="148.43"/>
    <s v=""/>
    <s v=""/>
    <s v=""/>
    <s v=""/>
    <s v=""/>
    <s v=""/>
    <s v=""/>
    <s v=""/>
    <n v="14613099.469999999"/>
    <n v="14613099.469999999"/>
    <n v="18342331.819885962"/>
    <n v="15143292.341311848"/>
    <n v="1.2112512527970509"/>
    <s v="2016"/>
    <d v="2012-08-13T00:00:00"/>
    <x v="6"/>
    <m/>
    <n v="16637667.823744904"/>
    <n v="148.43"/>
  </r>
  <r>
    <x v="22"/>
    <x v="22"/>
    <x v="0"/>
    <s v="Information Technology"/>
    <s v="Closed"/>
    <n v="0"/>
    <n v="0"/>
    <n v="0"/>
    <n v="0"/>
    <n v="238513.45"/>
    <n v="135131.38"/>
    <n v="94858.79"/>
    <n v="95193.71"/>
    <n v="182971.82"/>
    <n v="320398.09000000003"/>
    <n v="344966.82"/>
    <n v="384962.44"/>
    <s v=""/>
    <s v=""/>
    <s v=""/>
    <s v=""/>
    <s v=""/>
    <s v=""/>
    <s v=""/>
    <n v="1796996.5"/>
    <n v="1796996.5"/>
    <n v="2129950.8154924922"/>
    <n v="1894676.4587871383"/>
    <n v="1.1241765345287305"/>
    <s v="2017"/>
    <d v="2016-11-11T00:00:00"/>
    <x v="1"/>
    <m/>
    <n v="1932001.5850252449"/>
    <n v="384962.44"/>
  </r>
  <r>
    <x v="23"/>
    <x v="23"/>
    <x v="0"/>
    <s v="Replacement"/>
    <s v="Active"/>
    <n v="0"/>
    <n v="0"/>
    <n v="0"/>
    <n v="0"/>
    <n v="0"/>
    <n v="2703.28"/>
    <n v="236981.66"/>
    <n v="1081055.72"/>
    <n v="635020.11"/>
    <n v="650420.4"/>
    <n v="373843.75"/>
    <n v="1461802.45"/>
    <s v=""/>
    <s v=""/>
    <s v=""/>
    <s v=""/>
    <s v=""/>
    <s v=""/>
    <s v=""/>
    <n v="4441827.37"/>
    <n v="4441827.37"/>
    <n v="5181579.73933715"/>
    <n v="4609222.4665669044"/>
    <n v="1.1241765345287305"/>
    <s v="2017"/>
    <d v="2017-03-20T00:00:00"/>
    <x v="1"/>
    <m/>
    <n v="4700024.1491582729"/>
    <n v="1461802.45"/>
  </r>
  <r>
    <x v="24"/>
    <x v="24"/>
    <x v="0"/>
    <s v="Information Technology"/>
    <s v="Closed"/>
    <n v="0"/>
    <n v="0"/>
    <n v="0"/>
    <n v="0"/>
    <n v="7039.44"/>
    <n v="10890.38"/>
    <n v="223367.44"/>
    <n v="1308235.0900000001"/>
    <n v="493502.02"/>
    <n v="45049.86"/>
    <m/>
    <s v=""/>
    <s v=""/>
    <s v=""/>
    <s v=""/>
    <s v=""/>
    <s v=""/>
    <s v=""/>
    <s v=""/>
    <n v="2088084.2300000002"/>
    <n v="2088084.2300000002"/>
    <n v="2517898.3456725865"/>
    <n v="2239771.3066730415"/>
    <n v="1.1241765345287305"/>
    <s v="2015"/>
    <d v="2013-08-12T00:00:00"/>
    <x v="1"/>
    <m/>
    <n v="2283894.8014145005"/>
    <n v="45049.86"/>
  </r>
  <r>
    <x v="25"/>
    <x v="25"/>
    <x v="0"/>
    <s v="Information Technology"/>
    <s v="Closed"/>
    <n v="0"/>
    <n v="0"/>
    <n v="0"/>
    <n v="0"/>
    <n v="0"/>
    <n v="0"/>
    <n v="12682.87"/>
    <n v="240717.04"/>
    <n v="542699.27"/>
    <n v="366767.58"/>
    <n v="313547.76"/>
    <s v=""/>
    <s v=""/>
    <s v=""/>
    <s v=""/>
    <s v=""/>
    <s v=""/>
    <s v=""/>
    <s v=""/>
    <n v="1476414.52"/>
    <n v="1476414.52"/>
    <n v="1731322.8542337152"/>
    <n v="1510327.4886608652"/>
    <n v="1.1463228122589466"/>
    <s v="2016"/>
    <d v="2015-09-15T00:00:00"/>
    <x v="5"/>
    <m/>
    <n v="1570420.5347091777"/>
    <n v="313547.76"/>
  </r>
  <r>
    <x v="26"/>
    <x v="26"/>
    <x v="0"/>
    <s v="Security/Compliance"/>
    <s v="Cancelled"/>
    <n v="0"/>
    <n v="0"/>
    <n v="0"/>
    <n v="0"/>
    <n v="0"/>
    <n v="35526.65"/>
    <n v="197493.65"/>
    <n v="331133.13"/>
    <n v="501644.35"/>
    <n v="142192.95000000001"/>
    <n v="30379.49"/>
    <n v="42.57"/>
    <n v="-1235806.1156848993"/>
    <s v=""/>
    <s v=""/>
    <s v=""/>
    <s v=""/>
    <s v=""/>
    <s v=""/>
    <n v="2606.6743151005358"/>
    <n v="2474218.9056848991"/>
    <n v="0"/>
    <n v="0"/>
    <n v="1.1241765345287305"/>
    <s v="2018"/>
    <d v="2017-03-31T00:00:00"/>
    <x v="1"/>
    <m/>
    <n v="0"/>
    <n v="-1235806.1156848993"/>
  </r>
  <r>
    <x v="27"/>
    <x v="27"/>
    <x v="0"/>
    <s v="Augmentation"/>
    <s v="Closed"/>
    <n v="0"/>
    <n v="0"/>
    <n v="0"/>
    <n v="0"/>
    <n v="0"/>
    <n v="2774905.31"/>
    <n v="380743.78"/>
    <n v="172163.75"/>
    <n v="-633552.68999999994"/>
    <n v="50000"/>
    <n v="-2260000"/>
    <s v=""/>
    <s v=""/>
    <s v=""/>
    <s v=""/>
    <s v=""/>
    <s v=""/>
    <s v=""/>
    <s v=""/>
    <n v="484260.14999999991"/>
    <n v="6271365.5299999993"/>
    <n v="904375.73042399436"/>
    <n v="820326.61596155993"/>
    <n v="1.1024581097663335"/>
    <s v="2016"/>
    <d v="2013-05-29T00:00:00"/>
    <x v="10"/>
    <m/>
    <n v="820326.61596155865"/>
    <n v="-2260000"/>
  </r>
  <r>
    <x v="28"/>
    <x v="28"/>
    <x v="0"/>
    <s v="Security/Compliance"/>
    <s v="Active"/>
    <n v="0"/>
    <n v="0"/>
    <n v="0"/>
    <n v="0"/>
    <n v="0"/>
    <n v="0"/>
    <n v="54051.360000000001"/>
    <n v="71052.52"/>
    <n v="18775.68"/>
    <n v="45776.79"/>
    <n v="108256.04"/>
    <n v="512659.14"/>
    <n v="108677.35786254912"/>
    <s v=""/>
    <s v=""/>
    <s v=""/>
    <s v=""/>
    <s v=""/>
    <s v=""/>
    <n v="919248.88786254916"/>
    <n v="919248.88786254916"/>
    <n v="1048656.2037843883"/>
    <n v="951198.23102090601"/>
    <n v="1.1024581097663335"/>
    <s v="2018"/>
    <d v="2017-08-23T00:00:00"/>
    <x v="10"/>
    <m/>
    <n v="951198.23102090578"/>
    <n v="108677.35786254912"/>
  </r>
  <r>
    <x v="29"/>
    <x v="29"/>
    <x v="0"/>
    <s v="Replacement"/>
    <s v="Active"/>
    <n v="0"/>
    <n v="0"/>
    <n v="54192"/>
    <n v="0"/>
    <n v="29678.639999999999"/>
    <n v="732303.74"/>
    <n v="3901923.03"/>
    <n v="19554374.670000002"/>
    <n v="14103021.539999999"/>
    <n v="8009727.3799999999"/>
    <n v="3145956.1"/>
    <n v="120668.72"/>
    <s v=""/>
    <s v=""/>
    <s v=""/>
    <s v=""/>
    <s v=""/>
    <s v=""/>
    <s v=""/>
    <n v="49651845.820000008"/>
    <n v="49651845.820000008"/>
    <n v="59206962.384391844"/>
    <n v="51649467.105795838"/>
    <n v="1.1463228122589466"/>
    <s v="2017"/>
    <d v="2016-03-18T00:00:00"/>
    <x v="5"/>
    <m/>
    <n v="53704500.75145328"/>
    <n v="120668.72"/>
  </r>
  <r>
    <x v="30"/>
    <x v="30"/>
    <x v="0"/>
    <s v="Replacement"/>
    <s v="Active"/>
    <n v="0"/>
    <n v="0"/>
    <n v="0"/>
    <n v="0"/>
    <n v="0"/>
    <n v="0"/>
    <n v="406723.76"/>
    <n v="1683133.11"/>
    <n v="9006445.4700000007"/>
    <n v="13834207.35"/>
    <n v="31162866.48"/>
    <n v="14184599.66"/>
    <s v=""/>
    <s v=""/>
    <s v=""/>
    <s v=""/>
    <s v=""/>
    <s v=""/>
    <s v=""/>
    <n v="70277975.829999998"/>
    <n v="70277975.829999998"/>
    <n v="80877282.601911932"/>
    <n v="71943578.359618351"/>
    <n v="1.1241765345287305"/>
    <s v="2017"/>
    <d v="2018-11-16T00:00:00"/>
    <x v="1"/>
    <m/>
    <n v="73360866.853302836"/>
    <n v="14184599.66"/>
  </r>
  <r>
    <x v="31"/>
    <x v="31"/>
    <x v="0"/>
    <s v="Replacement"/>
    <s v="Closed"/>
    <n v="0"/>
    <n v="0"/>
    <n v="0"/>
    <n v="0"/>
    <n v="0"/>
    <n v="0"/>
    <n v="0"/>
    <n v="20153.740000000002"/>
    <n v="372949.98"/>
    <n v="731802.21"/>
    <n v="494183.48"/>
    <n v="20020.939999999999"/>
    <s v=""/>
    <s v=""/>
    <s v=""/>
    <s v=""/>
    <s v=""/>
    <s v=""/>
    <s v=""/>
    <n v="1639110.3499999999"/>
    <n v="1639110.3499999999"/>
    <n v="1902168.6184543716"/>
    <n v="1692055.082124433"/>
    <n v="1.1241765345287305"/>
    <s v="2017"/>
    <d v="2016-08-01T00:00:00"/>
    <x v="1"/>
    <m/>
    <n v="1725388.5672422841"/>
    <n v="20020.939999999999"/>
  </r>
  <r>
    <x v="32"/>
    <x v="32"/>
    <x v="0"/>
    <s v="Information Technology"/>
    <s v="Active"/>
    <n v="0"/>
    <n v="0"/>
    <n v="0"/>
    <n v="0"/>
    <n v="0"/>
    <n v="0"/>
    <n v="0"/>
    <n v="0"/>
    <m/>
    <m/>
    <n v="65315.69"/>
    <n v="458622.65"/>
    <n v="2814328.1856889389"/>
    <n v="4471899.309019913"/>
    <s v=""/>
    <s v=""/>
    <s v=""/>
    <s v=""/>
    <s v=""/>
    <n v="7810165.8347088518"/>
    <n v="7810165.8347088518"/>
    <n v="8527960.0205061734"/>
    <n v="7887792.5209813714"/>
    <n v="1.0811592721058483"/>
    <s v="2019"/>
    <d v="2017-09-04T00:00:00"/>
    <x v="12"/>
    <m/>
    <n v="7735405.0416606572"/>
    <n v="4471899.309019913"/>
  </r>
  <r>
    <x v="33"/>
    <x v="33"/>
    <x v="0"/>
    <s v="Replacement"/>
    <s v="Closed"/>
    <n v="0"/>
    <n v="0"/>
    <n v="0"/>
    <n v="0"/>
    <n v="0"/>
    <n v="0"/>
    <n v="281060.90000000002"/>
    <n v="3275383.8"/>
    <n v="213568.72"/>
    <n v="52025.41"/>
    <n v="41.02"/>
    <s v=""/>
    <s v=""/>
    <s v=""/>
    <s v=""/>
    <s v=""/>
    <s v=""/>
    <s v=""/>
    <s v=""/>
    <n v="3822079.85"/>
    <n v="3822079.85"/>
    <n v="4628056.6270249179"/>
    <n v="3932829.1405432727"/>
    <n v="1.176775410687078"/>
    <s v="2016"/>
    <d v="2013-07-02T00:00:00"/>
    <x v="4"/>
    <m/>
    <n v="4197943.2923812736"/>
    <n v="41.02"/>
  </r>
  <r>
    <x v="34"/>
    <x v="34"/>
    <x v="0"/>
    <s v="Easements/Land"/>
    <s v="Active"/>
    <n v="0"/>
    <n v="0"/>
    <n v="0"/>
    <n v="0"/>
    <n v="0"/>
    <n v="0"/>
    <n v="0"/>
    <n v="16390.89"/>
    <n v="28511.75"/>
    <n v="3753770.75"/>
    <n v="162824.4"/>
    <n v="1232211.55"/>
    <s v=""/>
    <s v=""/>
    <s v=""/>
    <s v=""/>
    <s v=""/>
    <s v=""/>
    <s v=""/>
    <n v="5193709.34"/>
    <n v="5193709.34"/>
    <n v="5984717.8894610489"/>
    <n v="5323645.9805398099"/>
    <n v="1.1241765345287305"/>
    <s v="2017"/>
    <d v="2017-05-08T00:00:00"/>
    <x v="1"/>
    <m/>
    <n v="5428521.806356445"/>
    <n v="1232211.55"/>
  </r>
  <r>
    <x v="35"/>
    <x v="35"/>
    <x v="0"/>
    <s v="Security/Compliance"/>
    <s v="Deferred"/>
    <n v="0"/>
    <n v="0"/>
    <n v="0"/>
    <n v="0"/>
    <n v="0"/>
    <n v="0"/>
    <n v="0"/>
    <n v="151954.94"/>
    <n v="90876.98"/>
    <n v="209796.12"/>
    <n v="43076.15"/>
    <n v="60682.93"/>
    <s v=""/>
    <s v=""/>
    <s v=""/>
    <s v=""/>
    <s v=""/>
    <s v=""/>
    <s v=""/>
    <n v="556387.12"/>
    <n v="556387.12"/>
    <n v="652241.52864365093"/>
    <n v="580194.93256642215"/>
    <n v="1.1241765345287305"/>
    <s v="2017"/>
    <d v="2019-10-30T00:00:00"/>
    <x v="1"/>
    <m/>
    <n v="591624.7727379807"/>
    <n v="60682.93"/>
  </r>
  <r>
    <x v="36"/>
    <x v="36"/>
    <x v="0"/>
    <s v="Information Technology"/>
    <s v="Closed"/>
    <n v="0"/>
    <n v="0"/>
    <n v="0"/>
    <n v="0"/>
    <n v="0"/>
    <n v="0"/>
    <n v="437943.42"/>
    <n v="502383.83"/>
    <n v="301873.52"/>
    <n v="193602.4"/>
    <n v="253939.57"/>
    <s v=""/>
    <s v=""/>
    <s v=""/>
    <s v=""/>
    <s v=""/>
    <s v=""/>
    <s v=""/>
    <s v=""/>
    <n v="1689742.74"/>
    <n v="1689742.74"/>
    <n v="2023421.4332632488"/>
    <n v="1719462.7070613615"/>
    <n v="1.176775410687078"/>
    <s v="2016"/>
    <d v="2014-06-20T00:00:00"/>
    <x v="4"/>
    <m/>
    <n v="1835372.6235386063"/>
    <n v="253939.57"/>
  </r>
  <r>
    <x v="37"/>
    <x v="37"/>
    <x v="0"/>
    <s v="Augmentation"/>
    <s v="Deferred"/>
    <n v="0"/>
    <n v="0"/>
    <n v="0"/>
    <n v="0"/>
    <n v="0"/>
    <n v="0"/>
    <n v="72170.820000000007"/>
    <n v="445253.12"/>
    <n v="19278.75"/>
    <n v="-92939.59"/>
    <n v="-445452.24"/>
    <m/>
    <m/>
    <m/>
    <m/>
    <m/>
    <m/>
    <m/>
    <m/>
    <n v="-1689.140000000014"/>
    <n v="1075094.52"/>
    <n v="33037.354688887019"/>
    <n v="33037.354688887019"/>
    <n v="1"/>
    <s v="2016"/>
    <d v="2029-01-09T00:00:00"/>
    <x v="13"/>
    <m/>
    <n v="0"/>
    <n v="-445452.24"/>
  </r>
  <r>
    <x v="38"/>
    <x v="38"/>
    <x v="0"/>
    <s v="Information Technology"/>
    <s v="Closed"/>
    <n v="0"/>
    <n v="0"/>
    <n v="0"/>
    <n v="0"/>
    <n v="0"/>
    <n v="0"/>
    <n v="0"/>
    <n v="168164.17"/>
    <n v="572811.38"/>
    <n v="294210.18"/>
    <n v="281930.38"/>
    <s v=""/>
    <s v=""/>
    <s v=""/>
    <s v=""/>
    <s v=""/>
    <s v=""/>
    <s v=""/>
    <s v=""/>
    <n v="1317116.1099999999"/>
    <n v="1317116.1099999999"/>
    <n v="1542623.4846802573"/>
    <n v="1345714.7220514258"/>
    <n v="1.1463228122589466"/>
    <s v="2016"/>
    <d v="2016-04-12T00:00:00"/>
    <x v="5"/>
    <m/>
    <n v="1399258.1405267331"/>
    <n v="281930.38"/>
  </r>
  <r>
    <x v="39"/>
    <x v="39"/>
    <x v="0"/>
    <s v="Information Technology"/>
    <s v="Closed"/>
    <n v="0"/>
    <n v="0"/>
    <n v="0"/>
    <n v="0"/>
    <n v="0"/>
    <n v="0"/>
    <n v="0"/>
    <n v="4774.95"/>
    <n v="5096.9799999999996"/>
    <n v="10581.42"/>
    <n v="31114.43"/>
    <n v="3969.64"/>
    <s v=""/>
    <s v=""/>
    <s v=""/>
    <s v=""/>
    <s v=""/>
    <s v=""/>
    <s v=""/>
    <n v="55537.42"/>
    <n v="55537.42"/>
    <n v="64200.148933643046"/>
    <n v="56005.296454957635"/>
    <n v="1.1463228122589466"/>
    <s v="2017"/>
    <d v="2016-06-03T00:00:00"/>
    <x v="5"/>
    <m/>
    <n v="58233.640230784178"/>
    <n v="3969.64"/>
  </r>
  <r>
    <x v="40"/>
    <x v="40"/>
    <x v="3"/>
    <s v="Augmentation"/>
    <s v="Active"/>
    <n v="0"/>
    <n v="0"/>
    <n v="0"/>
    <n v="0"/>
    <n v="0"/>
    <n v="0"/>
    <n v="0"/>
    <n v="0"/>
    <m/>
    <m/>
    <m/>
    <n v="186734.53"/>
    <n v="1236515.2414060843"/>
    <s v=""/>
    <s v=""/>
    <s v=""/>
    <s v=""/>
    <s v=""/>
    <s v=""/>
    <n v="1423249.7714060843"/>
    <n v="1423249.7714060843"/>
    <n v="1573128.8325500644"/>
    <n v="1426928.4416470842"/>
    <n v="1.1024581097663335"/>
    <s v="2018"/>
    <d v="2017-12-11T00:00:00"/>
    <x v="10"/>
    <m/>
    <n v="1426928.4416470842"/>
    <n v="1236515.2414060843"/>
  </r>
  <r>
    <x v="41"/>
    <x v="41"/>
    <x v="0"/>
    <s v="Information Technology"/>
    <s v="Active"/>
    <n v="0"/>
    <n v="0"/>
    <n v="0"/>
    <n v="0"/>
    <n v="0"/>
    <n v="0"/>
    <n v="2779.78"/>
    <n v="92423.92"/>
    <n v="103824.38"/>
    <n v="270251.33"/>
    <n v="892352.87"/>
    <n v="935688.08"/>
    <n v="26885.887155965294"/>
    <s v=""/>
    <s v=""/>
    <s v=""/>
    <s v=""/>
    <s v=""/>
    <s v=""/>
    <n v="2324206.2471559653"/>
    <n v="2324206.2471559653"/>
    <n v="2655877.6880800533"/>
    <n v="2362509.4515902097"/>
    <n v="1.1241765345287305"/>
    <s v="2018"/>
    <d v="2017-06-30T00:00:00"/>
    <x v="1"/>
    <m/>
    <n v="2409050.8877865369"/>
    <n v="26885.887155965294"/>
  </r>
  <r>
    <x v="42"/>
    <x v="42"/>
    <x v="0"/>
    <s v="Information Technology"/>
    <s v="Active"/>
    <n v="0"/>
    <n v="0"/>
    <n v="0"/>
    <n v="0"/>
    <n v="0"/>
    <n v="0"/>
    <n v="19050.560000000001"/>
    <n v="39889.449999999997"/>
    <n v="210929.43"/>
    <n v="210134.06"/>
    <n v="37989.519999999997"/>
    <n v="333721.12"/>
    <n v="1355772.7776914849"/>
    <s v=""/>
    <s v=""/>
    <s v=""/>
    <s v=""/>
    <s v=""/>
    <s v=""/>
    <n v="2207486.917691485"/>
    <n v="2207486.917691485"/>
    <n v="2477616.6685679909"/>
    <n v="2247356.744550705"/>
    <n v="1.1024581097663335"/>
    <s v="2018"/>
    <d v="2018-04-27T00:00:00"/>
    <x v="10"/>
    <m/>
    <n v="2247356.744550705"/>
    <n v="1355772.7776914849"/>
  </r>
  <r>
    <x v="43"/>
    <x v="43"/>
    <x v="0"/>
    <s v="Replacement"/>
    <s v="Closed"/>
    <n v="0"/>
    <n v="0"/>
    <n v="0"/>
    <n v="0"/>
    <n v="0"/>
    <n v="0"/>
    <n v="0"/>
    <n v="0"/>
    <n v="66382.09"/>
    <n v="22057.79"/>
    <n v="61400.09"/>
    <s v=""/>
    <s v=""/>
    <s v=""/>
    <s v=""/>
    <s v=""/>
    <s v=""/>
    <s v=""/>
    <s v=""/>
    <n v="149839.97"/>
    <n v="149839.97"/>
    <n v="174117.93879967602"/>
    <n v="151892.58814151902"/>
    <n v="1.1463228122589466"/>
    <s v="2016"/>
    <d v="2015-10-30T00:00:00"/>
    <x v="5"/>
    <m/>
    <n v="157936.10410882672"/>
    <n v="61400.09"/>
  </r>
  <r>
    <x v="44"/>
    <x v="44"/>
    <x v="0"/>
    <s v="Facilities"/>
    <s v="Closed"/>
    <n v="0"/>
    <n v="0"/>
    <n v="0"/>
    <n v="0"/>
    <n v="0"/>
    <n v="0"/>
    <n v="0"/>
    <n v="0"/>
    <n v="29137.83"/>
    <n v="9379.84"/>
    <n v="1413.72"/>
    <s v=""/>
    <s v=""/>
    <s v=""/>
    <s v=""/>
    <s v=""/>
    <s v=""/>
    <s v=""/>
    <s v=""/>
    <n v="39931.39"/>
    <n v="39931.39"/>
    <n v="46802.533993118697"/>
    <n v="39771.849044493829"/>
    <n v="1.176775410687078"/>
    <s v="2016"/>
    <d v="2014-04-15T00:00:00"/>
    <x v="4"/>
    <m/>
    <n v="42452.891024619981"/>
    <n v="1413.72"/>
  </r>
  <r>
    <x v="45"/>
    <x v="45"/>
    <x v="0"/>
    <s v="Refurbishment"/>
    <s v="Active"/>
    <n v="0"/>
    <n v="0"/>
    <n v="0"/>
    <n v="0"/>
    <n v="0"/>
    <n v="0"/>
    <n v="0"/>
    <n v="0"/>
    <n v="754528.64"/>
    <n v="2820453.82"/>
    <n v="17958100.210000001"/>
    <n v="22905550.649999999"/>
    <n v="10512294.153781982"/>
    <n v="23533.008947124861"/>
    <s v=""/>
    <s v=""/>
    <s v=""/>
    <s v=""/>
    <s v=""/>
    <n v="54974460.482729107"/>
    <n v="54974460.482729107"/>
    <n v="62113912.788031824"/>
    <n v="56341290.646586925"/>
    <n v="1.1024581097663335"/>
    <s v="2019"/>
    <d v="2018-01-24T00:00:00"/>
    <x v="10"/>
    <m/>
    <n v="56341290.64658691"/>
    <n v="23533.008947124861"/>
  </r>
  <r>
    <x v="46"/>
    <x v="46"/>
    <x v="0"/>
    <s v="Refurbishment"/>
    <s v="Active"/>
    <n v="0"/>
    <n v="0"/>
    <n v="0"/>
    <n v="0"/>
    <n v="0"/>
    <n v="0"/>
    <n v="0"/>
    <n v="0"/>
    <n v="81635.7"/>
    <n v="859178.68"/>
    <n v="876093.75"/>
    <n v="150849.06"/>
    <n v="8750.1531525087285"/>
    <s v=""/>
    <s v=""/>
    <s v=""/>
    <s v=""/>
    <s v=""/>
    <s v=""/>
    <n v="1976507.3431525086"/>
    <n v="1976507.3431525086"/>
    <n v="2277387.5305045727"/>
    <n v="2025827.3149770764"/>
    <n v="1.1241765345287305"/>
    <s v="2018"/>
    <d v="2016-11-15T00:00:00"/>
    <x v="1"/>
    <m/>
    <n v="2065736.1130821246"/>
    <n v="8750.1531525087285"/>
  </r>
  <r>
    <x v="47"/>
    <x v="47"/>
    <x v="0"/>
    <s v="Refurbishment"/>
    <s v="Active"/>
    <n v="0"/>
    <n v="0"/>
    <n v="0"/>
    <n v="0"/>
    <n v="0"/>
    <n v="0"/>
    <n v="0"/>
    <n v="0"/>
    <n v="63183.77"/>
    <n v="543156.64"/>
    <n v="4514330.08"/>
    <n v="86341.14"/>
    <n v="29209.534075403724"/>
    <s v=""/>
    <s v=""/>
    <s v=""/>
    <s v=""/>
    <s v=""/>
    <s v=""/>
    <n v="5236221.1640754035"/>
    <n v="5236221.1640754035"/>
    <n v="6009292.3318000054"/>
    <n v="5345505.9300976954"/>
    <n v="1.1241765345287305"/>
    <s v="2018"/>
    <d v="2017-01-20T00:00:00"/>
    <x v="1"/>
    <m/>
    <n v="5450812.3969206195"/>
    <n v="29209.534075403724"/>
  </r>
  <r>
    <x v="48"/>
    <x v="48"/>
    <x v="0"/>
    <s v="Refurbishment"/>
    <s v="Active"/>
    <n v="0"/>
    <n v="0"/>
    <n v="0"/>
    <n v="0"/>
    <n v="0"/>
    <n v="0"/>
    <n v="0"/>
    <n v="0"/>
    <n v="469016.36"/>
    <n v="4049141.35"/>
    <n v="1166785.49"/>
    <n v="441483.16"/>
    <n v="12195.334082744077"/>
    <s v=""/>
    <s v=""/>
    <s v=""/>
    <s v=""/>
    <s v=""/>
    <s v=""/>
    <n v="6138621.6940827444"/>
    <n v="6138621.6940827444"/>
    <n v="7101657.943869628"/>
    <n v="6317208.8419784857"/>
    <n v="1.1241765345287305"/>
    <s v="2018"/>
    <d v="2017-05-15T00:00:00"/>
    <x v="1"/>
    <m/>
    <n v="6441657.8561654603"/>
    <n v="12195.334082744077"/>
  </r>
  <r>
    <x v="49"/>
    <x v="49"/>
    <x v="0"/>
    <s v="Refurbishment"/>
    <s v="Active"/>
    <n v="0"/>
    <n v="0"/>
    <n v="0"/>
    <n v="0"/>
    <n v="0"/>
    <n v="0"/>
    <n v="0"/>
    <n v="0"/>
    <n v="673197.8"/>
    <n v="1777892.24"/>
    <n v="43397.88"/>
    <n v="8506.75"/>
    <s v=""/>
    <s v=""/>
    <s v=""/>
    <s v=""/>
    <s v=""/>
    <s v=""/>
    <s v=""/>
    <n v="2502994.67"/>
    <n v="2502994.67"/>
    <n v="2916267.9782029805"/>
    <n v="2511102.7632522215"/>
    <n v="1.161349515790431"/>
    <s v="2017"/>
    <d v="2014-12-05T00:00:00"/>
    <x v="8"/>
    <m/>
    <n v="2645241.5310556195"/>
    <n v="8506.75"/>
  </r>
  <r>
    <x v="50"/>
    <x v="50"/>
    <x v="0"/>
    <s v="Security/Compliance"/>
    <s v="Closed"/>
    <n v="0"/>
    <n v="0"/>
    <n v="0"/>
    <n v="0"/>
    <n v="0"/>
    <n v="0"/>
    <n v="0"/>
    <n v="17934.27"/>
    <n v="179945.41"/>
    <n v="428936.92"/>
    <n v="339799.41"/>
    <s v=""/>
    <s v=""/>
    <s v=""/>
    <s v=""/>
    <s v=""/>
    <s v=""/>
    <s v=""/>
    <s v=""/>
    <n v="966616.01"/>
    <n v="966616.01"/>
    <n v="1121143.7403812748"/>
    <n v="978034.92034843669"/>
    <n v="1.1463228122589466"/>
    <s v="2016"/>
    <d v="2015-11-02T00:00:00"/>
    <x v="5"/>
    <m/>
    <n v="1016949.0617824032"/>
    <n v="339799.41"/>
  </r>
  <r>
    <x v="51"/>
    <x v="51"/>
    <x v="0"/>
    <s v="Facilities"/>
    <s v="Closed"/>
    <n v="0"/>
    <n v="0"/>
    <n v="0"/>
    <n v="0"/>
    <n v="0"/>
    <n v="0"/>
    <n v="0"/>
    <n v="52860.86"/>
    <n v="384185.78"/>
    <m/>
    <n v="-987.77"/>
    <s v=""/>
    <s v=""/>
    <s v=""/>
    <s v=""/>
    <s v=""/>
    <s v=""/>
    <s v=""/>
    <s v=""/>
    <n v="436058.87"/>
    <n v="438034.41000000003"/>
    <n v="514995.85865429987"/>
    <n v="437633.0895235241"/>
    <n v="1.176775410687078"/>
    <s v="2016"/>
    <d v="2013-12-20T00:00:00"/>
    <x v="4"/>
    <m/>
    <n v="467134.17416236643"/>
    <n v="-987.77"/>
  </r>
  <r>
    <x v="52"/>
    <x v="52"/>
    <x v="0"/>
    <s v="Augmentation"/>
    <s v="Active"/>
    <n v="0"/>
    <n v="0"/>
    <n v="0"/>
    <n v="0"/>
    <n v="0"/>
    <n v="0"/>
    <n v="0"/>
    <n v="0"/>
    <n v="2977.51"/>
    <n v="5378.36"/>
    <n v="405032.26"/>
    <n v="1220707.55"/>
    <s v=""/>
    <s v=""/>
    <s v=""/>
    <s v=""/>
    <s v=""/>
    <s v=""/>
    <s v=""/>
    <n v="1634095.6800000002"/>
    <n v="1634095.6800000002"/>
    <n v="1846338.5189056755"/>
    <n v="1642391.975099965"/>
    <n v="1.1241765345287305"/>
    <s v="2017"/>
    <d v="2017-01-09T00:00:00"/>
    <x v="1"/>
    <m/>
    <n v="1674747.0970094341"/>
    <n v="1220707.55"/>
  </r>
  <r>
    <x v="53"/>
    <x v="53"/>
    <x v="0"/>
    <s v="Security/Compliance"/>
    <s v="Closed"/>
    <n v="0"/>
    <n v="0"/>
    <n v="0"/>
    <n v="0"/>
    <n v="0"/>
    <n v="0"/>
    <n v="0"/>
    <n v="0"/>
    <n v="89188.45"/>
    <m/>
    <m/>
    <s v=""/>
    <s v=""/>
    <s v=""/>
    <s v=""/>
    <s v=""/>
    <s v=""/>
    <s v=""/>
    <s v=""/>
    <n v="89188.45"/>
    <n v="89188.45"/>
    <n v="104954.77487729392"/>
    <n v="93361.470955531317"/>
    <n v="1.1241765345287305"/>
    <s v="2014"/>
    <d v="2013-10-31T00:00:00"/>
    <x v="1"/>
    <m/>
    <n v="95200.69193335528"/>
    <n v="89188.45"/>
  </r>
  <r>
    <x v="54"/>
    <x v="54"/>
    <x v="0"/>
    <s v="Easements/Land"/>
    <s v="Active"/>
    <n v="0"/>
    <n v="0"/>
    <n v="0"/>
    <n v="0"/>
    <n v="0"/>
    <n v="0"/>
    <n v="0"/>
    <n v="134351.37"/>
    <n v="188691.28"/>
    <n v="163346.25"/>
    <n v="275845.46999999997"/>
    <n v="16227.24"/>
    <s v=""/>
    <s v=""/>
    <s v=""/>
    <s v=""/>
    <s v=""/>
    <s v=""/>
    <s v=""/>
    <n v="778461.61"/>
    <n v="778461.61"/>
    <n v="908932.8494337101"/>
    <n v="808532.13131222909"/>
    <n v="1.1241765345287305"/>
    <s v="2017"/>
    <d v="2016-04-29T00:00:00"/>
    <x v="1"/>
    <m/>
    <n v="824460.21429907985"/>
    <n v="16227.24"/>
  </r>
  <r>
    <x v="55"/>
    <x v="55"/>
    <x v="0"/>
    <s v="Replacement"/>
    <s v="Active"/>
    <n v="0"/>
    <n v="0"/>
    <n v="0"/>
    <n v="0"/>
    <n v="0"/>
    <n v="0"/>
    <n v="0"/>
    <n v="0"/>
    <n v="277734.34000000003"/>
    <n v="220787.11"/>
    <n v="827665.65"/>
    <n v="207131.21"/>
    <n v="170888.81240072587"/>
    <n v="21463.852648731405"/>
    <s v=""/>
    <s v=""/>
    <s v=""/>
    <s v=""/>
    <s v=""/>
    <n v="1725670.9750494573"/>
    <n v="1725670.9750494573"/>
    <n v="1976469.6070811523"/>
    <n v="1792784.3149523984"/>
    <n v="1.1024581097663335"/>
    <s v="2019"/>
    <d v="2018-06-20T00:00:00"/>
    <x v="10"/>
    <m/>
    <n v="1792784.3149523982"/>
    <n v="21463.852648731405"/>
  </r>
  <r>
    <x v="56"/>
    <x v="56"/>
    <x v="0"/>
    <s v="Information Technology"/>
    <s v="Closed"/>
    <n v="0"/>
    <n v="0"/>
    <n v="0"/>
    <n v="0"/>
    <n v="0"/>
    <n v="0"/>
    <n v="0"/>
    <n v="607819.53"/>
    <n v="265317.2"/>
    <n v="140277.35"/>
    <n v="6212.29"/>
    <s v=""/>
    <s v=""/>
    <s v=""/>
    <s v=""/>
    <s v=""/>
    <s v=""/>
    <s v=""/>
    <s v=""/>
    <n v="1019626.37"/>
    <n v="1019626.37"/>
    <n v="1218473.2464215932"/>
    <n v="1035433.9794627161"/>
    <n v="1.176775410687078"/>
    <s v="2016"/>
    <d v="2014-06-03T00:00:00"/>
    <x v="4"/>
    <m/>
    <n v="1105233.1472983123"/>
    <n v="6212.29"/>
  </r>
  <r>
    <x v="57"/>
    <x v="57"/>
    <x v="0"/>
    <s v="Information Technology"/>
    <s v="Closed"/>
    <n v="0"/>
    <n v="0"/>
    <n v="0"/>
    <n v="0"/>
    <n v="0"/>
    <n v="0"/>
    <n v="0"/>
    <n v="1444350.77"/>
    <n v="1072130.25"/>
    <n v="98304.17"/>
    <n v="51373.36"/>
    <s v=""/>
    <s v=""/>
    <s v=""/>
    <s v=""/>
    <s v=""/>
    <s v=""/>
    <s v=""/>
    <s v=""/>
    <n v="2666158.5499999998"/>
    <n v="2666158.5499999998"/>
    <n v="3184184.1496347464"/>
    <n v="2741796.5964083993"/>
    <n v="1.161349515790431"/>
    <s v="2016"/>
    <d v="2014-07-08T00:00:00"/>
    <x v="8"/>
    <m/>
    <n v="2888258.6298989938"/>
    <n v="51373.36"/>
  </r>
  <r>
    <x v="58"/>
    <x v="58"/>
    <x v="0"/>
    <s v="Replacement"/>
    <s v="Closed"/>
    <n v="0"/>
    <n v="0"/>
    <n v="0"/>
    <n v="0"/>
    <n v="0"/>
    <n v="0"/>
    <n v="9558.66"/>
    <n v="393759.8"/>
    <n v="643443.42000000004"/>
    <n v="5618545.5199999996"/>
    <n v="984885.6"/>
    <s v=""/>
    <s v=""/>
    <s v=""/>
    <s v=""/>
    <s v=""/>
    <s v=""/>
    <s v=""/>
    <s v=""/>
    <n v="7650192.9999999991"/>
    <n v="7650192.9999999991"/>
    <n v="8900090.072830122"/>
    <n v="7764034.6834689453"/>
    <n v="1.1463228122589466"/>
    <s v="2016"/>
    <d v="2015-07-17T00:00:00"/>
    <x v="5"/>
    <m/>
    <n v="8072950.7942179302"/>
    <n v="984885.6"/>
  </r>
  <r>
    <x v="59"/>
    <x v="59"/>
    <x v="0"/>
    <s v="Replacement"/>
    <s v="Closed"/>
    <n v="0"/>
    <n v="0"/>
    <n v="0"/>
    <n v="0"/>
    <n v="0"/>
    <n v="0"/>
    <n v="10681.96"/>
    <n v="297096.37"/>
    <n v="617142.07999999996"/>
    <n v="5327208.32"/>
    <n v="582613.27"/>
    <s v=""/>
    <s v=""/>
    <s v=""/>
    <s v=""/>
    <s v=""/>
    <s v=""/>
    <s v=""/>
    <s v=""/>
    <n v="6834742"/>
    <n v="6834742"/>
    <n v="7953971.9847361296"/>
    <n v="6848904.5516349515"/>
    <n v="1.161349515790431"/>
    <s v="2016"/>
    <d v="2015-06-29T00:00:00"/>
    <x v="8"/>
    <m/>
    <n v="7214761.1907195058"/>
    <n v="582613.27"/>
  </r>
  <r>
    <x v="60"/>
    <x v="60"/>
    <x v="0"/>
    <s v="Augmentation"/>
    <s v="Deferred"/>
    <n v="0"/>
    <n v="0"/>
    <n v="0"/>
    <n v="0"/>
    <n v="0"/>
    <n v="0"/>
    <n v="203825.27"/>
    <n v="133765.42000000001"/>
    <m/>
    <m/>
    <m/>
    <s v=""/>
    <n v="-336867.57415815134"/>
    <s v=""/>
    <s v=""/>
    <s v=""/>
    <s v=""/>
    <s v=""/>
    <s v=""/>
    <n v="723.11584184865933"/>
    <n v="674458.26415815135"/>
    <n v="0"/>
    <n v="0"/>
    <n v="1"/>
    <s v="2018"/>
    <d v="2029-11-01T00:00:00"/>
    <x v="14"/>
    <m/>
    <n v="0"/>
    <n v="-336867.57415815134"/>
  </r>
  <r>
    <x v="61"/>
    <x v="61"/>
    <x v="0"/>
    <s v="Information Technology"/>
    <s v="Closed"/>
    <n v="0"/>
    <n v="0"/>
    <n v="0"/>
    <n v="0"/>
    <n v="0"/>
    <n v="0"/>
    <n v="0"/>
    <n v="124347.76"/>
    <n v="154643.18"/>
    <n v="482919.11"/>
    <n v="18252.330000000002"/>
    <m/>
    <s v=""/>
    <s v=""/>
    <s v=""/>
    <s v=""/>
    <s v=""/>
    <s v=""/>
    <s v=""/>
    <n v="780162.38"/>
    <n v="780162.38"/>
    <n v="914357.60855728691"/>
    <n v="797644.0831317415"/>
    <n v="1.1463228122589466"/>
    <s v="2016"/>
    <d v="2015-07-30T00:00:00"/>
    <x v="5"/>
    <m/>
    <n v="829380.81769935484"/>
    <n v="18252.330000000002"/>
  </r>
  <r>
    <x v="62"/>
    <x v="62"/>
    <x v="0"/>
    <s v="Information Technology"/>
    <s v="Active"/>
    <n v="0"/>
    <n v="0"/>
    <n v="0"/>
    <n v="0"/>
    <n v="0"/>
    <n v="0"/>
    <n v="0"/>
    <n v="0"/>
    <m/>
    <m/>
    <m/>
    <n v="609311.65"/>
    <n v="946211.3728565725"/>
    <n v="2815113.1151663093"/>
    <s v=""/>
    <s v=""/>
    <s v=""/>
    <s v=""/>
    <s v=""/>
    <n v="4370636.1380228819"/>
    <n v="4370636.1380228819"/>
    <n v="4771717.907192681"/>
    <n v="4413519.8488364052"/>
    <n v="1.0811592721058483"/>
    <s v="2019"/>
    <d v="2019-04-15T00:00:00"/>
    <x v="12"/>
    <m/>
    <n v="4328253.2596218539"/>
    <n v="2815113.1151663093"/>
  </r>
  <r>
    <x v="63"/>
    <x v="63"/>
    <x v="0"/>
    <s v="Information Technology"/>
    <s v="Closed"/>
    <n v="0"/>
    <n v="0"/>
    <n v="0"/>
    <n v="0"/>
    <n v="0"/>
    <n v="0"/>
    <n v="0"/>
    <n v="0"/>
    <m/>
    <n v="13918.48"/>
    <n v="356943.46"/>
    <n v="65736.39"/>
    <s v=""/>
    <s v=""/>
    <s v=""/>
    <s v=""/>
    <s v=""/>
    <s v=""/>
    <s v=""/>
    <n v="436598.33"/>
    <n v="436598.33"/>
    <n v="499235.95799580676"/>
    <n v="444090.35650712368"/>
    <n v="1.1241765345287305"/>
    <s v="2017"/>
    <d v="2016-09-12T00:00:00"/>
    <x v="1"/>
    <m/>
    <n v="452838.93653031404"/>
    <n v="65736.39"/>
  </r>
  <r>
    <x v="64"/>
    <x v="64"/>
    <x v="0"/>
    <s v="Replacement"/>
    <s v="Active"/>
    <n v="0"/>
    <n v="0"/>
    <n v="0"/>
    <n v="0"/>
    <n v="0"/>
    <n v="0"/>
    <n v="0"/>
    <n v="0"/>
    <m/>
    <n v="111136.3"/>
    <n v="245766.33"/>
    <n v="663476.67000000004"/>
    <n v="331231.7625639434"/>
    <s v=""/>
    <s v=""/>
    <s v=""/>
    <s v=""/>
    <s v=""/>
    <s v=""/>
    <n v="1351611.0625639434"/>
    <n v="1351611.0625639434"/>
    <n v="1521829.6852279785"/>
    <n v="1380396.8348062958"/>
    <n v="1.1024581097663335"/>
    <s v="2018"/>
    <d v="2017-08-01T00:00:00"/>
    <x v="10"/>
    <m/>
    <n v="1380396.8348062956"/>
    <n v="331231.7625639434"/>
  </r>
  <r>
    <x v="65"/>
    <x v="65"/>
    <x v="0"/>
    <s v="Augmentation"/>
    <s v="Active"/>
    <n v="0"/>
    <n v="0"/>
    <n v="0"/>
    <n v="0"/>
    <n v="0"/>
    <n v="0"/>
    <n v="481337.1"/>
    <n v="7208668.1500000004"/>
    <n v="2012389.33"/>
    <n v="-27559.39"/>
    <n v="52963.79"/>
    <s v=""/>
    <s v=""/>
    <s v=""/>
    <s v=""/>
    <s v=""/>
    <s v=""/>
    <s v=""/>
    <s v=""/>
    <n v="9727798.9799999986"/>
    <n v="9782917.7599999998"/>
    <n v="11725956.384049203"/>
    <n v="9964481.1385061387"/>
    <n v="1.176775410687078"/>
    <s v="2016"/>
    <d v="2014-06-10T00:00:00"/>
    <x v="4"/>
    <m/>
    <n v="10636192.23276839"/>
    <n v="52963.79"/>
  </r>
  <r>
    <x v="66"/>
    <x v="66"/>
    <x v="0"/>
    <s v="Information Technology"/>
    <s v="Active"/>
    <n v="0"/>
    <n v="0"/>
    <n v="0"/>
    <n v="0"/>
    <n v="0"/>
    <n v="0"/>
    <n v="0"/>
    <n v="0"/>
    <m/>
    <n v="43121.87"/>
    <n v="139423.98000000001"/>
    <n v="420320.86"/>
    <n v="4877.0914169945636"/>
    <s v=""/>
    <s v=""/>
    <s v=""/>
    <s v=""/>
    <s v=""/>
    <s v=""/>
    <n v="607743.80141699454"/>
    <n v="607743.80141699454"/>
    <n v="687796.08846408618"/>
    <n v="611822.13588226098"/>
    <n v="1.1241765345287305"/>
    <s v="2018"/>
    <d v="2017-06-01T00:00:00"/>
    <x v="1"/>
    <m/>
    <n v="623875.03195914149"/>
    <n v="4877.0914169945636"/>
  </r>
  <r>
    <x v="67"/>
    <x v="67"/>
    <x v="0"/>
    <s v="Augmentation"/>
    <s v="Active"/>
    <n v="0"/>
    <n v="0"/>
    <n v="0"/>
    <n v="0"/>
    <n v="0"/>
    <n v="0"/>
    <n v="15705.17"/>
    <n v="3381662.43"/>
    <n v="7363569.1200000001"/>
    <n v="612351.55000000005"/>
    <n v="83757.440000000002"/>
    <n v="271.25"/>
    <s v=""/>
    <s v=""/>
    <s v=""/>
    <s v=""/>
    <s v=""/>
    <s v=""/>
    <s v=""/>
    <n v="11457316.960000001"/>
    <n v="11457316.960000001"/>
    <n v="13588281.058881884"/>
    <n v="11700423.407533353"/>
    <n v="1.161349515790431"/>
    <s v="2017"/>
    <d v="2014-12-08T00:00:00"/>
    <x v="8"/>
    <m/>
    <n v="12325439.795405852"/>
    <n v="271.25"/>
  </r>
  <r>
    <x v="68"/>
    <x v="68"/>
    <x v="0"/>
    <s v="Replacement"/>
    <s v="Closed"/>
    <n v="0"/>
    <n v="0"/>
    <n v="0"/>
    <n v="0"/>
    <n v="0"/>
    <n v="0"/>
    <n v="0"/>
    <n v="0"/>
    <n v="129826.86"/>
    <n v="70181.259999999995"/>
    <n v="-50000"/>
    <s v=""/>
    <s v=""/>
    <s v=""/>
    <s v=""/>
    <s v=""/>
    <s v=""/>
    <s v=""/>
    <s v=""/>
    <n v="150008.12"/>
    <n v="250008.12"/>
    <n v="176965.8882003288"/>
    <n v="163681.60803508642"/>
    <n v="1.0811592721058483"/>
    <s v="2016"/>
    <d v="2018-09-21T00:00:00"/>
    <x v="12"/>
    <m/>
    <n v="160519.3763215518"/>
    <n v="-50000"/>
  </r>
  <r>
    <x v="69"/>
    <x v="69"/>
    <x v="0"/>
    <s v="Replacement"/>
    <s v="Potential"/>
    <n v="0"/>
    <n v="0"/>
    <n v="0"/>
    <n v="0"/>
    <n v="0"/>
    <n v="0"/>
    <n v="0"/>
    <n v="0"/>
    <m/>
    <m/>
    <m/>
    <s v=""/>
    <s v=""/>
    <n v="153083.9772311605"/>
    <n v="245289.94454550167"/>
    <s v=""/>
    <s v=""/>
    <s v=""/>
    <s v=""/>
    <n v="398373.92177666217"/>
    <n v="398373.92177666217"/>
    <n v="425582.20071930578"/>
    <n v="401389.67612811609"/>
    <n v="1.060271915373"/>
    <s v="2020"/>
    <d v="2019-11-06T00:00:00"/>
    <x v="15"/>
    <m/>
    <n v="386030.26904079656"/>
    <n v="245289.94454550167"/>
  </r>
  <r>
    <x v="70"/>
    <x v="70"/>
    <x v="0"/>
    <s v="Replacement"/>
    <s v="Active"/>
    <n v="0"/>
    <n v="0"/>
    <n v="0"/>
    <n v="0"/>
    <n v="0"/>
    <n v="0"/>
    <n v="22293.77"/>
    <n v="2206.4499999999998"/>
    <m/>
    <n v="24922.94"/>
    <n v="1557029.81"/>
    <n v="1907150.18"/>
    <s v=""/>
    <s v=""/>
    <s v=""/>
    <s v=""/>
    <s v=""/>
    <s v=""/>
    <s v=""/>
    <n v="3513603.15"/>
    <n v="3513603.15"/>
    <n v="3988128.1968990676"/>
    <n v="3547599.575693815"/>
    <n v="1.1241765345287305"/>
    <s v="2017"/>
    <d v="2016-11-01T00:00:00"/>
    <x v="1"/>
    <m/>
    <n v="3617487.2873349832"/>
    <n v="1907150.18"/>
  </r>
  <r>
    <x v="71"/>
    <x v="71"/>
    <x v="0"/>
    <s v="Facilities"/>
    <s v="Closed"/>
    <n v="0"/>
    <n v="0"/>
    <n v="0"/>
    <n v="0"/>
    <n v="0"/>
    <n v="0"/>
    <n v="0"/>
    <n v="0"/>
    <m/>
    <n v="15748.67"/>
    <n v="-2762.64"/>
    <s v=""/>
    <s v=""/>
    <s v=""/>
    <s v=""/>
    <s v=""/>
    <s v=""/>
    <s v=""/>
    <s v=""/>
    <n v="12986.03"/>
    <n v="18511.310000000001"/>
    <n v="15122.83302478423"/>
    <n v="13452.364962522473"/>
    <n v="1.1241765345287305"/>
    <s v="2016"/>
    <d v="2016-12-06T00:00:00"/>
    <x v="1"/>
    <m/>
    <n v="13717.376552284168"/>
    <n v="-2762.64"/>
  </r>
  <r>
    <x v="72"/>
    <x v="72"/>
    <x v="0"/>
    <s v="Facilities"/>
    <s v="Closed"/>
    <n v="0"/>
    <n v="0"/>
    <n v="0"/>
    <n v="0"/>
    <n v="0"/>
    <n v="0"/>
    <n v="0"/>
    <n v="0"/>
    <m/>
    <n v="118677.6"/>
    <n v="36888.410000000003"/>
    <n v="9499.4"/>
    <s v=""/>
    <s v=""/>
    <s v=""/>
    <s v=""/>
    <s v=""/>
    <s v=""/>
    <s v=""/>
    <n v="165065.41"/>
    <n v="165065.41"/>
    <n v="190791.20175823371"/>
    <n v="164284.04986106057"/>
    <n v="1.161349515790431"/>
    <s v="2017"/>
    <d v="2015-04-27T00:00:00"/>
    <x v="8"/>
    <m/>
    <n v="173059.81975013271"/>
    <n v="9499.4"/>
  </r>
  <r>
    <x v="73"/>
    <x v="73"/>
    <x v="0"/>
    <s v="Replacement"/>
    <s v="Active"/>
    <n v="0"/>
    <n v="0"/>
    <n v="0"/>
    <n v="0"/>
    <n v="0"/>
    <n v="0"/>
    <n v="0"/>
    <n v="0"/>
    <m/>
    <n v="329673.95"/>
    <n v="170681.92"/>
    <n v="871177.31"/>
    <n v="1225198.4379036324"/>
    <n v="27184.458090880758"/>
    <s v=""/>
    <s v=""/>
    <s v=""/>
    <s v=""/>
    <s v=""/>
    <n v="2623916.0759945135"/>
    <n v="2623916.0759945135"/>
    <n v="2938001.0329152686"/>
    <n v="2664954.8013556534"/>
    <n v="1.1024581097663335"/>
    <s v="2019"/>
    <d v="2017-08-10T00:00:00"/>
    <x v="10"/>
    <m/>
    <n v="2664954.8013556534"/>
    <n v="27184.458090880758"/>
  </r>
  <r>
    <x v="74"/>
    <x v="74"/>
    <x v="0"/>
    <s v="Information Technology"/>
    <s v="Potential"/>
    <n v="0"/>
    <n v="0"/>
    <n v="0"/>
    <n v="0"/>
    <n v="0"/>
    <n v="0"/>
    <n v="0"/>
    <n v="0"/>
    <m/>
    <m/>
    <m/>
    <s v=""/>
    <n v="270280.28300783673"/>
    <n v="603843.93955460587"/>
    <n v="612893.77637549676"/>
    <s v=""/>
    <s v=""/>
    <s v=""/>
    <s v=""/>
    <n v="1487017.9989379393"/>
    <n v="1487017.9989379393"/>
    <n v="1600658.2222641539"/>
    <n v="1509667.6607727064"/>
    <n v="1.060271915373"/>
    <s v="2020"/>
    <d v="2020-02-21T00:00:00"/>
    <x v="15"/>
    <m/>
    <n v="1451899.3584286068"/>
    <n v="612893.77637549676"/>
  </r>
  <r>
    <x v="75"/>
    <x v="75"/>
    <x v="0"/>
    <s v="Information Technology"/>
    <s v="Active"/>
    <n v="0"/>
    <n v="0"/>
    <n v="0"/>
    <n v="0"/>
    <n v="0"/>
    <n v="0"/>
    <n v="0"/>
    <n v="0"/>
    <m/>
    <n v="25072.28"/>
    <n v="355103.46"/>
    <n v="109140.32"/>
    <s v=""/>
    <s v=""/>
    <s v=""/>
    <s v=""/>
    <s v=""/>
    <s v=""/>
    <s v=""/>
    <n v="489316.06"/>
    <n v="489316.06"/>
    <n v="558873.86386280111"/>
    <n v="497140.65958251688"/>
    <n v="1.1241765345287305"/>
    <s v="2017"/>
    <d v="2017-01-19T00:00:00"/>
    <x v="1"/>
    <m/>
    <n v="506934.33057629247"/>
    <n v="109140.32"/>
  </r>
  <r>
    <x v="76"/>
    <x v="76"/>
    <x v="0"/>
    <s v="Information Technology"/>
    <s v="Closed"/>
    <n v="0"/>
    <n v="0"/>
    <n v="0"/>
    <n v="0"/>
    <n v="0"/>
    <n v="0"/>
    <n v="0"/>
    <n v="0"/>
    <m/>
    <n v="168079.52"/>
    <n v="507544.2"/>
    <n v="145338.79999999999"/>
    <s v=""/>
    <s v=""/>
    <s v=""/>
    <s v=""/>
    <s v=""/>
    <s v=""/>
    <s v=""/>
    <n v="820962.52"/>
    <n v="820962.52"/>
    <n v="940395.03237256955"/>
    <n v="809743.33702849422"/>
    <n v="1.161349515790431"/>
    <s v="2017"/>
    <d v="2015-09-04T00:00:00"/>
    <x v="8"/>
    <m/>
    <n v="852998.42600993381"/>
    <n v="145338.79999999999"/>
  </r>
  <r>
    <x v="77"/>
    <x v="77"/>
    <x v="0"/>
    <s v="Replacement"/>
    <s v="Active"/>
    <n v="0"/>
    <n v="0"/>
    <n v="0"/>
    <n v="0"/>
    <n v="0"/>
    <n v="0"/>
    <n v="0"/>
    <n v="0"/>
    <m/>
    <m/>
    <n v="28007.03"/>
    <n v="554446.61"/>
    <n v="3090833.3854595073"/>
    <n v="908883.63285982807"/>
    <s v=""/>
    <s v=""/>
    <s v=""/>
    <s v=""/>
    <s v=""/>
    <n v="4582170.6583193354"/>
    <n v="4582170.6583193354"/>
    <n v="5045563.2646716395"/>
    <n v="4666808.4849737715"/>
    <n v="1.0811592721058483"/>
    <s v="2019"/>
    <d v="2018-06-15T00:00:00"/>
    <x v="12"/>
    <m/>
    <n v="4576648.5093397778"/>
    <n v="908883.63285982807"/>
  </r>
  <r>
    <x v="78"/>
    <x v="78"/>
    <x v="0"/>
    <s v="Information Technology"/>
    <s v="Closed"/>
    <n v="0"/>
    <n v="0"/>
    <n v="0"/>
    <n v="0"/>
    <n v="0"/>
    <n v="0"/>
    <n v="0"/>
    <n v="0"/>
    <m/>
    <n v="5520.76"/>
    <n v="41285.660000000003"/>
    <s v=""/>
    <s v=""/>
    <s v=""/>
    <s v=""/>
    <s v=""/>
    <s v=""/>
    <s v=""/>
    <s v=""/>
    <n v="46806.420000000006"/>
    <n v="46806.420000000006"/>
    <n v="53738.225829961884"/>
    <n v="46878.789513108619"/>
    <n v="1.1463228122589466"/>
    <s v="2016"/>
    <d v="2015-09-04T00:00:00"/>
    <x v="5"/>
    <m/>
    <n v="48744.007009347239"/>
    <n v="41285.660000000003"/>
  </r>
  <r>
    <x v="79"/>
    <x v="79"/>
    <x v="0"/>
    <s v="Facilities"/>
    <s v="Closed"/>
    <n v="0"/>
    <n v="0"/>
    <n v="0"/>
    <n v="0"/>
    <n v="0"/>
    <n v="0"/>
    <n v="0"/>
    <n v="0"/>
    <m/>
    <n v="180219.19"/>
    <n v="-15569.69"/>
    <s v=""/>
    <s v=""/>
    <s v=""/>
    <s v=""/>
    <s v=""/>
    <s v=""/>
    <s v=""/>
    <s v=""/>
    <n v="164649.5"/>
    <n v="195788.88"/>
    <n v="191449.57821584371"/>
    <n v="167011.92383895133"/>
    <n v="1.1463228122589466"/>
    <s v="2016"/>
    <d v="2016-05-05T00:00:00"/>
    <x v="5"/>
    <m/>
    <n v="173657.00929572867"/>
    <n v="-15569.69"/>
  </r>
  <r>
    <x v="80"/>
    <x v="80"/>
    <x v="0"/>
    <s v="Inventory/Spares"/>
    <s v="Closed"/>
    <n v="0"/>
    <n v="0"/>
    <n v="0"/>
    <n v="0"/>
    <n v="0"/>
    <n v="0"/>
    <n v="0"/>
    <n v="0"/>
    <m/>
    <n v="1991085.2"/>
    <m/>
    <s v=""/>
    <s v=""/>
    <s v=""/>
    <s v=""/>
    <s v=""/>
    <s v=""/>
    <s v=""/>
    <s v=""/>
    <n v="1991085.2"/>
    <n v="1991085.2"/>
    <n v="2312345.8329174933"/>
    <n v="1991085.2"/>
    <n v="1.161349515790431"/>
    <s v="2015"/>
    <d v="2014-07-01T00:00:00"/>
    <x v="8"/>
    <m/>
    <n v="2097445.5287082023"/>
    <n v="1991085.2"/>
  </r>
  <r>
    <x v="81"/>
    <x v="81"/>
    <x v="0"/>
    <s v="Security/Compliance"/>
    <s v="Active"/>
    <n v="0"/>
    <n v="0"/>
    <n v="0"/>
    <n v="0"/>
    <n v="0"/>
    <n v="0"/>
    <n v="0"/>
    <n v="0"/>
    <n v="73819.259999999995"/>
    <n v="1176181.29"/>
    <n v="5432407.5999999996"/>
    <n v="1056122.5900000001"/>
    <n v="1201033.8006048226"/>
    <n v="75074.487462679026"/>
    <s v=""/>
    <s v=""/>
    <s v=""/>
    <s v=""/>
    <s v=""/>
    <n v="9014639.0280675013"/>
    <n v="9014639.0280675013"/>
    <n v="10272644.1840581"/>
    <n v="9317945.1382832061"/>
    <n v="1.1024581097663335"/>
    <s v="2019"/>
    <d v="2017-11-20T00:00:00"/>
    <x v="10"/>
    <m/>
    <n v="9317945.1382832043"/>
    <n v="75074.487462679026"/>
  </r>
  <r>
    <x v="82"/>
    <x v="82"/>
    <x v="0"/>
    <s v="Information Technology"/>
    <s v="Potential"/>
    <n v="0"/>
    <n v="0"/>
    <n v="0"/>
    <n v="0"/>
    <n v="0"/>
    <n v="0"/>
    <n v="0"/>
    <n v="0"/>
    <m/>
    <m/>
    <m/>
    <s v=""/>
    <s v=""/>
    <n v="743401.69922517054"/>
    <n v="955546.05344754271"/>
    <s v=""/>
    <s v=""/>
    <s v=""/>
    <s v=""/>
    <n v="1698947.7526727132"/>
    <n v="1698947.7526727132"/>
    <n v="1816874.2843324733"/>
    <n v="1713592.7661474491"/>
    <n v="1.060271915373"/>
    <s v="2020"/>
    <d v="2019-11-18T00:00:00"/>
    <x v="15"/>
    <m/>
    <n v="1648021.152220977"/>
    <n v="955546.05344754271"/>
  </r>
  <r>
    <x v="83"/>
    <x v="83"/>
    <x v="0"/>
    <s v="Information Technology"/>
    <s v="Active"/>
    <n v="0"/>
    <n v="0"/>
    <n v="0"/>
    <n v="0"/>
    <n v="0"/>
    <n v="0"/>
    <n v="0"/>
    <n v="0"/>
    <n v="58928.5"/>
    <n v="11460.27"/>
    <n v="-37171.56"/>
    <n v="708767.64"/>
    <n v="260114.26733706801"/>
    <s v=""/>
    <s v=""/>
    <s v=""/>
    <s v=""/>
    <s v=""/>
    <s v=""/>
    <n v="1002099.117337068"/>
    <n v="1076442.237337068"/>
    <n v="1123589.4144217344"/>
    <n v="1019167.4445207535"/>
    <n v="1.1024581097663335"/>
    <s v="2018"/>
    <d v="2017-08-28T00:00:00"/>
    <x v="10"/>
    <m/>
    <n v="1019167.4445207535"/>
    <n v="260114.26733706801"/>
  </r>
  <r>
    <x v="84"/>
    <x v="84"/>
    <x v="0"/>
    <s v="Augmentation"/>
    <s v="Active"/>
    <n v="0"/>
    <n v="0"/>
    <n v="0"/>
    <n v="0"/>
    <n v="0"/>
    <n v="0"/>
    <n v="0"/>
    <n v="0"/>
    <m/>
    <n v="9013.5"/>
    <n v="404991.72"/>
    <n v="1466815.47"/>
    <n v="685471.23577355698"/>
    <n v="12932.425044136578"/>
    <s v=""/>
    <s v=""/>
    <s v=""/>
    <s v=""/>
    <s v=""/>
    <n v="2579224.3508176934"/>
    <n v="2579224.3508176934"/>
    <n v="2893363.9372676862"/>
    <n v="2624466.1013749866"/>
    <n v="1.1024581097663335"/>
    <s v="2019"/>
    <d v="2018-04-04T00:00:00"/>
    <x v="10"/>
    <m/>
    <n v="2624466.1013749861"/>
    <n v="12932.425044136578"/>
  </r>
  <r>
    <x v="85"/>
    <x v="85"/>
    <x v="0"/>
    <s v="Facilities"/>
    <s v="Closed"/>
    <n v="0"/>
    <n v="0"/>
    <n v="0"/>
    <n v="0"/>
    <n v="0"/>
    <n v="0"/>
    <n v="0"/>
    <n v="0"/>
    <m/>
    <n v="188173.23"/>
    <n v="12484.04"/>
    <s v=""/>
    <s v=""/>
    <s v=""/>
    <s v=""/>
    <s v=""/>
    <s v=""/>
    <s v=""/>
    <s v=""/>
    <n v="200657.27000000002"/>
    <n v="200657.27000000002"/>
    <n v="232845.62938637458"/>
    <n v="200495.73898336414"/>
    <n v="1.161349515790431"/>
    <s v="2016"/>
    <d v="2015-04-20T00:00:00"/>
    <x v="8"/>
    <m/>
    <n v="211205.87469371175"/>
    <n v="12484.04"/>
  </r>
  <r>
    <x v="86"/>
    <x v="86"/>
    <x v="0"/>
    <s v="Facilities"/>
    <s v="Active"/>
    <n v="0"/>
    <n v="0"/>
    <n v="0"/>
    <n v="0"/>
    <n v="0"/>
    <n v="0"/>
    <n v="0"/>
    <n v="0"/>
    <m/>
    <m/>
    <n v="5363.33"/>
    <n v="19344.89"/>
    <s v=""/>
    <s v=""/>
    <s v=""/>
    <s v=""/>
    <s v=""/>
    <s v=""/>
    <s v=""/>
    <n v="24708.22"/>
    <n v="24708.22"/>
    <n v="27895.178929712267"/>
    <n v="24813.877601"/>
    <n v="1.1241765345287305"/>
    <s v="2017"/>
    <d v="2016-07-27T00:00:00"/>
    <x v="1"/>
    <m/>
    <n v="25302.710989739702"/>
    <n v="19344.89"/>
  </r>
  <r>
    <x v="87"/>
    <x v="87"/>
    <x v="0"/>
    <s v="Replacement"/>
    <s v="Active"/>
    <n v="0"/>
    <n v="0"/>
    <n v="0"/>
    <n v="0"/>
    <n v="0"/>
    <n v="0"/>
    <n v="0"/>
    <n v="0"/>
    <m/>
    <n v="185599.88"/>
    <n v="57958.92"/>
    <n v="405224.84"/>
    <n v="4917695.6435345076"/>
    <n v="5825270.7902782364"/>
    <n v="20523.205834996086"/>
    <s v=""/>
    <s v=""/>
    <s v=""/>
    <s v=""/>
    <n v="11412273.27964774"/>
    <n v="11412273.27964774"/>
    <n v="12478889.369048942"/>
    <n v="11542137.86165192"/>
    <n v="1.0811592721058483"/>
    <s v="2020"/>
    <d v="2018-12-17T00:00:00"/>
    <x v="12"/>
    <m/>
    <n v="11319150.594931763"/>
    <n v="20523.205834996086"/>
  </r>
  <r>
    <x v="88"/>
    <x v="88"/>
    <x v="0"/>
    <s v="Augmentation"/>
    <s v="Active"/>
    <n v="0"/>
    <n v="0"/>
    <n v="0"/>
    <n v="0"/>
    <n v="0"/>
    <n v="0"/>
    <n v="0"/>
    <n v="0"/>
    <m/>
    <n v="213853.45"/>
    <n v="6982366.7400000002"/>
    <n v="312398.3"/>
    <n v="605350.60175310366"/>
    <n v="5473625.0247902712"/>
    <n v="140306.69760423456"/>
    <s v=""/>
    <s v=""/>
    <s v=""/>
    <s v=""/>
    <n v="13727900.81414761"/>
    <n v="13727900.81414761"/>
    <n v="15337593.095260156"/>
    <n v="14465716.64577614"/>
    <n v="1.060271915373"/>
    <s v="2020"/>
    <d v="2019-08-05T00:00:00"/>
    <x v="15"/>
    <m/>
    <n v="13912177.668601818"/>
    <n v="140306.69760423456"/>
  </r>
  <r>
    <x v="89"/>
    <x v="89"/>
    <x v="0"/>
    <s v="Easements/Land"/>
    <s v="Active"/>
    <n v="0"/>
    <n v="0"/>
    <n v="0"/>
    <n v="0"/>
    <n v="0"/>
    <n v="0"/>
    <n v="25275.63"/>
    <n v="1818104.54"/>
    <n v="1336997.8400000001"/>
    <n v="1345162.35"/>
    <n v="467414.19"/>
    <n v="6301950.5999999996"/>
    <n v="18180.897851940728"/>
    <s v=""/>
    <s v=""/>
    <s v=""/>
    <s v=""/>
    <s v=""/>
    <s v=""/>
    <n v="11313086.047851939"/>
    <n v="11313086.047851939"/>
    <n v="13009468.724316167"/>
    <n v="11202027.079213735"/>
    <n v="1.161349515790431"/>
    <s v="2018"/>
    <d v="2014-10-31T00:00:00"/>
    <x v="8"/>
    <m/>
    <n v="11800419.996977054"/>
    <n v="18180.897851940728"/>
  </r>
  <r>
    <x v="90"/>
    <x v="90"/>
    <x v="0"/>
    <s v="Augmentation"/>
    <s v="Active"/>
    <n v="0"/>
    <n v="0"/>
    <n v="0"/>
    <n v="0"/>
    <n v="0"/>
    <n v="0"/>
    <n v="0"/>
    <n v="0"/>
    <n v="5538.17"/>
    <n v="366.94"/>
    <n v="59297.46"/>
    <n v="229915.25"/>
    <n v="1611256.0872593638"/>
    <n v="48825.829887983498"/>
    <s v=""/>
    <s v=""/>
    <s v=""/>
    <s v=""/>
    <s v=""/>
    <n v="1955199.7371473473"/>
    <n v="1955199.7371473473"/>
    <n v="2162513.5269659609"/>
    <n v="2000180.3460038635"/>
    <n v="1.0811592721058483"/>
    <s v="2019"/>
    <d v="2018-09-14T00:00:00"/>
    <x v="12"/>
    <m/>
    <n v="1961538.046488049"/>
    <n v="48825.829887983498"/>
  </r>
  <r>
    <x v="91"/>
    <x v="91"/>
    <x v="0"/>
    <s v="Security/Compliance"/>
    <s v="Active"/>
    <n v="0"/>
    <n v="0"/>
    <n v="0"/>
    <n v="0"/>
    <n v="0"/>
    <n v="0"/>
    <n v="0"/>
    <n v="0"/>
    <n v="68794.92"/>
    <n v="-68794.92"/>
    <n v="41663.269999999997"/>
    <n v="95885.27"/>
    <n v="898237.66566846881"/>
    <n v="150866.76123847783"/>
    <s v=""/>
    <s v=""/>
    <s v=""/>
    <s v=""/>
    <s v=""/>
    <n v="1186652.9669069466"/>
    <n v="1324242.8069069467"/>
    <n v="1309993.1473599421"/>
    <n v="1211656.0262285669"/>
    <n v="1.0811592721058483"/>
    <s v="2019"/>
    <d v="2018-10-25T00:00:00"/>
    <x v="12"/>
    <m/>
    <n v="1188247.5495033511"/>
    <n v="150866.76123847783"/>
  </r>
  <r>
    <x v="92"/>
    <x v="92"/>
    <x v="0"/>
    <s v="Facilities"/>
    <s v="Active"/>
    <n v="0"/>
    <n v="0"/>
    <n v="0"/>
    <n v="0"/>
    <n v="0"/>
    <n v="0"/>
    <n v="0"/>
    <n v="0"/>
    <m/>
    <m/>
    <n v="26995.38"/>
    <n v="23044.19"/>
    <s v=""/>
    <s v=""/>
    <s v=""/>
    <s v=""/>
    <s v=""/>
    <s v=""/>
    <s v=""/>
    <n v="50039.57"/>
    <n v="50039.57"/>
    <n v="56851.157574820551"/>
    <n v="50571.378986000003"/>
    <n v="1.1241765345287305"/>
    <s v="2017"/>
    <d v="2016-05-05T00:00:00"/>
    <x v="1"/>
    <m/>
    <n v="51567.635152024202"/>
    <n v="23044.19"/>
  </r>
  <r>
    <x v="93"/>
    <x v="93"/>
    <x v="0"/>
    <s v="Facilities"/>
    <s v="Closed"/>
    <n v="0"/>
    <n v="0"/>
    <n v="0"/>
    <n v="0"/>
    <n v="0"/>
    <n v="0"/>
    <n v="0"/>
    <n v="0"/>
    <m/>
    <m/>
    <n v="76855.67"/>
    <n v="160.63999999999999"/>
    <s v=""/>
    <s v=""/>
    <s v=""/>
    <s v=""/>
    <s v=""/>
    <s v=""/>
    <s v=""/>
    <n v="77016.31"/>
    <n v="77016.31"/>
    <n v="88281.995490952249"/>
    <n v="77013.206530352065"/>
    <n v="1.1463228122589466"/>
    <s v="2017"/>
    <d v="2016-03-22T00:00:00"/>
    <x v="5"/>
    <m/>
    <n v="80077.414922970303"/>
    <n v="160.63999999999999"/>
  </r>
  <r>
    <x v="94"/>
    <x v="94"/>
    <x v="0"/>
    <s v="Facilities"/>
    <s v="Active"/>
    <n v="0"/>
    <n v="0"/>
    <n v="0"/>
    <n v="0"/>
    <n v="0"/>
    <n v="0"/>
    <n v="0"/>
    <n v="0"/>
    <m/>
    <m/>
    <n v="52854.23"/>
    <n v="126104.97"/>
    <s v=""/>
    <s v=""/>
    <s v=""/>
    <s v=""/>
    <s v=""/>
    <s v=""/>
    <s v=""/>
    <n v="178959.2"/>
    <n v="178959.2"/>
    <n v="202352.25773483072"/>
    <n v="180000.42833100003"/>
    <n v="1.1241765345287305"/>
    <s v="2017"/>
    <d v="2016-08-08T00:00:00"/>
    <x v="1"/>
    <m/>
    <n v="183546.43676912072"/>
    <n v="126104.97"/>
  </r>
  <r>
    <x v="95"/>
    <x v="95"/>
    <x v="0"/>
    <s v="Facilities"/>
    <s v="Closed"/>
    <n v="0"/>
    <n v="0"/>
    <n v="0"/>
    <n v="0"/>
    <n v="0"/>
    <n v="0"/>
    <n v="0"/>
    <n v="0"/>
    <m/>
    <m/>
    <n v="152850.15"/>
    <n v="1448.55"/>
    <s v=""/>
    <s v=""/>
    <s v=""/>
    <s v=""/>
    <s v=""/>
    <s v=""/>
    <s v=""/>
    <n v="154298.69999999998"/>
    <n v="154298.69999999998"/>
    <n v="176844.0397212934"/>
    <n v="154270.71487202117"/>
    <n v="1.1463228122589466"/>
    <s v="2017"/>
    <d v="2016-05-05T00:00:00"/>
    <x v="5"/>
    <m/>
    <n v="160408.8519597135"/>
    <n v="1448.55"/>
  </r>
  <r>
    <x v="96"/>
    <x v="96"/>
    <x v="0"/>
    <s v="Security/Compliance"/>
    <s v="Active"/>
    <n v="0"/>
    <n v="0"/>
    <n v="0"/>
    <n v="0"/>
    <n v="0"/>
    <n v="0"/>
    <n v="0"/>
    <n v="0"/>
    <m/>
    <m/>
    <n v="15509.49"/>
    <n v="408955.42"/>
    <n v="84757.421960278487"/>
    <s v=""/>
    <s v=""/>
    <s v=""/>
    <s v=""/>
    <s v=""/>
    <s v=""/>
    <n v="509222.33196027845"/>
    <n v="509222.33196027845"/>
    <n v="570958.4762288396"/>
    <n v="517895.84671825264"/>
    <n v="1.1024581097663335"/>
    <s v="2018"/>
    <d v="2017-08-07T00:00:00"/>
    <x v="10"/>
    <m/>
    <n v="517895.84671825258"/>
    <n v="84757.421960278487"/>
  </r>
  <r>
    <x v="97"/>
    <x v="97"/>
    <x v="0"/>
    <s v="Security/Compliance"/>
    <s v="Active"/>
    <n v="0"/>
    <n v="0"/>
    <n v="0"/>
    <n v="0"/>
    <n v="0"/>
    <n v="0"/>
    <n v="0"/>
    <n v="0"/>
    <m/>
    <n v="34784.730000000003"/>
    <n v="558714.82999999996"/>
    <n v="1500844.87"/>
    <n v="167954.21573902635"/>
    <s v=""/>
    <s v=""/>
    <s v=""/>
    <s v=""/>
    <s v=""/>
    <s v=""/>
    <n v="2262298.6457390264"/>
    <n v="2262298.6457390264"/>
    <n v="2553241.8565515373"/>
    <n v="2315953.6257506399"/>
    <n v="1.1024581097663335"/>
    <s v="2018"/>
    <d v="2017-09-18T00:00:00"/>
    <x v="10"/>
    <m/>
    <n v="2315953.6257506395"/>
    <n v="167954.21573902635"/>
  </r>
  <r>
    <x v="98"/>
    <x v="98"/>
    <x v="0"/>
    <s v="Replacement"/>
    <s v="Active"/>
    <n v="0"/>
    <n v="0"/>
    <n v="0"/>
    <n v="0"/>
    <n v="0"/>
    <n v="0"/>
    <n v="0"/>
    <n v="0"/>
    <m/>
    <n v="9136.58"/>
    <n v="71459.929999999993"/>
    <n v="572506.4"/>
    <n v="119490.76255099046"/>
    <s v=""/>
    <s v=""/>
    <s v=""/>
    <s v=""/>
    <s v=""/>
    <s v=""/>
    <n v="772593.67255099048"/>
    <n v="772593.67255099048"/>
    <n v="867858.73164442996"/>
    <n v="787203.36306326685"/>
    <n v="1.1024581097663335"/>
    <s v="2018"/>
    <d v="2017-09-28T00:00:00"/>
    <x v="10"/>
    <m/>
    <n v="787203.36306326685"/>
    <n v="119490.76255099046"/>
  </r>
  <r>
    <x v="99"/>
    <x v="99"/>
    <x v="0"/>
    <s v="Replacement"/>
    <s v="Potential"/>
    <n v="0"/>
    <n v="0"/>
    <n v="0"/>
    <n v="0"/>
    <n v="0"/>
    <n v="0"/>
    <n v="0"/>
    <n v="0"/>
    <m/>
    <m/>
    <m/>
    <s v=""/>
    <n v="123657.68926803026"/>
    <n v="1077720.2305098502"/>
    <n v="2032634.8435605078"/>
    <n v="6546.2399169036407"/>
    <s v=""/>
    <s v=""/>
    <s v=""/>
    <n v="3240559.0032552914"/>
    <n v="3240559.0032552914"/>
    <n v="3463466.9834559588"/>
    <n v="3266583.7255884712"/>
    <n v="1.060271915373"/>
    <s v="2021"/>
    <d v="2020-04-13T00:00:00"/>
    <x v="15"/>
    <m/>
    <n v="3141586.0183477108"/>
    <n v="6546.2399169036407"/>
  </r>
  <r>
    <x v="100"/>
    <x v="100"/>
    <x v="0"/>
    <s v="Replacement"/>
    <s v="Deferred"/>
    <n v="0"/>
    <n v="0"/>
    <n v="0"/>
    <n v="0"/>
    <n v="0"/>
    <n v="0"/>
    <n v="0"/>
    <n v="0"/>
    <m/>
    <n v="74100.3"/>
    <n v="93952.53"/>
    <s v=""/>
    <n v="23528.959534801757"/>
    <n v="98793.528300890597"/>
    <s v=""/>
    <s v=""/>
    <s v=""/>
    <s v=""/>
    <s v=""/>
    <n v="290375.31783569237"/>
    <n v="290375.31783569237"/>
    <n v="326507.50733343419"/>
    <n v="301997.60179411224"/>
    <n v="1.0811592721058483"/>
    <s v="2019"/>
    <d v="2018-10-04T00:00:00"/>
    <x v="12"/>
    <m/>
    <n v="296163.1870100149"/>
    <n v="98793.528300890597"/>
  </r>
  <r>
    <x v="101"/>
    <x v="101"/>
    <x v="0"/>
    <s v="Information Technology"/>
    <s v="Active"/>
    <n v="0"/>
    <n v="0"/>
    <n v="0"/>
    <n v="0"/>
    <n v="0"/>
    <n v="0"/>
    <n v="0"/>
    <n v="0"/>
    <m/>
    <n v="1132106.48"/>
    <n v="1936776"/>
    <n v="784587.34"/>
    <s v=""/>
    <s v=""/>
    <s v=""/>
    <s v=""/>
    <s v=""/>
    <s v=""/>
    <s v=""/>
    <n v="3853469.82"/>
    <n v="3853469.82"/>
    <n v="4416956.5003231578"/>
    <n v="3929059.5068102926"/>
    <n v="1.1241765345287305"/>
    <s v="2017"/>
    <d v="2016-12-12T00:00:00"/>
    <x v="1"/>
    <m/>
    <n v="4006461.979094455"/>
    <n v="784587.34"/>
  </r>
  <r>
    <x v="102"/>
    <x v="102"/>
    <x v="0"/>
    <s v="Information Technology"/>
    <s v="Active"/>
    <n v="0"/>
    <n v="0"/>
    <n v="0"/>
    <n v="0"/>
    <n v="0"/>
    <n v="0"/>
    <n v="0"/>
    <n v="0"/>
    <n v="2789.9"/>
    <n v="1200719.51"/>
    <n v="975419.31"/>
    <n v="429420.97"/>
    <s v=""/>
    <s v=""/>
    <s v=""/>
    <s v=""/>
    <s v=""/>
    <s v=""/>
    <s v=""/>
    <n v="2608349.6899999995"/>
    <n v="2608349.6899999995"/>
    <n v="2998628.4917363469"/>
    <n v="2615867.4150671763"/>
    <n v="1.1463228122589466"/>
    <s v="2017"/>
    <d v="2016-05-02T00:00:00"/>
    <x v="5"/>
    <m/>
    <n v="2719947.7832059367"/>
    <n v="429420.97"/>
  </r>
  <r>
    <x v="103"/>
    <x v="103"/>
    <x v="0"/>
    <s v="Information Technology"/>
    <s v="Active"/>
    <n v="0"/>
    <n v="0"/>
    <n v="0"/>
    <n v="0"/>
    <n v="0"/>
    <n v="0"/>
    <n v="0"/>
    <n v="0"/>
    <m/>
    <n v="105135.8"/>
    <n v="1736547.31"/>
    <n v="843791.8"/>
    <s v=""/>
    <s v=""/>
    <s v=""/>
    <s v=""/>
    <s v=""/>
    <s v=""/>
    <s v=""/>
    <n v="2685474.91"/>
    <n v="2685474.91"/>
    <n v="3061314.1480299081"/>
    <n v="2723161.4021486859"/>
    <n v="1.1241765345287305"/>
    <s v="2017"/>
    <d v="2016-11-30T00:00:00"/>
    <x v="1"/>
    <m/>
    <n v="2776807.6817710148"/>
    <n v="843791.8"/>
  </r>
  <r>
    <x v="104"/>
    <x v="104"/>
    <x v="0"/>
    <s v="Information Technology"/>
    <s v="Active"/>
    <n v="0"/>
    <n v="0"/>
    <n v="0"/>
    <n v="0"/>
    <n v="0"/>
    <n v="0"/>
    <n v="0"/>
    <n v="0"/>
    <m/>
    <n v="376301.33"/>
    <n v="891785.15"/>
    <n v="384401.4"/>
    <s v=""/>
    <s v=""/>
    <s v=""/>
    <s v=""/>
    <s v=""/>
    <s v=""/>
    <s v=""/>
    <n v="1652487.88"/>
    <n v="1652487.88"/>
    <n v="1891426.0621855543"/>
    <n v="1682499.1485687476"/>
    <n v="1.1241765345287305"/>
    <s v="2017"/>
    <d v="2017-02-01T00:00:00"/>
    <x v="1"/>
    <m/>
    <n v="1715644.3817955516"/>
    <n v="384401.4"/>
  </r>
  <r>
    <x v="105"/>
    <x v="105"/>
    <x v="0"/>
    <s v="Facilities"/>
    <s v="Closed"/>
    <n v="0"/>
    <n v="0"/>
    <n v="0"/>
    <n v="0"/>
    <n v="0"/>
    <n v="0"/>
    <n v="0"/>
    <n v="0"/>
    <m/>
    <m/>
    <n v="276166.64"/>
    <s v=""/>
    <s v=""/>
    <s v=""/>
    <s v=""/>
    <s v=""/>
    <s v=""/>
    <s v=""/>
    <s v=""/>
    <n v="276166.64"/>
    <n v="276166.64"/>
    <n v="316576.11941690411"/>
    <n v="276166.64"/>
    <n v="1.1463228122589466"/>
    <s v="2016"/>
    <d v="2016-02-10T00:00:00"/>
    <x v="5"/>
    <m/>
    <n v="287154.78312731761"/>
    <n v="276166.64"/>
  </r>
  <r>
    <x v="106"/>
    <x v="106"/>
    <x v="0"/>
    <s v="Inventory/Spares"/>
    <s v="Closed"/>
    <n v="0"/>
    <n v="0"/>
    <n v="0"/>
    <n v="0"/>
    <n v="0"/>
    <n v="0"/>
    <n v="0"/>
    <n v="0"/>
    <m/>
    <m/>
    <n v="1433079.98"/>
    <n v="295783.74"/>
    <s v=""/>
    <s v=""/>
    <s v=""/>
    <s v=""/>
    <s v=""/>
    <s v=""/>
    <s v=""/>
    <n v="1728863.72"/>
    <n v="1728863.72"/>
    <n v="1975285.4126687418"/>
    <n v="1757095.395606"/>
    <n v="1.1241765345287305"/>
    <s v="2017"/>
    <d v="2016-06-10T00:00:00"/>
    <x v="1"/>
    <m/>
    <n v="1791710.1748994384"/>
    <n v="295783.74"/>
  </r>
  <r>
    <x v="107"/>
    <x v="107"/>
    <x v="0"/>
    <s v="Replacement"/>
    <s v="Closed"/>
    <n v="0"/>
    <n v="0"/>
    <n v="0"/>
    <n v="0"/>
    <n v="0"/>
    <n v="0"/>
    <n v="23847.37"/>
    <n v="215992.62"/>
    <n v="3121327.19"/>
    <n v="1677702.37"/>
    <n v="123214.48"/>
    <s v=""/>
    <s v=""/>
    <s v=""/>
    <s v=""/>
    <s v=""/>
    <s v=""/>
    <s v=""/>
    <s v=""/>
    <n v="5162084.03"/>
    <n v="5162084.03"/>
    <n v="6053972.8302953895"/>
    <n v="5212877.5600986667"/>
    <n v="1.161349515790431"/>
    <s v="2016"/>
    <d v="2015-06-30T00:00:00"/>
    <x v="8"/>
    <m/>
    <n v="5491340.4660595497"/>
    <n v="123214.48"/>
  </r>
  <r>
    <x v="108"/>
    <x v="108"/>
    <x v="0"/>
    <s v="Augmentation"/>
    <s v="Deferred"/>
    <n v="0"/>
    <n v="0"/>
    <n v="0"/>
    <n v="0"/>
    <n v="0"/>
    <n v="0"/>
    <n v="0"/>
    <n v="0"/>
    <m/>
    <n v="189979.94"/>
    <n v="69611.05"/>
    <s v=""/>
    <n v="328493.87903037481"/>
    <n v="436832.31657904206"/>
    <s v=""/>
    <s v=""/>
    <s v=""/>
    <s v=""/>
    <s v=""/>
    <n v="1024917.1856094168"/>
    <n v="1024917.1856094168"/>
    <n v="1134865.8962997396"/>
    <n v="1049675.034548132"/>
    <n v="1.0811592721058483"/>
    <s v="2019"/>
    <d v="2019-02-26T00:00:00"/>
    <x v="12"/>
    <m/>
    <n v="1029395.9346358066"/>
    <n v="436832.31657904206"/>
  </r>
  <r>
    <x v="109"/>
    <x v="109"/>
    <x v="0"/>
    <s v="Facilities"/>
    <s v="Closed"/>
    <n v="0"/>
    <n v="0"/>
    <n v="0"/>
    <n v="0"/>
    <n v="0"/>
    <n v="0"/>
    <n v="0"/>
    <n v="0"/>
    <m/>
    <m/>
    <n v="83668.19"/>
    <s v=""/>
    <s v=""/>
    <s v=""/>
    <s v=""/>
    <s v=""/>
    <s v=""/>
    <s v=""/>
    <s v=""/>
    <n v="83668.19"/>
    <n v="83668.19"/>
    <n v="95910.754857415872"/>
    <n v="85316.453343000016"/>
    <n v="1.1241765345287305"/>
    <s v="2016"/>
    <d v="2015-07-01T00:00:00"/>
    <x v="1"/>
    <m/>
    <n v="86997.187473857106"/>
    <n v="83668.19"/>
  </r>
  <r>
    <x v="110"/>
    <x v="110"/>
    <x v="0"/>
    <s v="Facilities"/>
    <s v="Active"/>
    <n v="0"/>
    <n v="0"/>
    <n v="0"/>
    <n v="0"/>
    <n v="0"/>
    <n v="0"/>
    <n v="0"/>
    <n v="0"/>
    <m/>
    <m/>
    <m/>
    <n v="224699.75"/>
    <s v=""/>
    <s v=""/>
    <s v=""/>
    <s v=""/>
    <s v=""/>
    <s v=""/>
    <s v=""/>
    <n v="224699.75"/>
    <n v="224699.75"/>
    <n v="252602.18626447211"/>
    <n v="224699.75"/>
    <n v="1.1241765345287305"/>
    <s v="2017"/>
    <d v="2017-05-01T00:00:00"/>
    <x v="1"/>
    <m/>
    <n v="229126.33507500001"/>
    <n v="224699.75"/>
  </r>
  <r>
    <x v="111"/>
    <x v="111"/>
    <x v="0"/>
    <s v="Augmentation"/>
    <s v="Closed"/>
    <n v="0"/>
    <n v="0"/>
    <n v="0"/>
    <n v="0"/>
    <n v="0"/>
    <n v="0"/>
    <n v="0"/>
    <n v="0"/>
    <m/>
    <m/>
    <m/>
    <n v="335.83"/>
    <n v="1351.4190602645692"/>
    <s v=""/>
    <s v=""/>
    <s v=""/>
    <s v=""/>
    <s v=""/>
    <s v=""/>
    <n v="1687.2490602645692"/>
    <n v="1687.2490602645692"/>
    <n v="1867.4151082722551"/>
    <n v="1727.2340500164812"/>
    <n v="1.0811592721058483"/>
    <s v="2018"/>
    <d v="2018-08-28T00:00:00"/>
    <x v="12"/>
    <m/>
    <n v="1693.8649112645692"/>
    <n v="1351.4190602645692"/>
  </r>
  <r>
    <x v="112"/>
    <x v="112"/>
    <x v="0"/>
    <s v="Replacement"/>
    <s v="Active"/>
    <n v="0"/>
    <n v="0"/>
    <n v="0"/>
    <n v="0"/>
    <n v="0"/>
    <n v="0"/>
    <n v="0"/>
    <n v="0"/>
    <m/>
    <m/>
    <n v="9229.4500000000007"/>
    <n v="4230967.83"/>
    <n v="7623935.7363801729"/>
    <s v=""/>
    <s v=""/>
    <s v=""/>
    <s v=""/>
    <s v=""/>
    <s v=""/>
    <n v="11864133.016380172"/>
    <n v="11864133.016380172"/>
    <n v="13172004.46282123"/>
    <n v="11947850.304818423"/>
    <n v="1.1024581097663335"/>
    <s v="2018"/>
    <d v="2018-01-05T00:00:00"/>
    <x v="10"/>
    <m/>
    <n v="11947850.304818423"/>
    <n v="7623935.7363801729"/>
  </r>
  <r>
    <x v="113"/>
    <x v="113"/>
    <x v="0"/>
    <s v="Security/Compliance"/>
    <s v="Active"/>
    <n v="0"/>
    <n v="0"/>
    <n v="0"/>
    <n v="0"/>
    <n v="0"/>
    <n v="0"/>
    <n v="0"/>
    <n v="0"/>
    <m/>
    <n v="20669.349999999999"/>
    <n v="91992.08"/>
    <n v="1752995.51"/>
    <n v="395867.32075206359"/>
    <n v="80706.960575244389"/>
    <s v=""/>
    <s v=""/>
    <s v=""/>
    <s v=""/>
    <s v=""/>
    <n v="2342231.2213273081"/>
    <n v="2342231.2213273081"/>
    <n v="2623817.5938455672"/>
    <n v="2379970.3322983277"/>
    <n v="1.1024581097663335"/>
    <s v="2019"/>
    <d v="2018-05-30T00:00:00"/>
    <x v="10"/>
    <m/>
    <n v="2379970.3322983272"/>
    <n v="80706.960575244389"/>
  </r>
  <r>
    <x v="114"/>
    <x v="114"/>
    <x v="0"/>
    <s v="Security/Compliance"/>
    <s v="Deferred"/>
    <n v="0"/>
    <n v="0"/>
    <n v="0"/>
    <n v="0"/>
    <n v="0"/>
    <n v="0"/>
    <n v="31134.87"/>
    <n v="53363.040000000001"/>
    <n v="186355.87"/>
    <m/>
    <m/>
    <s v=""/>
    <s v=""/>
    <s v=""/>
    <s v=""/>
    <s v=""/>
    <s v=""/>
    <s v=""/>
    <s v=""/>
    <n v="270853.78000000003"/>
    <n v="270853.78000000003"/>
    <n v="322590.95230426436"/>
    <n v="322590.95230426436"/>
    <n v="1"/>
    <s v="2014"/>
    <d v="2023-03-31T00:00:00"/>
    <x v="16"/>
    <m/>
    <n v="292610.62116241094"/>
    <n v="186355.87"/>
  </r>
  <r>
    <x v="115"/>
    <x v="115"/>
    <x v="0"/>
    <s v="Easements/Land"/>
    <s v="Active"/>
    <n v="0"/>
    <n v="0"/>
    <n v="0"/>
    <n v="0"/>
    <n v="0"/>
    <n v="0"/>
    <n v="0"/>
    <n v="0"/>
    <n v="607039.51"/>
    <n v="92274.96"/>
    <n v="141920.79"/>
    <n v="572353.09"/>
    <n v="9648.3464055929835"/>
    <s v=""/>
    <s v=""/>
    <s v=""/>
    <s v=""/>
    <s v=""/>
    <s v=""/>
    <n v="1423236.6964055931"/>
    <n v="1423236.6964055931"/>
    <n v="1638262.4988936167"/>
    <n v="1429145.8578454463"/>
    <n v="1.1463228122589466"/>
    <s v="2018"/>
    <d v="2016-05-11T00:00:00"/>
    <x v="5"/>
    <m/>
    <n v="1486008.8418605283"/>
    <n v="9648.3464055929835"/>
  </r>
  <r>
    <x v="116"/>
    <x v="116"/>
    <x v="0"/>
    <s v="Easements/Land"/>
    <s v="Active"/>
    <n v="0"/>
    <n v="0"/>
    <n v="0"/>
    <n v="0"/>
    <n v="0"/>
    <n v="0"/>
    <n v="0"/>
    <n v="0"/>
    <n v="99401.85"/>
    <n v="76064.539999999994"/>
    <n v="3427784.1"/>
    <n v="2649364.89"/>
    <n v="9011.6045957623701"/>
    <s v=""/>
    <s v=""/>
    <s v=""/>
    <s v=""/>
    <s v=""/>
    <s v=""/>
    <n v="6261626.9845957635"/>
    <n v="6261626.9845957635"/>
    <n v="7122947.0361940274"/>
    <n v="6336146.3412684202"/>
    <n v="1.1241765345287305"/>
    <s v="2018"/>
    <d v="2017-03-24T00:00:00"/>
    <x v="1"/>
    <m/>
    <n v="6460968.4241914079"/>
    <n v="9011.6045957623701"/>
  </r>
  <r>
    <x v="117"/>
    <x v="117"/>
    <x v="0"/>
    <s v="Information Technology"/>
    <s v="Active"/>
    <n v="0"/>
    <n v="0"/>
    <n v="0"/>
    <n v="0"/>
    <n v="0"/>
    <n v="0"/>
    <n v="0"/>
    <n v="0"/>
    <m/>
    <m/>
    <m/>
    <n v="643198.25"/>
    <n v="33105.295569466187"/>
    <s v=""/>
    <s v=""/>
    <s v=""/>
    <s v=""/>
    <s v=""/>
    <s v=""/>
    <n v="676303.54556946619"/>
    <n v="676303.54556946619"/>
    <n v="759565.58127671352"/>
    <n v="688974.55109446635"/>
    <n v="1.1024581097663335"/>
    <s v="2018"/>
    <d v="2017-07-31T00:00:00"/>
    <x v="10"/>
    <m/>
    <n v="688974.55109446624"/>
    <n v="33105.295569466187"/>
  </r>
  <r>
    <x v="118"/>
    <x v="118"/>
    <x v="0"/>
    <s v="Replacement"/>
    <s v="Active"/>
    <n v="0"/>
    <n v="0"/>
    <n v="0"/>
    <n v="0"/>
    <n v="0"/>
    <n v="0"/>
    <n v="0"/>
    <n v="37048.43"/>
    <n v="484827.3"/>
    <n v="138716.12"/>
    <n v="42278.81"/>
    <n v="2812136.97"/>
    <n v="2804484.1109204786"/>
    <n v="482.13412425877897"/>
    <s v=""/>
    <s v=""/>
    <s v=""/>
    <s v=""/>
    <s v=""/>
    <n v="6319973.875044737"/>
    <n v="6319973.875044737"/>
    <n v="7078656.7746226322"/>
    <n v="6420794.3248954434"/>
    <n v="1.1024581097663335"/>
    <s v="2019"/>
    <d v="2017-11-01T00:00:00"/>
    <x v="10"/>
    <m/>
    <n v="6420794.3248954434"/>
    <n v="482.13412425877897"/>
  </r>
  <r>
    <x v="119"/>
    <x v="119"/>
    <x v="0"/>
    <s v="Security/Compliance"/>
    <s v="Active"/>
    <n v="0"/>
    <n v="0"/>
    <n v="0"/>
    <n v="0"/>
    <n v="0"/>
    <n v="0"/>
    <n v="0"/>
    <n v="0"/>
    <n v="490301.42"/>
    <n v="531448.59"/>
    <n v="1053221.75"/>
    <n v="4666831.3600000003"/>
    <n v="1251368.0211029262"/>
    <n v="16809.280623507522"/>
    <s v=""/>
    <s v=""/>
    <s v=""/>
    <s v=""/>
    <s v=""/>
    <n v="8009980.4217264345"/>
    <n v="8009980.4217264345"/>
    <n v="9045600.9742227606"/>
    <n v="8204938.486179742"/>
    <n v="1.1024581097663335"/>
    <s v="2019"/>
    <d v="2017-12-22T00:00:00"/>
    <x v="10"/>
    <m/>
    <n v="8204938.4861797402"/>
    <n v="16809.280623507522"/>
  </r>
  <r>
    <x v="120"/>
    <x v="120"/>
    <x v="0"/>
    <s v="Augmentation"/>
    <s v="Closed"/>
    <n v="0"/>
    <n v="0"/>
    <n v="0"/>
    <n v="0"/>
    <n v="0"/>
    <n v="0"/>
    <n v="0"/>
    <n v="0"/>
    <n v="8221.2099999999991"/>
    <n v="317591.37"/>
    <n v="1332108.6299999999"/>
    <n v="1116.27"/>
    <s v=""/>
    <s v=""/>
    <s v=""/>
    <s v=""/>
    <s v=""/>
    <s v=""/>
    <s v=""/>
    <n v="1659037.48"/>
    <n v="1659037.48"/>
    <n v="1906790.4970590251"/>
    <n v="1663397.497343265"/>
    <n v="1.1463228122589466"/>
    <s v="2017"/>
    <d v="2015-10-26T00:00:00"/>
    <x v="5"/>
    <m/>
    <n v="1729580.9066733336"/>
    <n v="1116.27"/>
  </r>
  <r>
    <x v="121"/>
    <x v="121"/>
    <x v="0"/>
    <s v="Replacement"/>
    <s v="Active"/>
    <n v="0"/>
    <n v="0"/>
    <n v="0"/>
    <n v="0"/>
    <n v="0"/>
    <n v="0"/>
    <n v="0"/>
    <n v="0"/>
    <m/>
    <m/>
    <n v="87606.14"/>
    <n v="511148.22"/>
    <n v="3218636.0012287661"/>
    <n v="1796245.7335622082"/>
    <s v=""/>
    <s v=""/>
    <s v=""/>
    <s v=""/>
    <s v=""/>
    <n v="5613636.0947909746"/>
    <n v="5613636.0947909746"/>
    <n v="6165484.8431279678"/>
    <n v="5702661.0252521159"/>
    <n v="1.0811592721058483"/>
    <s v="2019"/>
    <d v="2018-08-30T00:00:00"/>
    <x v="12"/>
    <m/>
    <n v="5592488.9921075962"/>
    <n v="1796245.7335622082"/>
  </r>
  <r>
    <x v="122"/>
    <x v="122"/>
    <x v="0"/>
    <s v="Replacement"/>
    <s v="Active"/>
    <n v="0"/>
    <n v="0"/>
    <n v="0"/>
    <n v="0"/>
    <n v="0"/>
    <n v="0"/>
    <n v="0"/>
    <n v="0"/>
    <m/>
    <n v="60003.55"/>
    <n v="414454.11"/>
    <n v="1156684.69"/>
    <n v="5560107.9718968887"/>
    <n v="2392562.4444724126"/>
    <s v=""/>
    <s v=""/>
    <s v=""/>
    <s v=""/>
    <s v=""/>
    <n v="9583812.7663693018"/>
    <n v="9583812.7663693018"/>
    <n v="10561628.276740074"/>
    <n v="9768799.6109661665"/>
    <n v="1.0811592721058483"/>
    <s v="2019"/>
    <d v="2018-01-30T00:00:00"/>
    <x v="12"/>
    <m/>
    <n v="9580072.1888459008"/>
    <n v="2392562.4444724126"/>
  </r>
  <r>
    <x v="123"/>
    <x v="123"/>
    <x v="0"/>
    <s v="Replacement"/>
    <s v="Active"/>
    <n v="0"/>
    <n v="0"/>
    <n v="0"/>
    <n v="0"/>
    <n v="0"/>
    <n v="0"/>
    <n v="0"/>
    <n v="0"/>
    <m/>
    <n v="9388.5499999999993"/>
    <n v="231514.37"/>
    <n v="1693949.19"/>
    <n v="374886.58881136199"/>
    <n v="4512.2556098391842"/>
    <s v=""/>
    <s v=""/>
    <s v=""/>
    <s v=""/>
    <s v=""/>
    <n v="2314250.9544212013"/>
    <n v="2314250.9544212013"/>
    <n v="2598766.7488435945"/>
    <n v="2357247.614056197"/>
    <n v="1.1024581097663335"/>
    <s v="2019"/>
    <d v="2017-09-29T00:00:00"/>
    <x v="10"/>
    <m/>
    <n v="2357247.6140561965"/>
    <n v="4512.2556098391842"/>
  </r>
  <r>
    <x v="124"/>
    <x v="124"/>
    <x v="0"/>
    <s v="Facilities"/>
    <s v="Active"/>
    <n v="0"/>
    <n v="0"/>
    <n v="0"/>
    <n v="0"/>
    <n v="0"/>
    <n v="0"/>
    <n v="0"/>
    <n v="0"/>
    <m/>
    <m/>
    <m/>
    <n v="390312.79"/>
    <s v=""/>
    <s v=""/>
    <s v=""/>
    <s v=""/>
    <s v=""/>
    <s v=""/>
    <s v=""/>
    <n v="390312.79"/>
    <n v="390312.79"/>
    <n v="438780.47964444011"/>
    <n v="390312.79"/>
    <n v="1.1241765345287305"/>
    <s v="2017"/>
    <d v="2017-06-30T00:00:00"/>
    <x v="1"/>
    <m/>
    <n v="398001.951963"/>
    <n v="390312.79"/>
  </r>
  <r>
    <x v="125"/>
    <x v="125"/>
    <x v="0"/>
    <s v="Inventory/Spares"/>
    <s v="Active"/>
    <n v="0"/>
    <n v="0"/>
    <n v="0"/>
    <n v="0"/>
    <n v="0"/>
    <n v="0"/>
    <n v="0"/>
    <n v="0"/>
    <m/>
    <m/>
    <m/>
    <n v="448453.02"/>
    <s v=""/>
    <s v=""/>
    <s v=""/>
    <s v=""/>
    <s v=""/>
    <s v=""/>
    <s v=""/>
    <n v="448453.02"/>
    <n v="448453.02"/>
    <n v="504140.3619225435"/>
    <n v="448453.02"/>
    <n v="1.1241765345287305"/>
    <s v="2017"/>
    <d v="2017-04-10T00:00:00"/>
    <x v="1"/>
    <m/>
    <n v="457287.54449400003"/>
    <n v="448453.02"/>
  </r>
  <r>
    <x v="126"/>
    <x v="126"/>
    <x v="0"/>
    <s v="Information Technology"/>
    <s v="Active"/>
    <n v="0"/>
    <n v="0"/>
    <n v="0"/>
    <n v="0"/>
    <n v="0"/>
    <n v="0"/>
    <n v="0"/>
    <n v="0"/>
    <m/>
    <m/>
    <m/>
    <n v="189790.78"/>
    <s v=""/>
    <n v="50204.782917554876"/>
    <n v="481925.49609777768"/>
    <n v="11477.279320681457"/>
    <s v=""/>
    <s v=""/>
    <s v=""/>
    <n v="733398.33833601396"/>
    <n v="733398.33833601396"/>
    <n v="790543.71505920228"/>
    <n v="745604.69215209922"/>
    <n v="1.060271915373"/>
    <s v="2021"/>
    <d v="2020-06-25T00:00:00"/>
    <x v="15"/>
    <m/>
    <n v="717073.69926895306"/>
    <n v="11477.279320681457"/>
  </r>
  <r>
    <x v="127"/>
    <x v="127"/>
    <x v="0"/>
    <s v="Information Technology"/>
    <s v="Active"/>
    <n v="0"/>
    <n v="0"/>
    <n v="0"/>
    <n v="0"/>
    <n v="0"/>
    <n v="0"/>
    <n v="0"/>
    <n v="0"/>
    <m/>
    <n v="8096.17"/>
    <n v="165269.04"/>
    <n v="310212.11"/>
    <n v="4551.9786405138302"/>
    <s v=""/>
    <s v=""/>
    <s v=""/>
    <s v=""/>
    <s v=""/>
    <s v=""/>
    <n v="488129.29864051385"/>
    <n v="488129.29864051385"/>
    <n v="552605.69437775621"/>
    <n v="491564.87206826085"/>
    <n v="1.1241765345287305"/>
    <s v="2018"/>
    <d v="2017-06-06T00:00:00"/>
    <x v="1"/>
    <m/>
    <n v="501248.70004800567"/>
    <n v="4551.9786405138302"/>
  </r>
  <r>
    <x v="128"/>
    <x v="128"/>
    <x v="0"/>
    <s v="Information Technology"/>
    <s v="Potential"/>
    <n v="0"/>
    <n v="0"/>
    <n v="0"/>
    <n v="0"/>
    <n v="0"/>
    <n v="0"/>
    <n v="0"/>
    <n v="0"/>
    <m/>
    <m/>
    <m/>
    <s v=""/>
    <s v=""/>
    <s v=""/>
    <n v="232840.98171888117"/>
    <n v="480713.00536266022"/>
    <n v="617786.69477982249"/>
    <n v="282133.66279884917"/>
    <s v=""/>
    <n v="1613474.344660213"/>
    <n v="1613474.344660213"/>
    <n v="1658805.1668144423"/>
    <n v="1658805.1668144423"/>
    <n v="1"/>
    <s v="2023"/>
    <d v="2022-11-21T00:00:00"/>
    <x v="16"/>
    <m/>
    <n v="1504642.3552238431"/>
    <n v="282133.66279884917"/>
  </r>
  <r>
    <x v="129"/>
    <x v="129"/>
    <x v="0"/>
    <s v="Replacement"/>
    <s v="Active"/>
    <n v="0"/>
    <n v="0"/>
    <n v="0"/>
    <n v="0"/>
    <n v="0"/>
    <n v="0"/>
    <n v="0"/>
    <n v="3325.07"/>
    <n v="665573.62"/>
    <n v="655963.36"/>
    <n v="2745396.56"/>
    <n v="849798.02500000002"/>
    <s v=""/>
    <s v=""/>
    <s v=""/>
    <s v=""/>
    <s v=""/>
    <s v=""/>
    <s v=""/>
    <n v="4920056.6349999998"/>
    <n v="4920056.6349999998"/>
    <n v="5651494.5999524835"/>
    <n v="5027230.5339673935"/>
    <n v="1.1241765345287305"/>
    <s v="2017"/>
    <d v="2017-05-08T00:00:00"/>
    <x v="1"/>
    <m/>
    <n v="5126266.9754865514"/>
    <n v="849798.02500000002"/>
  </r>
  <r>
    <x v="130"/>
    <x v="130"/>
    <x v="0"/>
    <s v="Replacement"/>
    <s v="Closed"/>
    <n v="0"/>
    <n v="0"/>
    <n v="0"/>
    <n v="0"/>
    <n v="0"/>
    <n v="0"/>
    <n v="15962.64"/>
    <n v="500401.04"/>
    <n v="4492442.0999999996"/>
    <n v="1076465.56"/>
    <n v="255005.82"/>
    <n v="9399.75"/>
    <s v=""/>
    <s v=""/>
    <s v=""/>
    <s v=""/>
    <s v=""/>
    <s v=""/>
    <s v=""/>
    <n v="6349676.9100000001"/>
    <n v="6349676.9100000001"/>
    <n v="7465564.1285361182"/>
    <n v="6428352.5562543068"/>
    <n v="1.161349515790431"/>
    <s v="2017"/>
    <d v="2014-10-31T00:00:00"/>
    <x v="8"/>
    <m/>
    <n v="6771744.0348989284"/>
    <n v="9399.75"/>
  </r>
  <r>
    <x v="131"/>
    <x v="131"/>
    <x v="0"/>
    <s v="Augmentation"/>
    <s v="Active"/>
    <n v="0"/>
    <n v="0"/>
    <n v="0"/>
    <n v="0"/>
    <n v="0"/>
    <n v="0"/>
    <n v="0"/>
    <n v="0"/>
    <n v="235792.68"/>
    <n v="351063.65"/>
    <n v="1940704.88"/>
    <n v="414488.11"/>
    <s v=""/>
    <s v=""/>
    <s v=""/>
    <s v=""/>
    <s v=""/>
    <s v=""/>
    <s v=""/>
    <n v="2942049.32"/>
    <n v="2942049.32"/>
    <n v="3375814.7106925524"/>
    <n v="3002922.2341913925"/>
    <n v="1.1241765345287305"/>
    <s v="2017"/>
    <d v="2016-06-30T00:00:00"/>
    <x v="1"/>
    <m/>
    <n v="3062079.8022049633"/>
    <n v="414488.11"/>
  </r>
  <r>
    <x v="132"/>
    <x v="132"/>
    <x v="0"/>
    <s v="Connection"/>
    <s v="Active"/>
    <n v="0"/>
    <n v="0"/>
    <n v="0"/>
    <n v="0"/>
    <n v="0"/>
    <n v="0"/>
    <n v="68042.98"/>
    <n v="482239.01"/>
    <n v="984921.21"/>
    <n v="618196.63"/>
    <n v="2583838.58"/>
    <n v="2885762.39"/>
    <s v=""/>
    <s v=""/>
    <s v=""/>
    <s v=""/>
    <s v=""/>
    <s v=""/>
    <s v=""/>
    <n v="7623000.8000000007"/>
    <n v="7623000.8000000007"/>
    <n v="8751585.1297077406"/>
    <n v="7784885.0789049072"/>
    <n v="1.1241765345287305"/>
    <s v="2017"/>
    <d v="2016-11-01T00:00:00"/>
    <x v="1"/>
    <m/>
    <n v="7938247.3149593333"/>
    <n v="2885762.39"/>
  </r>
  <r>
    <x v="133"/>
    <x v="133"/>
    <x v="0"/>
    <s v="Security/Compliance"/>
    <s v="Potential"/>
    <n v="0"/>
    <n v="0"/>
    <n v="0"/>
    <n v="0"/>
    <n v="0"/>
    <n v="0"/>
    <n v="0"/>
    <n v="0"/>
    <m/>
    <m/>
    <m/>
    <n v="88663.91"/>
    <n v="807758.38277609425"/>
    <n v="263759.6580177538"/>
    <s v=""/>
    <s v=""/>
    <s v=""/>
    <s v=""/>
    <s v=""/>
    <n v="1160181.9507938481"/>
    <n v="1160181.9507938481"/>
    <n v="1275359.8667781728"/>
    <n v="1179622.5585653691"/>
    <n v="1.0811592721058483"/>
    <s v="2019"/>
    <d v="2018-07-16T00:00:00"/>
    <x v="12"/>
    <m/>
    <n v="1156832.9494609875"/>
    <n v="263759.6580177538"/>
  </r>
  <r>
    <x v="134"/>
    <x v="134"/>
    <x v="0"/>
    <s v="Replacement"/>
    <s v="Active"/>
    <n v="0"/>
    <n v="0"/>
    <n v="0"/>
    <n v="0"/>
    <n v="0"/>
    <n v="0"/>
    <n v="0"/>
    <n v="0"/>
    <n v="553053.62"/>
    <n v="2539573.15"/>
    <n v="301859.86"/>
    <n v="15513.92"/>
    <s v=""/>
    <s v=""/>
    <s v=""/>
    <s v=""/>
    <s v=""/>
    <s v=""/>
    <s v=""/>
    <n v="3410000.55"/>
    <n v="3410000.55"/>
    <n v="3963621.1773202023"/>
    <n v="3412944.271667006"/>
    <n v="1.161349515790431"/>
    <s v="2017"/>
    <d v="2015-07-01T00:00:00"/>
    <x v="8"/>
    <m/>
    <n v="3595257.8535254216"/>
    <n v="15513.92"/>
  </r>
  <r>
    <x v="135"/>
    <x v="135"/>
    <x v="0"/>
    <s v="Replacement"/>
    <s v="Potential"/>
    <n v="0"/>
    <n v="0"/>
    <n v="0"/>
    <n v="0"/>
    <n v="0"/>
    <n v="0"/>
    <n v="0"/>
    <n v="0"/>
    <m/>
    <m/>
    <m/>
    <s v=""/>
    <s v=""/>
    <s v=""/>
    <s v=""/>
    <n v="117024.24620311266"/>
    <n v="154082.41041002425"/>
    <n v="140602.53135784966"/>
    <s v=""/>
    <n v="411709.18797098659"/>
    <n v="411709.18797098659"/>
    <n v="419400.78269617568"/>
    <n v="419400.78269617568"/>
    <n v="1"/>
    <s v="2023"/>
    <d v="2023-03-07T00:00:00"/>
    <x v="16"/>
    <m/>
    <n v="380423.32763561228"/>
    <n v="140602.53135784966"/>
  </r>
  <r>
    <x v="136"/>
    <x v="136"/>
    <x v="0"/>
    <s v="Replacement"/>
    <s v="Active"/>
    <n v="0"/>
    <n v="0"/>
    <n v="0"/>
    <n v="0"/>
    <n v="0"/>
    <n v="0"/>
    <n v="0"/>
    <n v="0"/>
    <m/>
    <n v="157936.68"/>
    <n v="735154.39"/>
    <n v="2604652.92"/>
    <n v="1729078.678053736"/>
    <n v="91553.105672434496"/>
    <n v="10699.85213087539"/>
    <s v=""/>
    <s v=""/>
    <s v=""/>
    <s v=""/>
    <n v="5329075.6258570459"/>
    <n v="5329075.6258570459"/>
    <n v="5970798.68073384"/>
    <n v="5522589.349027276"/>
    <n v="1.0811592721058483"/>
    <s v="2020"/>
    <d v="2018-07-31T00:00:00"/>
    <x v="12"/>
    <m/>
    <n v="5415896.1940053692"/>
    <n v="10699.85213087539"/>
  </r>
  <r>
    <x v="137"/>
    <x v="137"/>
    <x v="0"/>
    <s v="Augmentation"/>
    <s v="Active"/>
    <n v="0"/>
    <n v="0"/>
    <n v="0"/>
    <n v="0"/>
    <n v="0"/>
    <n v="0"/>
    <n v="0"/>
    <n v="185716.89"/>
    <n v="254436.19"/>
    <n v="414371.98"/>
    <n v="375632.94"/>
    <n v="364738.57"/>
    <n v="4491.5085822478186"/>
    <s v=""/>
    <s v=""/>
    <s v=""/>
    <s v=""/>
    <s v=""/>
    <s v=""/>
    <n v="1599388.078582248"/>
    <n v="1599388.078582248"/>
    <n v="1851173.6158401447"/>
    <n v="1646692.9872506021"/>
    <n v="1.1241765345287305"/>
    <s v="2018"/>
    <d v="2013-03-28T00:00:00"/>
    <x v="1"/>
    <m/>
    <n v="1679132.8390994391"/>
    <n v="4491.5085822478186"/>
  </r>
  <r>
    <x v="138"/>
    <x v="138"/>
    <x v="0"/>
    <s v="Replacement"/>
    <s v="Active"/>
    <n v="0"/>
    <n v="0"/>
    <n v="0"/>
    <n v="0"/>
    <n v="0"/>
    <n v="0"/>
    <n v="0"/>
    <n v="0"/>
    <m/>
    <m/>
    <n v="21297.82"/>
    <n v="491195.23"/>
    <n v="625626.21479087684"/>
    <n v="20512.419785014605"/>
    <s v=""/>
    <s v=""/>
    <s v=""/>
    <s v=""/>
    <s v=""/>
    <n v="1158631.6845758914"/>
    <n v="1158631.6845758914"/>
    <n v="1288508.2153783399"/>
    <n v="1168759.3423857526"/>
    <n v="1.1024581097663335"/>
    <s v="2019"/>
    <d v="2017-11-01T00:00:00"/>
    <x v="10"/>
    <m/>
    <n v="1168759.3423857526"/>
    <n v="20512.419785014605"/>
  </r>
  <r>
    <x v="139"/>
    <x v="139"/>
    <x v="0"/>
    <s v="Replacement"/>
    <s v="Potential"/>
    <n v="0"/>
    <n v="0"/>
    <n v="0"/>
    <n v="0"/>
    <n v="0"/>
    <n v="0"/>
    <n v="0"/>
    <n v="0"/>
    <m/>
    <m/>
    <m/>
    <s v=""/>
    <s v=""/>
    <s v=""/>
    <n v="149019.16453856725"/>
    <n v="411351.27566445823"/>
    <n v="410482.18675256445"/>
    <s v=""/>
    <s v=""/>
    <n v="970852.62695558998"/>
    <n v="970852.62695558998"/>
    <n v="1004287.6780863914"/>
    <n v="984885.43501656502"/>
    <n v="1.0197000000000001"/>
    <s v="2022"/>
    <d v="2022-02-02T00:00:00"/>
    <x v="17"/>
    <m/>
    <n v="910953.14115767239"/>
    <n v="410482.18675256445"/>
  </r>
  <r>
    <x v="140"/>
    <x v="140"/>
    <x v="0"/>
    <s v="Information Technology"/>
    <s v="Active"/>
    <n v="0"/>
    <n v="0"/>
    <n v="0"/>
    <n v="0"/>
    <n v="0"/>
    <n v="0"/>
    <n v="0"/>
    <n v="0"/>
    <m/>
    <m/>
    <m/>
    <n v="796211.17"/>
    <n v="166065.09767096688"/>
    <s v=""/>
    <s v=""/>
    <s v=""/>
    <s v=""/>
    <s v=""/>
    <s v=""/>
    <n v="962276.26767096692"/>
    <n v="962276.26767096692"/>
    <n v="1078161.7275201618"/>
    <n v="977961.62771996716"/>
    <n v="1.1024581097663335"/>
    <s v="2018"/>
    <d v="2017-11-03T00:00:00"/>
    <x v="10"/>
    <m/>
    <n v="977961.62771996693"/>
    <n v="166065.09767096688"/>
  </r>
  <r>
    <x v="141"/>
    <x v="141"/>
    <x v="0"/>
    <s v="Information Technology"/>
    <s v="Active"/>
    <n v="0"/>
    <n v="0"/>
    <n v="0"/>
    <n v="0"/>
    <n v="0"/>
    <n v="0"/>
    <n v="0"/>
    <n v="0"/>
    <m/>
    <m/>
    <m/>
    <n v="815017.13"/>
    <n v="822496.78668912046"/>
    <n v="293347.45937354001"/>
    <s v=""/>
    <s v=""/>
    <s v=""/>
    <s v=""/>
    <s v=""/>
    <n v="1930861.3760626605"/>
    <n v="1930861.3760626605"/>
    <n v="2140146.7111775191"/>
    <n v="1979492.537680418"/>
    <n v="1.0811592721058483"/>
    <s v="2019"/>
    <d v="2018-10-23T00:00:00"/>
    <x v="12"/>
    <m/>
    <n v="1941249.9143673806"/>
    <n v="293347.45937354001"/>
  </r>
  <r>
    <x v="142"/>
    <x v="142"/>
    <x v="0"/>
    <s v="Information Technology"/>
    <s v="Potential"/>
    <n v="0"/>
    <n v="0"/>
    <n v="0"/>
    <n v="0"/>
    <n v="0"/>
    <n v="0"/>
    <n v="0"/>
    <n v="0"/>
    <m/>
    <m/>
    <m/>
    <n v="22119.02"/>
    <n v="611405.66826693597"/>
    <n v="640995.32848560472"/>
    <n v="15478.574168505875"/>
    <s v=""/>
    <s v=""/>
    <s v=""/>
    <s v=""/>
    <n v="1289998.5909210464"/>
    <n v="1289998.5909210464"/>
    <n v="1408344.3608383902"/>
    <n v="1302624.319259882"/>
    <n v="1.0811592721058483"/>
    <s v="2020"/>
    <d v="2019-05-15T00:00:00"/>
    <x v="12"/>
    <m/>
    <n v="1277458.3889966479"/>
    <n v="15478.574168505875"/>
  </r>
  <r>
    <x v="143"/>
    <x v="143"/>
    <x v="0"/>
    <s v="Replacement"/>
    <s v="Active"/>
    <n v="0"/>
    <n v="0"/>
    <n v="0"/>
    <n v="0"/>
    <n v="0"/>
    <n v="0"/>
    <n v="0"/>
    <n v="0"/>
    <m/>
    <m/>
    <m/>
    <n v="131591.1"/>
    <n v="1254240.2856231877"/>
    <n v="731832.28509141505"/>
    <s v=""/>
    <s v=""/>
    <s v=""/>
    <s v=""/>
    <s v=""/>
    <n v="2117663.6707146028"/>
    <n v="2117663.6707146028"/>
    <n v="2321906.261906743"/>
    <n v="2147607.9628713783"/>
    <n v="1.0811592721058483"/>
    <s v="2019"/>
    <d v="2018-11-05T00:00:00"/>
    <x v="12"/>
    <m/>
    <n v="2106117.4491236429"/>
    <n v="731832.28509141505"/>
  </r>
  <r>
    <x v="144"/>
    <x v="144"/>
    <x v="0"/>
    <s v="Facilities"/>
    <s v="Potential"/>
    <n v="0"/>
    <n v="0"/>
    <n v="0"/>
    <n v="0"/>
    <n v="0"/>
    <n v="0"/>
    <n v="0"/>
    <n v="0"/>
    <m/>
    <m/>
    <m/>
    <s v=""/>
    <n v="129487.0895360797"/>
    <s v=""/>
    <s v=""/>
    <s v=""/>
    <s v=""/>
    <s v=""/>
    <s v=""/>
    <n v="129487.0895360797"/>
    <n v="129487.0895360797"/>
    <n v="142754.0919690904"/>
    <n v="129487.08953607969"/>
    <n v="1.1024581097663335"/>
    <s v="2018"/>
    <d v="2018-01-16T00:00:00"/>
    <x v="10"/>
    <m/>
    <n v="129487.0895360797"/>
    <n v="129487.0895360797"/>
  </r>
  <r>
    <x v="145"/>
    <x v="145"/>
    <x v="0"/>
    <s v="Facilities"/>
    <s v="Potential"/>
    <n v="0"/>
    <n v="0"/>
    <n v="0"/>
    <n v="0"/>
    <n v="0"/>
    <n v="0"/>
    <n v="0"/>
    <n v="0"/>
    <m/>
    <m/>
    <m/>
    <s v=""/>
    <n v="236215.77090499288"/>
    <s v=""/>
    <s v=""/>
    <s v=""/>
    <s v=""/>
    <s v=""/>
    <s v=""/>
    <n v="236215.77090499288"/>
    <n v="236215.77090499288"/>
    <n v="260417.99228891573"/>
    <n v="236215.77090499288"/>
    <n v="1.1024581097663335"/>
    <s v="2018"/>
    <d v="2018-03-09T00:00:00"/>
    <x v="10"/>
    <m/>
    <n v="236215.77090499288"/>
    <n v="236215.77090499288"/>
  </r>
  <r>
    <x v="146"/>
    <x v="146"/>
    <x v="0"/>
    <s v="Facilities"/>
    <s v="Potential"/>
    <n v="0"/>
    <n v="0"/>
    <n v="0"/>
    <n v="0"/>
    <n v="0"/>
    <n v="0"/>
    <n v="0"/>
    <n v="0"/>
    <m/>
    <m/>
    <m/>
    <s v=""/>
    <n v="144520.21303346005"/>
    <s v=""/>
    <s v=""/>
    <s v=""/>
    <s v=""/>
    <s v=""/>
    <s v=""/>
    <n v="144520.21303346005"/>
    <n v="144520.21303346005"/>
    <n v="159327.48088389621"/>
    <n v="144520.21303346005"/>
    <n v="1.1024581097663335"/>
    <s v="2018"/>
    <d v="2018-01-16T00:00:00"/>
    <x v="10"/>
    <m/>
    <n v="144520.21303346005"/>
    <n v="144520.21303346005"/>
  </r>
  <r>
    <x v="147"/>
    <x v="147"/>
    <x v="0"/>
    <s v="Replacement"/>
    <s v="Active"/>
    <n v="0"/>
    <n v="0"/>
    <n v="0"/>
    <n v="0"/>
    <n v="0"/>
    <n v="0"/>
    <n v="0"/>
    <n v="0"/>
    <n v="1609920.14"/>
    <n v="9232886.5999999996"/>
    <n v="14013854.380000001"/>
    <n v="4233506.8899999997"/>
    <s v=""/>
    <s v=""/>
    <s v=""/>
    <s v=""/>
    <s v=""/>
    <s v=""/>
    <s v=""/>
    <n v="29090168.010000002"/>
    <n v="29090168.010000002"/>
    <n v="33440732.884152517"/>
    <n v="29746869.692642454"/>
    <n v="1.1241765345287305"/>
    <s v="2017"/>
    <d v="2018-03-15T00:00:00"/>
    <x v="1"/>
    <m/>
    <n v="30332883.02558751"/>
    <n v="4233506.8899999997"/>
  </r>
  <r>
    <x v="148"/>
    <x v="148"/>
    <x v="0"/>
    <s v="Inventory/Spares"/>
    <s v="Potential"/>
    <n v="0"/>
    <n v="0"/>
    <n v="0"/>
    <n v="0"/>
    <n v="0"/>
    <n v="0"/>
    <n v="0"/>
    <n v="0"/>
    <m/>
    <m/>
    <m/>
    <s v=""/>
    <n v="2151808.8625665046"/>
    <s v=""/>
    <s v=""/>
    <s v=""/>
    <s v=""/>
    <s v=""/>
    <s v=""/>
    <n v="2151808.8625665046"/>
    <n v="2151808.8625665046"/>
    <n v="2372279.1312035127"/>
    <n v="2151808.8625665046"/>
    <n v="1.1024581097663335"/>
    <s v="2018"/>
    <d v="2018-04-20T00:00:00"/>
    <x v="10"/>
    <m/>
    <n v="2151808.8625665046"/>
    <n v="2151808.8625665046"/>
  </r>
  <r>
    <x v="149"/>
    <x v="149"/>
    <x v="0"/>
    <s v="Replacement"/>
    <s v="Active"/>
    <n v="0"/>
    <n v="0"/>
    <n v="0"/>
    <n v="0"/>
    <n v="0"/>
    <n v="0"/>
    <n v="0"/>
    <n v="0"/>
    <m/>
    <n v="1049455.56"/>
    <n v="1220165.2"/>
    <n v="717265.53"/>
    <s v=""/>
    <s v=""/>
    <s v=""/>
    <s v=""/>
    <s v=""/>
    <s v=""/>
    <s v=""/>
    <n v="2986886.29"/>
    <n v="2986886.29"/>
    <n v="3423820.987786389"/>
    <n v="3045625.7381512588"/>
    <n v="1.1241765345287305"/>
    <s v="2017"/>
    <d v="2017-03-31T00:00:00"/>
    <x v="1"/>
    <m/>
    <n v="3105624.5651928387"/>
    <n v="717265.53"/>
  </r>
  <r>
    <x v="150"/>
    <x v="150"/>
    <x v="0"/>
    <s v="Facilities"/>
    <s v="Potential"/>
    <n v="0"/>
    <n v="0"/>
    <n v="0"/>
    <n v="0"/>
    <n v="0"/>
    <n v="0"/>
    <n v="0"/>
    <n v="0"/>
    <m/>
    <m/>
    <m/>
    <s v=""/>
    <n v="219271.92294605833"/>
    <s v=""/>
    <s v=""/>
    <s v=""/>
    <s v=""/>
    <s v=""/>
    <s v=""/>
    <n v="219271.92294605833"/>
    <n v="219271.92294605833"/>
    <n v="241738.1096959406"/>
    <n v="219271.92294605833"/>
    <n v="1.1024581097663335"/>
    <s v="2018"/>
    <d v="2018-01-12T00:00:00"/>
    <x v="10"/>
    <m/>
    <n v="219271.92294605833"/>
    <n v="219271.92294605833"/>
  </r>
  <r>
    <x v="151"/>
    <x v="151"/>
    <x v="0"/>
    <s v="Information Technology"/>
    <s v="Active"/>
    <n v="0"/>
    <n v="0"/>
    <n v="0"/>
    <n v="0"/>
    <n v="0"/>
    <n v="0"/>
    <n v="0"/>
    <n v="0"/>
    <m/>
    <m/>
    <m/>
    <n v="145332.34"/>
    <n v="19191.378212348394"/>
    <s v=""/>
    <s v=""/>
    <s v=""/>
    <s v=""/>
    <s v=""/>
    <s v=""/>
    <n v="164523.71821234838"/>
    <n v="164523.71821234838"/>
    <n v="184536.8968839476"/>
    <n v="167386.76531034842"/>
    <n v="1.1024581097663335"/>
    <s v="2018"/>
    <d v="2017-07-12T00:00:00"/>
    <x v="10"/>
    <m/>
    <n v="167386.76531034839"/>
    <n v="19191.378212348394"/>
  </r>
  <r>
    <x v="152"/>
    <x v="152"/>
    <x v="0"/>
    <s v="Easements/Land"/>
    <s v="Deferred"/>
    <n v="0"/>
    <n v="0"/>
    <n v="0"/>
    <n v="0"/>
    <n v="0"/>
    <n v="0"/>
    <n v="0"/>
    <n v="3436.96"/>
    <m/>
    <m/>
    <m/>
    <s v=""/>
    <s v=""/>
    <s v=""/>
    <s v=""/>
    <s v=""/>
    <s v=""/>
    <s v=""/>
    <n v="643178.69672817877"/>
    <n v="3436.96"/>
    <n v="3436.96"/>
    <n v="4163.022105813352"/>
    <n v="4163.022105813352"/>
    <n v="1"/>
    <s v="2013"/>
    <d v="2026-08-24T00:00:00"/>
    <x v="3"/>
    <m/>
    <n v="3776.1272459555903"/>
    <n v="3436.96"/>
  </r>
  <r>
    <x v="153"/>
    <x v="153"/>
    <x v="0"/>
    <s v="Information Technology"/>
    <s v="Potential"/>
    <n v="0"/>
    <n v="0"/>
    <n v="0"/>
    <n v="0"/>
    <n v="0"/>
    <n v="0"/>
    <n v="0"/>
    <n v="0"/>
    <m/>
    <m/>
    <m/>
    <s v=""/>
    <s v=""/>
    <n v="213730.97506355672"/>
    <n v="57986.626172027005"/>
    <s v=""/>
    <s v=""/>
    <s v=""/>
    <s v=""/>
    <n v="271717.60123558372"/>
    <n v="271717.60123558372"/>
    <n v="292558.81662362139"/>
    <n v="275928.10144433583"/>
    <n v="1.060271915373"/>
    <s v="2020"/>
    <d v="2019-06-19T00:00:00"/>
    <x v="15"/>
    <m/>
    <n v="265369.55375622329"/>
    <n v="57986.626172027005"/>
  </r>
  <r>
    <x v="154"/>
    <x v="154"/>
    <x v="0"/>
    <s v="Facilities"/>
    <s v="Potential"/>
    <n v="0"/>
    <n v="0"/>
    <n v="0"/>
    <n v="0"/>
    <n v="0"/>
    <n v="0"/>
    <n v="0"/>
    <n v="0"/>
    <m/>
    <m/>
    <m/>
    <s v=""/>
    <s v=""/>
    <n v="353445.49283437035"/>
    <s v=""/>
    <s v=""/>
    <s v=""/>
    <s v=""/>
    <s v=""/>
    <n v="353445.49283437035"/>
    <n v="353445.49283437035"/>
    <n v="382130.87176190066"/>
    <n v="353445.49283437035"/>
    <n v="1.0811592721058483"/>
    <s v="2019"/>
    <d v="2019-04-16T00:00:00"/>
    <x v="12"/>
    <m/>
    <n v="346617.13526956004"/>
    <n v="353445.49283437035"/>
  </r>
  <r>
    <x v="155"/>
    <x v="155"/>
    <x v="0"/>
    <s v="Facilities"/>
    <s v="Potential"/>
    <n v="0"/>
    <n v="0"/>
    <n v="0"/>
    <n v="0"/>
    <n v="0"/>
    <n v="0"/>
    <n v="0"/>
    <n v="0"/>
    <m/>
    <m/>
    <m/>
    <s v=""/>
    <s v=""/>
    <n v="148611.39531248354"/>
    <s v=""/>
    <s v=""/>
    <s v=""/>
    <s v=""/>
    <s v=""/>
    <n v="148611.39531248354"/>
    <n v="148611.39531248354"/>
    <n v="160672.58798267916"/>
    <n v="148611.39531248354"/>
    <n v="1.0811592721058483"/>
    <s v="2019"/>
    <d v="2019-01-15T00:00:00"/>
    <x v="12"/>
    <m/>
    <n v="145740.3111821943"/>
    <n v="148611.39531248354"/>
  </r>
  <r>
    <x v="156"/>
    <x v="156"/>
    <x v="0"/>
    <s v="Replacement"/>
    <s v="Potential"/>
    <n v="0"/>
    <n v="0"/>
    <n v="0"/>
    <n v="0"/>
    <n v="0"/>
    <n v="0"/>
    <n v="0"/>
    <n v="0"/>
    <m/>
    <m/>
    <m/>
    <s v=""/>
    <s v=""/>
    <n v="92395.543152310769"/>
    <n v="565211.41386237089"/>
    <n v="579226.65245353768"/>
    <n v="596952.72534512135"/>
    <n v="490967.01329349371"/>
    <s v=""/>
    <n v="2324753.3481068341"/>
    <n v="2324753.3481068341"/>
    <n v="2401124.7685065861"/>
    <n v="2401124.7685065861"/>
    <n v="1"/>
    <s v="2023"/>
    <d v="2023-01-31T00:00:00"/>
    <x v="16"/>
    <m/>
    <n v="2177973.700076011"/>
    <n v="490967.01329349371"/>
  </r>
  <r>
    <x v="157"/>
    <x v="157"/>
    <x v="0"/>
    <s v="Inventory/Spares"/>
    <s v="Potential"/>
    <n v="0"/>
    <n v="0"/>
    <n v="0"/>
    <n v="0"/>
    <n v="0"/>
    <n v="0"/>
    <n v="0"/>
    <n v="0"/>
    <m/>
    <m/>
    <m/>
    <s v=""/>
    <s v=""/>
    <n v="2348043.0569889727"/>
    <s v=""/>
    <s v=""/>
    <s v=""/>
    <s v=""/>
    <s v=""/>
    <n v="2348043.0569889727"/>
    <n v="2348043.0569889727"/>
    <n v="2538608.5223673885"/>
    <n v="2348043.0569889727"/>
    <n v="1.0811592721058483"/>
    <s v="2019"/>
    <d v="2019-04-17T00:00:00"/>
    <x v="12"/>
    <m/>
    <n v="2302680.2559468201"/>
    <n v="2348043.0569889727"/>
  </r>
  <r>
    <x v="158"/>
    <x v="158"/>
    <x v="0"/>
    <s v="Information Technology"/>
    <s v="Potential"/>
    <n v="0"/>
    <n v="0"/>
    <n v="0"/>
    <n v="0"/>
    <n v="0"/>
    <n v="0"/>
    <n v="0"/>
    <n v="0"/>
    <m/>
    <m/>
    <m/>
    <s v=""/>
    <s v=""/>
    <s v=""/>
    <s v=""/>
    <n v="97440.946249093991"/>
    <n v="1978330.5920619261"/>
    <s v=""/>
    <s v=""/>
    <n v="2075771.5383110202"/>
    <n v="2075771.5383110202"/>
    <n v="2118621.6401136843"/>
    <n v="2077691.1249521272"/>
    <n v="1.0197000000000001"/>
    <s v="2022"/>
    <d v="2021-10-06T00:00:00"/>
    <x v="17"/>
    <m/>
    <n v="1921725.2985355852"/>
    <n v="1978330.5920619261"/>
  </r>
  <r>
    <x v="159"/>
    <x v="159"/>
    <x v="0"/>
    <s v="Information Technology"/>
    <s v="Potential"/>
    <n v="0"/>
    <n v="0"/>
    <n v="0"/>
    <n v="0"/>
    <n v="0"/>
    <n v="0"/>
    <n v="0"/>
    <n v="0"/>
    <m/>
    <m/>
    <m/>
    <s v=""/>
    <n v="657253.25563085021"/>
    <n v="626643.37242217758"/>
    <s v=""/>
    <s v=""/>
    <s v=""/>
    <s v=""/>
    <s v=""/>
    <n v="1283896.6280530277"/>
    <n v="1283896.6280530277"/>
    <n v="1402095.4742384716"/>
    <n v="1296844.5171889558"/>
    <n v="1.0811592721058483"/>
    <s v="2019"/>
    <d v="2018-10-26T00:00:00"/>
    <x v="12"/>
    <m/>
    <n v="1271790.2492781754"/>
    <n v="626643.37242217758"/>
  </r>
  <r>
    <x v="160"/>
    <x v="160"/>
    <x v="0"/>
    <s v="Information Technology"/>
    <s v="Potential"/>
    <n v="0"/>
    <n v="0"/>
    <n v="0"/>
    <n v="0"/>
    <n v="0"/>
    <n v="0"/>
    <n v="0"/>
    <n v="0"/>
    <m/>
    <m/>
    <m/>
    <s v=""/>
    <s v=""/>
    <n v="107470.90536521954"/>
    <n v="1266444.8617015635"/>
    <n v="1120781.1747742654"/>
    <n v="8809.243281934092"/>
    <s v=""/>
    <s v=""/>
    <n v="2503506.1851229821"/>
    <n v="2503506.1851229821"/>
    <n v="2633326.7874489063"/>
    <n v="2532561.0215913383"/>
    <n v="1.0397880900000001"/>
    <s v="2022"/>
    <d v="2021-02-19T00:00:00"/>
    <x v="18"/>
    <m/>
    <n v="2388595.7789426045"/>
    <n v="8809.243281934092"/>
  </r>
  <r>
    <x v="161"/>
    <x v="161"/>
    <x v="0"/>
    <s v="Information Technology"/>
    <s v="Potential"/>
    <n v="0"/>
    <n v="0"/>
    <n v="0"/>
    <n v="0"/>
    <n v="0"/>
    <n v="0"/>
    <n v="0"/>
    <n v="0"/>
    <m/>
    <m/>
    <m/>
    <s v=""/>
    <s v=""/>
    <s v=""/>
    <s v=""/>
    <n v="61052.186818232025"/>
    <n v="809473.00734858541"/>
    <n v="422263.46394150372"/>
    <s v=""/>
    <n v="1292788.6581083213"/>
    <n v="1292788.6581083213"/>
    <n v="1311164.426256909"/>
    <n v="1311164.426256909"/>
    <n v="1"/>
    <s v="2023"/>
    <d v="2022-09-07T00:00:00"/>
    <x v="16"/>
    <m/>
    <n v="1189309.974357947"/>
    <n v="422263.46394150372"/>
  </r>
  <r>
    <x v="162"/>
    <x v="162"/>
    <x v="0"/>
    <s v="Information Technology"/>
    <s v="Potential"/>
    <n v="0"/>
    <n v="0"/>
    <n v="0"/>
    <n v="0"/>
    <n v="0"/>
    <n v="0"/>
    <n v="0"/>
    <n v="0"/>
    <m/>
    <m/>
    <m/>
    <s v=""/>
    <s v=""/>
    <s v=""/>
    <s v=""/>
    <s v=""/>
    <n v="1291865.9276551767"/>
    <n v="1165272.8066256596"/>
    <n v="1137940.8875483279"/>
    <n v="2457138.7342808363"/>
    <n v="2457138.7342808363"/>
    <n v="2482588.4930556435"/>
    <n v="2482588.4930556435"/>
    <n v="1"/>
    <s v="2024"/>
    <d v="2024-04-04T00:00:00"/>
    <x v="19"/>
    <m/>
    <n v="2251866.5072742119"/>
    <n v="1137940.8875483279"/>
  </r>
  <r>
    <x v="163"/>
    <x v="163"/>
    <x v="0"/>
    <s v="Replacement"/>
    <s v="Potential"/>
    <n v="0"/>
    <n v="0"/>
    <n v="0"/>
    <n v="0"/>
    <n v="0"/>
    <n v="0"/>
    <n v="0"/>
    <n v="0"/>
    <m/>
    <m/>
    <m/>
    <s v=""/>
    <s v=""/>
    <s v=""/>
    <n v="800285.76408114017"/>
    <n v="1706816.9941689824"/>
    <n v="833778.49404550297"/>
    <s v=""/>
    <s v=""/>
    <n v="3340881.2522956254"/>
    <n v="3340881.2522956254"/>
    <n v="3473452.4326527622"/>
    <n v="3406347.3890877338"/>
    <n v="1.0197000000000001"/>
    <s v="2022"/>
    <d v="2021-10-20T00:00:00"/>
    <x v="17"/>
    <m/>
    <n v="3150643.4592684545"/>
    <n v="833778.49404550297"/>
  </r>
  <r>
    <x v="164"/>
    <x v="164"/>
    <x v="0"/>
    <s v="Information Technology"/>
    <s v="Active"/>
    <n v="0"/>
    <n v="0"/>
    <n v="0"/>
    <n v="0"/>
    <n v="0"/>
    <n v="0"/>
    <n v="0"/>
    <n v="0"/>
    <m/>
    <m/>
    <m/>
    <n v="142519.9"/>
    <n v="976396.08031252387"/>
    <n v="481623.21387417265"/>
    <s v=""/>
    <s v=""/>
    <s v=""/>
    <s v=""/>
    <s v=""/>
    <n v="1600539.1941866965"/>
    <n v="1600539.1941866965"/>
    <n v="1757364.7077094633"/>
    <n v="1625444.7915768444"/>
    <n v="1.0811592721058483"/>
    <s v="2019"/>
    <d v="2018-08-10T00:00:00"/>
    <x v="12"/>
    <m/>
    <n v="1594042.1610050448"/>
    <n v="481623.21387417265"/>
  </r>
  <r>
    <x v="165"/>
    <x v="165"/>
    <x v="0"/>
    <s v="Information Technology"/>
    <s v="Potential"/>
    <n v="0"/>
    <n v="0"/>
    <n v="0"/>
    <n v="0"/>
    <n v="0"/>
    <n v="0"/>
    <n v="0"/>
    <n v="0"/>
    <m/>
    <m/>
    <m/>
    <s v=""/>
    <s v=""/>
    <s v=""/>
    <s v=""/>
    <s v=""/>
    <s v=""/>
    <n v="395253.34903416439"/>
    <n v="659799.87393353262"/>
    <n v="395253.34903416439"/>
    <n v="395253.34903416439"/>
    <n v="395253.34903416439"/>
    <n v="395253.34903416439"/>
    <n v="1"/>
    <s v="2024"/>
    <d v="2024-03-29T00:00:00"/>
    <x v="19"/>
    <m/>
    <n v="358520.06124562729"/>
    <n v="659799.87393353262"/>
  </r>
  <r>
    <x v="166"/>
    <x v="166"/>
    <x v="0"/>
    <s v="Information Technology"/>
    <s v="Potential"/>
    <n v="0"/>
    <n v="0"/>
    <n v="0"/>
    <n v="0"/>
    <n v="0"/>
    <n v="0"/>
    <n v="0"/>
    <n v="0"/>
    <m/>
    <m/>
    <m/>
    <s v=""/>
    <s v=""/>
    <s v=""/>
    <s v=""/>
    <s v=""/>
    <n v="44209.402500069606"/>
    <n v="912957.00242406072"/>
    <n v="1481575.9474667574"/>
    <n v="957166.4049241303"/>
    <n v="957166.4049241303"/>
    <n v="958037.33015338168"/>
    <n v="958037.33015338168"/>
    <n v="1"/>
    <s v="2024"/>
    <d v="2024-06-25T00:00:00"/>
    <x v="19"/>
    <m/>
    <n v="869001.11819798592"/>
    <n v="1481575.9474667574"/>
  </r>
  <r>
    <x v="167"/>
    <x v="167"/>
    <x v="0"/>
    <s v="Facilities"/>
    <s v="Potential"/>
    <n v="0"/>
    <n v="0"/>
    <n v="0"/>
    <n v="0"/>
    <n v="0"/>
    <n v="0"/>
    <n v="0"/>
    <n v="0"/>
    <m/>
    <m/>
    <m/>
    <s v=""/>
    <s v=""/>
    <n v="656429.43012404488"/>
    <s v=""/>
    <s v=""/>
    <s v=""/>
    <s v=""/>
    <s v=""/>
    <n v="656429.43012404488"/>
    <n v="656429.43012404488"/>
    <n v="709704.76486176916"/>
    <n v="656429.43012404488"/>
    <n v="1.0811592721058483"/>
    <s v="2019"/>
    <d v="2018-12-05T00:00:00"/>
    <x v="12"/>
    <m/>
    <n v="643747.60235760012"/>
    <n v="656429.43012404488"/>
  </r>
  <r>
    <x v="168"/>
    <x v="168"/>
    <x v="0"/>
    <s v="Facilities"/>
    <s v="Potential"/>
    <n v="0"/>
    <n v="0"/>
    <n v="0"/>
    <n v="0"/>
    <n v="0"/>
    <n v="0"/>
    <n v="0"/>
    <n v="0"/>
    <m/>
    <m/>
    <m/>
    <s v=""/>
    <s v=""/>
    <s v=""/>
    <n v="344664.49374639307"/>
    <s v=""/>
    <s v=""/>
    <s v=""/>
    <s v=""/>
    <n v="344664.49374639307"/>
    <n v="344664.49374639307"/>
    <n v="365438.08294555359"/>
    <n v="344664.49374639307"/>
    <n v="1.060271915373"/>
    <s v="2020"/>
    <d v="2020-01-02T00:00:00"/>
    <x v="15"/>
    <m/>
    <n v="331475.70842669782"/>
    <n v="344664.49374639307"/>
  </r>
  <r>
    <x v="169"/>
    <x v="169"/>
    <x v="0"/>
    <s v="Facilities"/>
    <s v="Potential"/>
    <n v="0"/>
    <n v="0"/>
    <n v="0"/>
    <n v="0"/>
    <n v="0"/>
    <n v="0"/>
    <n v="0"/>
    <n v="0"/>
    <m/>
    <m/>
    <m/>
    <s v=""/>
    <s v=""/>
    <s v=""/>
    <n v="208313.38461337876"/>
    <s v=""/>
    <s v=""/>
    <s v=""/>
    <s v=""/>
    <n v="208313.38461337876"/>
    <n v="208313.38461337876"/>
    <n v="220868.83130185952"/>
    <n v="208313.38461337876"/>
    <n v="1.060271915373"/>
    <s v="2020"/>
    <d v="2020-01-02T00:00:00"/>
    <x v="15"/>
    <m/>
    <n v="200342.15299905842"/>
    <n v="208313.38461337876"/>
  </r>
  <r>
    <x v="170"/>
    <x v="170"/>
    <x v="0"/>
    <s v="Information Technology"/>
    <s v="Potential"/>
    <n v="0"/>
    <n v="0"/>
    <n v="0"/>
    <n v="0"/>
    <n v="0"/>
    <n v="0"/>
    <n v="0"/>
    <n v="0"/>
    <m/>
    <m/>
    <m/>
    <s v=""/>
    <s v=""/>
    <n v="666077.68556816096"/>
    <n v="660347.942625475"/>
    <n v="210928.8436016856"/>
    <s v=""/>
    <s v=""/>
    <s v=""/>
    <n v="1537354.4717953214"/>
    <n v="1537354.4717953214"/>
    <n v="1639605.7430494588"/>
    <n v="1576865.2851654212"/>
    <n v="1.0397880900000001"/>
    <s v="2021"/>
    <d v="2020-08-11T00:00:00"/>
    <x v="18"/>
    <m/>
    <n v="1487227.2502008933"/>
    <n v="210928.8436016856"/>
  </r>
  <r>
    <x v="171"/>
    <x v="171"/>
    <x v="0"/>
    <s v="Information Technology"/>
    <s v="Potential"/>
    <n v="0"/>
    <n v="0"/>
    <n v="0"/>
    <n v="0"/>
    <n v="0"/>
    <n v="0"/>
    <n v="0"/>
    <n v="0"/>
    <m/>
    <m/>
    <m/>
    <s v=""/>
    <n v="56219.149099085567"/>
    <n v="1211782.7411844421"/>
    <n v="1209806.5186562017"/>
    <n v="34822.027698613769"/>
    <s v=""/>
    <s v=""/>
    <s v=""/>
    <n v="2512630.4366383431"/>
    <n v="2512630.4366383431"/>
    <n v="2691040.8076948714"/>
    <n v="2538066.6682547866"/>
    <n v="1.060271915373"/>
    <s v="2021"/>
    <d v="2020-03-20T00:00:00"/>
    <x v="15"/>
    <m/>
    <n v="2440946.0857113549"/>
    <n v="34822.027698613769"/>
  </r>
  <r>
    <x v="172"/>
    <x v="172"/>
    <x v="0"/>
    <s v="Information Technology"/>
    <s v="Potential"/>
    <n v="0"/>
    <n v="0"/>
    <n v="0"/>
    <n v="0"/>
    <n v="0"/>
    <n v="0"/>
    <n v="0"/>
    <n v="0"/>
    <m/>
    <m/>
    <m/>
    <s v=""/>
    <s v=""/>
    <n v="327126.6161518349"/>
    <n v="639489.6908332312"/>
    <n v="475222.54613666493"/>
    <s v=""/>
    <s v=""/>
    <s v=""/>
    <n v="1441838.853121731"/>
    <n v="1441838.853121731"/>
    <n v="1525839.6771385844"/>
    <n v="1467452.5432759903"/>
    <n v="1.0397880900000001"/>
    <s v="2021"/>
    <d v="2021-01-11T00:00:00"/>
    <x v="18"/>
    <m/>
    <n v="1384034.1538799936"/>
    <n v="475222.54613666493"/>
  </r>
  <r>
    <x v="173"/>
    <x v="173"/>
    <x v="0"/>
    <s v="Replacement"/>
    <s v="Potential"/>
    <n v="0"/>
    <n v="0"/>
    <n v="0"/>
    <n v="0"/>
    <n v="0"/>
    <n v="0"/>
    <n v="0"/>
    <n v="0"/>
    <m/>
    <m/>
    <m/>
    <s v=""/>
    <s v=""/>
    <n v="576466.9178340775"/>
    <n v="895020.34763548279"/>
    <n v="522103.54964005301"/>
    <s v=""/>
    <s v=""/>
    <s v=""/>
    <n v="1993590.8151096134"/>
    <n v="1993590.8151096134"/>
    <n v="2115094.5442263256"/>
    <n v="2034159.2335668372"/>
    <n v="1.0397880900000001"/>
    <s v="2021"/>
    <d v="2020-11-13T00:00:00"/>
    <x v="18"/>
    <m/>
    <n v="1918525.9970327772"/>
    <n v="522103.54964005301"/>
  </r>
  <r>
    <x v="174"/>
    <x v="174"/>
    <x v="0"/>
    <s v="Inventory/Spares"/>
    <s v="Potential"/>
    <n v="0"/>
    <n v="0"/>
    <n v="0"/>
    <n v="0"/>
    <n v="0"/>
    <n v="0"/>
    <n v="0"/>
    <n v="0"/>
    <m/>
    <m/>
    <m/>
    <s v=""/>
    <s v=""/>
    <s v=""/>
    <n v="2399843.5274897777"/>
    <s v=""/>
    <s v=""/>
    <s v=""/>
    <s v=""/>
    <n v="2399843.5274897777"/>
    <n v="2399843.5274897777"/>
    <n v="2544486.6934870835"/>
    <n v="2399843.5274897777"/>
    <n v="1.060271915373"/>
    <s v="2020"/>
    <d v="2020-04-03T00:00:00"/>
    <x v="15"/>
    <m/>
    <n v="2308012.1330200825"/>
    <n v="2399843.5274897777"/>
  </r>
  <r>
    <x v="175"/>
    <x v="175"/>
    <x v="0"/>
    <s v="Information Technology"/>
    <s v="Active"/>
    <n v="0"/>
    <n v="0"/>
    <n v="0"/>
    <n v="0"/>
    <n v="0"/>
    <n v="0"/>
    <n v="0"/>
    <n v="0"/>
    <m/>
    <m/>
    <n v="27690.75"/>
    <n v="806308.13"/>
    <n v="1309055.7907212728"/>
    <s v=""/>
    <s v=""/>
    <s v=""/>
    <s v=""/>
    <s v=""/>
    <s v=""/>
    <n v="2143054.6707212729"/>
    <n v="2143054.6707212729"/>
    <n v="2381354.3903765483"/>
    <n v="2160040.7029354405"/>
    <n v="1.1024581097663335"/>
    <s v="2018"/>
    <d v="2017-09-05T00:00:00"/>
    <x v="10"/>
    <m/>
    <n v="2160040.7029354405"/>
    <n v="1309055.7907212728"/>
  </r>
  <r>
    <x v="176"/>
    <x v="176"/>
    <x v="0"/>
    <s v="Facilities"/>
    <s v="Potential"/>
    <n v="0"/>
    <n v="0"/>
    <n v="0"/>
    <n v="0"/>
    <n v="0"/>
    <n v="0"/>
    <n v="0"/>
    <n v="0"/>
    <m/>
    <m/>
    <m/>
    <s v=""/>
    <s v=""/>
    <s v=""/>
    <s v=""/>
    <n v="255566.09565183753"/>
    <s v=""/>
    <s v=""/>
    <s v=""/>
    <n v="255566.09565183753"/>
    <n v="255566.09565183753"/>
    <n v="265734.58246658149"/>
    <n v="255566.09565183756"/>
    <n v="1.0397880900000001"/>
    <s v="2021"/>
    <d v="2021-01-01T00:00:00"/>
    <x v="18"/>
    <m/>
    <n v="241038.25815468314"/>
    <n v="255566.09565183753"/>
  </r>
  <r>
    <x v="177"/>
    <x v="177"/>
    <x v="0"/>
    <s v="Facilities"/>
    <s v="Potential"/>
    <n v="0"/>
    <n v="0"/>
    <n v="0"/>
    <n v="0"/>
    <n v="0"/>
    <n v="0"/>
    <n v="0"/>
    <n v="0"/>
    <m/>
    <m/>
    <m/>
    <s v=""/>
    <s v=""/>
    <s v=""/>
    <s v=""/>
    <n v="366692.57445512363"/>
    <s v=""/>
    <s v=""/>
    <s v=""/>
    <n v="366692.57445512363"/>
    <n v="366692.57445512363"/>
    <n v="381282.57160987583"/>
    <n v="366692.57445512363"/>
    <n v="1.0397880900000001"/>
    <s v="2021"/>
    <d v="2021-01-01T00:00:00"/>
    <x v="18"/>
    <m/>
    <n v="345847.67278884538"/>
    <n v="366692.57445512363"/>
  </r>
  <r>
    <x v="178"/>
    <x v="178"/>
    <x v="0"/>
    <s v="Facilities"/>
    <s v="Potential"/>
    <n v="0"/>
    <n v="0"/>
    <n v="0"/>
    <n v="0"/>
    <n v="0"/>
    <n v="0"/>
    <n v="0"/>
    <n v="0"/>
    <m/>
    <m/>
    <m/>
    <s v=""/>
    <s v=""/>
    <s v=""/>
    <s v=""/>
    <n v="171759.34283595733"/>
    <s v=""/>
    <s v=""/>
    <s v=""/>
    <n v="171759.34283595733"/>
    <n v="171759.34283595733"/>
    <n v="178593.31902705526"/>
    <n v="171759.34283595733"/>
    <n v="1.0397880900000001"/>
    <s v="2021"/>
    <d v="2021-01-01T00:00:00"/>
    <x v="18"/>
    <m/>
    <n v="161995.56014414754"/>
    <n v="171759.34283595733"/>
  </r>
  <r>
    <x v="179"/>
    <x v="179"/>
    <x v="0"/>
    <s v="Facilities"/>
    <s v="Potential"/>
    <n v="0"/>
    <n v="0"/>
    <n v="0"/>
    <n v="0"/>
    <n v="0"/>
    <n v="0"/>
    <n v="0"/>
    <n v="0"/>
    <m/>
    <m/>
    <m/>
    <s v=""/>
    <s v=""/>
    <s v=""/>
    <s v=""/>
    <n v="275834.51491327636"/>
    <s v=""/>
    <s v=""/>
    <s v=""/>
    <n v="275834.51491327636"/>
    <n v="275834.51491327636"/>
    <n v="286809.44341775216"/>
    <n v="275834.51491327636"/>
    <n v="1.0397880900000001"/>
    <s v="2021"/>
    <d v="2021-02-02T00:00:00"/>
    <x v="18"/>
    <m/>
    <n v="260154.5046265219"/>
    <n v="275834.51491327636"/>
  </r>
  <r>
    <x v="180"/>
    <x v="180"/>
    <x v="0"/>
    <s v="Replacement"/>
    <s v="Potential"/>
    <n v="0"/>
    <n v="0"/>
    <n v="0"/>
    <n v="0"/>
    <n v="0"/>
    <n v="0"/>
    <n v="0"/>
    <n v="0"/>
    <m/>
    <m/>
    <m/>
    <s v=""/>
    <s v=""/>
    <n v="574559.73473110714"/>
    <n v="1257532.8657175845"/>
    <n v="2045915.6468796781"/>
    <n v="2092816.7846464734"/>
    <n v="1299704.3866339265"/>
    <s v=""/>
    <n v="7270529.4186087698"/>
    <n v="7270529.4186087698"/>
    <n v="7515585.749470165"/>
    <n v="7515585.749470165"/>
    <n v="1"/>
    <s v="2023"/>
    <d v="2022-12-14T00:00:00"/>
    <x v="16"/>
    <m/>
    <n v="6817116.8436169401"/>
    <n v="1299704.3866339265"/>
  </r>
  <r>
    <x v="181"/>
    <x v="181"/>
    <x v="0"/>
    <s v="Information Technology"/>
    <s v="Potential"/>
    <n v="0"/>
    <n v="0"/>
    <n v="0"/>
    <n v="0"/>
    <n v="0"/>
    <n v="0"/>
    <n v="0"/>
    <n v="0"/>
    <m/>
    <m/>
    <m/>
    <s v=""/>
    <s v=""/>
    <s v=""/>
    <n v="32731.156056676351"/>
    <n v="836578.70660189958"/>
    <n v="940834.91206564638"/>
    <n v="279166.39601340285"/>
    <s v=""/>
    <n v="2089311.1707376251"/>
    <n v="2089311.1707376251"/>
    <n v="2143104.2568435869"/>
    <n v="2143104.2568435869"/>
    <n v="1"/>
    <s v="2023"/>
    <d v="2022-08-03T00:00:00"/>
    <x v="16"/>
    <m/>
    <n v="1943932.5974007472"/>
    <n v="279166.39601340285"/>
  </r>
  <r>
    <x v="182"/>
    <x v="182"/>
    <x v="0"/>
    <s v="Facilities"/>
    <s v="Potential"/>
    <n v="0"/>
    <n v="0"/>
    <n v="0"/>
    <n v="0"/>
    <n v="0"/>
    <n v="0"/>
    <n v="0"/>
    <n v="0"/>
    <m/>
    <m/>
    <m/>
    <s v=""/>
    <s v=""/>
    <s v=""/>
    <s v=""/>
    <s v=""/>
    <n v="376020.49735432776"/>
    <s v=""/>
    <s v=""/>
    <n v="376020.49735432776"/>
    <n v="376020.49735432776"/>
    <n v="383428.10115220805"/>
    <n v="376020.49735432776"/>
    <n v="1.0197000000000001"/>
    <s v="2022"/>
    <d v="2022-01-03T00:00:00"/>
    <x v="17"/>
    <m/>
    <n v="347793.8052752642"/>
    <n v="376020.49735432776"/>
  </r>
  <r>
    <x v="183"/>
    <x v="183"/>
    <x v="0"/>
    <s v="Facilities"/>
    <s v="Potential"/>
    <n v="0"/>
    <n v="0"/>
    <n v="0"/>
    <n v="0"/>
    <n v="0"/>
    <n v="0"/>
    <n v="0"/>
    <n v="0"/>
    <m/>
    <m/>
    <m/>
    <s v=""/>
    <s v=""/>
    <s v=""/>
    <s v=""/>
    <s v=""/>
    <n v="392543.71899012552"/>
    <s v=""/>
    <s v=""/>
    <n v="392543.71899012552"/>
    <n v="392543.71899012552"/>
    <n v="400276.830254231"/>
    <n v="392543.71899012552"/>
    <n v="1.0197000000000001"/>
    <s v="2022"/>
    <d v="2022-01-04T00:00:00"/>
    <x v="17"/>
    <m/>
    <n v="363076.67992851889"/>
    <n v="392543.71899012552"/>
  </r>
  <r>
    <x v="184"/>
    <x v="184"/>
    <x v="0"/>
    <s v="Facilities"/>
    <s v="Potential"/>
    <n v="0"/>
    <n v="0"/>
    <n v="0"/>
    <n v="0"/>
    <n v="0"/>
    <n v="0"/>
    <n v="0"/>
    <n v="0"/>
    <m/>
    <m/>
    <m/>
    <s v=""/>
    <s v=""/>
    <s v=""/>
    <s v=""/>
    <s v=""/>
    <n v="264679.03510183276"/>
    <s v=""/>
    <s v=""/>
    <n v="264679.03510183276"/>
    <n v="264679.03510183276"/>
    <n v="269893.21209333889"/>
    <n v="264679.03510183276"/>
    <n v="1.0197000000000001"/>
    <s v="2022"/>
    <d v="2022-01-03T00:00:00"/>
    <x v="17"/>
    <m/>
    <n v="244810.40114126683"/>
    <n v="264679.03510183276"/>
  </r>
  <r>
    <x v="185"/>
    <x v="185"/>
    <x v="0"/>
    <s v="Information Technology"/>
    <s v="Potential"/>
    <n v="0"/>
    <n v="0"/>
    <n v="0"/>
    <n v="0"/>
    <n v="0"/>
    <n v="0"/>
    <n v="0"/>
    <n v="0"/>
    <m/>
    <m/>
    <m/>
    <s v=""/>
    <s v=""/>
    <s v=""/>
    <s v=""/>
    <n v="715057.88036128611"/>
    <n v="632632.46731198882"/>
    <n v="28775.254788470051"/>
    <s v=""/>
    <n v="1376465.602461745"/>
    <n v="1376465.602461745"/>
    <n v="1417379.2493668152"/>
    <n v="1389996.3218268265"/>
    <n v="1.0197000000000001"/>
    <s v="2023"/>
    <d v="2022-04-06T00:00:00"/>
    <x v="17"/>
    <m/>
    <n v="1285653.6106095039"/>
    <n v="28775.254788470051"/>
  </r>
  <r>
    <x v="186"/>
    <x v="186"/>
    <x v="0"/>
    <s v="Information Technology"/>
    <s v="Potential"/>
    <n v="0"/>
    <n v="0"/>
    <n v="0"/>
    <n v="0"/>
    <n v="0"/>
    <n v="0"/>
    <n v="0"/>
    <n v="0"/>
    <m/>
    <m/>
    <m/>
    <s v=""/>
    <s v=""/>
    <s v=""/>
    <s v=""/>
    <n v="326042.97783563659"/>
    <n v="710691.66731672303"/>
    <n v="483200.57913070964"/>
    <s v=""/>
    <n v="1519935.2242830694"/>
    <n v="1519935.2242830694"/>
    <n v="1546908.477475201"/>
    <n v="1546908.477475201"/>
    <n v="1"/>
    <s v="2023"/>
    <d v="2023-01-24T00:00:00"/>
    <x v="16"/>
    <m/>
    <n v="1403144.9029868981"/>
    <n v="483200.57913070964"/>
  </r>
  <r>
    <x v="187"/>
    <x v="187"/>
    <x v="0"/>
    <s v="Replacement"/>
    <s v="Potential"/>
    <n v="0"/>
    <n v="0"/>
    <n v="0"/>
    <n v="0"/>
    <n v="0"/>
    <n v="0"/>
    <n v="0"/>
    <n v="0"/>
    <m/>
    <m/>
    <m/>
    <s v=""/>
    <s v=""/>
    <s v=""/>
    <n v="182409.81502617366"/>
    <n v="838067.97977876826"/>
    <s v=""/>
    <s v=""/>
    <s v=""/>
    <n v="1020477.7948049419"/>
    <n v="1020477.7948049419"/>
    <n v="1064817.10794496"/>
    <n v="1024071.2681609576"/>
    <n v="1.0397880900000001"/>
    <s v="2021"/>
    <d v="2021-01-06T00:00:00"/>
    <x v="18"/>
    <m/>
    <n v="965857.20447069732"/>
    <n v="838067.97977876826"/>
  </r>
  <r>
    <x v="188"/>
    <x v="188"/>
    <x v="0"/>
    <s v="Replacement"/>
    <s v="Potential"/>
    <n v="0"/>
    <n v="0"/>
    <n v="0"/>
    <n v="0"/>
    <n v="0"/>
    <n v="0"/>
    <n v="0"/>
    <n v="0"/>
    <m/>
    <m/>
    <m/>
    <s v=""/>
    <n v="21274.052147986698"/>
    <n v="1873689.3834518753"/>
    <n v="2679261.6514567793"/>
    <n v="571590.64347630332"/>
    <s v=""/>
    <s v=""/>
    <s v=""/>
    <n v="5145815.7305329451"/>
    <n v="5145815.7305329451"/>
    <n v="5484289.4277010281"/>
    <n v="5274429.9347581752"/>
    <n v="1.0397880900000001"/>
    <s v="2021"/>
    <d v="2020-07-28T00:00:00"/>
    <x v="18"/>
    <m/>
    <n v="4974601.1926597608"/>
    <n v="571590.64347630332"/>
  </r>
  <r>
    <x v="189"/>
    <x v="189"/>
    <x v="0"/>
    <s v="Facilities"/>
    <s v="Potential"/>
    <n v="0"/>
    <n v="0"/>
    <n v="0"/>
    <n v="0"/>
    <n v="0"/>
    <n v="0"/>
    <n v="0"/>
    <n v="0"/>
    <m/>
    <m/>
    <m/>
    <s v=""/>
    <s v=""/>
    <s v=""/>
    <s v=""/>
    <s v=""/>
    <s v=""/>
    <n v="296732.30807418388"/>
    <n v="134712.3775915131"/>
    <n v="296732.30807418388"/>
    <n v="296732.30807418388"/>
    <n v="296732.30807418388"/>
    <n v="296732.30807418388"/>
    <n v="1"/>
    <s v="2024"/>
    <d v="2023-07-27T00:00:00"/>
    <x v="19"/>
    <m/>
    <n v="269155.1773673073"/>
    <n v="134712.3775915131"/>
  </r>
  <r>
    <x v="190"/>
    <x v="190"/>
    <x v="0"/>
    <s v="Facilities"/>
    <s v="Potential"/>
    <n v="0"/>
    <n v="0"/>
    <n v="0"/>
    <n v="0"/>
    <n v="0"/>
    <n v="0"/>
    <n v="0"/>
    <n v="0"/>
    <m/>
    <m/>
    <m/>
    <s v=""/>
    <s v=""/>
    <s v=""/>
    <s v=""/>
    <s v=""/>
    <s v=""/>
    <n v="161739.24229706635"/>
    <n v="60.981566180311198"/>
    <n v="161739.24229706635"/>
    <n v="161739.24229706635"/>
    <n v="161739.24229706635"/>
    <n v="161739.24229706635"/>
    <n v="1"/>
    <s v="2024"/>
    <d v="2023-05-04T00:00:00"/>
    <x v="16"/>
    <m/>
    <n v="146707.8348503845"/>
    <n v="60.981566180311198"/>
  </r>
  <r>
    <x v="191"/>
    <x v="191"/>
    <x v="0"/>
    <s v="Facilities"/>
    <s v="Potential"/>
    <n v="0"/>
    <n v="0"/>
    <n v="0"/>
    <n v="0"/>
    <n v="0"/>
    <n v="0"/>
    <n v="0"/>
    <n v="0"/>
    <m/>
    <m/>
    <m/>
    <s v=""/>
    <s v=""/>
    <s v=""/>
    <s v=""/>
    <s v=""/>
    <s v=""/>
    <n v="137914.25332440686"/>
    <n v="62575.558461318069"/>
    <n v="137914.25332440686"/>
    <n v="137914.25332440686"/>
    <n v="137914.25332440686"/>
    <n v="137914.25332440686"/>
    <n v="1"/>
    <s v="2024"/>
    <d v="2023-07-27T00:00:00"/>
    <x v="19"/>
    <m/>
    <n v="125097.04641171159"/>
    <n v="62575.558461318069"/>
  </r>
  <r>
    <x v="192"/>
    <x v="192"/>
    <x v="0"/>
    <s v="Information Technology"/>
    <s v="Potential"/>
    <n v="0"/>
    <n v="0"/>
    <n v="0"/>
    <n v="0"/>
    <n v="0"/>
    <n v="0"/>
    <n v="0"/>
    <n v="0"/>
    <m/>
    <m/>
    <m/>
    <s v=""/>
    <s v=""/>
    <s v=""/>
    <s v=""/>
    <s v=""/>
    <n v="35446.547205084797"/>
    <n v="890366.96837924095"/>
    <n v="967075.78916789277"/>
    <n v="925813.51558432577"/>
    <n v="925813.51558432577"/>
    <n v="926511.81256426591"/>
    <n v="926511.81256426591"/>
    <n v="1"/>
    <s v="2024"/>
    <d v="2024-08-01T00:00:00"/>
    <x v="20"/>
    <m/>
    <n v="840405.457909544"/>
    <n v="967075.78916789277"/>
  </r>
  <r>
    <x v="193"/>
    <x v="193"/>
    <x v="0"/>
    <s v="Information Technology"/>
    <s v="Potential"/>
    <n v="0"/>
    <n v="0"/>
    <n v="0"/>
    <n v="0"/>
    <n v="0"/>
    <n v="0"/>
    <n v="0"/>
    <n v="0"/>
    <m/>
    <m/>
    <m/>
    <s v=""/>
    <s v=""/>
    <s v=""/>
    <s v=""/>
    <s v=""/>
    <s v=""/>
    <n v="721024.36107832275"/>
    <n v="686827.33098547452"/>
    <n v="721024.36107832275"/>
    <n v="721024.36107832275"/>
    <n v="721024.36107832275"/>
    <n v="721024.36107832275"/>
    <n v="1"/>
    <s v="2024"/>
    <d v="2024-04-04T00:00:00"/>
    <x v="19"/>
    <m/>
    <n v="654015.19993457547"/>
    <n v="686827.33098547452"/>
  </r>
  <r>
    <x v="194"/>
    <x v="194"/>
    <x v="0"/>
    <s v="Information Technology"/>
    <s v="Potential"/>
    <n v="0"/>
    <n v="0"/>
    <n v="0"/>
    <n v="0"/>
    <n v="0"/>
    <n v="0"/>
    <n v="0"/>
    <n v="0"/>
    <m/>
    <m/>
    <m/>
    <s v=""/>
    <s v=""/>
    <s v=""/>
    <n v="25659.720373063898"/>
    <n v="1068579.8825142882"/>
    <n v="1555599.9692897073"/>
    <s v=""/>
    <s v=""/>
    <n v="2649839.572177059"/>
    <n v="2649839.572177059"/>
    <n v="2724548.2046045549"/>
    <n v="2671911.5471261693"/>
    <n v="1.0197000000000001"/>
    <s v="2022"/>
    <d v="2022-01-21T00:00:00"/>
    <x v="17"/>
    <m/>
    <n v="2471339.437270795"/>
    <n v="1555599.9692897073"/>
  </r>
  <r>
    <x v="195"/>
    <x v="195"/>
    <x v="0"/>
    <s v="Information Technology"/>
    <s v="Potential"/>
    <n v="0"/>
    <n v="0"/>
    <n v="0"/>
    <n v="0"/>
    <n v="0"/>
    <n v="0"/>
    <n v="0"/>
    <n v="0"/>
    <m/>
    <m/>
    <m/>
    <s v=""/>
    <s v=""/>
    <s v=""/>
    <n v="79069.160074310552"/>
    <n v="688525.49017800437"/>
    <n v="913458.24961207225"/>
    <n v="832911.58619777858"/>
    <n v="6659.2782380344615"/>
    <n v="2513964.4860621658"/>
    <n v="2513964.4860621658"/>
    <n v="2564120.377474633"/>
    <n v="2564120.377474633"/>
    <n v="1"/>
    <s v="2024"/>
    <d v="2023-03-08T00:00:00"/>
    <x v="16"/>
    <m/>
    <n v="2325821.1398327868"/>
    <n v="6659.2782380344615"/>
  </r>
  <r>
    <x v="196"/>
    <x v="196"/>
    <x v="0"/>
    <s v="Information Technology"/>
    <s v="Potential"/>
    <n v="0"/>
    <n v="0"/>
    <n v="0"/>
    <n v="0"/>
    <n v="0"/>
    <n v="0"/>
    <n v="0"/>
    <n v="0"/>
    <m/>
    <m/>
    <m/>
    <s v=""/>
    <s v=""/>
    <s v=""/>
    <s v=""/>
    <s v=""/>
    <n v="241688.11452646638"/>
    <n v="231768.34943270378"/>
    <s v=""/>
    <n v="473456.46395917016"/>
    <n v="473456.46395917016"/>
    <n v="478217.71981534152"/>
    <n v="478217.71981534152"/>
    <n v="1"/>
    <s v="2023"/>
    <d v="2023-04-04T00:00:00"/>
    <x v="16"/>
    <m/>
    <n v="433774.05053213314"/>
    <n v="231768.34943270378"/>
  </r>
  <r>
    <x v="197"/>
    <x v="197"/>
    <x v="0"/>
    <s v="Replacement"/>
    <s v="Potential"/>
    <n v="0"/>
    <n v="0"/>
    <n v="0"/>
    <n v="0"/>
    <n v="0"/>
    <n v="0"/>
    <n v="0"/>
    <n v="0"/>
    <m/>
    <m/>
    <m/>
    <s v=""/>
    <s v=""/>
    <s v=""/>
    <n v="151857.03709350163"/>
    <n v="361672.33875451953"/>
    <n v="271161.05630484316"/>
    <n v="197356.64862951278"/>
    <s v=""/>
    <n v="982047.08078237704"/>
    <n v="982047.08078237704"/>
    <n v="1010931.9196449519"/>
    <n v="1010931.9196449519"/>
    <n v="1"/>
    <s v="2023"/>
    <d v="2022-12-27T00:00:00"/>
    <x v="16"/>
    <m/>
    <n v="916979.89310380188"/>
    <n v="197356.64862951278"/>
  </r>
  <r>
    <x v="198"/>
    <x v="198"/>
    <x v="0"/>
    <s v="Augmentation"/>
    <s v="Closed"/>
    <n v="0"/>
    <n v="0"/>
    <n v="0"/>
    <n v="0"/>
    <n v="0"/>
    <n v="0"/>
    <n v="0"/>
    <n v="0"/>
    <n v="227479.92"/>
    <n v="915419.84"/>
    <n v="110131.04"/>
    <s v=""/>
    <s v=""/>
    <s v=""/>
    <s v=""/>
    <s v=""/>
    <s v=""/>
    <s v=""/>
    <s v=""/>
    <n v="1253030.8"/>
    <n v="1253030.8"/>
    <n v="1457060.8876998201"/>
    <n v="1254627.3691844817"/>
    <n v="1.161349515790431"/>
    <s v="2016"/>
    <d v="2014-10-31T00:00:00"/>
    <x v="8"/>
    <m/>
    <n v="1321647.3939392078"/>
    <n v="110131.04"/>
  </r>
  <r>
    <x v="199"/>
    <x v="199"/>
    <x v="0"/>
    <s v="Other"/>
    <s v="Closed"/>
    <n v="0"/>
    <n v="0"/>
    <n v="0"/>
    <n v="0"/>
    <n v="0"/>
    <n v="0"/>
    <n v="0"/>
    <n v="0"/>
    <m/>
    <n v="290805.39"/>
    <n v="29718.66"/>
    <n v="2639.76"/>
    <s v=""/>
    <s v=""/>
    <s v=""/>
    <s v=""/>
    <s v=""/>
    <s v=""/>
    <s v=""/>
    <n v="323163.81"/>
    <n v="323163.81"/>
    <n v="374761.43302230252"/>
    <n v="333365.28695593833"/>
    <n v="1.1241765345287305"/>
    <s v="2017"/>
    <d v="2016-08-02T00:00:00"/>
    <x v="1"/>
    <m/>
    <n v="339932.58310897026"/>
    <n v="2639.76"/>
  </r>
  <r>
    <x v="200"/>
    <x v="200"/>
    <x v="0"/>
    <s v="Security/Compliance"/>
    <s v="Deferred"/>
    <n v="0"/>
    <n v="0"/>
    <n v="0"/>
    <n v="0"/>
    <n v="0"/>
    <n v="0"/>
    <n v="0"/>
    <n v="0"/>
    <m/>
    <m/>
    <m/>
    <n v="10662.66"/>
    <n v="398864.28927430825"/>
    <n v="47467.970378813916"/>
    <s v=""/>
    <s v=""/>
    <s v=""/>
    <s v=""/>
    <s v=""/>
    <n v="456994.91965312214"/>
    <n v="456994.91965312214"/>
    <n v="503038.31887740444"/>
    <n v="465276.79302754544"/>
    <n v="1.0811592721058483"/>
    <s v="2019"/>
    <d v="2018-05-31T00:00:00"/>
    <x v="12"/>
    <m/>
    <n v="456287.92098415754"/>
    <n v="47467.970378813916"/>
  </r>
  <r>
    <x v="201"/>
    <x v="201"/>
    <x v="0"/>
    <s v="Replacement"/>
    <s v="Active"/>
    <n v="0"/>
    <n v="0"/>
    <n v="0"/>
    <n v="0"/>
    <n v="0"/>
    <n v="0"/>
    <n v="0"/>
    <n v="0"/>
    <m/>
    <n v="27587.72"/>
    <n v="206586.78"/>
    <n v="136145.79999999999"/>
    <s v=""/>
    <s v=""/>
    <s v=""/>
    <s v=""/>
    <s v=""/>
    <s v=""/>
    <s v=""/>
    <n v="370320.3"/>
    <n v="370320.3"/>
    <n v="421906.0375235239"/>
    <n v="375302.29867357307"/>
    <n v="1.1241765345287305"/>
    <s v="2017"/>
    <d v="2016-05-30T00:00:00"/>
    <x v="1"/>
    <m/>
    <n v="382695.75395744247"/>
    <n v="136145.79999999999"/>
  </r>
  <r>
    <x v="202"/>
    <x v="202"/>
    <x v="0"/>
    <s v="Information Technology"/>
    <s v="Potential"/>
    <n v="0"/>
    <n v="0"/>
    <n v="0"/>
    <n v="0"/>
    <n v="0"/>
    <n v="0"/>
    <n v="0"/>
    <n v="0"/>
    <m/>
    <m/>
    <m/>
    <s v=""/>
    <n v="96683.172816025864"/>
    <n v="146411.85413058332"/>
    <n v="334069.20990672422"/>
    <n v="80049.496189150348"/>
    <s v=""/>
    <s v=""/>
    <s v=""/>
    <n v="657213.7330424838"/>
    <n v="657213.7330424838"/>
    <n v="702322.39539138286"/>
    <n v="675447.62451682135"/>
    <n v="1.0397880900000001"/>
    <s v="2021"/>
    <d v="2020-07-16T00:00:00"/>
    <x v="18"/>
    <m/>
    <n v="637051.32119735656"/>
    <n v="80049.496189150348"/>
  </r>
  <r>
    <x v="203"/>
    <x v="203"/>
    <x v="0"/>
    <s v="Replacement"/>
    <s v="Potential"/>
    <n v="0"/>
    <n v="0"/>
    <n v="0"/>
    <n v="0"/>
    <n v="0"/>
    <n v="0"/>
    <n v="0"/>
    <n v="0"/>
    <m/>
    <m/>
    <m/>
    <s v=""/>
    <s v=""/>
    <n v="109074.48181402254"/>
    <n v="294756.34355322103"/>
    <n v="152682.7811686832"/>
    <s v=""/>
    <s v=""/>
    <s v=""/>
    <n v="556513.60653592669"/>
    <n v="556513.60653592669"/>
    <n v="589206.49771816004"/>
    <n v="566660.17180304497"/>
    <n v="1.0397880900000001"/>
    <s v="2021"/>
    <d v="2020-09-10T00:00:00"/>
    <x v="18"/>
    <m/>
    <n v="534447.96904169233"/>
    <n v="152682.7811686832"/>
  </r>
  <r>
    <x v="204"/>
    <x v="204"/>
    <x v="0"/>
    <s v="Security/Compliance"/>
    <s v="Active"/>
    <n v="0"/>
    <n v="0"/>
    <n v="0"/>
    <n v="0"/>
    <n v="0"/>
    <n v="0"/>
    <n v="0"/>
    <n v="0"/>
    <m/>
    <n v="37898.5"/>
    <n v="285581.27"/>
    <n v="65369.72"/>
    <s v=""/>
    <s v=""/>
    <s v=""/>
    <s v=""/>
    <s v=""/>
    <s v=""/>
    <s v=""/>
    <n v="388849.49"/>
    <n v="388849.49"/>
    <n v="444868.83447177865"/>
    <n v="395728.62518276414"/>
    <n v="1.1241765345287305"/>
    <s v="2017"/>
    <d v="2016-12-23T00:00:00"/>
    <x v="1"/>
    <m/>
    <n v="403524.47909886454"/>
    <n v="65369.72"/>
  </r>
  <r>
    <x v="205"/>
    <x v="205"/>
    <x v="0"/>
    <s v="Replacement"/>
    <s v="Potential"/>
    <n v="0"/>
    <n v="0"/>
    <n v="0"/>
    <n v="0"/>
    <n v="0"/>
    <n v="0"/>
    <n v="0"/>
    <n v="0"/>
    <m/>
    <m/>
    <m/>
    <s v=""/>
    <s v=""/>
    <s v=""/>
    <s v=""/>
    <s v=""/>
    <n v="232782.73140487442"/>
    <n v="849991.67694577621"/>
    <s v=""/>
    <n v="1082774.4083506507"/>
    <n v="1082774.4083506507"/>
    <n v="1087360.2281593266"/>
    <n v="1087360.2281593266"/>
    <n v="1"/>
    <s v="2023"/>
    <d v="2023-01-13T00:00:00"/>
    <x v="16"/>
    <m/>
    <n v="986305.25597910758"/>
    <n v="849991.67694577621"/>
  </r>
  <r>
    <x v="206"/>
    <x v="206"/>
    <x v="0"/>
    <s v="Replacement"/>
    <s v="Potential"/>
    <n v="0"/>
    <n v="0"/>
    <n v="0"/>
    <n v="0"/>
    <n v="0"/>
    <n v="0"/>
    <n v="0"/>
    <n v="0"/>
    <m/>
    <m/>
    <m/>
    <s v=""/>
    <s v=""/>
    <s v=""/>
    <s v=""/>
    <n v="179330.50886029599"/>
    <n v="684905.83450039907"/>
    <n v="919837.04863743158"/>
    <s v=""/>
    <n v="1784073.3919981266"/>
    <n v="1784073.3919981266"/>
    <n v="1804701.2553640637"/>
    <n v="1804701.2553640637"/>
    <n v="1"/>
    <s v="2023"/>
    <d v="2022-12-28T00:00:00"/>
    <x v="16"/>
    <m/>
    <n v="1636979.4365670467"/>
    <n v="919837.04863743158"/>
  </r>
  <r>
    <x v="207"/>
    <x v="207"/>
    <x v="0"/>
    <s v="Information Technology"/>
    <s v="Active"/>
    <n v="0"/>
    <n v="0"/>
    <n v="0"/>
    <n v="0"/>
    <n v="0"/>
    <n v="0"/>
    <n v="0"/>
    <n v="0"/>
    <m/>
    <m/>
    <m/>
    <n v="194734.22"/>
    <n v="136384.95964733654"/>
    <s v=""/>
    <s v=""/>
    <s v=""/>
    <s v=""/>
    <s v=""/>
    <s v=""/>
    <n v="331119.17964733654"/>
    <n v="331119.17964733654"/>
    <n v="369274.34540711576"/>
    <n v="334955.44378133659"/>
    <n v="1.1024581097663335"/>
    <s v="2018"/>
    <d v="2017-09-04T00:00:00"/>
    <x v="10"/>
    <m/>
    <n v="334955.44378133654"/>
    <n v="136384.95964733654"/>
  </r>
  <r>
    <x v="208"/>
    <x v="208"/>
    <x v="0"/>
    <s v="Information Technology"/>
    <s v="Active"/>
    <n v="0"/>
    <n v="0"/>
    <n v="0"/>
    <n v="0"/>
    <n v="0"/>
    <n v="0"/>
    <n v="0"/>
    <n v="0"/>
    <m/>
    <m/>
    <n v="49993.08"/>
    <n v="1711645.16"/>
    <n v="138139.1894345792"/>
    <s v=""/>
    <s v=""/>
    <s v=""/>
    <s v=""/>
    <s v=""/>
    <s v=""/>
    <n v="1899777.4294345791"/>
    <n v="1899777.4294345791"/>
    <n v="2133792.2020394607"/>
    <n v="1935485.9682529969"/>
    <n v="1.1024581097663335"/>
    <s v="2018"/>
    <d v="2017-07-07T00:00:00"/>
    <x v="10"/>
    <m/>
    <n v="1935485.9682529962"/>
    <n v="138139.1894345792"/>
  </r>
  <r>
    <x v="209"/>
    <x v="209"/>
    <x v="0"/>
    <s v="Replacement"/>
    <s v="Potential"/>
    <n v="0"/>
    <n v="0"/>
    <n v="0"/>
    <n v="0"/>
    <n v="0"/>
    <n v="0"/>
    <n v="0"/>
    <n v="0"/>
    <m/>
    <m/>
    <m/>
    <s v=""/>
    <s v=""/>
    <n v="221615.55431239543"/>
    <n v="773033.90653943806"/>
    <s v=""/>
    <s v=""/>
    <s v=""/>
    <s v=""/>
    <n v="994649.46085183346"/>
    <n v="994649.46085183346"/>
    <n v="1059227.8521225662"/>
    <n v="999015.28727178765"/>
    <n v="1.060271915373"/>
    <s v="2020"/>
    <d v="2019-10-16T00:00:00"/>
    <x v="15"/>
    <m/>
    <n v="960787.39204618847"/>
    <n v="773033.90653943806"/>
  </r>
  <r>
    <x v="210"/>
    <x v="210"/>
    <x v="0"/>
    <s v="Information Technology"/>
    <s v="Active"/>
    <n v="0"/>
    <n v="0"/>
    <n v="0"/>
    <n v="0"/>
    <n v="0"/>
    <n v="0"/>
    <n v="0"/>
    <n v="0"/>
    <m/>
    <m/>
    <m/>
    <n v="441323.12"/>
    <n v="19662.506902274668"/>
    <s v=""/>
    <s v=""/>
    <s v=""/>
    <s v=""/>
    <s v=""/>
    <s v=""/>
    <n v="460985.62690227467"/>
    <n v="460985.62690227467"/>
    <n v="517802.18584175629"/>
    <n v="460605.75891563663"/>
    <n v="1.1241765345287305"/>
    <s v="2018"/>
    <d v="2017-06-23T00:00:00"/>
    <x v="1"/>
    <m/>
    <n v="469679.69236627471"/>
    <n v="19662.506902274668"/>
  </r>
  <r>
    <x v="211"/>
    <x v="211"/>
    <x v="0"/>
    <s v="Information Technology"/>
    <s v="Potential"/>
    <n v="0"/>
    <n v="0"/>
    <n v="0"/>
    <n v="0"/>
    <n v="0"/>
    <n v="0"/>
    <n v="0"/>
    <n v="0"/>
    <m/>
    <m/>
    <m/>
    <s v=""/>
    <s v=""/>
    <n v="303449.00345999235"/>
    <n v="243525.89287377888"/>
    <s v=""/>
    <s v=""/>
    <s v=""/>
    <s v=""/>
    <n v="546974.89633377129"/>
    <n v="546974.89633377129"/>
    <n v="586280.36858225195"/>
    <n v="552952.84170193318"/>
    <n v="1.060271915373"/>
    <s v="2020"/>
    <d v="2019-07-25T00:00:00"/>
    <x v="15"/>
    <m/>
    <n v="531793.78281004645"/>
    <n v="243525.89287377888"/>
  </r>
  <r>
    <x v="212"/>
    <x v="212"/>
    <x v="0"/>
    <s v="Information Technology"/>
    <s v="Closed"/>
    <n v="0"/>
    <n v="0"/>
    <n v="0"/>
    <n v="0"/>
    <n v="0"/>
    <n v="0"/>
    <n v="0"/>
    <n v="0"/>
    <m/>
    <m/>
    <n v="371613.36"/>
    <s v=""/>
    <s v=""/>
    <s v=""/>
    <s v=""/>
    <s v=""/>
    <s v=""/>
    <s v=""/>
    <s v=""/>
    <n v="371613.36"/>
    <n v="371613.36"/>
    <n v="425988.87190819631"/>
    <n v="371613.36"/>
    <n v="1.1463228122589466"/>
    <s v="2016"/>
    <d v="2016-04-15T00:00:00"/>
    <x v="5"/>
    <m/>
    <n v="386399.1458128824"/>
    <n v="371613.36"/>
  </r>
  <r>
    <x v="213"/>
    <x v="213"/>
    <x v="0"/>
    <s v="Information Technology"/>
    <s v="Deferred"/>
    <n v="0"/>
    <n v="0"/>
    <n v="0"/>
    <n v="0"/>
    <n v="0"/>
    <n v="0"/>
    <n v="0"/>
    <n v="0"/>
    <m/>
    <m/>
    <m/>
    <n v="24172.06"/>
    <n v="224922.04357223536"/>
    <n v="464255.44319802889"/>
    <s v=""/>
    <s v=""/>
    <s v=""/>
    <s v=""/>
    <s v=""/>
    <n v="713349.54677026428"/>
    <n v="713349.54677026428"/>
    <n v="777074.87068380695"/>
    <n v="718742.27112740267"/>
    <n v="1.0811592721058483"/>
    <s v="2019"/>
    <d v="2018-12-13T00:00:00"/>
    <x v="12"/>
    <m/>
    <n v="704856.59618260525"/>
    <n v="464255.44319802889"/>
  </r>
  <r>
    <x v="214"/>
    <x v="214"/>
    <x v="0"/>
    <s v="Inventory/Spares"/>
    <s v="Potential"/>
    <n v="0"/>
    <n v="0"/>
    <n v="0"/>
    <n v="0"/>
    <n v="0"/>
    <n v="0"/>
    <n v="0"/>
    <n v="0"/>
    <m/>
    <m/>
    <m/>
    <s v=""/>
    <s v=""/>
    <s v=""/>
    <s v=""/>
    <n v="2430748.8912260695"/>
    <s v=""/>
    <s v=""/>
    <s v=""/>
    <n v="2430748.8912260695"/>
    <n v="2430748.8912260695"/>
    <n v="2527463.7468775725"/>
    <n v="2430748.8912260695"/>
    <n v="1.0397880900000001"/>
    <s v="2021"/>
    <d v="2021-04-06T00:00:00"/>
    <x v="18"/>
    <m/>
    <n v="2292571.2319475524"/>
    <n v="2430748.8912260695"/>
  </r>
  <r>
    <x v="215"/>
    <x v="215"/>
    <x v="0"/>
    <s v="Inventory/Spares"/>
    <s v="Potential"/>
    <n v="0"/>
    <n v="0"/>
    <n v="0"/>
    <n v="0"/>
    <n v="0"/>
    <n v="0"/>
    <n v="0"/>
    <n v="0"/>
    <m/>
    <m/>
    <m/>
    <s v=""/>
    <s v=""/>
    <s v=""/>
    <s v=""/>
    <s v=""/>
    <n v="2482012.934796745"/>
    <s v=""/>
    <s v=""/>
    <n v="2482012.934796745"/>
    <n v="2482012.934796745"/>
    <n v="2530908.5896122409"/>
    <n v="2482012.934796745"/>
    <n v="1.0197000000000001"/>
    <s v="2022"/>
    <d v="2022-04-01T00:00:00"/>
    <x v="17"/>
    <m/>
    <n v="2295695.9245813596"/>
    <n v="2482012.934796745"/>
  </r>
  <r>
    <x v="216"/>
    <x v="216"/>
    <x v="0"/>
    <s v="Inventory/Spares"/>
    <s v="Potential"/>
    <n v="0"/>
    <n v="0"/>
    <n v="0"/>
    <n v="0"/>
    <n v="0"/>
    <n v="0"/>
    <n v="0"/>
    <n v="0"/>
    <m/>
    <m/>
    <m/>
    <s v=""/>
    <s v=""/>
    <s v=""/>
    <s v=""/>
    <s v=""/>
    <s v=""/>
    <n v="2532847.111694715"/>
    <s v=""/>
    <n v="2532847.111694715"/>
    <n v="2532847.111694715"/>
    <n v="2532847.111694715"/>
    <n v="2532847.111694715"/>
    <n v="1"/>
    <s v="2023"/>
    <d v="2023-04-06T00:00:00"/>
    <x v="16"/>
    <m/>
    <n v="2297454.2880650158"/>
    <n v="2532847.111694715"/>
  </r>
  <r>
    <x v="217"/>
    <x v="217"/>
    <x v="0"/>
    <s v="Replacement"/>
    <s v="Closed"/>
    <n v="0"/>
    <n v="0"/>
    <n v="0"/>
    <n v="0"/>
    <n v="0"/>
    <n v="0"/>
    <n v="0"/>
    <n v="0"/>
    <m/>
    <m/>
    <n v="3110.54"/>
    <n v="83940.79"/>
    <s v=""/>
    <s v=""/>
    <s v=""/>
    <s v=""/>
    <s v=""/>
    <s v=""/>
    <s v=""/>
    <n v="87051.329999999987"/>
    <n v="87051.329999999987"/>
    <n v="97929.94936824785"/>
    <n v="87112.607638000001"/>
    <n v="1.1241765345287305"/>
    <s v="2017"/>
    <d v="2016-10-06T00:00:00"/>
    <x v="1"/>
    <m/>
    <n v="88828.726008468599"/>
    <n v="83940.79"/>
  </r>
  <r>
    <x v="218"/>
    <x v="218"/>
    <x v="0"/>
    <s v="Security/Compliance"/>
    <s v="Active"/>
    <n v="0"/>
    <n v="0"/>
    <n v="0"/>
    <n v="0"/>
    <n v="0"/>
    <n v="0"/>
    <n v="0"/>
    <n v="0"/>
    <m/>
    <m/>
    <n v="39283.25"/>
    <n v="653133.11"/>
    <n v="687969.78175511956"/>
    <s v=""/>
    <s v=""/>
    <s v=""/>
    <s v=""/>
    <s v=""/>
    <s v=""/>
    <n v="1380386.1417551194"/>
    <n v="1380386.1417551194"/>
    <n v="1537726.0669705495"/>
    <n v="1394815.8695086122"/>
    <n v="1.1024581097663335"/>
    <s v="2018"/>
    <d v="2018-01-10T00:00:00"/>
    <x v="10"/>
    <m/>
    <n v="1394815.869508612"/>
    <n v="687969.78175511956"/>
  </r>
  <r>
    <x v="219"/>
    <x v="219"/>
    <x v="0"/>
    <s v="Replacement"/>
    <s v="Potential"/>
    <n v="0"/>
    <n v="0"/>
    <n v="0"/>
    <n v="0"/>
    <n v="0"/>
    <n v="0"/>
    <n v="0"/>
    <n v="0"/>
    <m/>
    <m/>
    <m/>
    <s v=""/>
    <n v="1051150.8731211596"/>
    <n v="3567207.1165169314"/>
    <n v="7205614.2814721614"/>
    <n v="6989038.3631239487"/>
    <n v="7180871.1484868778"/>
    <n v="6217849.2541623283"/>
    <s v=""/>
    <n v="32211731.036883406"/>
    <n v="32211731.036883406"/>
    <n v="33462781.724663943"/>
    <n v="33462781.724663943"/>
    <n v="1"/>
    <s v="2023"/>
    <d v="2023-03-06T00:00:00"/>
    <x v="16"/>
    <m/>
    <n v="30352882.733799651"/>
    <n v="6217849.2541623283"/>
  </r>
  <r>
    <x v="220"/>
    <x v="220"/>
    <x v="0"/>
    <s v="Replacement"/>
    <s v="Potential"/>
    <n v="0"/>
    <n v="0"/>
    <n v="0"/>
    <n v="0"/>
    <n v="0"/>
    <n v="0"/>
    <n v="0"/>
    <n v="0"/>
    <m/>
    <m/>
    <m/>
    <s v=""/>
    <s v=""/>
    <n v="93917.26147897284"/>
    <n v="106673.58000836555"/>
    <n v="939846.86624072515"/>
    <n v="2363340.8843315523"/>
    <n v="1710800.7370265166"/>
    <s v=""/>
    <n v="5214579.3290861323"/>
    <n v="5214579.3290861323"/>
    <n v="5312583.5337742753"/>
    <n v="5312583.5337742753"/>
    <n v="1"/>
    <s v="2023"/>
    <d v="2023-01-18T00:00:00"/>
    <x v="16"/>
    <m/>
    <n v="4818852.9674839796"/>
    <n v="1710800.7370265166"/>
  </r>
  <r>
    <x v="221"/>
    <x v="221"/>
    <x v="0"/>
    <s v="Replacement"/>
    <s v="Potential"/>
    <n v="0"/>
    <n v="0"/>
    <n v="0"/>
    <n v="0"/>
    <n v="0"/>
    <n v="0"/>
    <n v="0"/>
    <n v="0"/>
    <m/>
    <m/>
    <m/>
    <s v=""/>
    <s v=""/>
    <n v="129756.14387420537"/>
    <n v="147410.78827153161"/>
    <n v="955957.01783199073"/>
    <n v="2349367.128414399"/>
    <n v="1706272.6431092513"/>
    <s v=""/>
    <n v="5288763.7215013783"/>
    <n v="5288763.7215013783"/>
    <n v="5392497.6025366336"/>
    <n v="5392497.6025366336"/>
    <n v="1"/>
    <s v="2023"/>
    <d v="2023-01-18T00:00:00"/>
    <x v="16"/>
    <m/>
    <n v="4891340.1377940578"/>
    <n v="1706272.6431092513"/>
  </r>
  <r>
    <x v="222"/>
    <x v="222"/>
    <x v="0"/>
    <s v="Replacement"/>
    <s v="Potential"/>
    <n v="0"/>
    <n v="0"/>
    <n v="0"/>
    <n v="0"/>
    <n v="0"/>
    <n v="0"/>
    <n v="0"/>
    <n v="0"/>
    <m/>
    <m/>
    <m/>
    <s v=""/>
    <s v=""/>
    <n v="204571.11825323457"/>
    <n v="340918.28021864366"/>
    <n v="2260385.4722888209"/>
    <n v="5304752.8833401101"/>
    <n v="3825433.6663944651"/>
    <s v=""/>
    <n v="11936061.420495274"/>
    <n v="11936061.420495274"/>
    <n v="12167652.113688953"/>
    <n v="12167652.113688953"/>
    <n v="1"/>
    <s v="2023"/>
    <d v="2023-01-18T00:00:00"/>
    <x v="16"/>
    <m/>
    <n v="11036838.502886875"/>
    <n v="3825433.6663944651"/>
  </r>
  <r>
    <x v="223"/>
    <x v="223"/>
    <x v="3"/>
    <s v="Augmentation"/>
    <s v="Active"/>
    <n v="0"/>
    <n v="0"/>
    <n v="0"/>
    <n v="0"/>
    <n v="0"/>
    <n v="0"/>
    <n v="0"/>
    <n v="0"/>
    <m/>
    <m/>
    <n v="339333.03"/>
    <n v="2239997.29"/>
    <n v="613906.49577494804"/>
    <s v=""/>
    <s v=""/>
    <s v=""/>
    <s v=""/>
    <s v=""/>
    <s v=""/>
    <n v="3193236.8157749483"/>
    <n v="3193236.8157749483"/>
    <n v="3583943.7789732204"/>
    <n v="3250866.1755255614"/>
    <n v="1.1024581097663335"/>
    <s v="2018"/>
    <d v="2017-07-04T00:00:00"/>
    <x v="10"/>
    <m/>
    <n v="3250866.175525561"/>
    <n v="613906.49577494804"/>
  </r>
  <r>
    <x v="224"/>
    <x v="224"/>
    <x v="3"/>
    <s v="Augmentation"/>
    <s v="Closed"/>
    <n v="0"/>
    <n v="0"/>
    <n v="0"/>
    <n v="0"/>
    <n v="0"/>
    <n v="0"/>
    <n v="0"/>
    <n v="0"/>
    <m/>
    <m/>
    <n v="1180071.6499999999"/>
    <n v="1105594.19"/>
    <s v=""/>
    <s v=""/>
    <s v=""/>
    <s v=""/>
    <s v=""/>
    <s v=""/>
    <s v=""/>
    <n v="2285665.84"/>
    <n v="2285665.84"/>
    <n v="2595626.0976043539"/>
    <n v="2308913.2515050001"/>
    <n v="1.1241765345287305"/>
    <s v="2017"/>
    <d v="2016-08-02T00:00:00"/>
    <x v="1"/>
    <m/>
    <n v="2354398.8425596487"/>
    <n v="1105594.19"/>
  </r>
  <r>
    <x v="225"/>
    <x v="225"/>
    <x v="3"/>
    <s v="Augmentation"/>
    <s v="Closed"/>
    <n v="0"/>
    <n v="0"/>
    <n v="0"/>
    <n v="0"/>
    <n v="0"/>
    <n v="0"/>
    <n v="0"/>
    <n v="0"/>
    <m/>
    <m/>
    <n v="1394966.12"/>
    <n v="341309.38"/>
    <s v=""/>
    <s v=""/>
    <s v=""/>
    <s v=""/>
    <s v=""/>
    <s v=""/>
    <s v=""/>
    <n v="1736275.5"/>
    <n v="1736275.5"/>
    <n v="1982773.4816949009"/>
    <n v="1763756.3325640003"/>
    <n v="1.1241765345287305"/>
    <s v="2017"/>
    <d v="2016-06-30T00:00:00"/>
    <x v="1"/>
    <m/>
    <n v="1798502.3323155111"/>
    <n v="341309.38"/>
  </r>
  <r>
    <x v="226"/>
    <x v="226"/>
    <x v="0"/>
    <s v="Security/Compliance"/>
    <s v="Potential"/>
    <n v="0"/>
    <n v="0"/>
    <n v="0"/>
    <n v="0"/>
    <n v="0"/>
    <n v="0"/>
    <n v="0"/>
    <n v="0"/>
    <m/>
    <m/>
    <m/>
    <s v=""/>
    <s v=""/>
    <s v=""/>
    <n v="151729.9206352433"/>
    <n v="1556881.2767939861"/>
    <n v="4528.3144650894646"/>
    <s v=""/>
    <s v=""/>
    <n v="1713139.511894319"/>
    <n v="1713139.511894319"/>
    <n v="1784319.1049857545"/>
    <n v="1716041.1069776288"/>
    <n v="1.0397880900000001"/>
    <s v="2022"/>
    <d v="2021-03-01T00:00:00"/>
    <x v="18"/>
    <m/>
    <n v="1618491.5228787623"/>
    <n v="4528.3144650894646"/>
  </r>
  <r>
    <x v="227"/>
    <x v="227"/>
    <x v="0"/>
    <s v="Replacement"/>
    <s v="Potential"/>
    <n v="0"/>
    <n v="0"/>
    <n v="0"/>
    <n v="0"/>
    <n v="0"/>
    <n v="0"/>
    <n v="0"/>
    <n v="0"/>
    <m/>
    <m/>
    <m/>
    <s v=""/>
    <s v=""/>
    <n v="32906.570073743002"/>
    <n v="80701.038546542433"/>
    <n v="544203.98389448354"/>
    <n v="510245.69489516964"/>
    <s v=""/>
    <s v=""/>
    <n v="1168057.2874099386"/>
    <n v="1168057.2874099386"/>
    <n v="1207296.6441294013"/>
    <n v="1183972.3880841436"/>
    <n v="1.0197000000000001"/>
    <s v="2022"/>
    <d v="2022-04-01T00:00:00"/>
    <x v="17"/>
    <m/>
    <n v="1095095.2543541889"/>
    <n v="510245.69489516964"/>
  </r>
  <r>
    <x v="228"/>
    <x v="228"/>
    <x v="0"/>
    <s v="Replacement"/>
    <s v="Potential"/>
    <n v="0"/>
    <n v="0"/>
    <n v="0"/>
    <n v="0"/>
    <n v="0"/>
    <n v="0"/>
    <n v="0"/>
    <n v="0"/>
    <m/>
    <m/>
    <m/>
    <s v=""/>
    <n v="72511.88115321756"/>
    <n v="511934.97644670913"/>
    <n v="4531654.9507478923"/>
    <n v="4668126.0712262774"/>
    <n v="309432.51377034804"/>
    <s v=""/>
    <s v=""/>
    <n v="10093660.393344445"/>
    <n v="10093660.393344445"/>
    <n v="10607601.258142632"/>
    <n v="10201695.287876043"/>
    <n v="1.0397880900000001"/>
    <s v="2022"/>
    <d v="2021-05-27T00:00:00"/>
    <x v="18"/>
    <m/>
    <n v="9621772.6226268299"/>
    <n v="309432.51377034804"/>
  </r>
  <r>
    <x v="229"/>
    <x v="229"/>
    <x v="0"/>
    <s v="Replacement"/>
    <s v="Potential"/>
    <n v="0"/>
    <n v="0"/>
    <n v="0"/>
    <n v="0"/>
    <n v="0"/>
    <n v="0"/>
    <n v="0"/>
    <n v="0"/>
    <m/>
    <m/>
    <m/>
    <s v=""/>
    <n v="201608.68757438078"/>
    <n v="252035.15062090533"/>
    <n v="3660446.6541338079"/>
    <n v="3284104.7908968935"/>
    <s v=""/>
    <s v=""/>
    <s v=""/>
    <n v="7398195.2832259871"/>
    <n v="7398195.2832259871"/>
    <n v="7790597.1055917814"/>
    <n v="7492485.4213244366"/>
    <n v="1.0397880900000001"/>
    <s v="2021"/>
    <d v="2021-04-07T00:00:00"/>
    <x v="18"/>
    <m/>
    <n v="7066569.7286611665"/>
    <n v="3284104.7908968935"/>
  </r>
  <r>
    <x v="230"/>
    <x v="230"/>
    <x v="0"/>
    <s v="Replacement"/>
    <s v="Potential"/>
    <n v="0"/>
    <n v="0"/>
    <n v="0"/>
    <n v="0"/>
    <n v="0"/>
    <n v="0"/>
    <n v="0"/>
    <n v="0"/>
    <m/>
    <m/>
    <m/>
    <s v=""/>
    <n v="169155.34866392278"/>
    <n v="1272608.6327244444"/>
    <n v="1668604.6544309121"/>
    <s v=""/>
    <s v=""/>
    <s v=""/>
    <s v=""/>
    <n v="3110368.6358192796"/>
    <n v="3110368.6358192796"/>
    <n v="3331553.9619306386"/>
    <n v="3142169.3941205726"/>
    <n v="1.060271915373"/>
    <s v="2020"/>
    <d v="2019-12-19T00:00:00"/>
    <x v="15"/>
    <m/>
    <n v="3021932.4729143344"/>
    <n v="1668604.6544309121"/>
  </r>
  <r>
    <x v="231"/>
    <x v="231"/>
    <x v="0"/>
    <s v="Security/Compliance"/>
    <s v="Active"/>
    <n v="0"/>
    <n v="0"/>
    <n v="0"/>
    <n v="0"/>
    <n v="0"/>
    <n v="0"/>
    <n v="0"/>
    <n v="0"/>
    <m/>
    <m/>
    <m/>
    <n v="131599.79999999999"/>
    <n v="815992.80398822285"/>
    <n v="51512.313515533031"/>
    <s v=""/>
    <s v=""/>
    <s v=""/>
    <s v=""/>
    <s v=""/>
    <n v="999104.91750375577"/>
    <n v="999104.91750375577"/>
    <n v="1103232.3067614022"/>
    <n v="1020416.0804287057"/>
    <n v="1.0811592721058483"/>
    <s v="2019"/>
    <d v="2018-10-31T00:00:00"/>
    <x v="12"/>
    <m/>
    <n v="1000702.24617898"/>
    <n v="51512.313515533031"/>
  </r>
  <r>
    <x v="232"/>
    <x v="232"/>
    <x v="0"/>
    <s v="Information Technology"/>
    <s v="Closed"/>
    <n v="0"/>
    <n v="0"/>
    <n v="0"/>
    <n v="0"/>
    <n v="0"/>
    <n v="0"/>
    <n v="0"/>
    <n v="0"/>
    <m/>
    <m/>
    <n v="257898.37"/>
    <n v="43383.43"/>
    <s v=""/>
    <s v=""/>
    <s v=""/>
    <s v=""/>
    <s v=""/>
    <s v=""/>
    <s v=""/>
    <n v="301281.8"/>
    <n v="301281.8"/>
    <n v="344405.41876876808"/>
    <n v="306362.39788900001"/>
    <n v="1.1241765345287305"/>
    <s v="2017"/>
    <d v="2016-07-01T00:00:00"/>
    <x v="1"/>
    <m/>
    <n v="312397.73712741333"/>
    <n v="43383.43"/>
  </r>
  <r>
    <x v="233"/>
    <x v="233"/>
    <x v="0"/>
    <s v="Security/Compliance"/>
    <s v="Potential"/>
    <n v="0"/>
    <n v="0"/>
    <n v="0"/>
    <n v="0"/>
    <n v="0"/>
    <n v="0"/>
    <n v="0"/>
    <n v="0"/>
    <m/>
    <m/>
    <m/>
    <n v="84560.320000000007"/>
    <n v="1610463.4911769512"/>
    <n v="3198290.7196068107"/>
    <s v=""/>
    <s v=""/>
    <s v=""/>
    <s v=""/>
    <s v=""/>
    <n v="4893314.5307837622"/>
    <n v="4893314.5307837622"/>
    <n v="5328390.9302198617"/>
    <n v="4928405.1551825367"/>
    <n v="1.0811592721058483"/>
    <s v="2019"/>
    <d v="2018-10-04T00:00:00"/>
    <x v="12"/>
    <m/>
    <n v="4833191.286831947"/>
    <n v="3198290.7196068107"/>
  </r>
  <r>
    <x v="234"/>
    <x v="234"/>
    <x v="0"/>
    <s v="Facilities"/>
    <s v="Active"/>
    <n v="0"/>
    <n v="0"/>
    <n v="0"/>
    <n v="0"/>
    <n v="0"/>
    <n v="0"/>
    <n v="0"/>
    <n v="0"/>
    <m/>
    <m/>
    <m/>
    <n v="195267.18"/>
    <s v=""/>
    <s v=""/>
    <s v=""/>
    <s v=""/>
    <s v=""/>
    <s v=""/>
    <s v=""/>
    <n v="195267.18"/>
    <n v="195267.18"/>
    <n v="219514.78171959781"/>
    <n v="195267.18"/>
    <n v="1.1241765345287305"/>
    <s v="2017"/>
    <d v="2017-05-05T00:00:00"/>
    <x v="1"/>
    <m/>
    <n v="199113.94344599999"/>
    <n v="195267.18"/>
  </r>
  <r>
    <x v="235"/>
    <x v="235"/>
    <x v="0"/>
    <s v="Facilities"/>
    <s v="Active"/>
    <n v="0"/>
    <n v="0"/>
    <n v="0"/>
    <n v="0"/>
    <n v="0"/>
    <n v="0"/>
    <n v="0"/>
    <n v="0"/>
    <m/>
    <m/>
    <m/>
    <n v="157946.44"/>
    <s v=""/>
    <s v=""/>
    <s v=""/>
    <s v=""/>
    <s v=""/>
    <s v=""/>
    <s v=""/>
    <n v="157946.44"/>
    <n v="157946.44"/>
    <n v="177559.68156035006"/>
    <n v="157946.44"/>
    <n v="1.1241765345287305"/>
    <s v="2017"/>
    <d v="2017-05-19T00:00:00"/>
    <x v="1"/>
    <m/>
    <n v="161057.984868"/>
    <n v="157946.44"/>
  </r>
  <r>
    <x v="236"/>
    <x v="236"/>
    <x v="0"/>
    <s v="Facilities"/>
    <s v="Closed"/>
    <n v="0"/>
    <n v="0"/>
    <n v="0"/>
    <n v="0"/>
    <n v="0"/>
    <n v="0"/>
    <n v="0"/>
    <n v="0"/>
    <m/>
    <m/>
    <n v="111682.87"/>
    <n v="29039.79"/>
    <s v=""/>
    <s v=""/>
    <s v=""/>
    <s v=""/>
    <s v=""/>
    <s v=""/>
    <s v=""/>
    <n v="140722.66"/>
    <n v="140722.66"/>
    <n v="160670.47210519243"/>
    <n v="142922.81253900004"/>
    <n v="1.1241765345287305"/>
    <s v="2017"/>
    <d v="2016-06-22T00:00:00"/>
    <x v="1"/>
    <m/>
    <n v="145738.3919460183"/>
    <n v="29039.79"/>
  </r>
  <r>
    <x v="237"/>
    <x v="237"/>
    <x v="0"/>
    <s v="Facilities"/>
    <s v="Potential"/>
    <n v="0"/>
    <n v="0"/>
    <n v="0"/>
    <n v="0"/>
    <n v="0"/>
    <n v="0"/>
    <n v="0"/>
    <n v="0"/>
    <m/>
    <m/>
    <m/>
    <s v=""/>
    <s v=""/>
    <n v="347226.18034194427"/>
    <n v="207390.09014475375"/>
    <s v=""/>
    <s v=""/>
    <s v=""/>
    <s v=""/>
    <n v="554616.27048669802"/>
    <n v="554616.27048669802"/>
    <n v="595296.69250174775"/>
    <n v="561456.62623943447"/>
    <n v="1.060271915373"/>
    <s v="2020"/>
    <d v="2019-08-08T00:00:00"/>
    <x v="15"/>
    <m/>
    <n v="539972.16513552703"/>
    <n v="207390.09014475375"/>
  </r>
  <r>
    <x v="238"/>
    <x v="238"/>
    <x v="0"/>
    <s v="Facilities"/>
    <s v="Potential"/>
    <n v="0"/>
    <n v="0"/>
    <n v="0"/>
    <n v="0"/>
    <n v="0"/>
    <n v="0"/>
    <n v="0"/>
    <n v="0"/>
    <m/>
    <m/>
    <m/>
    <s v=""/>
    <s v=""/>
    <s v=""/>
    <n v="437522.40420445974"/>
    <n v="129056.5784590471"/>
    <s v=""/>
    <s v=""/>
    <s v=""/>
    <n v="566578.98266350687"/>
    <n v="566578.98266350687"/>
    <n v="598084.21074233018"/>
    <n v="575198.17402633466"/>
    <n v="1.0397880900000001"/>
    <s v="2021"/>
    <d v="2020-06-26T00:00:00"/>
    <x v="18"/>
    <m/>
    <n v="542500.62242192088"/>
    <n v="129056.5784590471"/>
  </r>
  <r>
    <x v="239"/>
    <x v="239"/>
    <x v="0"/>
    <s v="Facilities"/>
    <s v="Potential"/>
    <n v="0"/>
    <n v="0"/>
    <n v="0"/>
    <n v="0"/>
    <n v="0"/>
    <n v="0"/>
    <n v="0"/>
    <n v="0"/>
    <m/>
    <m/>
    <m/>
    <s v=""/>
    <s v=""/>
    <s v=""/>
    <s v=""/>
    <n v="392712.85826584761"/>
    <n v="183135.95415707803"/>
    <s v=""/>
    <s v=""/>
    <n v="575848.81242292561"/>
    <n v="575848.81242292561"/>
    <n v="595081.88526865887"/>
    <n v="583585.25573076284"/>
    <n v="1.0197000000000001"/>
    <s v="2022"/>
    <d v="2021-07-27T00:00:00"/>
    <x v="17"/>
    <m/>
    <n v="539777.32123970392"/>
    <n v="183135.95415707803"/>
  </r>
  <r>
    <x v="240"/>
    <x v="240"/>
    <x v="0"/>
    <s v="Security/Compliance"/>
    <s v="Potential"/>
    <n v="0"/>
    <n v="0"/>
    <n v="0"/>
    <n v="0"/>
    <n v="0"/>
    <n v="0"/>
    <n v="0"/>
    <n v="0"/>
    <m/>
    <m/>
    <m/>
    <s v=""/>
    <s v=""/>
    <n v="106210.85443221366"/>
    <n v="1217259.49912568"/>
    <n v="96946.450423473914"/>
    <s v=""/>
    <s v=""/>
    <s v=""/>
    <n v="1420416.8039813675"/>
    <n v="1420416.8039813675"/>
    <n v="1506260.6752297392"/>
    <n v="1420636.2098158959"/>
    <n v="1.060271915373"/>
    <s v="2021"/>
    <d v="2020-06-03T00:00:00"/>
    <x v="15"/>
    <m/>
    <n v="1366274.7472092088"/>
    <n v="96946.450423473914"/>
  </r>
  <r>
    <x v="241"/>
    <x v="241"/>
    <x v="0"/>
    <s v="Facilities"/>
    <s v="Potential"/>
    <n v="0"/>
    <n v="0"/>
    <n v="0"/>
    <n v="0"/>
    <n v="0"/>
    <n v="0"/>
    <n v="0"/>
    <n v="0"/>
    <m/>
    <m/>
    <m/>
    <s v=""/>
    <s v=""/>
    <s v=""/>
    <s v=""/>
    <s v=""/>
    <s v=""/>
    <n v="130565.15184265991"/>
    <n v="71.814001562510654"/>
    <n v="130565.15184265991"/>
    <n v="130565.15184265991"/>
    <n v="130565.15184265991"/>
    <n v="130565.15184265991"/>
    <n v="1"/>
    <s v="2024"/>
    <d v="2023-05-04T00:00:00"/>
    <x v="16"/>
    <m/>
    <n v="118430.94144441755"/>
    <n v="71.814001562510654"/>
  </r>
  <r>
    <x v="242"/>
    <x v="242"/>
    <x v="0"/>
    <s v="Replacement"/>
    <s v="Active"/>
    <n v="0"/>
    <n v="0"/>
    <n v="0"/>
    <n v="0"/>
    <n v="0"/>
    <n v="0"/>
    <n v="0"/>
    <n v="0"/>
    <m/>
    <m/>
    <m/>
    <n v="175406.43"/>
    <n v="655810.81217962375"/>
    <n v="50252.70394362387"/>
    <s v=""/>
    <s v=""/>
    <s v=""/>
    <s v=""/>
    <s v=""/>
    <n v="881469.94612324773"/>
    <n v="881469.94612324773"/>
    <n v="974522.91778836737"/>
    <n v="883954.60032029508"/>
    <n v="1.1024581097663335"/>
    <s v="2019"/>
    <d v="2018-03-15T00:00:00"/>
    <x v="10"/>
    <m/>
    <n v="883954.60032029508"/>
    <n v="50252.70394362387"/>
  </r>
  <r>
    <x v="243"/>
    <x v="243"/>
    <x v="0"/>
    <s v="Replacement"/>
    <s v="Potential"/>
    <n v="0"/>
    <n v="0"/>
    <n v="0"/>
    <n v="0"/>
    <n v="0"/>
    <n v="0"/>
    <n v="0"/>
    <n v="0"/>
    <m/>
    <m/>
    <m/>
    <s v=""/>
    <s v=""/>
    <n v="47982.948893539935"/>
    <n v="115558.9503646588"/>
    <n v="334953.59130733076"/>
    <n v="856445.65501994733"/>
    <n v="602683.70163768926"/>
    <s v=""/>
    <n v="1957624.8472231661"/>
    <n v="1957624.8472231661"/>
    <n v="1998683.2107464818"/>
    <n v="1998683.2107464818"/>
    <n v="1"/>
    <s v="2023"/>
    <d v="2023-01-12T00:00:00"/>
    <x v="16"/>
    <m/>
    <n v="1812933.4738805662"/>
    <n v="602683.70163768926"/>
  </r>
  <r>
    <x v="244"/>
    <x v="77"/>
    <x v="0"/>
    <s v="Replacement"/>
    <s v="Potential"/>
    <n v="0"/>
    <n v="0"/>
    <n v="0"/>
    <n v="0"/>
    <n v="0"/>
    <n v="0"/>
    <n v="0"/>
    <n v="0"/>
    <m/>
    <m/>
    <m/>
    <s v=""/>
    <s v=""/>
    <n v="302648.39697898529"/>
    <n v="1679442.2132164924"/>
    <n v="1629502.9299599279"/>
    <s v=""/>
    <s v=""/>
    <s v=""/>
    <n v="3611593.5401554056"/>
    <n v="3611593.5401554056"/>
    <n v="3802214.2719395598"/>
    <n v="3656720.3534131264"/>
    <n v="1.0397880900000001"/>
    <s v="2021"/>
    <d v="2021-03-11T00:00:00"/>
    <x v="18"/>
    <m/>
    <n v="3448851.4695088426"/>
    <n v="1629502.9299599279"/>
  </r>
  <r>
    <x v="245"/>
    <x v="244"/>
    <x v="0"/>
    <s v="Security/Compliance"/>
    <s v="Potential"/>
    <n v="0"/>
    <n v="0"/>
    <n v="0"/>
    <n v="0"/>
    <n v="0"/>
    <n v="0"/>
    <n v="0"/>
    <n v="0"/>
    <m/>
    <m/>
    <m/>
    <s v=""/>
    <n v="276605.65099537483"/>
    <n v="2798898.1877133325"/>
    <n v="3997033.8300580732"/>
    <s v=""/>
    <s v=""/>
    <s v=""/>
    <s v=""/>
    <n v="7072537.6687667798"/>
    <n v="7072537.6687667798"/>
    <n v="7568943.5852799229"/>
    <n v="7138681.5736010456"/>
    <n v="1.060271915373"/>
    <s v="2020"/>
    <d v="2019-12-16T00:00:00"/>
    <x v="15"/>
    <m/>
    <n v="6865515.8125546956"/>
    <n v="3997033.8300580732"/>
  </r>
  <r>
    <x v="246"/>
    <x v="245"/>
    <x v="0"/>
    <s v="Security/Compliance"/>
    <s v="Potential"/>
    <n v="0"/>
    <n v="0"/>
    <n v="0"/>
    <n v="0"/>
    <n v="0"/>
    <n v="0"/>
    <n v="0"/>
    <n v="0"/>
    <m/>
    <m/>
    <m/>
    <s v=""/>
    <s v=""/>
    <s v=""/>
    <s v=""/>
    <n v="42995.86086222071"/>
    <n v="139243.47866122818"/>
    <n v="753070.48723289568"/>
    <s v=""/>
    <n v="935309.82675634464"/>
    <n v="935309.82675634464"/>
    <n v="939763.6464675843"/>
    <n v="939763.6464675843"/>
    <n v="1"/>
    <s v="2023"/>
    <d v="2023-02-06T00:00:00"/>
    <x v="16"/>
    <m/>
    <n v="852425.71862142463"/>
    <n v="753070.48723289568"/>
  </r>
  <r>
    <x v="247"/>
    <x v="246"/>
    <x v="0"/>
    <s v="Replacement"/>
    <s v="Potential"/>
    <n v="0"/>
    <n v="0"/>
    <n v="0"/>
    <n v="0"/>
    <n v="0"/>
    <n v="0"/>
    <n v="0"/>
    <n v="0"/>
    <m/>
    <m/>
    <m/>
    <s v=""/>
    <s v=""/>
    <n v="28775.736855550051"/>
    <n v="100186.66348228506"/>
    <n v="616203.97876328207"/>
    <n v="573633.03821133822"/>
    <s v=""/>
    <s v=""/>
    <n v="1318799.4173124554"/>
    <n v="1318799.4173124554"/>
    <n v="1362991.4274910237"/>
    <n v="1336659.2404540782"/>
    <n v="1.0197000000000001"/>
    <s v="2022"/>
    <d v="2022-04-01T00:00:00"/>
    <x v="17"/>
    <m/>
    <n v="1236320.3784494908"/>
    <n v="573633.03821133822"/>
  </r>
  <r>
    <x v="248"/>
    <x v="247"/>
    <x v="0"/>
    <s v="Refurbishment"/>
    <s v="Potential"/>
    <n v="0"/>
    <n v="0"/>
    <n v="0"/>
    <n v="0"/>
    <n v="0"/>
    <n v="0"/>
    <n v="0"/>
    <n v="0"/>
    <m/>
    <m/>
    <m/>
    <s v=""/>
    <n v="310562.25066911575"/>
    <n v="828485.76611753623"/>
    <n v="2282029.431855828"/>
    <n v="2303644.437946843"/>
    <n v="2366235.8316191444"/>
    <n v="1557651.558545677"/>
    <s v=""/>
    <n v="9648609.2767541446"/>
    <n v="9648609.2767541446"/>
    <n v="10023482.942554072"/>
    <n v="10023482.942554072"/>
    <n v="1"/>
    <s v="2023"/>
    <d v="2022-12-26T00:00:00"/>
    <x v="16"/>
    <m/>
    <n v="9091939.9601301439"/>
    <n v="1557651.558545677"/>
  </r>
  <r>
    <x v="249"/>
    <x v="248"/>
    <x v="0"/>
    <s v="Replacement"/>
    <s v="Potential"/>
    <n v="0"/>
    <n v="0"/>
    <n v="0"/>
    <n v="0"/>
    <n v="0"/>
    <n v="0"/>
    <n v="0"/>
    <n v="0"/>
    <m/>
    <m/>
    <m/>
    <s v=""/>
    <s v=""/>
    <n v="42496.568211230719"/>
    <n v="129278.71125497487"/>
    <n v="1417431.6911723958"/>
    <n v="1322171.0693606767"/>
    <s v=""/>
    <s v=""/>
    <n v="2911378.0399992783"/>
    <n v="2911378.0399992783"/>
    <n v="3005062.5758502134"/>
    <n v="2947006.5468767416"/>
    <n v="1.0197000000000001"/>
    <s v="2022"/>
    <d v="2022-04-01T00:00:00"/>
    <x v="17"/>
    <m/>
    <n v="2725783.9089116394"/>
    <n v="1322171.0693606767"/>
  </r>
  <r>
    <x v="250"/>
    <x v="249"/>
    <x v="0"/>
    <s v="Replacement"/>
    <s v="Potential"/>
    <n v="0"/>
    <n v="0"/>
    <n v="0"/>
    <n v="0"/>
    <n v="0"/>
    <n v="0"/>
    <n v="0"/>
    <n v="0"/>
    <m/>
    <m/>
    <m/>
    <s v=""/>
    <s v=""/>
    <n v="31809.80337146487"/>
    <n v="110471.99286132322"/>
    <n v="677412.47942061792"/>
    <n v="627518.36920997687"/>
    <s v=""/>
    <s v=""/>
    <n v="1447212.6448633829"/>
    <n v="1447212.6448633829"/>
    <n v="1495767.7245274128"/>
    <n v="1466870.3780792514"/>
    <n v="1.0197000000000001"/>
    <s v="2022"/>
    <d v="2022-04-01T00:00:00"/>
    <x v="17"/>
    <m/>
    <n v="1356756.9699718037"/>
    <n v="627518.36920997687"/>
  </r>
  <r>
    <x v="251"/>
    <x v="250"/>
    <x v="0"/>
    <s v="Replacement"/>
    <s v="Potential"/>
    <n v="0"/>
    <n v="0"/>
    <n v="0"/>
    <n v="0"/>
    <n v="0"/>
    <n v="0"/>
    <n v="0"/>
    <n v="0"/>
    <m/>
    <m/>
    <m/>
    <s v=""/>
    <n v="234040.48789285281"/>
    <n v="925834.94505742611"/>
    <n v="2046161.2278465035"/>
    <n v="1264196.696180121"/>
    <s v=""/>
    <s v=""/>
    <s v=""/>
    <n v="4470233.356976904"/>
    <n v="4470233.356976904"/>
    <n v="4742978.8214958096"/>
    <n v="4561486.0057647033"/>
    <n v="1.0397880900000001"/>
    <s v="2021"/>
    <d v="2020-12-15T00:00:00"/>
    <x v="18"/>
    <m/>
    <n v="4302185.0712323999"/>
    <n v="1264196.696180121"/>
  </r>
  <r>
    <x v="252"/>
    <x v="251"/>
    <x v="0"/>
    <s v="Refurbishment"/>
    <s v="Potential"/>
    <n v="0"/>
    <n v="0"/>
    <n v="0"/>
    <n v="0"/>
    <n v="0"/>
    <n v="0"/>
    <n v="0"/>
    <n v="0"/>
    <m/>
    <m/>
    <m/>
    <s v=""/>
    <n v="998918.14684621"/>
    <n v="2944954.9517595395"/>
    <s v=""/>
    <s v=""/>
    <s v=""/>
    <s v=""/>
    <s v=""/>
    <n v="3943873.0986057497"/>
    <n v="3943873.0986057497"/>
    <n v="4285230.7640122194"/>
    <n v="3963551.7860986204"/>
    <n v="1.0811592721058483"/>
    <s v="2019"/>
    <d v="2023-02-21T00:00:00"/>
    <x v="12"/>
    <m/>
    <n v="3886978.3133260957"/>
    <n v="2944954.9517595395"/>
  </r>
  <r>
    <x v="253"/>
    <x v="252"/>
    <x v="0"/>
    <s v="Refurbishment"/>
    <s v="Potential"/>
    <n v="0"/>
    <n v="0"/>
    <n v="0"/>
    <n v="0"/>
    <n v="0"/>
    <n v="0"/>
    <n v="0"/>
    <n v="0"/>
    <m/>
    <m/>
    <m/>
    <s v=""/>
    <n v="58505.650994618481"/>
    <n v="850121.56759375031"/>
    <n v="3014297.3277718634"/>
    <n v="5188480.0249937009"/>
    <s v=""/>
    <s v=""/>
    <s v=""/>
    <n v="9111404.5713539328"/>
    <n v="9111404.5713539328"/>
    <n v="9574511.3810390607"/>
    <n v="9208137.1897989903"/>
    <n v="1.0397880900000001"/>
    <s v="2021"/>
    <d v="2022-12-13T00:00:00"/>
    <x v="18"/>
    <m/>
    <n v="8684694.0452625304"/>
    <n v="5188480.0249937009"/>
  </r>
  <r>
    <x v="254"/>
    <x v="253"/>
    <x v="0"/>
    <s v="Connection"/>
    <s v="Potential"/>
    <n v="0"/>
    <n v="0"/>
    <n v="0"/>
    <n v="0"/>
    <n v="0"/>
    <n v="0"/>
    <n v="0"/>
    <n v="0"/>
    <m/>
    <m/>
    <m/>
    <s v=""/>
    <s v=""/>
    <n v="85995.808984695512"/>
    <n v="1299535.0788047488"/>
    <n v="5287371.4464952452"/>
    <n v="6890.1212772672434"/>
    <s v=""/>
    <s v=""/>
    <n v="6679792.4555619564"/>
    <n v="6679792.4555619564"/>
    <n v="6975607.4274830176"/>
    <n v="6708681.7925400715"/>
    <n v="1.0397880900000001"/>
    <s v="2022"/>
    <d v="2021-04-19T00:00:00"/>
    <x v="18"/>
    <m/>
    <n v="6327321.9777588667"/>
    <n v="6890.1212772672434"/>
  </r>
  <r>
    <x v="255"/>
    <x v="254"/>
    <x v="0"/>
    <s v="Information Technology"/>
    <s v="Potential"/>
    <n v="0"/>
    <n v="0"/>
    <n v="0"/>
    <n v="0"/>
    <n v="0"/>
    <n v="0"/>
    <n v="0"/>
    <n v="0"/>
    <m/>
    <m/>
    <m/>
    <s v=""/>
    <n v="351558.79694384697"/>
    <n v="2421.2014567742767"/>
    <s v=""/>
    <s v=""/>
    <s v=""/>
    <s v=""/>
    <s v=""/>
    <n v="353979.99840062123"/>
    <n v="353979.99840062123"/>
    <n v="390196.55115506746"/>
    <n v="353933.22222262918"/>
    <n v="1.1024581097663335"/>
    <s v="2019"/>
    <d v="2018-04-13T00:00:00"/>
    <x v="10"/>
    <m/>
    <n v="353933.22222262924"/>
    <n v="2421.2014567742767"/>
  </r>
  <r>
    <x v="256"/>
    <x v="255"/>
    <x v="0"/>
    <s v="Security/Compliance"/>
    <s v="Active"/>
    <n v="0"/>
    <n v="0"/>
    <n v="0"/>
    <n v="0"/>
    <n v="0"/>
    <n v="0"/>
    <n v="0"/>
    <n v="0"/>
    <m/>
    <m/>
    <n v="162054.01999999999"/>
    <n v="362504.21"/>
    <n v="3138055.6185482508"/>
    <n v="720817.82283429708"/>
    <s v=""/>
    <s v=""/>
    <s v=""/>
    <s v=""/>
    <s v=""/>
    <n v="4383431.6713825483"/>
    <n v="4383431.6713825483"/>
    <n v="4832178.6847169204"/>
    <n v="4469442.0233801017"/>
    <n v="1.0811592721058483"/>
    <s v="2019"/>
    <d v="2018-09-14T00:00:00"/>
    <x v="12"/>
    <m/>
    <n v="4383095.0508778086"/>
    <n v="720817.82283429708"/>
  </r>
  <r>
    <x v="257"/>
    <x v="256"/>
    <x v="0"/>
    <s v="Security/Compliance"/>
    <s v="Active"/>
    <n v="0"/>
    <n v="0"/>
    <n v="0"/>
    <n v="0"/>
    <n v="0"/>
    <n v="0"/>
    <n v="0"/>
    <n v="0"/>
    <m/>
    <m/>
    <n v="51133.84"/>
    <n v="151501.21"/>
    <n v="258403.0229135484"/>
    <n v="1708858.1364452846"/>
    <n v="6375.8426996136614"/>
    <s v=""/>
    <s v=""/>
    <s v=""/>
    <s v=""/>
    <n v="2176272.0520584467"/>
    <n v="2176272.0520584467"/>
    <n v="2368116.4465868622"/>
    <n v="2233499.1734207794"/>
    <n v="1.060271915373"/>
    <s v="2020"/>
    <d v="2019-06-19T00:00:00"/>
    <x v="15"/>
    <m/>
    <n v="2148033.0414447999"/>
    <n v="6375.8426996136614"/>
  </r>
  <r>
    <x v="258"/>
    <x v="257"/>
    <x v="0"/>
    <s v="Replacement"/>
    <s v="Potential"/>
    <n v="0"/>
    <n v="0"/>
    <n v="0"/>
    <n v="0"/>
    <n v="0"/>
    <n v="0"/>
    <n v="0"/>
    <n v="0"/>
    <m/>
    <m/>
    <m/>
    <s v=""/>
    <n v="51273.524374727"/>
    <n v="62410.470002971088"/>
    <n v="1087696.1407225404"/>
    <n v="1023475.2582572548"/>
    <s v=""/>
    <s v=""/>
    <s v=""/>
    <n v="2224855.3933574934"/>
    <n v="2224855.3933574934"/>
    <n v="2341453.6254966911"/>
    <n v="2251856.5542491362"/>
    <n v="1.0397880900000001"/>
    <s v="2021"/>
    <d v="2021-04-07T00:00:00"/>
    <x v="18"/>
    <m/>
    <n v="2123848.1578161404"/>
    <n v="1023475.2582572548"/>
  </r>
  <r>
    <x v="259"/>
    <x v="258"/>
    <x v="0"/>
    <s v="Replacement"/>
    <s v="Potential"/>
    <n v="0"/>
    <n v="0"/>
    <n v="0"/>
    <n v="0"/>
    <n v="0"/>
    <n v="0"/>
    <n v="0"/>
    <n v="0"/>
    <m/>
    <m/>
    <m/>
    <n v="98689.95"/>
    <n v="1545139.4633883787"/>
    <n v="1595047.0008171366"/>
    <n v="1716364.6281416714"/>
    <n v="584272.6805230343"/>
    <s v=""/>
    <s v=""/>
    <s v=""/>
    <n v="5539513.7228702214"/>
    <n v="5539513.7228702214"/>
    <n v="5966229.2987728678"/>
    <n v="5737928.0991503447"/>
    <n v="1.0397880900000001"/>
    <s v="2021"/>
    <d v="2020-09-07T00:00:00"/>
    <x v="18"/>
    <m/>
    <n v="5411751.4723869301"/>
    <n v="584272.6805230343"/>
  </r>
  <r>
    <x v="260"/>
    <x v="259"/>
    <x v="0"/>
    <s v="Information Technology"/>
    <s v="Potential"/>
    <n v="0"/>
    <n v="0"/>
    <n v="0"/>
    <n v="0"/>
    <n v="0"/>
    <n v="0"/>
    <n v="0"/>
    <n v="0"/>
    <m/>
    <m/>
    <m/>
    <s v=""/>
    <s v=""/>
    <s v=""/>
    <s v=""/>
    <s v=""/>
    <s v=""/>
    <n v="19751.939258321909"/>
    <n v="352555.65209677769"/>
    <n v="19751.939258321909"/>
    <n v="19751.939258321909"/>
    <n v="19751.939258321909"/>
    <n v="19751.939258321909"/>
    <n v="1"/>
    <s v="2024"/>
    <d v="2024-02-12T00:00:00"/>
    <x v="19"/>
    <m/>
    <n v="17916.271904887471"/>
    <n v="352555.65209677769"/>
  </r>
  <r>
    <x v="261"/>
    <x v="260"/>
    <x v="0"/>
    <s v="Information Technology"/>
    <s v="Active"/>
    <n v="0"/>
    <n v="0"/>
    <n v="0"/>
    <n v="0"/>
    <n v="0"/>
    <n v="0"/>
    <n v="0"/>
    <n v="0"/>
    <m/>
    <m/>
    <m/>
    <n v="566940.93000000005"/>
    <n v="596624.07058308879"/>
    <n v="122869.93333846137"/>
    <s v=""/>
    <s v=""/>
    <s v=""/>
    <s v=""/>
    <s v=""/>
    <n v="1286434.9339215504"/>
    <n v="1286434.9339215504"/>
    <n v="1427936.7027579283"/>
    <n v="1295229.8959101313"/>
    <n v="1.1024581097663335"/>
    <s v="2019"/>
    <d v="2017-07-06T00:00:00"/>
    <x v="10"/>
    <m/>
    <n v="1295229.8959101313"/>
    <n v="122869.93333846137"/>
  </r>
  <r>
    <x v="262"/>
    <x v="261"/>
    <x v="0"/>
    <s v="Facilities"/>
    <s v="Closed"/>
    <n v="0"/>
    <n v="0"/>
    <n v="0"/>
    <n v="0"/>
    <n v="0"/>
    <n v="0"/>
    <n v="0"/>
    <n v="0"/>
    <m/>
    <n v="129615.27"/>
    <n v="55209.26"/>
    <n v="163.02000000000001"/>
    <s v=""/>
    <s v=""/>
    <s v=""/>
    <s v=""/>
    <s v=""/>
    <s v=""/>
    <s v=""/>
    <n v="184987.55"/>
    <n v="184987.55"/>
    <n v="213999.52849814022"/>
    <n v="186683.47712319554"/>
    <n v="1.1463228122589466"/>
    <s v="2017"/>
    <d v="2015-09-21T00:00:00"/>
    <x v="5"/>
    <m/>
    <n v="194111.25611248621"/>
    <n v="163.02000000000001"/>
  </r>
  <r>
    <x v="263"/>
    <x v="262"/>
    <x v="0"/>
    <s v="Replacement"/>
    <s v="Potential"/>
    <n v="0"/>
    <n v="0"/>
    <n v="0"/>
    <n v="0"/>
    <n v="0"/>
    <n v="0"/>
    <n v="0"/>
    <n v="0"/>
    <m/>
    <m/>
    <m/>
    <s v=""/>
    <s v=""/>
    <s v=""/>
    <s v=""/>
    <n v="1021114.2647180279"/>
    <n v="115331.12062105503"/>
    <s v=""/>
    <s v=""/>
    <n v="1136445.3853390829"/>
    <n v="1136445.3853390829"/>
    <n v="1179345.5946802024"/>
    <n v="1156561.336354028"/>
    <n v="1.0197000000000001"/>
    <s v="2022"/>
    <d v="2021-05-21T00:00:00"/>
    <x v="17"/>
    <m/>
    <n v="1069741.8652307482"/>
    <n v="115331.12062105503"/>
  </r>
  <r>
    <x v="264"/>
    <x v="263"/>
    <x v="0"/>
    <s v="Replacement"/>
    <s v="Potential"/>
    <n v="0"/>
    <n v="0"/>
    <n v="0"/>
    <n v="0"/>
    <n v="0"/>
    <n v="0"/>
    <n v="0"/>
    <n v="0"/>
    <m/>
    <m/>
    <m/>
    <s v=""/>
    <s v=""/>
    <s v=""/>
    <s v=""/>
    <s v=""/>
    <n v="284746.607108386"/>
    <n v="967385.61280629633"/>
    <s v=""/>
    <n v="1252132.2199146822"/>
    <n v="1252132.2199146822"/>
    <n v="1257741.7280747176"/>
    <n v="1257741.7280747176"/>
    <n v="1"/>
    <s v="2023"/>
    <d v="2023-02-13T00:00:00"/>
    <x v="16"/>
    <m/>
    <n v="1140852.1711009014"/>
    <n v="967385.61280629633"/>
  </r>
  <r>
    <x v="265"/>
    <x v="264"/>
    <x v="0"/>
    <s v="Replacement"/>
    <s v="Potential"/>
    <n v="0"/>
    <n v="0"/>
    <n v="0"/>
    <n v="0"/>
    <n v="0"/>
    <n v="0"/>
    <n v="0"/>
    <n v="0"/>
    <m/>
    <m/>
    <m/>
    <s v=""/>
    <s v=""/>
    <s v=""/>
    <s v=""/>
    <n v="452904.40380415641"/>
    <s v=""/>
    <s v=""/>
    <s v=""/>
    <n v="452904.40380415641"/>
    <n v="452904.40380415641"/>
    <n v="470924.60498411255"/>
    <n v="452904.40380415641"/>
    <n v="1.0397880900000001"/>
    <s v="2021"/>
    <d v="2021-03-11T00:00:00"/>
    <x v="18"/>
    <m/>
    <n v="427158.72903681145"/>
    <n v="452904.40380415641"/>
  </r>
  <r>
    <x v="266"/>
    <x v="265"/>
    <x v="0"/>
    <s v="Replacement"/>
    <s v="Potential"/>
    <n v="0"/>
    <n v="0"/>
    <n v="0"/>
    <n v="0"/>
    <n v="0"/>
    <n v="0"/>
    <n v="0"/>
    <n v="0"/>
    <m/>
    <m/>
    <m/>
    <s v=""/>
    <s v=""/>
    <s v=""/>
    <n v="550631.2622282363"/>
    <n v="518628.93749405426"/>
    <n v="10925208.1549065"/>
    <s v=""/>
    <s v=""/>
    <n v="11994468.35462879"/>
    <n v="11994468.35462879"/>
    <n v="12263517.810960816"/>
    <n v="12026593.910915775"/>
    <n v="1.0197000000000001"/>
    <s v="2022"/>
    <d v="2022-02-10T00:00:00"/>
    <x v="17"/>
    <m/>
    <n v="11123794.820249517"/>
    <n v="10925208.1549065"/>
  </r>
  <r>
    <x v="267"/>
    <x v="266"/>
    <x v="0"/>
    <s v="Information Technology"/>
    <s v="Potential"/>
    <n v="0"/>
    <n v="0"/>
    <n v="0"/>
    <n v="0"/>
    <n v="0"/>
    <n v="0"/>
    <n v="0"/>
    <n v="0"/>
    <m/>
    <m/>
    <m/>
    <s v=""/>
    <s v=""/>
    <s v=""/>
    <n v="77044.642755894951"/>
    <n v="555251.39946273819"/>
    <n v="138567.8860312879"/>
    <s v=""/>
    <s v=""/>
    <n v="770863.92824992095"/>
    <n v="770863.92824992095"/>
    <n v="800329.73644731322"/>
    <n v="784867.8399993265"/>
    <n v="1.0197000000000001"/>
    <s v="2022"/>
    <d v="2021-07-08T00:00:00"/>
    <x v="17"/>
    <m/>
    <n v="725950.24641520705"/>
    <n v="138567.8860312879"/>
  </r>
  <r>
    <x v="268"/>
    <x v="267"/>
    <x v="0"/>
    <s v="Information Technology"/>
    <s v="Potential"/>
    <n v="0"/>
    <n v="0"/>
    <n v="0"/>
    <n v="0"/>
    <n v="0"/>
    <n v="0"/>
    <n v="0"/>
    <n v="0"/>
    <m/>
    <m/>
    <m/>
    <s v=""/>
    <s v=""/>
    <s v=""/>
    <s v=""/>
    <s v=""/>
    <s v=""/>
    <n v="534832.42107666261"/>
    <n v="7876.7726578715055"/>
    <n v="534832.42107666261"/>
    <n v="534832.42107666261"/>
    <n v="534832.42107666261"/>
    <n v="534832.42107666261"/>
    <n v="1"/>
    <s v="2024"/>
    <d v="2023-04-28T00:00:00"/>
    <x v="16"/>
    <m/>
    <n v="485127.2046880952"/>
    <n v="7876.7726578715055"/>
  </r>
  <r>
    <x v="269"/>
    <x v="268"/>
    <x v="0"/>
    <s v="Information Technology"/>
    <s v="Potential"/>
    <n v="0"/>
    <n v="0"/>
    <n v="0"/>
    <n v="0"/>
    <n v="0"/>
    <n v="0"/>
    <n v="0"/>
    <n v="0"/>
    <m/>
    <m/>
    <m/>
    <s v=""/>
    <s v=""/>
    <n v="108759.65136604935"/>
    <n v="156854.74508511703"/>
    <n v="19974.608258064367"/>
    <s v=""/>
    <s v=""/>
    <s v=""/>
    <n v="285589.00470923074"/>
    <n v="285589.00470923074"/>
    <n v="304664.54628129536"/>
    <n v="287345.67224117729"/>
    <n v="1.060271915373"/>
    <s v="2021"/>
    <d v="2020-06-08T00:00:00"/>
    <x v="15"/>
    <m/>
    <n v="276350.2246319991"/>
    <n v="19974.608258064367"/>
  </r>
  <r>
    <x v="270"/>
    <x v="269"/>
    <x v="0"/>
    <s v="Easements/Land"/>
    <s v="Deferred"/>
    <n v="0"/>
    <n v="0"/>
    <n v="0"/>
    <n v="0"/>
    <n v="0"/>
    <n v="0"/>
    <n v="0"/>
    <n v="0"/>
    <m/>
    <m/>
    <n v="8906.7900000000009"/>
    <s v=""/>
    <s v=""/>
    <s v=""/>
    <s v=""/>
    <s v=""/>
    <s v=""/>
    <s v=""/>
    <s v=""/>
    <n v="8906.7900000000009"/>
    <n v="8906.7900000000009"/>
    <n v="10210.056560999865"/>
    <n v="9443.619293125088"/>
    <n v="1.0811592721058483"/>
    <s v="2016"/>
    <d v="2019-01-31T00:00:00"/>
    <x v="12"/>
    <m/>
    <n v="9261.1741621311012"/>
    <n v="8906.7900000000009"/>
  </r>
  <r>
    <x v="271"/>
    <x v="270"/>
    <x v="0"/>
    <s v="Information Technology"/>
    <s v="Potential"/>
    <n v="0"/>
    <n v="0"/>
    <n v="0"/>
    <n v="0"/>
    <n v="0"/>
    <n v="0"/>
    <n v="0"/>
    <n v="0"/>
    <m/>
    <m/>
    <m/>
    <s v=""/>
    <s v=""/>
    <s v=""/>
    <n v="460812.29645649041"/>
    <n v="230846.29732504912"/>
    <s v=""/>
    <s v=""/>
    <s v=""/>
    <n v="691658.59378153947"/>
    <n v="691658.59378153947"/>
    <n v="728617.56677053869"/>
    <n v="700736.59602173232"/>
    <n v="1.0397880900000001"/>
    <s v="2021"/>
    <d v="2020-09-22T00:00:00"/>
    <x v="18"/>
    <m/>
    <n v="660902.72302951233"/>
    <n v="230846.29732504912"/>
  </r>
  <r>
    <x v="272"/>
    <x v="271"/>
    <x v="0"/>
    <s v="Information Technology"/>
    <s v="Potential"/>
    <n v="0"/>
    <n v="0"/>
    <n v="0"/>
    <n v="0"/>
    <n v="0"/>
    <n v="0"/>
    <n v="0"/>
    <n v="0"/>
    <m/>
    <m/>
    <m/>
    <s v=""/>
    <s v=""/>
    <n v="38198.150106323701"/>
    <n v="247482.69389835041"/>
    <n v="424452.02817118121"/>
    <n v="194615.14148684344"/>
    <s v=""/>
    <s v=""/>
    <n v="904748.0136626988"/>
    <n v="904748.0136626988"/>
    <n v="943486.45748888981"/>
    <n v="925258.85798655462"/>
    <n v="1.0197000000000001"/>
    <s v="2022"/>
    <d v="2021-09-30T00:00:00"/>
    <x v="17"/>
    <m/>
    <n v="855802.546265329"/>
    <n v="194615.14148684344"/>
  </r>
  <r>
    <x v="273"/>
    <x v="272"/>
    <x v="0"/>
    <s v="Information Technology"/>
    <s v="Potential"/>
    <n v="0"/>
    <n v="0"/>
    <n v="0"/>
    <n v="0"/>
    <n v="0"/>
    <n v="0"/>
    <n v="0"/>
    <n v="0"/>
    <m/>
    <m/>
    <m/>
    <s v=""/>
    <s v=""/>
    <n v="419132.39599818666"/>
    <n v="520878.7890814835"/>
    <n v="2115214.1523064328"/>
    <s v=""/>
    <s v=""/>
    <s v=""/>
    <n v="3055225.3373861029"/>
    <n v="3055225.3373861029"/>
    <n v="3204796.5109176477"/>
    <n v="3082163.1270248992"/>
    <n v="1.0397880900000001"/>
    <s v="2021"/>
    <d v="2021-01-13T00:00:00"/>
    <x v="18"/>
    <m/>
    <n v="2906955.3595981132"/>
    <n v="2115214.1523064328"/>
  </r>
  <r>
    <x v="274"/>
    <x v="273"/>
    <x v="0"/>
    <s v="Augmentation"/>
    <s v="Closed"/>
    <n v="0"/>
    <n v="0"/>
    <n v="0"/>
    <n v="0"/>
    <n v="0"/>
    <n v="0"/>
    <n v="0"/>
    <n v="0"/>
    <m/>
    <m/>
    <n v="40481.32"/>
    <s v=""/>
    <s v=""/>
    <s v=""/>
    <s v=""/>
    <s v=""/>
    <s v=""/>
    <s v=""/>
    <s v=""/>
    <n v="40481.32"/>
    <n v="40481.32"/>
    <n v="46404.660586354337"/>
    <n v="40481.32"/>
    <n v="1.1463228122589466"/>
    <s v="2016"/>
    <d v="2015-11-17T00:00:00"/>
    <x v="5"/>
    <m/>
    <n v="42091.994403478799"/>
    <n v="40481.32"/>
  </r>
  <r>
    <x v="275"/>
    <x v="274"/>
    <x v="0"/>
    <s v="Security/Compliance"/>
    <s v="Active"/>
    <n v="0"/>
    <n v="0"/>
    <n v="0"/>
    <n v="0"/>
    <n v="0"/>
    <n v="0"/>
    <n v="0"/>
    <n v="0"/>
    <m/>
    <m/>
    <n v="48019.06"/>
    <n v="212085.78"/>
    <n v="1783449.5065876066"/>
    <n v="1041205.1956538879"/>
    <s v=""/>
    <s v=""/>
    <s v=""/>
    <s v=""/>
    <s v=""/>
    <n v="3084759.5422414946"/>
    <n v="3084759.5422414946"/>
    <n v="3385354.2244267114"/>
    <n v="3131226.1863442417"/>
    <n v="1.0811592721058483"/>
    <s v="2019"/>
    <d v="2018-09-17T00:00:00"/>
    <x v="12"/>
    <m/>
    <n v="3070732.7511466527"/>
    <n v="1041205.1956538879"/>
  </r>
  <r>
    <x v="276"/>
    <x v="275"/>
    <x v="0"/>
    <s v="Augmentation"/>
    <s v="Potential"/>
    <n v="0"/>
    <n v="0"/>
    <n v="0"/>
    <n v="0"/>
    <n v="0"/>
    <n v="0"/>
    <n v="0"/>
    <n v="0"/>
    <m/>
    <m/>
    <m/>
    <s v=""/>
    <s v=""/>
    <n v="50480.683963491021"/>
    <n v="1491323.2315145822"/>
    <n v="139950.39649595573"/>
    <s v=""/>
    <s v=""/>
    <s v=""/>
    <n v="1681754.3119740291"/>
    <n v="1681754.3119740291"/>
    <n v="1781304.554114864"/>
    <n v="1680045.0226847772"/>
    <n v="1.060271915373"/>
    <s v="2021"/>
    <d v="2020-06-10T00:00:00"/>
    <x v="15"/>
    <m/>
    <n v="1615757.1324795389"/>
    <n v="139950.39649595573"/>
  </r>
  <r>
    <x v="277"/>
    <x v="276"/>
    <x v="0"/>
    <s v="Security/Compliance"/>
    <s v="Closed"/>
    <n v="0"/>
    <n v="0"/>
    <n v="0"/>
    <n v="0"/>
    <n v="0"/>
    <n v="0"/>
    <n v="0"/>
    <n v="0"/>
    <m/>
    <m/>
    <n v="187262.35"/>
    <n v="29471.98"/>
    <s v=""/>
    <s v=""/>
    <s v=""/>
    <s v=""/>
    <s v=""/>
    <s v=""/>
    <s v=""/>
    <n v="216734.33000000002"/>
    <n v="216734.33000000002"/>
    <n v="247794.81202431922"/>
    <n v="220423.39829500005"/>
    <n v="1.1241765345287305"/>
    <s v="2017"/>
    <d v="2016-07-07T00:00:00"/>
    <x v="1"/>
    <m/>
    <n v="224765.7392414115"/>
    <n v="29471.98"/>
  </r>
  <r>
    <x v="278"/>
    <x v="277"/>
    <x v="0"/>
    <s v="Replacement"/>
    <s v="Active"/>
    <n v="0"/>
    <n v="0"/>
    <n v="0"/>
    <n v="0"/>
    <n v="0"/>
    <n v="0"/>
    <n v="0"/>
    <n v="0"/>
    <m/>
    <m/>
    <m/>
    <n v="243869.46"/>
    <n v="1504415.1352754647"/>
    <n v="48616.60096132334"/>
    <s v=""/>
    <s v=""/>
    <s v=""/>
    <s v=""/>
    <s v=""/>
    <n v="1796901.1962367881"/>
    <n v="1796901.1962367881"/>
    <n v="1985269.2796674492"/>
    <n v="1800766.1806653386"/>
    <n v="1.1024581097663335"/>
    <s v="2019"/>
    <d v="2018-03-01T00:00:00"/>
    <x v="10"/>
    <m/>
    <n v="1800766.1806653391"/>
    <n v="48616.60096132334"/>
  </r>
  <r>
    <x v="279"/>
    <x v="278"/>
    <x v="0"/>
    <s v="Replacement"/>
    <s v="Active"/>
    <n v="0"/>
    <n v="0"/>
    <n v="0"/>
    <n v="0"/>
    <n v="0"/>
    <n v="0"/>
    <n v="0"/>
    <n v="0"/>
    <m/>
    <m/>
    <m/>
    <n v="163121.26"/>
    <n v="1862385.6468734201"/>
    <n v="472974.27347312309"/>
    <s v=""/>
    <s v=""/>
    <s v=""/>
    <s v=""/>
    <s v=""/>
    <n v="2498481.180346543"/>
    <n v="2498481.180346543"/>
    <n v="2747939.7739157756"/>
    <n v="2541660.4609637433"/>
    <n v="1.0811592721058483"/>
    <s v="2019"/>
    <d v="2018-08-22T00:00:00"/>
    <x v="12"/>
    <m/>
    <n v="2492557.0863624038"/>
    <n v="472974.27347312309"/>
  </r>
  <r>
    <x v="280"/>
    <x v="279"/>
    <x v="0"/>
    <s v="Security/Compliance"/>
    <s v="Potential"/>
    <n v="0"/>
    <n v="0"/>
    <n v="0"/>
    <n v="0"/>
    <n v="0"/>
    <n v="0"/>
    <n v="0"/>
    <n v="0"/>
    <m/>
    <m/>
    <m/>
    <s v=""/>
    <n v="199696.29247258822"/>
    <s v=""/>
    <s v=""/>
    <s v=""/>
    <s v=""/>
    <s v=""/>
    <s v=""/>
    <n v="199696.29247258822"/>
    <n v="199696.29247258822"/>
    <n v="220156.7971266745"/>
    <n v="199696.29247258822"/>
    <n v="1.1024581097663335"/>
    <s v="2018"/>
    <d v="2017-11-01T00:00:00"/>
    <x v="10"/>
    <m/>
    <n v="199696.29247258822"/>
    <n v="199696.29247258822"/>
  </r>
  <r>
    <x v="281"/>
    <x v="280"/>
    <x v="0"/>
    <s v="Replacement"/>
    <s v="Closed"/>
    <n v="0"/>
    <n v="0"/>
    <n v="0"/>
    <n v="0"/>
    <n v="0"/>
    <n v="0"/>
    <n v="0"/>
    <n v="0"/>
    <m/>
    <m/>
    <n v="420650.41"/>
    <n v="62007.65"/>
    <s v=""/>
    <s v=""/>
    <s v=""/>
    <s v=""/>
    <s v=""/>
    <s v=""/>
    <s v=""/>
    <n v="482658.06"/>
    <n v="482658.06"/>
    <n v="551908.70606034936"/>
    <n v="490944.87307700008"/>
    <n v="1.1241765345287305"/>
    <s v="2017"/>
    <d v="2016-12-23T00:00:00"/>
    <x v="1"/>
    <m/>
    <n v="500616.4870766169"/>
    <n v="62007.65"/>
  </r>
  <r>
    <x v="282"/>
    <x v="281"/>
    <x v="0"/>
    <s v="Replacement"/>
    <s v="Active"/>
    <n v="0"/>
    <n v="0"/>
    <n v="0"/>
    <n v="0"/>
    <n v="0"/>
    <n v="0"/>
    <n v="0"/>
    <n v="0"/>
    <m/>
    <m/>
    <n v="1350.18"/>
    <n v="226243.79"/>
    <n v="237683.20638789964"/>
    <n v="1313637.2282299278"/>
    <s v=""/>
    <s v=""/>
    <s v=""/>
    <s v=""/>
    <s v=""/>
    <n v="1778914.4046178274"/>
    <n v="1778914.4046178274"/>
    <n v="1938172.5498573198"/>
    <n v="1792679.9499968288"/>
    <n v="1.0811592721058483"/>
    <s v="2019"/>
    <d v="2019-01-28T00:00:00"/>
    <x v="12"/>
    <m/>
    <n v="1758046.4352229366"/>
    <n v="1313637.2282299278"/>
  </r>
  <r>
    <x v="283"/>
    <x v="282"/>
    <x v="0"/>
    <s v="Security/Compliance"/>
    <s v="Active"/>
    <n v="0"/>
    <n v="0"/>
    <n v="0"/>
    <n v="0"/>
    <n v="0"/>
    <n v="0"/>
    <n v="0"/>
    <n v="0"/>
    <m/>
    <m/>
    <m/>
    <n v="1412316.98"/>
    <n v="7493002.2502308134"/>
    <n v="2628194.456780009"/>
    <s v=""/>
    <s v=""/>
    <s v=""/>
    <s v=""/>
    <s v=""/>
    <n v="11533513.687010823"/>
    <n v="11533513.687010823"/>
    <n v="12689911.511341728"/>
    <n v="11737319.226449138"/>
    <n v="1.0811592721058483"/>
    <s v="2019"/>
    <d v="2018-07-11T00:00:00"/>
    <x v="12"/>
    <m/>
    <n v="11510561.171373088"/>
    <n v="2628194.456780009"/>
  </r>
  <r>
    <x v="284"/>
    <x v="283"/>
    <x v="0"/>
    <s v="Security/Compliance"/>
    <s v="Active"/>
    <n v="0"/>
    <n v="0"/>
    <n v="0"/>
    <n v="0"/>
    <n v="0"/>
    <n v="0"/>
    <n v="0"/>
    <n v="0"/>
    <m/>
    <m/>
    <m/>
    <n v="234278.82"/>
    <n v="1315543.4165398094"/>
    <n v="256819.68277981639"/>
    <s v=""/>
    <s v=""/>
    <s v=""/>
    <s v=""/>
    <s v=""/>
    <n v="1806641.9193196259"/>
    <n v="1806641.9193196259"/>
    <n v="1991365.2415917839"/>
    <n v="1841879.6314007139"/>
    <n v="1.0811592721058483"/>
    <s v="2019"/>
    <d v="2018-07-09T00:00:00"/>
    <x v="12"/>
    <m/>
    <n v="1806295.6079245994"/>
    <n v="256819.68277981639"/>
  </r>
  <r>
    <x v="285"/>
    <x v="284"/>
    <x v="0"/>
    <s v="Augmentation"/>
    <s v="Potential"/>
    <n v="0"/>
    <n v="0"/>
    <n v="0"/>
    <n v="0"/>
    <n v="0"/>
    <n v="0"/>
    <n v="0"/>
    <n v="0"/>
    <m/>
    <m/>
    <m/>
    <n v="433093.65"/>
    <n v="226691.29721562786"/>
    <n v="6546164.7443279"/>
    <n v="22068.711997338327"/>
    <s v=""/>
    <s v=""/>
    <s v=""/>
    <s v=""/>
    <n v="7228018.4035408664"/>
    <n v="7228018.4035408664"/>
    <n v="7837636.9232139699"/>
    <n v="7249289.8367768377"/>
    <n v="1.0811592721058483"/>
    <s v="2020"/>
    <d v="2019-05-30T00:00:00"/>
    <x v="12"/>
    <m/>
    <n v="7109237.8511099713"/>
    <n v="22068.711997338327"/>
  </r>
  <r>
    <x v="286"/>
    <x v="285"/>
    <x v="0"/>
    <s v="Inventory/Spares"/>
    <s v="Active"/>
    <n v="0"/>
    <n v="0"/>
    <n v="0"/>
    <n v="0"/>
    <n v="0"/>
    <n v="0"/>
    <n v="0"/>
    <n v="0"/>
    <m/>
    <m/>
    <n v="334653.59999999998"/>
    <n v="2895413.5"/>
    <n v="88518.517136077819"/>
    <s v=""/>
    <s v=""/>
    <s v=""/>
    <s v=""/>
    <s v=""/>
    <s v=""/>
    <n v="3318585.617136078"/>
    <n v="3318585.617136078"/>
    <n v="3736164.9274234418"/>
    <n v="3323468.1677372772"/>
    <n v="1.1241765345287305"/>
    <s v="2018"/>
    <d v="2017-06-27T00:00:00"/>
    <x v="1"/>
    <m/>
    <n v="3388940.490641702"/>
    <n v="88518.517136077819"/>
  </r>
  <r>
    <x v="287"/>
    <x v="286"/>
    <x v="0"/>
    <s v="Facilities"/>
    <s v="Active"/>
    <n v="0"/>
    <n v="0"/>
    <n v="0"/>
    <n v="0"/>
    <n v="0"/>
    <n v="0"/>
    <n v="0"/>
    <n v="0"/>
    <m/>
    <m/>
    <m/>
    <n v="26172.05"/>
    <n v="285368.03290796385"/>
    <s v=""/>
    <s v=""/>
    <s v=""/>
    <s v=""/>
    <s v=""/>
    <s v=""/>
    <n v="311540.08290796384"/>
    <n v="311540.08290796384"/>
    <n v="344028.30661796336"/>
    <n v="312055.67229296389"/>
    <n v="1.1024581097663335"/>
    <s v="2018"/>
    <d v="2017-10-24T00:00:00"/>
    <x v="10"/>
    <m/>
    <n v="312055.67229296383"/>
    <n v="285368.03290796385"/>
  </r>
  <r>
    <x v="288"/>
    <x v="287"/>
    <x v="0"/>
    <s v="Facilities"/>
    <s v="Active"/>
    <n v="0"/>
    <n v="0"/>
    <n v="0"/>
    <n v="0"/>
    <n v="0"/>
    <n v="0"/>
    <n v="0"/>
    <n v="0"/>
    <m/>
    <m/>
    <m/>
    <n v="451253.7"/>
    <n v="297275.77946196526"/>
    <s v=""/>
    <s v=""/>
    <s v=""/>
    <s v=""/>
    <s v=""/>
    <s v=""/>
    <n v="748529.47946196527"/>
    <n v="748529.47946196527"/>
    <n v="835022.91456421907"/>
    <n v="757419.17735196534"/>
    <n v="1.1024581097663335"/>
    <s v="2018"/>
    <d v="2017-07-07T00:00:00"/>
    <x v="10"/>
    <m/>
    <n v="757419.17735196534"/>
    <n v="297275.77946196526"/>
  </r>
  <r>
    <x v="289"/>
    <x v="288"/>
    <x v="0"/>
    <s v="Refurbishment"/>
    <s v="Potential"/>
    <n v="0"/>
    <n v="0"/>
    <n v="0"/>
    <n v="0"/>
    <n v="0"/>
    <n v="0"/>
    <n v="0"/>
    <n v="0"/>
    <m/>
    <m/>
    <m/>
    <s v=""/>
    <n v="324461.97123953229"/>
    <n v="971808.28970249207"/>
    <n v="11425559.197839556"/>
    <n v="16326427.404968617"/>
    <n v="8770629.6176791582"/>
    <s v=""/>
    <s v=""/>
    <n v="37818886.481429353"/>
    <n v="37818886.481429353"/>
    <n v="39442020.598609328"/>
    <n v="38680024.123378761"/>
    <n v="1.0197000000000001"/>
    <s v="2022"/>
    <d v="2021-11-12T00:00:00"/>
    <x v="17"/>
    <m/>
    <n v="35776434.722738884"/>
    <n v="8770629.6176791582"/>
  </r>
  <r>
    <x v="290"/>
    <x v="289"/>
    <x v="0"/>
    <s v="Refurbishment"/>
    <s v="Potential"/>
    <n v="0"/>
    <n v="0"/>
    <n v="0"/>
    <n v="0"/>
    <n v="0"/>
    <n v="0"/>
    <n v="0"/>
    <n v="0"/>
    <m/>
    <m/>
    <m/>
    <s v=""/>
    <n v="297006.4470054729"/>
    <n v="884135.30981914874"/>
    <n v="8642496.0521136634"/>
    <n v="12136618.501715135"/>
    <n v="12462847.989105783"/>
    <n v="6656558.6497388678"/>
    <s v=""/>
    <n v="41079662.949498072"/>
    <n v="41079662.949498072"/>
    <n v="42431160.212126441"/>
    <n v="42431160.212126441"/>
    <n v="1"/>
    <s v="2023"/>
    <d v="2022-11-11T00:00:00"/>
    <x v="16"/>
    <m/>
    <n v="38487775.486652955"/>
    <n v="6656558.6497388678"/>
  </r>
  <r>
    <x v="291"/>
    <x v="290"/>
    <x v="0"/>
    <s v="Facilities"/>
    <s v="Closed"/>
    <n v="0"/>
    <n v="0"/>
    <n v="0"/>
    <n v="0"/>
    <n v="0"/>
    <n v="0"/>
    <n v="0"/>
    <n v="0"/>
    <m/>
    <m/>
    <m/>
    <n v="185471.46"/>
    <s v=""/>
    <s v=""/>
    <s v=""/>
    <s v=""/>
    <s v=""/>
    <s v=""/>
    <s v=""/>
    <n v="185471.46"/>
    <n v="185471.46"/>
    <n v="208502.66315678405"/>
    <n v="185471.46"/>
    <n v="1.1241765345287305"/>
    <s v="2017"/>
    <d v="2016-09-02T00:00:00"/>
    <x v="1"/>
    <m/>
    <n v="189125.24776200001"/>
    <n v="185471.46"/>
  </r>
  <r>
    <x v="292"/>
    <x v="291"/>
    <x v="0"/>
    <s v="Security/Compliance"/>
    <s v="Potential"/>
    <n v="0"/>
    <n v="0"/>
    <n v="0"/>
    <n v="0"/>
    <n v="0"/>
    <n v="0"/>
    <n v="0"/>
    <n v="0"/>
    <m/>
    <m/>
    <m/>
    <s v=""/>
    <s v=""/>
    <n v="136908.81176098005"/>
    <s v=""/>
    <s v=""/>
    <s v=""/>
    <s v=""/>
    <s v=""/>
    <n v="136908.81176098005"/>
    <n v="136908.81176098005"/>
    <n v="148020.2312683778"/>
    <n v="136908.81176098005"/>
    <n v="1.0811592721058483"/>
    <s v="2019"/>
    <d v="2019-04-08T00:00:00"/>
    <x v="12"/>
    <m/>
    <n v="134263.81461310195"/>
    <n v="136908.81176098005"/>
  </r>
  <r>
    <x v="293"/>
    <x v="292"/>
    <x v="1"/>
    <s v="Augmentation"/>
    <s v="Active"/>
    <n v="0"/>
    <n v="0"/>
    <n v="0"/>
    <n v="0"/>
    <n v="0"/>
    <n v="0"/>
    <n v="0"/>
    <n v="0"/>
    <m/>
    <m/>
    <m/>
    <n v="1909648.53"/>
    <n v="1017195.4007114497"/>
    <s v=""/>
    <s v=""/>
    <s v=""/>
    <s v=""/>
    <s v=""/>
    <s v=""/>
    <n v="2926843.9307114496"/>
    <n v="2926843.9307114496"/>
    <n v="3268197.3853546372"/>
    <n v="2964464.00675245"/>
    <n v="1.1024581097663335"/>
    <s v="2018"/>
    <d v="2018-09-27T00:00:00"/>
    <x v="21"/>
    <m/>
    <n v="2964464.00675245"/>
    <n v="1017195.4007114497"/>
  </r>
  <r>
    <x v="294"/>
    <x v="293"/>
    <x v="1"/>
    <s v="Augmentation"/>
    <s v="Active"/>
    <n v="0"/>
    <n v="0"/>
    <n v="0"/>
    <n v="0"/>
    <n v="0"/>
    <n v="0"/>
    <n v="0"/>
    <n v="0"/>
    <m/>
    <m/>
    <m/>
    <n v="122484.25"/>
    <n v="384620.1789967845"/>
    <s v=""/>
    <s v=""/>
    <s v=""/>
    <s v=""/>
    <s v=""/>
    <s v=""/>
    <n v="507104.4289967845"/>
    <n v="507104.4289967845"/>
    <n v="561721.55521413451"/>
    <n v="509517.3687217845"/>
    <n v="1.1024581097663335"/>
    <s v="2018"/>
    <d v="2021-10-25T00:00:00"/>
    <x v="21"/>
    <m/>
    <n v="509517.3687217845"/>
    <n v="384620.1789967845"/>
  </r>
  <r>
    <x v="295"/>
    <x v="294"/>
    <x v="0"/>
    <s v="Augmentation"/>
    <s v="Potential"/>
    <n v="0"/>
    <n v="0"/>
    <n v="0"/>
    <n v="0"/>
    <n v="0"/>
    <n v="0"/>
    <n v="0"/>
    <n v="0"/>
    <m/>
    <m/>
    <m/>
    <n v="392.56"/>
    <n v="512952.93146953068"/>
    <n v="578.85827122987507"/>
    <s v=""/>
    <s v=""/>
    <s v=""/>
    <s v=""/>
    <s v=""/>
    <n v="513924.34974076058"/>
    <n v="513924.34974076058"/>
    <n v="566576.26395456831"/>
    <n v="513920.89997383609"/>
    <n v="1.1024581097663335"/>
    <s v="2019"/>
    <d v="2018-05-01T00:00:00"/>
    <x v="10"/>
    <m/>
    <n v="513920.89997383615"/>
    <n v="578.85827122987507"/>
  </r>
  <r>
    <x v="296"/>
    <x v="295"/>
    <x v="0"/>
    <s v="Replacement"/>
    <s v="Potential"/>
    <n v="0"/>
    <n v="0"/>
    <n v="0"/>
    <n v="0"/>
    <n v="0"/>
    <n v="0"/>
    <n v="0"/>
    <n v="0"/>
    <m/>
    <m/>
    <m/>
    <s v=""/>
    <s v=""/>
    <n v="20251.028818474344"/>
    <s v=""/>
    <n v="137500.04982851376"/>
    <n v="1344085.3857366459"/>
    <n v="1270029.2773147172"/>
    <s v=""/>
    <n v="2771865.7416983512"/>
    <n v="2771865.7416983512"/>
    <n v="2805458.6469132463"/>
    <n v="2805458.6469132463"/>
    <n v="1"/>
    <s v="2023"/>
    <d v="2023-01-25T00:00:00"/>
    <x v="16"/>
    <m/>
    <n v="2544730.3820984773"/>
    <n v="1270029.2773147172"/>
  </r>
  <r>
    <x v="297"/>
    <x v="296"/>
    <x v="0"/>
    <s v="Other"/>
    <s v="Active"/>
    <n v="0"/>
    <n v="0"/>
    <n v="0"/>
    <n v="0"/>
    <n v="0"/>
    <n v="0"/>
    <n v="0"/>
    <n v="0"/>
    <m/>
    <m/>
    <m/>
    <n v="805285.85"/>
    <n v="3023758.7892393968"/>
    <s v=""/>
    <s v=""/>
    <s v=""/>
    <s v=""/>
    <s v=""/>
    <s v=""/>
    <n v="3829044.6392393969"/>
    <n v="3829044.6392393969"/>
    <n v="4238850.8553322256"/>
    <n v="3844908.7704843967"/>
    <n v="1.1024581097663335"/>
    <s v="2018"/>
    <d v="2018-03-19T00:00:00"/>
    <x v="10"/>
    <m/>
    <n v="3844908.7704843967"/>
    <n v="3023758.7892393968"/>
  </r>
  <r>
    <x v="298"/>
    <x v="297"/>
    <x v="0"/>
    <s v="Replacement"/>
    <s v="Active"/>
    <n v="0"/>
    <n v="0"/>
    <n v="0"/>
    <n v="0"/>
    <n v="0"/>
    <n v="0"/>
    <n v="0"/>
    <n v="0"/>
    <m/>
    <m/>
    <m/>
    <n v="617043.84"/>
    <n v="49217.477759223744"/>
    <s v=""/>
    <s v=""/>
    <s v=""/>
    <s v=""/>
    <s v=""/>
    <s v=""/>
    <n v="666261.31775922375"/>
    <n v="666261.31775922375"/>
    <n v="747926.41320140078"/>
    <n v="665310.46524195711"/>
    <n v="1.1241765345287305"/>
    <s v="2018"/>
    <d v="2017-06-29T00:00:00"/>
    <x v="1"/>
    <m/>
    <n v="678417.08140722383"/>
    <n v="49217.477759223744"/>
  </r>
  <r>
    <x v="299"/>
    <x v="298"/>
    <x v="0"/>
    <s v="Replacement"/>
    <s v="Potential"/>
    <n v="0"/>
    <n v="0"/>
    <n v="0"/>
    <n v="0"/>
    <n v="0"/>
    <n v="0"/>
    <n v="0"/>
    <n v="0"/>
    <m/>
    <m/>
    <m/>
    <s v=""/>
    <s v=""/>
    <s v=""/>
    <n v="287971.66212668776"/>
    <n v="1731614.9294151184"/>
    <n v="2031165.2725220886"/>
    <n v="2151.200607289913"/>
    <s v=""/>
    <n v="4052903.0646711849"/>
    <n v="4052903.0646711849"/>
    <n v="4179171.2748463042"/>
    <n v="4098432.1612692988"/>
    <n v="1.0197000000000001"/>
    <s v="2023"/>
    <d v="2022-04-22T00:00:00"/>
    <x v="17"/>
    <m/>
    <n v="3790775.5748942532"/>
    <n v="2151.200607289913"/>
  </r>
  <r>
    <x v="300"/>
    <x v="299"/>
    <x v="0"/>
    <s v="Replacement"/>
    <s v="Potential"/>
    <n v="0"/>
    <n v="0"/>
    <n v="0"/>
    <n v="0"/>
    <n v="0"/>
    <n v="0"/>
    <n v="0"/>
    <n v="0"/>
    <m/>
    <m/>
    <m/>
    <s v=""/>
    <s v=""/>
    <s v=""/>
    <s v=""/>
    <n v="954525.3775709793"/>
    <n v="3886979.4743554122"/>
    <s v=""/>
    <s v=""/>
    <n v="4841504.8519263919"/>
    <n v="4841504.8519263919"/>
    <n v="4956057.0892012715"/>
    <n v="4860309.0018645395"/>
    <n v="1.0197000000000001"/>
    <s v="2022"/>
    <d v="2022-04-08T00:00:00"/>
    <x v="17"/>
    <m/>
    <n v="4495460.6848977786"/>
    <n v="3886979.4743554122"/>
  </r>
  <r>
    <x v="301"/>
    <x v="300"/>
    <x v="0"/>
    <s v="Replacement"/>
    <s v="Closed"/>
    <n v="0"/>
    <n v="0"/>
    <n v="0"/>
    <n v="0"/>
    <n v="0"/>
    <n v="0"/>
    <n v="0"/>
    <n v="0"/>
    <m/>
    <m/>
    <m/>
    <n v="53395.19"/>
    <s v=""/>
    <s v=""/>
    <s v=""/>
    <s v=""/>
    <s v=""/>
    <s v=""/>
    <s v=""/>
    <n v="53395.19"/>
    <n v="53395.19"/>
    <n v="60025.619654703129"/>
    <n v="53395.19"/>
    <n v="1.1241765345287305"/>
    <s v="2017"/>
    <d v="2016-11-30T00:00:00"/>
    <x v="1"/>
    <m/>
    <n v="54447.075243000007"/>
    <n v="53395.19"/>
  </r>
  <r>
    <x v="302"/>
    <x v="301"/>
    <x v="0"/>
    <s v="Other"/>
    <s v="Active"/>
    <n v="0"/>
    <n v="0"/>
    <n v="0"/>
    <n v="0"/>
    <n v="0"/>
    <n v="0"/>
    <n v="0"/>
    <n v="0"/>
    <m/>
    <m/>
    <m/>
    <n v="130000"/>
    <s v=""/>
    <s v=""/>
    <s v=""/>
    <s v=""/>
    <s v=""/>
    <s v=""/>
    <s v=""/>
    <n v="130000"/>
    <n v="130000"/>
    <n v="146142.94948873497"/>
    <n v="130000.00000000001"/>
    <n v="1.1241765345287305"/>
    <s v="2017"/>
    <d v="2017-04-21T00:00:00"/>
    <x v="1"/>
    <m/>
    <n v="132561"/>
    <n v="130000"/>
  </r>
  <r>
    <x v="303"/>
    <x v="302"/>
    <x v="0"/>
    <s v="Security/Compliance"/>
    <s v="Active"/>
    <m/>
    <m/>
    <m/>
    <m/>
    <m/>
    <m/>
    <m/>
    <m/>
    <m/>
    <m/>
    <m/>
    <n v="266401.17"/>
    <n v="33292.127226512333"/>
    <s v=""/>
    <s v=""/>
    <s v=""/>
    <s v=""/>
    <s v=""/>
    <s v=""/>
    <n v="299693.29722651234"/>
    <n v="299693.29722651234"/>
    <n v="336185.11973724025"/>
    <n v="304941.40027551237"/>
    <n v="1.1024581097663335"/>
    <s v="2018"/>
    <d v="2017-06-26T00:00:00"/>
    <x v="10"/>
    <m/>
    <n v="304941.40027551237"/>
    <n v="33292.127226512333"/>
  </r>
  <r>
    <x v="304"/>
    <x v="303"/>
    <x v="0"/>
    <s v="Facilities"/>
    <s v="Active"/>
    <m/>
    <m/>
    <m/>
    <m/>
    <m/>
    <m/>
    <m/>
    <m/>
    <m/>
    <m/>
    <m/>
    <n v="1000007.56"/>
    <n v="3501457.4438677025"/>
    <s v=""/>
    <s v=""/>
    <s v=""/>
    <s v=""/>
    <s v=""/>
    <s v=""/>
    <n v="4501465.0038677026"/>
    <n v="4501465.0038677026"/>
    <n v="4984395.1882969765"/>
    <n v="4521165.1527997022"/>
    <n v="1.1024581097663335"/>
    <s v="2018"/>
    <d v="2018-05-04T00:00:00"/>
    <x v="10"/>
    <m/>
    <n v="4521165.1527997022"/>
    <n v="3501457.4438677025"/>
  </r>
  <r>
    <x v="305"/>
    <x v="304"/>
    <x v="0"/>
    <s v="Inventory/Spares"/>
    <s v="Active"/>
    <m/>
    <m/>
    <m/>
    <m/>
    <m/>
    <m/>
    <m/>
    <m/>
    <m/>
    <m/>
    <m/>
    <n v="699288.29"/>
    <n v="2261432.7520570173"/>
    <s v=""/>
    <s v=""/>
    <s v=""/>
    <s v=""/>
    <s v=""/>
    <s v=""/>
    <n v="2960721.0420570173"/>
    <n v="2960721.0420570173"/>
    <n v="3279258.3636851786"/>
    <n v="2974497.0213700174"/>
    <n v="1.1024581097663335"/>
    <s v="2018"/>
    <d v="2017-08-16T00:00:00"/>
    <x v="10"/>
    <m/>
    <n v="2974497.0213700174"/>
    <n v="2261432.7520570173"/>
  </r>
  <r>
    <x v="306"/>
    <x v="305"/>
    <x v="0"/>
    <s v="Augmentation"/>
    <s v="Active"/>
    <m/>
    <m/>
    <m/>
    <m/>
    <m/>
    <m/>
    <m/>
    <m/>
    <m/>
    <m/>
    <m/>
    <n v="167733.92000000001"/>
    <n v="3319867.0736750313"/>
    <n v="518511.81352461589"/>
    <s v=""/>
    <s v=""/>
    <s v=""/>
    <s v=""/>
    <s v=""/>
    <n v="4006112.8071996472"/>
    <n v="4006112.8071996472"/>
    <n v="4409170.7705163406"/>
    <n v="4078188.0008560582"/>
    <n v="1.0811592721058483"/>
    <s v="2019"/>
    <d v="2018-06-19T00:00:00"/>
    <x v="12"/>
    <m/>
    <n v="3999399.8243170134"/>
    <n v="518511.81352461589"/>
  </r>
  <r>
    <x v="307"/>
    <x v="306"/>
    <x v="0"/>
    <s v="Augmentation"/>
    <s v="Active"/>
    <m/>
    <m/>
    <m/>
    <m/>
    <m/>
    <m/>
    <m/>
    <m/>
    <m/>
    <m/>
    <m/>
    <n v="219065.98"/>
    <n v="5251654.153001179"/>
    <n v="1009926.3208481296"/>
    <s v=""/>
    <s v=""/>
    <s v=""/>
    <s v=""/>
    <s v=""/>
    <n v="6480646.4538493091"/>
    <n v="6480646.4538493091"/>
    <n v="7127888.7508224361"/>
    <n v="6592820.2575916098"/>
    <n v="1.0811592721058483"/>
    <s v="2019"/>
    <d v="2018-06-27T00:00:00"/>
    <x v="12"/>
    <m/>
    <n v="6465450.8753472688"/>
    <n v="1009926.3208481296"/>
  </r>
  <r>
    <x v="308"/>
    <x v="307"/>
    <x v="0"/>
    <s v="Security/Compliance"/>
    <s v="Potential"/>
    <m/>
    <m/>
    <m/>
    <m/>
    <m/>
    <m/>
    <m/>
    <m/>
    <m/>
    <m/>
    <m/>
    <s v=""/>
    <n v="21796.419410780443"/>
    <n v="406940.12626618025"/>
    <s v=""/>
    <s v=""/>
    <s v=""/>
    <s v=""/>
    <s v=""/>
    <n v="428736.54567696067"/>
    <n v="428736.54567696067"/>
    <n v="463996.7300478887"/>
    <n v="429165.9351393531"/>
    <n v="1.0811592721058483"/>
    <s v="2019"/>
    <d v="2019-03-01T00:00:00"/>
    <x v="12"/>
    <m/>
    <n v="420874.70348078164"/>
    <n v="406940.12626618025"/>
  </r>
  <r>
    <x v="309"/>
    <x v="308"/>
    <x v="0"/>
    <s v="Replacement"/>
    <s v="Active"/>
    <m/>
    <m/>
    <m/>
    <m/>
    <m/>
    <m/>
    <m/>
    <m/>
    <m/>
    <m/>
    <m/>
    <n v="446096.27"/>
    <n v="552940.70138551679"/>
    <s v=""/>
    <s v=""/>
    <s v=""/>
    <s v=""/>
    <s v=""/>
    <s v=""/>
    <n v="999036.97138551681"/>
    <n v="999036.97138551681"/>
    <n v="1111084.9193371404"/>
    <n v="1007825.0679045168"/>
    <n v="1.1024581097663335"/>
    <s v="2018"/>
    <d v="2017-09-29T00:00:00"/>
    <x v="10"/>
    <m/>
    <n v="1007825.0679045168"/>
    <n v="552940.70138551679"/>
  </r>
  <r>
    <x v="310"/>
    <x v="309"/>
    <x v="0"/>
    <s v="Security/Compliance"/>
    <s v="Active"/>
    <m/>
    <m/>
    <m/>
    <m/>
    <m/>
    <m/>
    <m/>
    <m/>
    <m/>
    <m/>
    <m/>
    <n v="96525.57"/>
    <n v="3050042.2942324476"/>
    <n v="70898.339555764527"/>
    <s v=""/>
    <s v=""/>
    <s v=""/>
    <s v=""/>
    <s v=""/>
    <n v="3217466.203788212"/>
    <n v="3217466.203788212"/>
    <n v="3547708.0403705095"/>
    <n v="3217998.0435922849"/>
    <n v="1.1024581097663335"/>
    <s v="2019"/>
    <d v="2018-05-09T00:00:00"/>
    <x v="10"/>
    <m/>
    <n v="3217998.0435922844"/>
    <n v="70898.339555764527"/>
  </r>
  <r>
    <x v="311"/>
    <x v="310"/>
    <x v="0"/>
    <s v="Security/Compliance"/>
    <s v="Potential"/>
    <m/>
    <m/>
    <m/>
    <m/>
    <m/>
    <m/>
    <m/>
    <m/>
    <m/>
    <m/>
    <m/>
    <n v="138549.64000000001"/>
    <n v="2641997.9483658988"/>
    <s v=""/>
    <s v=""/>
    <s v=""/>
    <s v=""/>
    <s v=""/>
    <s v=""/>
    <n v="2780547.5883658989"/>
    <n v="2780547.5883658989"/>
    <n v="3068446.3183174031"/>
    <n v="2783277.0162738985"/>
    <n v="1.1024581097663335"/>
    <s v="2018"/>
    <d v="2018-02-28T00:00:00"/>
    <x v="10"/>
    <m/>
    <n v="2783277.016273899"/>
    <n v="2641997.9483658988"/>
  </r>
  <r>
    <x v="312"/>
    <x v="311"/>
    <x v="0"/>
    <s v="Security/Compliance"/>
    <s v="Potential"/>
    <m/>
    <m/>
    <m/>
    <m/>
    <m/>
    <m/>
    <m/>
    <m/>
    <m/>
    <m/>
    <m/>
    <n v="69224.160000000003"/>
    <n v="1328137.4819949926"/>
    <s v=""/>
    <s v=""/>
    <s v=""/>
    <s v=""/>
    <s v=""/>
    <s v=""/>
    <n v="1397361.6419949925"/>
    <n v="1397361.6419949925"/>
    <n v="1542036.1142044796"/>
    <n v="1398725.3579469926"/>
    <n v="1.1024581097663335"/>
    <s v="2018"/>
    <d v="2018-02-28T00:00:00"/>
    <x v="10"/>
    <m/>
    <n v="1398725.3579469926"/>
    <n v="1328137.4819949926"/>
  </r>
  <r>
    <x v="313"/>
    <x v="312"/>
    <x v="0"/>
    <s v="Security/Compliance"/>
    <s v="Potential"/>
    <m/>
    <m/>
    <m/>
    <m/>
    <m/>
    <m/>
    <m/>
    <m/>
    <m/>
    <m/>
    <m/>
    <n v="102041.87"/>
    <n v="1133651.4894852822"/>
    <n v="584.8861572549165"/>
    <s v=""/>
    <s v=""/>
    <s v=""/>
    <s v=""/>
    <s v=""/>
    <n v="1236278.245642537"/>
    <n v="1236278.245642537"/>
    <n v="1365148.7091172065"/>
    <n v="1238277.1708274253"/>
    <n v="1.1024581097663335"/>
    <s v="2019"/>
    <d v="2018-03-20T00:00:00"/>
    <x v="10"/>
    <m/>
    <n v="1238277.1708274251"/>
    <n v="584.8861572549165"/>
  </r>
  <r>
    <x v="314"/>
    <x v="313"/>
    <x v="0"/>
    <s v="Replacement"/>
    <s v="Potential"/>
    <m/>
    <m/>
    <m/>
    <m/>
    <m/>
    <m/>
    <m/>
    <m/>
    <m/>
    <m/>
    <m/>
    <s v=""/>
    <s v=""/>
    <s v=""/>
    <s v=""/>
    <n v="77003.911723690006"/>
    <n v="853723.64452487533"/>
    <n v="427448.5707887141"/>
    <s v=""/>
    <n v="1358176.1270372793"/>
    <n v="1358176.1270372793"/>
    <n v="1378058.3214044338"/>
    <n v="1378058.3214044338"/>
    <n v="1"/>
    <s v="2023"/>
    <d v="2022-10-19T00:00:00"/>
    <x v="16"/>
    <m/>
    <n v="1249987.0146508459"/>
    <n v="427448.5707887141"/>
  </r>
  <r>
    <x v="315"/>
    <x v="314"/>
    <x v="0"/>
    <s v="Security/Compliance"/>
    <s v="Potential"/>
    <m/>
    <m/>
    <m/>
    <m/>
    <m/>
    <m/>
    <m/>
    <m/>
    <m/>
    <m/>
    <m/>
    <n v="19233.89"/>
    <n v="1125588.0576069467"/>
    <s v=""/>
    <s v=""/>
    <s v=""/>
    <s v=""/>
    <s v=""/>
    <s v=""/>
    <n v="1144821.9476069466"/>
    <n v="1144821.9476069466"/>
    <n v="1262535.9701706201"/>
    <n v="1145200.8552399466"/>
    <n v="1.1024581097663335"/>
    <s v="2018"/>
    <d v="2018-03-20T00:00:00"/>
    <x v="10"/>
    <m/>
    <n v="1145200.8552399466"/>
    <n v="1125588.0576069467"/>
  </r>
  <r>
    <x v="316"/>
    <x v="315"/>
    <x v="0"/>
    <s v="Replacement"/>
    <s v="Potential"/>
    <m/>
    <m/>
    <m/>
    <m/>
    <m/>
    <m/>
    <m/>
    <m/>
    <m/>
    <m/>
    <m/>
    <s v=""/>
    <s v=""/>
    <n v="459911.19014184643"/>
    <n v="427500.50929177395"/>
    <n v="435462.44022109214"/>
    <n v="447089.22705386381"/>
    <n v="360559.30488821003"/>
    <s v=""/>
    <n v="2130522.671596786"/>
    <n v="2130522.671596786"/>
    <n v="2219748.8800760787"/>
    <n v="2219748.8800760787"/>
    <n v="1"/>
    <s v="2023"/>
    <d v="2023-02-17T00:00:00"/>
    <x v="16"/>
    <m/>
    <n v="2013454.1715571901"/>
    <n v="360559.30488821003"/>
  </r>
  <r>
    <x v="317"/>
    <x v="316"/>
    <x v="0"/>
    <s v="Security/Compliance"/>
    <s v="Potential"/>
    <m/>
    <m/>
    <m/>
    <m/>
    <m/>
    <m/>
    <m/>
    <m/>
    <m/>
    <m/>
    <m/>
    <n v="6872.21"/>
    <n v="665509.64670851757"/>
    <s v=""/>
    <s v=""/>
    <s v=""/>
    <s v=""/>
    <s v=""/>
    <s v=""/>
    <n v="672381.85670851753"/>
    <n v="672381.85670851753"/>
    <n v="741422.08436388639"/>
    <n v="672517.23924551753"/>
    <n v="1.1024581097663335"/>
    <s v="2018"/>
    <d v="2018-01-10T00:00:00"/>
    <x v="10"/>
    <m/>
    <n v="672517.23924551753"/>
    <n v="665509.64670851757"/>
  </r>
  <r>
    <x v="318"/>
    <x v="317"/>
    <x v="0"/>
    <s v="Security/Compliance"/>
    <s v="Potential"/>
    <m/>
    <m/>
    <m/>
    <m/>
    <m/>
    <m/>
    <m/>
    <m/>
    <m/>
    <m/>
    <m/>
    <n v="110830.64"/>
    <n v="1994833.7757200247"/>
    <n v="2617665.3906476484"/>
    <n v="640594.98459689796"/>
    <s v=""/>
    <s v=""/>
    <s v=""/>
    <s v=""/>
    <n v="5363924.7909645708"/>
    <n v="5363924.7909645708"/>
    <n v="5833131.9581393106"/>
    <n v="5501543.3999185339"/>
    <n v="1.060271915373"/>
    <s v="2020"/>
    <d v="2019-07-26T00:00:00"/>
    <x v="15"/>
    <m/>
    <n v="5291023.6737935068"/>
    <n v="640594.98459689796"/>
  </r>
  <r>
    <x v="319"/>
    <x v="318"/>
    <x v="0"/>
    <s v="Security/Compliance"/>
    <s v="Potential"/>
    <m/>
    <m/>
    <m/>
    <m/>
    <m/>
    <m/>
    <m/>
    <m/>
    <m/>
    <m/>
    <m/>
    <s v=""/>
    <s v=""/>
    <n v="4185709.8769553667"/>
    <n v="3573060.01067578"/>
    <s v=""/>
    <s v=""/>
    <s v=""/>
    <s v=""/>
    <n v="7758769.8876311462"/>
    <n v="7758769.8876311462"/>
    <n v="8313834.2250772053"/>
    <n v="7841228.3722071685"/>
    <n v="1.060271915373"/>
    <s v="2020"/>
    <d v="2019-08-09T00:00:00"/>
    <x v="15"/>
    <m/>
    <n v="7541179.2533680275"/>
    <n v="3573060.01067578"/>
  </r>
  <r>
    <x v="320"/>
    <x v="319"/>
    <x v="0"/>
    <s v="Security/Compliance"/>
    <s v="Potential"/>
    <m/>
    <m/>
    <m/>
    <m/>
    <m/>
    <m/>
    <m/>
    <m/>
    <m/>
    <m/>
    <m/>
    <n v="134979.29"/>
    <n v="2598444.3755109557"/>
    <s v=""/>
    <s v=""/>
    <s v=""/>
    <s v=""/>
    <s v=""/>
    <s v=""/>
    <n v="2733423.6655109557"/>
    <n v="2733423.6655109557"/>
    <n v="3016416.625024118"/>
    <n v="2736082.7575239562"/>
    <n v="1.1024581097663335"/>
    <s v="2018"/>
    <d v="2018-02-19T00:00:00"/>
    <x v="10"/>
    <m/>
    <n v="2736082.7575239558"/>
    <n v="2598444.3755109557"/>
  </r>
  <r>
    <x v="321"/>
    <x v="320"/>
    <x v="0"/>
    <s v="Security/Compliance"/>
    <s v="Potential"/>
    <m/>
    <m/>
    <m/>
    <m/>
    <m/>
    <m/>
    <m/>
    <m/>
    <m/>
    <m/>
    <m/>
    <s v=""/>
    <s v=""/>
    <n v="1615771.1867816681"/>
    <n v="2058237.5140140431"/>
    <s v=""/>
    <s v=""/>
    <s v=""/>
    <s v=""/>
    <n v="3674008.700795711"/>
    <n v="3674008.700795711"/>
    <n v="3929197.4314667024"/>
    <n v="3705839.3931753105"/>
    <n v="1.060271915373"/>
    <s v="2020"/>
    <d v="2019-10-10T00:00:00"/>
    <x v="15"/>
    <m/>
    <n v="3564033.314879871"/>
    <n v="2058237.5140140431"/>
  </r>
  <r>
    <x v="322"/>
    <x v="321"/>
    <x v="0"/>
    <s v="Security/Compliance"/>
    <s v="Potential"/>
    <m/>
    <m/>
    <m/>
    <m/>
    <m/>
    <m/>
    <m/>
    <m/>
    <m/>
    <m/>
    <m/>
    <s v=""/>
    <s v=""/>
    <s v=""/>
    <s v=""/>
    <n v="287283.45290671464"/>
    <n v="3021145.3937607831"/>
    <n v="1490911.2054093385"/>
    <s v=""/>
    <n v="4799340.0520768361"/>
    <n v="4799340.0520768361"/>
    <n v="4870287.0762136867"/>
    <n v="4870287.0762136867"/>
    <n v="1"/>
    <s v="2023"/>
    <d v="2022-10-19T00:00:00"/>
    <x v="16"/>
    <m/>
    <n v="4417661.7987289755"/>
    <n v="1490911.2054093385"/>
  </r>
  <r>
    <x v="323"/>
    <x v="322"/>
    <x v="0"/>
    <s v="Security/Compliance"/>
    <s v="Potential"/>
    <m/>
    <m/>
    <m/>
    <m/>
    <m/>
    <m/>
    <m/>
    <m/>
    <m/>
    <m/>
    <m/>
    <s v=""/>
    <s v=""/>
    <n v="41445.111771690557"/>
    <n v="1329212.3723565296"/>
    <n v="3119935.67292671"/>
    <n v="140643.63313688242"/>
    <s v=""/>
    <s v=""/>
    <n v="4631236.7901918124"/>
    <n v="4631236.7901918124"/>
    <n v="4841621.581836381"/>
    <n v="4656354.1440798584"/>
    <n v="1.0397880900000001"/>
    <s v="2022"/>
    <d v="2021-05-21T00:00:00"/>
    <x v="18"/>
    <m/>
    <n v="4391660.3623720147"/>
    <n v="140643.63313688242"/>
  </r>
  <r>
    <x v="324"/>
    <x v="30"/>
    <x v="0"/>
    <s v="Replacement"/>
    <s v="Active"/>
    <m/>
    <m/>
    <m/>
    <m/>
    <m/>
    <m/>
    <m/>
    <m/>
    <m/>
    <m/>
    <m/>
    <n v="14184599.66"/>
    <n v="7775827.0567743946"/>
    <s v=""/>
    <s v=""/>
    <s v=""/>
    <s v=""/>
    <s v=""/>
    <s v=""/>
    <n v="21960426.716774397"/>
    <n v="21960426.716774397"/>
    <n v="24518517.68833762"/>
    <n v="22239863.330076396"/>
    <n v="1.1024581097663335"/>
    <s v="2018"/>
    <d v="2018-11-16T00:00:00"/>
    <x v="10"/>
    <m/>
    <n v="22239863.330076396"/>
    <n v="7775827.0567743946"/>
  </r>
  <r>
    <x v="325"/>
    <x v="147"/>
    <x v="0"/>
    <s v="Replacement"/>
    <s v="Active"/>
    <m/>
    <m/>
    <m/>
    <m/>
    <m/>
    <m/>
    <m/>
    <m/>
    <m/>
    <m/>
    <m/>
    <n v="4233506.8899999997"/>
    <n v="8308782.8559289984"/>
    <s v=""/>
    <s v=""/>
    <s v=""/>
    <s v=""/>
    <s v=""/>
    <s v=""/>
    <n v="12542289.745928999"/>
    <n v="12542289.745928999"/>
    <n v="13919294.146310106"/>
    <n v="12625689.831661999"/>
    <n v="1.1024581097663335"/>
    <s v="2018"/>
    <d v="2018-03-15T00:00:00"/>
    <x v="10"/>
    <m/>
    <n v="12625689.831661999"/>
    <n v="8308782.8559289984"/>
  </r>
  <r>
    <x v="326"/>
    <x v="30"/>
    <x v="0"/>
    <s v="Replacement"/>
    <s v="Active"/>
    <m/>
    <m/>
    <m/>
    <m/>
    <m/>
    <m/>
    <m/>
    <m/>
    <m/>
    <m/>
    <m/>
    <s v=""/>
    <n v="7775827.0567743946"/>
    <n v="4193716.8756305967"/>
    <n v="140130.92627164605"/>
    <s v=""/>
    <s v=""/>
    <s v=""/>
    <s v=""/>
    <n v="12109674.858676637"/>
    <n v="12109674.858676637"/>
    <n v="13255176.36915723"/>
    <n v="12260151.405203428"/>
    <n v="1.0811592721058483"/>
    <s v="2020"/>
    <d v="2018-11-16T00:00:00"/>
    <x v="12"/>
    <m/>
    <n v="12023292.542123592"/>
    <n v="140130.92627164605"/>
  </r>
  <r>
    <x v="327"/>
    <x v="147"/>
    <x v="0"/>
    <s v="Replacement"/>
    <s v="Active"/>
    <m/>
    <m/>
    <m/>
    <m/>
    <m/>
    <m/>
    <m/>
    <m/>
    <m/>
    <m/>
    <m/>
    <s v=""/>
    <s v=""/>
    <n v="308049.42455996649"/>
    <s v=""/>
    <s v=""/>
    <s v=""/>
    <s v=""/>
    <s v=""/>
    <n v="308049.42455996649"/>
    <n v="308049.42455996649"/>
    <n v="333050.49162987882"/>
    <n v="308049.42455996649"/>
    <n v="1.0811592721058483"/>
    <s v="2019"/>
    <d v="2018-03-15T00:00:00"/>
    <x v="12"/>
    <m/>
    <n v="302098.0921447156"/>
    <n v="308049.42455996649"/>
  </r>
  <r>
    <x v="328"/>
    <x v="251"/>
    <x v="0"/>
    <s v="Refurbishment"/>
    <s v="Potential"/>
    <m/>
    <m/>
    <m/>
    <m/>
    <m/>
    <m/>
    <m/>
    <m/>
    <m/>
    <m/>
    <m/>
    <s v=""/>
    <s v=""/>
    <n v="3651124.183171411"/>
    <n v="6645974.6555068782"/>
    <s v=""/>
    <s v=""/>
    <s v=""/>
    <s v=""/>
    <n v="10297098.838678289"/>
    <n v="10297098.838678289"/>
    <n v="10993987.041760355"/>
    <n v="10369025.985086767"/>
    <n v="1.060271915373"/>
    <s v="2020"/>
    <d v="2023-02-21T00:00:00"/>
    <x v="15"/>
    <m/>
    <n v="9972249.2350213062"/>
    <n v="6645974.6555068782"/>
  </r>
  <r>
    <x v="329"/>
    <x v="251"/>
    <x v="0"/>
    <s v="Refurbishment"/>
    <s v="Potential"/>
    <m/>
    <m/>
    <m/>
    <m/>
    <m/>
    <m/>
    <m/>
    <m/>
    <m/>
    <m/>
    <m/>
    <s v=""/>
    <s v=""/>
    <s v=""/>
    <n v="7705011.3816883778"/>
    <n v="5203106.5619806312"/>
    <s v=""/>
    <s v=""/>
    <s v=""/>
    <n v="12908117.94366901"/>
    <n v="12908117.94366901"/>
    <n v="13579535.40978181"/>
    <n v="13059906.667888271"/>
    <n v="1.0397880900000001"/>
    <s v="2021"/>
    <d v="2023-02-21T00:00:00"/>
    <x v="18"/>
    <m/>
    <n v="12317506.932449341"/>
    <n v="5203106.5619806312"/>
  </r>
  <r>
    <x v="330"/>
    <x v="251"/>
    <x v="0"/>
    <s v="Refurbishment"/>
    <s v="Potential"/>
    <m/>
    <m/>
    <m/>
    <m/>
    <m/>
    <m/>
    <m/>
    <m/>
    <m/>
    <m/>
    <m/>
    <s v=""/>
    <s v=""/>
    <s v=""/>
    <s v=""/>
    <n v="9270077.2524967231"/>
    <n v="9473624.6024659909"/>
    <s v=""/>
    <s v=""/>
    <n v="18743701.854962714"/>
    <n v="18743701.854962714"/>
    <n v="19299170.927660588"/>
    <n v="18926322.3768369"/>
    <n v="1.0197000000000001"/>
    <s v="2022"/>
    <d v="2023-02-21T00:00:00"/>
    <x v="17"/>
    <m/>
    <n v="17505582.077627473"/>
    <n v="9473624.6024659909"/>
  </r>
  <r>
    <x v="331"/>
    <x v="252"/>
    <x v="0"/>
    <s v="Refurbishment"/>
    <s v="Potential"/>
    <m/>
    <m/>
    <m/>
    <m/>
    <m/>
    <m/>
    <m/>
    <m/>
    <m/>
    <m/>
    <m/>
    <s v=""/>
    <s v=""/>
    <s v=""/>
    <s v=""/>
    <n v="445226.61669989506"/>
    <n v="5778180.4339276049"/>
    <s v=""/>
    <s v=""/>
    <n v="6223407.0506274998"/>
    <n v="6223407.0506274998"/>
    <n v="6354951.9218715252"/>
    <n v="6232178.0149764884"/>
    <n v="1.0197000000000001"/>
    <s v="2022"/>
    <d v="2022-12-13T00:00:00"/>
    <x v="17"/>
    <m/>
    <n v="5764347.7476150636"/>
    <n v="5778180.4339276049"/>
  </r>
  <r>
    <x v="332"/>
    <x v="251"/>
    <x v="0"/>
    <s v="Refurbishment"/>
    <s v="Potential"/>
    <m/>
    <m/>
    <m/>
    <m/>
    <m/>
    <m/>
    <m/>
    <m/>
    <m/>
    <m/>
    <m/>
    <s v=""/>
    <s v=""/>
    <s v=""/>
    <s v=""/>
    <s v=""/>
    <n v="5375600.2188921943"/>
    <n v="12159016.322699601"/>
    <s v=""/>
    <n v="17534616.541591793"/>
    <n v="17534616.541591793"/>
    <n v="17640515.865903974"/>
    <n v="17640515.865903974"/>
    <n v="1"/>
    <s v="2023"/>
    <d v="2023-02-21T00:00:00"/>
    <x v="16"/>
    <m/>
    <n v="16001075.877289239"/>
    <n v="12159016.322699601"/>
  </r>
  <r>
    <x v="333"/>
    <x v="252"/>
    <x v="0"/>
    <s v="Refurbishment"/>
    <s v="Potential"/>
    <m/>
    <m/>
    <m/>
    <m/>
    <m/>
    <m/>
    <m/>
    <m/>
    <m/>
    <m/>
    <m/>
    <s v=""/>
    <s v=""/>
    <s v=""/>
    <s v=""/>
    <s v=""/>
    <n v="16023.311133857258"/>
    <n v="3607758.8541768803"/>
    <s v=""/>
    <n v="3623782.1653107377"/>
    <n v="3623782.1653107377"/>
    <n v="3624097.8245400744"/>
    <n v="3624097.8245400744"/>
    <n v="1"/>
    <s v="2023"/>
    <d v="2022-12-13T00:00:00"/>
    <x v="16"/>
    <m/>
    <n v="3287288.4624234871"/>
    <n v="3607758.8541768803"/>
  </r>
  <r>
    <x v="334"/>
    <x v="129"/>
    <x v="0"/>
    <s v="Replacement"/>
    <s v="Active"/>
    <m/>
    <m/>
    <m/>
    <m/>
    <m/>
    <m/>
    <m/>
    <m/>
    <m/>
    <m/>
    <m/>
    <n v="2549394.0750000002"/>
    <n v="3559590.6793591063"/>
    <n v="69397.138780549358"/>
    <s v=""/>
    <s v=""/>
    <s v=""/>
    <s v=""/>
    <s v=""/>
    <n v="6178381.8931396557"/>
    <n v="6178381.8931396557"/>
    <n v="6865297.9683398847"/>
    <n v="6227264.2448019972"/>
    <n v="1.1024581097663335"/>
    <s v="2019"/>
    <d v="2017-05-08T00:00:00"/>
    <x v="10"/>
    <m/>
    <n v="6227264.2448019981"/>
    <n v="69397.138780549358"/>
  </r>
  <r>
    <x v="335"/>
    <x v="323"/>
    <x v="0"/>
    <s v="Security/Compliance"/>
    <s v="Potential"/>
    <m/>
    <m/>
    <m/>
    <m/>
    <m/>
    <m/>
    <m/>
    <m/>
    <m/>
    <m/>
    <m/>
    <s v=""/>
    <n v="2863576.2253725729"/>
    <n v="633705.64434691332"/>
    <s v=""/>
    <s v=""/>
    <s v=""/>
    <s v=""/>
    <s v=""/>
    <n v="3497281.8697194862"/>
    <n v="3497281.8697194862"/>
    <n v="3842109.5657675355"/>
    <n v="3485039.0520342514"/>
    <n v="1.1024581097663335"/>
    <s v="2019"/>
    <d v="2018-06-05T00:00:00"/>
    <x v="10"/>
    <m/>
    <n v="3485039.0520342514"/>
    <n v="633705.64434691332"/>
  </r>
  <r>
    <x v="336"/>
    <x v="324"/>
    <x v="0"/>
    <s v="Security/Compliance"/>
    <s v="Potential"/>
    <m/>
    <m/>
    <m/>
    <m/>
    <m/>
    <m/>
    <m/>
    <m/>
    <m/>
    <m/>
    <m/>
    <s v=""/>
    <s v=""/>
    <s v=""/>
    <s v=""/>
    <n v="94579.716557499181"/>
    <n v="455135.08295723586"/>
    <n v="1015878.8286371749"/>
    <s v=""/>
    <n v="1565593.6281519099"/>
    <n v="1565593.6281519099"/>
    <n v="1578322.9355607317"/>
    <n v="1578322.9355607317"/>
    <n v="1"/>
    <s v="2023"/>
    <d v="2023-03-06T00:00:00"/>
    <x v="16"/>
    <m/>
    <n v="1431639.8252041142"/>
    <n v="1015878.8286371749"/>
  </r>
  <r>
    <x v="337"/>
    <x v="325"/>
    <x v="4"/>
    <m/>
    <m/>
    <m/>
    <m/>
    <m/>
    <m/>
    <m/>
    <m/>
    <m/>
    <m/>
    <m/>
    <m/>
    <m/>
    <m/>
    <m/>
    <m/>
    <m/>
    <m/>
    <m/>
    <m/>
    <m/>
    <m/>
    <m/>
    <m/>
    <m/>
    <m/>
    <m/>
    <m/>
    <x v="22"/>
    <m/>
    <m/>
    <m/>
  </r>
  <r>
    <x v="337"/>
    <x v="325"/>
    <x v="4"/>
    <m/>
    <m/>
    <m/>
    <m/>
    <m/>
    <m/>
    <m/>
    <m/>
    <m/>
    <m/>
    <m/>
    <m/>
    <m/>
    <m/>
    <m/>
    <m/>
    <m/>
    <m/>
    <m/>
    <m/>
    <m/>
    <m/>
    <m/>
    <m/>
    <m/>
    <m/>
    <m/>
    <m/>
    <x v="22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compact="0" compactData="0" multipleFieldFilters="0">
  <location ref="A17:J287" firstHeaderRow="1" firstDataRow="2" firstDataCol="2" rowPageCount="1" colPageCount="1"/>
  <pivotFields count="35">
    <pivotField axis="axisRow" compact="0" outline="0" showAll="0" defaultSubtotal="0">
      <items count="417">
        <item x="0"/>
        <item m="1" x="342"/>
        <item m="1" x="343"/>
        <item m="1" x="349"/>
        <item x="1"/>
        <item x="2"/>
        <item m="1" x="402"/>
        <item m="1" x="407"/>
        <item x="3"/>
        <item x="4"/>
        <item m="1" x="410"/>
        <item x="5"/>
        <item x="6"/>
        <item x="7"/>
        <item x="8"/>
        <item m="1" x="383"/>
        <item m="1" x="367"/>
        <item x="9"/>
        <item m="1" x="387"/>
        <item m="1" x="385"/>
        <item m="1" x="361"/>
        <item m="1" x="397"/>
        <item m="1" x="381"/>
        <item m="1" x="363"/>
        <item m="1" x="395"/>
        <item m="1" x="399"/>
        <item m="1" x="338"/>
        <item x="10"/>
        <item m="1" x="415"/>
        <item x="11"/>
        <item m="1" x="400"/>
        <item x="12"/>
        <item x="13"/>
        <item x="14"/>
        <item m="1" x="408"/>
        <item m="1" x="389"/>
        <item m="1" x="358"/>
        <item m="1" x="392"/>
        <item m="1" x="376"/>
        <item x="15"/>
        <item x="16"/>
        <item x="18"/>
        <item m="1" x="403"/>
        <item m="1" x="386"/>
        <item x="19"/>
        <item x="20"/>
        <item m="1" x="372"/>
        <item m="1" x="354"/>
        <item x="21"/>
        <item x="22"/>
        <item x="23"/>
        <item x="24"/>
        <item x="25"/>
        <item x="26"/>
        <item x="27"/>
        <item x="28"/>
        <item m="1" x="370"/>
        <item m="1" x="353"/>
        <item x="29"/>
        <item m="1" x="405"/>
        <item m="1" x="388"/>
        <item m="1" x="344"/>
        <item m="1" x="346"/>
        <item x="30"/>
        <item m="1" x="347"/>
        <item x="31"/>
        <item m="1" x="341"/>
        <item m="1" x="390"/>
        <item m="1" x="345"/>
        <item m="1" x="377"/>
        <item m="1" x="413"/>
        <item m="1" x="401"/>
        <item m="1" x="350"/>
        <item m="1" x="384"/>
        <item m="1" x="355"/>
        <item x="32"/>
        <item x="33"/>
        <item x="34"/>
        <item x="35"/>
        <item m="1" x="411"/>
        <item x="36"/>
        <item m="1" x="375"/>
        <item x="37"/>
        <item m="1" x="379"/>
        <item m="1" x="416"/>
        <item m="1" x="398"/>
        <item x="38"/>
        <item x="39"/>
        <item m="1" x="373"/>
        <item m="1" x="414"/>
        <item x="40"/>
        <item m="1" x="356"/>
        <item x="41"/>
        <item x="42"/>
        <item x="43"/>
        <item x="44"/>
        <item x="45"/>
        <item m="1" x="362"/>
        <item x="46"/>
        <item x="47"/>
        <item x="48"/>
        <item x="49"/>
        <item x="50"/>
        <item x="51"/>
        <item x="52"/>
        <item m="1" x="348"/>
        <item x="53"/>
        <item m="1" x="365"/>
        <item m="1" x="351"/>
        <item m="1" x="339"/>
        <item m="1" x="404"/>
        <item x="54"/>
        <item m="1" x="368"/>
        <item x="55"/>
        <item x="56"/>
        <item x="57"/>
        <item m="1" x="374"/>
        <item m="1" x="359"/>
        <item m="1" x="396"/>
        <item m="1" x="378"/>
        <item m="1" x="352"/>
        <item x="58"/>
        <item x="59"/>
        <item x="60"/>
        <item m="1" x="382"/>
        <item x="61"/>
        <item x="62"/>
        <item m="1" x="371"/>
        <item x="63"/>
        <item m="1" x="406"/>
        <item x="64"/>
        <item x="65"/>
        <item x="66"/>
        <item m="1" x="412"/>
        <item m="1" x="380"/>
        <item x="67"/>
        <item x="68"/>
        <item x="69"/>
        <item x="70"/>
        <item m="1" x="340"/>
        <item x="71"/>
        <item x="72"/>
        <item x="73"/>
        <item x="74"/>
        <item m="1" x="409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m="1" x="391"/>
        <item x="87"/>
        <item x="88"/>
        <item m="1" x="393"/>
        <item x="89"/>
        <item x="90"/>
        <item x="91"/>
        <item x="92"/>
        <item x="93"/>
        <item x="94"/>
        <item x="95"/>
        <item x="96"/>
        <item m="1" x="357"/>
        <item x="97"/>
        <item x="98"/>
        <item x="99"/>
        <item x="100"/>
        <item x="101"/>
        <item x="102"/>
        <item x="103"/>
        <item x="104"/>
        <item x="105"/>
        <item x="106"/>
        <item m="1" x="369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m="1" x="394"/>
        <item x="129"/>
        <item x="130"/>
        <item x="131"/>
        <item x="132"/>
        <item m="1" x="366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m="1" x="360"/>
        <item x="152"/>
        <item x="153"/>
        <item m="1" x="364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6"/>
        <item x="337"/>
        <item x="285"/>
        <item x="17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5"/>
        <item x="336"/>
        <item x="334"/>
      </items>
    </pivotField>
    <pivotField axis="axisRow" compact="0" outline="0" showAll="0">
      <items count="406">
        <item x="34"/>
        <item x="45"/>
        <item m="1" x="374"/>
        <item m="1" x="352"/>
        <item m="1" x="342"/>
        <item m="1" x="376"/>
        <item m="1" x="392"/>
        <item m="1" x="354"/>
        <item x="50"/>
        <item x="107"/>
        <item m="1" x="343"/>
        <item m="1" x="341"/>
        <item m="1" x="359"/>
        <item m="1" x="330"/>
        <item m="1" x="396"/>
        <item m="1" x="401"/>
        <item m="1" x="382"/>
        <item m="1" x="375"/>
        <item m="1" x="368"/>
        <item m="1" x="379"/>
        <item m="1" x="397"/>
        <item m="1" x="329"/>
        <item m="1" x="369"/>
        <item m="1" x="346"/>
        <item m="1" x="388"/>
        <item m="1" x="398"/>
        <item m="1" x="344"/>
        <item m="1" x="356"/>
        <item m="1" x="334"/>
        <item m="1" x="380"/>
        <item x="14"/>
        <item m="1" x="391"/>
        <item m="1" x="390"/>
        <item m="1" x="345"/>
        <item m="1" x="381"/>
        <item x="44"/>
        <item x="228"/>
        <item x="76"/>
        <item x="0"/>
        <item x="28"/>
        <item x="31"/>
        <item x="8"/>
        <item x="218"/>
        <item x="208"/>
        <item x="22"/>
        <item x="260"/>
        <item x="84"/>
        <item x="187"/>
        <item x="202"/>
        <item x="209"/>
        <item x="274"/>
        <item x="118"/>
        <item x="227"/>
        <item x="265"/>
        <item x="48"/>
        <item x="43"/>
        <item x="51"/>
        <item m="1" x="373"/>
        <item x="249"/>
        <item x="119"/>
        <item x="60"/>
        <item x="66"/>
        <item x="36"/>
        <item x="61"/>
        <item x="85"/>
        <item x="191"/>
        <item x="221"/>
        <item x="2"/>
        <item m="1" x="351"/>
        <item m="1" x="372"/>
        <item m="1" x="353"/>
        <item m="1" x="336"/>
        <item m="1" x="362"/>
        <item x="13"/>
        <item m="1" x="337"/>
        <item m="1" x="331"/>
        <item x="198"/>
        <item x="27"/>
        <item m="1" x="367"/>
        <item m="1" x="385"/>
        <item m="1" x="377"/>
        <item m="1" x="371"/>
        <item m="1" x="348"/>
        <item m="1" x="328"/>
        <item m="1" x="402"/>
        <item m="1" x="394"/>
        <item x="127"/>
        <item x="69"/>
        <item m="1" x="360"/>
        <item x="10"/>
        <item x="54"/>
        <item x="132"/>
        <item m="1" x="338"/>
        <item m="1" x="347"/>
        <item x="276"/>
        <item x="163"/>
        <item m="1" x="355"/>
        <item m="1" x="383"/>
        <item x="25"/>
        <item x="203"/>
        <item x="240"/>
        <item x="232"/>
        <item x="176"/>
        <item x="71"/>
        <item x="94"/>
        <item x="55"/>
        <item x="32"/>
        <item x="206"/>
        <item x="108"/>
        <item x="41"/>
        <item m="1" x="357"/>
        <item x="211"/>
        <item x="91"/>
        <item x="18"/>
        <item x="89"/>
        <item x="86"/>
        <item x="144"/>
        <item x="15"/>
        <item m="1" x="370"/>
        <item x="189"/>
        <item x="79"/>
        <item x="124"/>
        <item x="145"/>
        <item x="154"/>
        <item x="168"/>
        <item x="177"/>
        <item x="183"/>
        <item x="253"/>
        <item x="278"/>
        <item m="1" x="358"/>
        <item x="146"/>
        <item x="182"/>
        <item m="1" x="332"/>
        <item m="1" x="363"/>
        <item m="1" x="404"/>
        <item x="1"/>
        <item x="255"/>
        <item x="135"/>
        <item m="1" x="340"/>
        <item x="280"/>
        <item x="26"/>
        <item x="220"/>
        <item x="16"/>
        <item x="24"/>
        <item m="1" x="364"/>
        <item m="1" x="384"/>
        <item x="80"/>
        <item x="106"/>
        <item x="125"/>
        <item x="148"/>
        <item x="157"/>
        <item x="174"/>
        <item x="214"/>
        <item x="215"/>
        <item x="216"/>
        <item x="156"/>
        <item x="283"/>
        <item x="222"/>
        <item x="56"/>
        <item x="101"/>
        <item m="1" x="387"/>
        <item x="104"/>
        <item m="1" x="389"/>
        <item x="103"/>
        <item x="172"/>
        <item x="212"/>
        <item x="57"/>
        <item x="102"/>
        <item x="160"/>
        <item x="63"/>
        <item x="269"/>
        <item m="1" x="326"/>
        <item m="1" x="333"/>
        <item x="241"/>
        <item x="252"/>
        <item x="251"/>
        <item x="247"/>
        <item x="73"/>
        <item x="256"/>
        <item x="281"/>
        <item x="67"/>
        <item x="49"/>
        <item x="115"/>
        <item x="248"/>
        <item x="167"/>
        <item x="178"/>
        <item x="88"/>
        <item x="5"/>
        <item x="277"/>
        <item x="282"/>
        <item m="1" x="403"/>
        <item x="257"/>
        <item x="20"/>
        <item x="242"/>
        <item x="223"/>
        <item x="224"/>
        <item x="225"/>
        <item x="40"/>
        <item x="273"/>
        <item x="113"/>
        <item x="139"/>
        <item x="23"/>
        <item x="245"/>
        <item x="134"/>
        <item x="11"/>
        <item x="188"/>
        <item x="129"/>
        <item x="258"/>
        <item x="112"/>
        <item x="204"/>
        <item x="263"/>
        <item x="231"/>
        <item x="264"/>
        <item m="1" x="400"/>
        <item m="1" x="365"/>
        <item x="143"/>
        <item x="173"/>
        <item x="181"/>
        <item x="192"/>
        <item m="1" x="393"/>
        <item x="111"/>
        <item x="128"/>
        <item x="42"/>
        <item m="1" x="361"/>
        <item x="233"/>
        <item x="29"/>
        <item x="19"/>
        <item x="46"/>
        <item x="38"/>
        <item x="234"/>
        <item x="52"/>
        <item x="275"/>
        <item x="164"/>
        <item x="219"/>
        <item x="78"/>
        <item x="90"/>
        <item x="175"/>
        <item x="133"/>
        <item x="39"/>
        <item x="120"/>
        <item m="1" x="339"/>
        <item x="3"/>
        <item x="244"/>
        <item x="87"/>
        <item x="30"/>
        <item x="149"/>
        <item x="53"/>
        <item m="1" x="335"/>
        <item x="213"/>
        <item x="279"/>
        <item x="35"/>
        <item x="235"/>
        <item x="201"/>
        <item m="1" x="378"/>
        <item x="65"/>
        <item x="7"/>
        <item x="21"/>
        <item x="70"/>
        <item x="285"/>
        <item m="1" x="395"/>
        <item x="246"/>
        <item x="97"/>
        <item x="98"/>
        <item x="99"/>
        <item x="121"/>
        <item x="77"/>
        <item x="250"/>
        <item x="138"/>
        <item x="9"/>
        <item x="68"/>
        <item x="217"/>
        <item x="205"/>
        <item x="37"/>
        <item x="81"/>
        <item x="47"/>
        <item x="136"/>
        <item x="64"/>
        <item x="137"/>
        <item x="180"/>
        <item x="262"/>
        <item x="243"/>
        <item x="116"/>
        <item m="1" x="350"/>
        <item m="1" x="366"/>
        <item x="12"/>
        <item x="100"/>
        <item x="229"/>
        <item m="1" x="386"/>
        <item x="114"/>
        <item x="74"/>
        <item m="1" x="327"/>
        <item x="147"/>
        <item x="92"/>
        <item m="1" x="349"/>
        <item x="96"/>
        <item x="72"/>
        <item x="110"/>
        <item x="150"/>
        <item x="155"/>
        <item x="169"/>
        <item x="179"/>
        <item x="184"/>
        <item x="190"/>
        <item x="4"/>
        <item x="131"/>
        <item x="123"/>
        <item x="6"/>
        <item x="237"/>
        <item x="238"/>
        <item x="239"/>
        <item x="33"/>
        <item m="1" x="399"/>
        <item x="152"/>
        <item x="325"/>
        <item x="284"/>
        <item x="17"/>
        <item x="58"/>
        <item x="59"/>
        <item x="62"/>
        <item x="75"/>
        <item x="82"/>
        <item x="83"/>
        <item x="93"/>
        <item x="95"/>
        <item x="105"/>
        <item x="109"/>
        <item x="117"/>
        <item x="122"/>
        <item x="126"/>
        <item x="130"/>
        <item x="140"/>
        <item x="141"/>
        <item x="142"/>
        <item x="151"/>
        <item x="153"/>
        <item x="158"/>
        <item x="159"/>
        <item x="161"/>
        <item x="162"/>
        <item x="165"/>
        <item x="166"/>
        <item x="170"/>
        <item x="171"/>
        <item x="185"/>
        <item x="186"/>
        <item x="193"/>
        <item x="194"/>
        <item x="195"/>
        <item x="196"/>
        <item x="197"/>
        <item x="199"/>
        <item x="200"/>
        <item x="207"/>
        <item x="210"/>
        <item x="226"/>
        <item x="230"/>
        <item x="236"/>
        <item x="254"/>
        <item x="259"/>
        <item x="261"/>
        <item x="266"/>
        <item x="267"/>
        <item x="268"/>
        <item x="270"/>
        <item x="271"/>
        <item x="272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t="default"/>
      </items>
    </pivotField>
    <pivotField axis="axisPage" compact="0" outline="0" showAll="0">
      <items count="7">
        <item x="2"/>
        <item x="1"/>
        <item x="0"/>
        <item x="4"/>
        <item x="3"/>
        <item m="1" x="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axis="axisCol" compact="0" outline="0" showAll="0">
      <items count="26">
        <item h="1" x="11"/>
        <item h="1" x="2"/>
        <item h="1" x="0"/>
        <item h="1" x="6"/>
        <item h="1" x="4"/>
        <item h="1" x="8"/>
        <item h="1" x="5"/>
        <item x="1"/>
        <item x="10"/>
        <item x="12"/>
        <item x="15"/>
        <item x="18"/>
        <item x="17"/>
        <item x="16"/>
        <item h="1" x="19"/>
        <item h="1" x="20"/>
        <item h="1" m="1" x="24"/>
        <item h="1" x="3"/>
        <item h="1" x="13"/>
        <item h="1" x="7"/>
        <item h="1" x="14"/>
        <item h="1" m="1" x="23"/>
        <item h="1" x="9"/>
        <item h="1" x="22"/>
        <item h="1" x="21"/>
        <item t="default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2">
    <field x="0"/>
    <field x="1"/>
  </rowFields>
  <rowItems count="269">
    <i>
      <x v="4"/>
      <x v="135"/>
    </i>
    <i>
      <x v="11"/>
      <x v="187"/>
    </i>
    <i>
      <x v="17"/>
      <x v="268"/>
    </i>
    <i>
      <x v="40"/>
      <x v="142"/>
    </i>
    <i>
      <x v="49"/>
      <x v="44"/>
    </i>
    <i>
      <x v="50"/>
      <x v="201"/>
    </i>
    <i>
      <x v="51"/>
      <x v="143"/>
    </i>
    <i>
      <x v="53"/>
      <x v="140"/>
    </i>
    <i>
      <x v="54"/>
      <x v="77"/>
    </i>
    <i>
      <x v="55"/>
      <x v="39"/>
    </i>
    <i>
      <x v="63"/>
      <x v="244"/>
    </i>
    <i>
      <x v="65"/>
      <x v="40"/>
    </i>
    <i>
      <x v="75"/>
      <x v="106"/>
    </i>
    <i>
      <x v="77"/>
      <x/>
    </i>
    <i>
      <x v="78"/>
      <x v="250"/>
    </i>
    <i>
      <x v="90"/>
      <x v="197"/>
    </i>
    <i>
      <x v="92"/>
      <x v="109"/>
    </i>
    <i>
      <x v="93"/>
      <x v="222"/>
    </i>
    <i>
      <x v="96"/>
      <x v="1"/>
    </i>
    <i>
      <x v="98"/>
      <x v="227"/>
    </i>
    <i>
      <x v="99"/>
      <x v="274"/>
    </i>
    <i>
      <x v="100"/>
      <x v="54"/>
    </i>
    <i>
      <x v="104"/>
      <x v="230"/>
    </i>
    <i>
      <x v="106"/>
      <x v="246"/>
    </i>
    <i>
      <x v="111"/>
      <x v="90"/>
    </i>
    <i>
      <x v="113"/>
      <x v="105"/>
    </i>
    <i>
      <x v="126"/>
      <x v="318"/>
    </i>
    <i>
      <x v="128"/>
      <x v="169"/>
    </i>
    <i>
      <x v="130"/>
      <x v="276"/>
    </i>
    <i>
      <x v="132"/>
      <x v="61"/>
    </i>
    <i>
      <x v="136"/>
      <x v="269"/>
    </i>
    <i>
      <x v="137"/>
      <x v="87"/>
    </i>
    <i>
      <x v="138"/>
      <x v="257"/>
    </i>
    <i>
      <x v="140"/>
      <x v="103"/>
    </i>
    <i>
      <x v="142"/>
      <x v="177"/>
    </i>
    <i>
      <x v="143"/>
      <x v="289"/>
    </i>
    <i>
      <x v="145"/>
      <x v="319"/>
    </i>
    <i>
      <x v="147"/>
      <x v="265"/>
    </i>
    <i>
      <x v="151"/>
      <x v="273"/>
    </i>
    <i>
      <x v="152"/>
      <x v="320"/>
    </i>
    <i>
      <x v="153"/>
      <x v="321"/>
    </i>
    <i>
      <x v="154"/>
      <x v="46"/>
    </i>
    <i>
      <x v="156"/>
      <x v="115"/>
    </i>
    <i>
      <x v="158"/>
      <x v="243"/>
    </i>
    <i>
      <x v="159"/>
      <x v="186"/>
    </i>
    <i>
      <x v="162"/>
      <x v="235"/>
    </i>
    <i>
      <x v="163"/>
      <x v="112"/>
    </i>
    <i>
      <x v="164"/>
      <x v="292"/>
    </i>
    <i>
      <x v="166"/>
      <x v="104"/>
    </i>
    <i>
      <x v="168"/>
      <x v="294"/>
    </i>
    <i>
      <x v="170"/>
      <x v="261"/>
    </i>
    <i>
      <x v="171"/>
      <x v="262"/>
    </i>
    <i>
      <x v="172"/>
      <x v="263"/>
    </i>
    <i>
      <x v="173"/>
      <x v="285"/>
    </i>
    <i>
      <x v="174"/>
      <x v="159"/>
    </i>
    <i>
      <x v="176"/>
      <x v="163"/>
    </i>
    <i>
      <x v="177"/>
      <x v="161"/>
    </i>
    <i>
      <x v="179"/>
      <x v="147"/>
    </i>
    <i>
      <x v="182"/>
      <x v="108"/>
    </i>
    <i>
      <x v="183"/>
      <x v="325"/>
    </i>
    <i>
      <x v="184"/>
      <x v="296"/>
    </i>
    <i>
      <x v="185"/>
      <x v="220"/>
    </i>
    <i>
      <x v="186"/>
      <x v="208"/>
    </i>
    <i>
      <x v="187"/>
      <x v="199"/>
    </i>
    <i>
      <x v="188"/>
      <x v="288"/>
    </i>
    <i>
      <x v="190"/>
      <x v="281"/>
    </i>
    <i>
      <x v="191"/>
      <x v="326"/>
    </i>
    <i>
      <x v="192"/>
      <x v="51"/>
    </i>
    <i>
      <x v="193"/>
      <x v="59"/>
    </i>
    <i>
      <x v="195"/>
      <x v="264"/>
    </i>
    <i>
      <x v="196"/>
      <x v="327"/>
    </i>
    <i>
      <x v="197"/>
      <x v="305"/>
    </i>
    <i>
      <x v="198"/>
      <x v="121"/>
    </i>
    <i>
      <x v="199"/>
      <x v="148"/>
    </i>
    <i>
      <x v="200"/>
      <x v="328"/>
    </i>
    <i>
      <x v="201"/>
      <x v="86"/>
    </i>
    <i>
      <x v="202"/>
      <x v="221"/>
    </i>
    <i>
      <x v="204"/>
      <x v="206"/>
    </i>
    <i>
      <x v="206"/>
      <x v="304"/>
    </i>
    <i>
      <x v="207"/>
      <x v="91"/>
    </i>
    <i>
      <x v="209"/>
      <x v="237"/>
    </i>
    <i>
      <x v="211"/>
      <x v="137"/>
    </i>
    <i>
      <x v="212"/>
      <x v="275"/>
    </i>
    <i>
      <x v="213"/>
      <x v="277"/>
    </i>
    <i>
      <x v="214"/>
      <x v="267"/>
    </i>
    <i>
      <x v="215"/>
      <x v="200"/>
    </i>
    <i>
      <x v="216"/>
      <x v="330"/>
    </i>
    <i>
      <x v="217"/>
      <x v="331"/>
    </i>
    <i>
      <x v="218"/>
      <x v="332"/>
    </i>
    <i>
      <x v="219"/>
      <x v="215"/>
    </i>
    <i>
      <x v="220"/>
      <x v="116"/>
    </i>
    <i>
      <x v="221"/>
      <x v="122"/>
    </i>
    <i>
      <x v="222"/>
      <x v="130"/>
    </i>
    <i>
      <x v="223"/>
      <x v="291"/>
    </i>
    <i>
      <x v="224"/>
      <x v="149"/>
    </i>
    <i>
      <x v="225"/>
      <x v="245"/>
    </i>
    <i>
      <x v="226"/>
      <x v="297"/>
    </i>
    <i>
      <x v="227"/>
      <x v="333"/>
    </i>
    <i>
      <x v="230"/>
      <x v="334"/>
    </i>
    <i>
      <x v="232"/>
      <x v="123"/>
    </i>
    <i>
      <x v="233"/>
      <x v="298"/>
    </i>
    <i>
      <x v="234"/>
      <x v="155"/>
    </i>
    <i>
      <x v="235"/>
      <x v="150"/>
    </i>
    <i>
      <x v="236"/>
      <x v="335"/>
    </i>
    <i>
      <x v="237"/>
      <x v="336"/>
    </i>
    <i>
      <x v="238"/>
      <x v="168"/>
    </i>
    <i>
      <x v="239"/>
      <x v="337"/>
    </i>
    <i>
      <x v="241"/>
      <x v="95"/>
    </i>
    <i>
      <x v="242"/>
      <x v="232"/>
    </i>
    <i>
      <x v="245"/>
      <x v="184"/>
    </i>
    <i>
      <x v="246"/>
      <x v="124"/>
    </i>
    <i>
      <x v="247"/>
      <x v="299"/>
    </i>
    <i>
      <x v="248"/>
      <x v="341"/>
    </i>
    <i>
      <x v="249"/>
      <x v="342"/>
    </i>
    <i>
      <x v="250"/>
      <x v="164"/>
    </i>
    <i>
      <x v="251"/>
      <x v="216"/>
    </i>
    <i>
      <x v="252"/>
      <x v="151"/>
    </i>
    <i>
      <x v="253"/>
      <x v="236"/>
    </i>
    <i>
      <x v="254"/>
      <x v="102"/>
    </i>
    <i>
      <x v="255"/>
      <x v="125"/>
    </i>
    <i>
      <x v="256"/>
      <x v="185"/>
    </i>
    <i>
      <x v="257"/>
      <x v="300"/>
    </i>
    <i>
      <x v="258"/>
      <x v="278"/>
    </i>
    <i>
      <x v="259"/>
      <x v="217"/>
    </i>
    <i>
      <x v="260"/>
      <x v="131"/>
    </i>
    <i>
      <x v="261"/>
      <x v="126"/>
    </i>
    <i>
      <x v="262"/>
      <x v="301"/>
    </i>
    <i>
      <x v="263"/>
      <x v="343"/>
    </i>
    <i>
      <x v="264"/>
      <x v="344"/>
    </i>
    <i>
      <x v="265"/>
      <x v="47"/>
    </i>
    <i>
      <x v="266"/>
      <x v="205"/>
    </i>
    <i>
      <x v="268"/>
      <x v="302"/>
    </i>
    <i>
      <x v="272"/>
      <x v="346"/>
    </i>
    <i>
      <x v="273"/>
      <x v="347"/>
    </i>
    <i>
      <x v="274"/>
      <x v="348"/>
    </i>
    <i>
      <x v="275"/>
      <x v="349"/>
    </i>
    <i>
      <x v="277"/>
      <x v="350"/>
    </i>
    <i>
      <x v="278"/>
      <x v="351"/>
    </i>
    <i>
      <x v="279"/>
      <x v="252"/>
    </i>
    <i>
      <x v="280"/>
      <x v="48"/>
    </i>
    <i>
      <x v="281"/>
      <x v="99"/>
    </i>
    <i>
      <x v="282"/>
      <x v="209"/>
    </i>
    <i>
      <x v="283"/>
      <x v="271"/>
    </i>
    <i>
      <x v="284"/>
      <x v="107"/>
    </i>
    <i>
      <x v="285"/>
      <x v="352"/>
    </i>
    <i>
      <x v="286"/>
      <x v="43"/>
    </i>
    <i>
      <x v="287"/>
      <x v="49"/>
    </i>
    <i>
      <x v="288"/>
      <x v="353"/>
    </i>
    <i>
      <x v="289"/>
      <x v="111"/>
    </i>
    <i>
      <x v="291"/>
      <x v="248"/>
    </i>
    <i>
      <x v="292"/>
      <x v="152"/>
    </i>
    <i>
      <x v="293"/>
      <x v="153"/>
    </i>
    <i>
      <x v="294"/>
      <x v="154"/>
    </i>
    <i>
      <x v="295"/>
      <x v="270"/>
    </i>
    <i>
      <x v="296"/>
      <x v="42"/>
    </i>
    <i>
      <x v="297"/>
      <x v="233"/>
    </i>
    <i>
      <x v="298"/>
      <x v="141"/>
    </i>
    <i>
      <x v="299"/>
      <x v="66"/>
    </i>
    <i>
      <x v="300"/>
      <x v="157"/>
    </i>
    <i>
      <x v="301"/>
      <x v="194"/>
    </i>
    <i>
      <x v="302"/>
      <x v="195"/>
    </i>
    <i>
      <x v="303"/>
      <x v="196"/>
    </i>
    <i>
      <x v="304"/>
      <x v="354"/>
    </i>
    <i>
      <x v="305"/>
      <x v="52"/>
    </i>
    <i>
      <x v="306"/>
      <x v="36"/>
    </i>
    <i>
      <x v="307"/>
      <x v="286"/>
    </i>
    <i>
      <x v="308"/>
      <x v="355"/>
    </i>
    <i>
      <x v="309"/>
      <x v="211"/>
    </i>
    <i>
      <x v="310"/>
      <x v="101"/>
    </i>
    <i>
      <x v="311"/>
      <x v="224"/>
    </i>
    <i>
      <x v="312"/>
      <x v="229"/>
    </i>
    <i>
      <x v="313"/>
      <x v="251"/>
    </i>
    <i>
      <x v="314"/>
      <x v="356"/>
    </i>
    <i>
      <x v="315"/>
      <x v="307"/>
    </i>
    <i>
      <x v="316"/>
      <x v="308"/>
    </i>
    <i>
      <x v="317"/>
      <x v="309"/>
    </i>
    <i>
      <x v="318"/>
      <x v="100"/>
    </i>
    <i>
      <x v="319"/>
      <x v="173"/>
    </i>
    <i>
      <x v="320"/>
      <x v="193"/>
    </i>
    <i>
      <x v="321"/>
      <x v="280"/>
    </i>
    <i>
      <x v="322"/>
      <x v="265"/>
    </i>
    <i>
      <x v="323"/>
      <x v="242"/>
    </i>
    <i>
      <x v="324"/>
      <x v="202"/>
    </i>
    <i>
      <x v="325"/>
      <x v="260"/>
    </i>
    <i>
      <x v="326"/>
      <x v="176"/>
    </i>
    <i>
      <x v="327"/>
      <x v="183"/>
    </i>
    <i>
      <x v="328"/>
      <x v="58"/>
    </i>
    <i>
      <x v="329"/>
      <x v="266"/>
    </i>
    <i>
      <x v="330"/>
      <x v="175"/>
    </i>
    <i>
      <x v="331"/>
      <x v="174"/>
    </i>
    <i>
      <x v="332"/>
      <x v="127"/>
    </i>
    <i>
      <x v="333"/>
      <x v="357"/>
    </i>
    <i>
      <x v="334"/>
      <x v="136"/>
    </i>
    <i>
      <x v="335"/>
      <x v="178"/>
    </i>
    <i>
      <x v="336"/>
      <x v="191"/>
    </i>
    <i>
      <x v="337"/>
      <x v="207"/>
    </i>
    <i>
      <x v="339"/>
      <x v="45"/>
    </i>
    <i>
      <x v="341"/>
      <x v="279"/>
    </i>
    <i>
      <x v="342"/>
      <x v="210"/>
    </i>
    <i>
      <x v="343"/>
      <x v="212"/>
    </i>
    <i>
      <x v="344"/>
      <x v="53"/>
    </i>
    <i>
      <x v="345"/>
      <x v="360"/>
    </i>
    <i>
      <x v="346"/>
      <x v="361"/>
    </i>
    <i>
      <x v="347"/>
      <x v="362"/>
    </i>
    <i>
      <x v="348"/>
      <x v="170"/>
    </i>
    <i>
      <x v="349"/>
      <x v="363"/>
    </i>
    <i>
      <x v="350"/>
      <x v="364"/>
    </i>
    <i>
      <x v="351"/>
      <x v="365"/>
    </i>
    <i>
      <x v="353"/>
      <x v="50"/>
    </i>
    <i>
      <x v="354"/>
      <x v="231"/>
    </i>
    <i>
      <x v="355"/>
      <x v="94"/>
    </i>
    <i>
      <x v="356"/>
      <x v="188"/>
    </i>
    <i>
      <x v="357"/>
      <x v="128"/>
    </i>
    <i>
      <x v="358"/>
      <x v="249"/>
    </i>
    <i>
      <x v="359"/>
      <x v="139"/>
    </i>
    <i>
      <x v="360"/>
      <x v="179"/>
    </i>
    <i>
      <x v="361"/>
      <x v="189"/>
    </i>
    <i>
      <x v="362"/>
      <x v="156"/>
    </i>
    <i>
      <x v="363"/>
      <x v="258"/>
    </i>
    <i>
      <x v="365"/>
      <x v="314"/>
    </i>
    <i>
      <x v="367"/>
      <x v="366"/>
    </i>
    <i>
      <x v="368"/>
      <x v="367"/>
    </i>
    <i>
      <x v="369"/>
      <x v="368"/>
    </i>
    <i>
      <x v="370"/>
      <x v="369"/>
    </i>
    <i>
      <x v="371"/>
      <x v="370"/>
    </i>
    <i>
      <x v="372"/>
      <x v="371"/>
    </i>
    <i>
      <x v="375"/>
      <x v="374"/>
    </i>
    <i>
      <x v="376"/>
      <x v="375"/>
    </i>
    <i>
      <x v="377"/>
      <x v="376"/>
    </i>
    <i>
      <x v="378"/>
      <x v="377"/>
    </i>
    <i>
      <x v="379"/>
      <x v="378"/>
    </i>
    <i>
      <x v="380"/>
      <x v="379"/>
    </i>
    <i>
      <x v="381"/>
      <x v="380"/>
    </i>
    <i>
      <x v="382"/>
      <x v="381"/>
    </i>
    <i>
      <x v="383"/>
      <x v="382"/>
    </i>
    <i>
      <x v="384"/>
      <x v="383"/>
    </i>
    <i>
      <x v="385"/>
      <x v="384"/>
    </i>
    <i>
      <x v="386"/>
      <x v="385"/>
    </i>
    <i>
      <x v="387"/>
      <x v="386"/>
    </i>
    <i>
      <x v="388"/>
      <x v="387"/>
    </i>
    <i>
      <x v="389"/>
      <x v="388"/>
    </i>
    <i>
      <x v="390"/>
      <x v="389"/>
    </i>
    <i>
      <x v="391"/>
      <x v="390"/>
    </i>
    <i>
      <x v="392"/>
      <x v="391"/>
    </i>
    <i>
      <x v="393"/>
      <x v="392"/>
    </i>
    <i>
      <x v="394"/>
      <x v="393"/>
    </i>
    <i>
      <x v="395"/>
      <x v="394"/>
    </i>
    <i>
      <x v="396"/>
      <x v="395"/>
    </i>
    <i>
      <x v="397"/>
      <x v="396"/>
    </i>
    <i>
      <x v="398"/>
      <x v="397"/>
    </i>
    <i>
      <x v="399"/>
      <x v="398"/>
    </i>
    <i>
      <x v="400"/>
      <x v="399"/>
    </i>
    <i>
      <x v="401"/>
      <x v="400"/>
    </i>
    <i>
      <x v="402"/>
      <x v="401"/>
    </i>
    <i>
      <x v="403"/>
      <x v="402"/>
    </i>
    <i>
      <x v="404"/>
      <x v="244"/>
    </i>
    <i>
      <x v="405"/>
      <x v="291"/>
    </i>
    <i>
      <x v="406"/>
      <x v="244"/>
    </i>
    <i>
      <x v="407"/>
      <x v="291"/>
    </i>
    <i>
      <x v="408"/>
      <x v="175"/>
    </i>
    <i>
      <x v="409"/>
      <x v="175"/>
    </i>
    <i>
      <x v="410"/>
      <x v="175"/>
    </i>
    <i>
      <x v="411"/>
      <x v="174"/>
    </i>
    <i>
      <x v="412"/>
      <x v="175"/>
    </i>
    <i>
      <x v="413"/>
      <x v="174"/>
    </i>
    <i>
      <x v="414"/>
      <x v="403"/>
    </i>
    <i>
      <x v="415"/>
      <x v="404"/>
    </i>
    <i>
      <x v="416"/>
      <x v="206"/>
    </i>
    <i t="grand">
      <x/>
    </i>
  </rowItems>
  <colFields count="1">
    <field x="31"/>
  </colFields>
  <colItems count="8"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pageFields count="1">
    <pageField fld="2" hier="-1"/>
  </pageFields>
  <dataFields count="1">
    <dataField name="Sum of Commissioned $" fld="27" baseField="0" baseItem="0" numFmtId="165"/>
  </dataFields>
  <formats count="637">
    <format dxfId="636">
      <pivotArea outline="0" collapsedLevelsAreSubtotals="1" fieldPosition="0"/>
    </format>
    <format dxfId="635">
      <pivotArea type="all" dataOnly="0" outline="0" fieldPosition="0"/>
    </format>
    <format dxfId="634">
      <pivotArea outline="0" collapsedLevelsAreSubtotals="1" fieldPosition="0"/>
    </format>
    <format dxfId="633">
      <pivotArea dataOnly="0" labelOnly="1" outline="0" fieldPosition="0">
        <references count="1">
          <reference field="0" count="50">
            <x v="4"/>
            <x v="7"/>
            <x v="9"/>
            <x v="11"/>
            <x v="12"/>
            <x v="13"/>
            <x v="17"/>
            <x v="19"/>
            <x v="27"/>
            <x v="29"/>
            <x v="31"/>
            <x v="34"/>
            <x v="35"/>
            <x v="36"/>
            <x v="38"/>
            <x v="40"/>
            <x v="45"/>
            <x v="49"/>
            <x v="50"/>
            <x v="51"/>
            <x v="52"/>
            <x v="53"/>
            <x v="55"/>
            <x v="57"/>
            <x v="58"/>
            <x v="63"/>
            <x v="64"/>
            <x v="65"/>
            <x v="66"/>
            <x v="69"/>
            <x v="70"/>
            <x v="71"/>
            <x v="72"/>
            <x v="75"/>
            <x v="76"/>
            <x v="77"/>
            <x v="78"/>
            <x v="79"/>
            <x v="80"/>
            <x v="85"/>
            <x v="86"/>
            <x v="87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632">
      <pivotArea dataOnly="0" labelOnly="1" outline="0" fieldPosition="0">
        <references count="1">
          <reference field="0" count="48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631">
      <pivotArea dataOnly="0" labelOnly="1" outline="0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8"/>
            <x v="159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630">
      <pivotArea dataOnly="0" labelOnly="1" outline="0" fieldPosition="0">
        <references count="1">
          <reference field="0" count="43">
            <x v="199"/>
            <x v="200"/>
            <x v="201"/>
            <x v="204"/>
            <x v="205"/>
            <x v="206"/>
            <x v="207"/>
            <x v="208"/>
            <x v="210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30"/>
            <x v="231"/>
            <x v="232"/>
            <x v="233"/>
            <x v="234"/>
            <x v="235"/>
            <x v="236"/>
            <x v="237"/>
            <x v="238"/>
            <x v="239"/>
            <x v="241"/>
            <x v="242"/>
            <x v="245"/>
            <x v="246"/>
            <x v="247"/>
            <x v="248"/>
            <x v="249"/>
            <x v="250"/>
          </reference>
        </references>
      </pivotArea>
    </format>
    <format dxfId="629">
      <pivotArea dataOnly="0" labelOnly="1" outline="0" fieldPosition="0">
        <references count="1">
          <reference field="0" count="46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8"/>
            <x v="272"/>
            <x v="273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628">
      <pivotArea dataOnly="0" labelOnly="1" outline="0" fieldPosition="0">
        <references count="1">
          <reference field="0" count="41">
            <x v="303"/>
            <x v="304"/>
            <x v="305"/>
            <x v="306"/>
            <x v="307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9"/>
            <x v="340"/>
            <x v="341"/>
            <x v="342"/>
            <x v="343"/>
            <x v="344"/>
            <x v="345"/>
          </reference>
        </references>
      </pivotArea>
    </format>
    <format dxfId="627">
      <pivotArea dataOnly="0" labelOnly="1" outline="0" fieldPosition="0">
        <references count="1">
          <reference field="0" count="18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626">
      <pivotArea dataOnly="0" labelOnly="1" grandRow="1" outline="0" fieldPosition="0"/>
    </format>
    <format dxfId="625">
      <pivotArea dataOnly="0" labelOnly="1" outline="0" fieldPosition="0">
        <references count="2">
          <reference field="0" count="1" selected="0">
            <x v="4"/>
          </reference>
          <reference field="1" count="1">
            <x v="135"/>
          </reference>
        </references>
      </pivotArea>
    </format>
    <format dxfId="624">
      <pivotArea dataOnly="0" labelOnly="1" outline="0" fieldPosition="0">
        <references count="2">
          <reference field="0" count="1" selected="0">
            <x v="7"/>
          </reference>
          <reference field="1" count="1">
            <x v="138"/>
          </reference>
        </references>
      </pivotArea>
    </format>
    <format dxfId="623">
      <pivotArea dataOnly="0" labelOnly="1" outline="0" fieldPosition="0">
        <references count="2">
          <reference field="0" count="1" selected="0">
            <x v="9"/>
          </reference>
          <reference field="1" count="1">
            <x v="303"/>
          </reference>
        </references>
      </pivotArea>
    </format>
    <format dxfId="622">
      <pivotArea dataOnly="0" labelOnly="1" outline="0" fieldPosition="0">
        <references count="2">
          <reference field="0" count="1" selected="0">
            <x v="11"/>
          </reference>
          <reference field="1" count="1">
            <x v="187"/>
          </reference>
        </references>
      </pivotArea>
    </format>
    <format dxfId="621">
      <pivotArea dataOnly="0" labelOnly="1" outline="0" fieldPosition="0">
        <references count="2">
          <reference field="0" count="1" selected="0">
            <x v="12"/>
          </reference>
          <reference field="1" count="1">
            <x v="306"/>
          </reference>
        </references>
      </pivotArea>
    </format>
    <format dxfId="620">
      <pivotArea dataOnly="0" labelOnly="1" outline="0" fieldPosition="0">
        <references count="2">
          <reference field="0" count="1" selected="0">
            <x v="13"/>
          </reference>
          <reference field="1" count="1">
            <x v="255"/>
          </reference>
        </references>
      </pivotArea>
    </format>
    <format dxfId="619">
      <pivotArea dataOnly="0" labelOnly="1" outline="0" fieldPosition="0">
        <references count="2">
          <reference field="0" count="1" selected="0">
            <x v="17"/>
          </reference>
          <reference field="1" count="1">
            <x v="268"/>
          </reference>
        </references>
      </pivotArea>
    </format>
    <format dxfId="618">
      <pivotArea dataOnly="0" labelOnly="1" outline="0" fieldPosition="0">
        <references count="2">
          <reference field="0" count="1" selected="0">
            <x v="19"/>
          </reference>
          <reference field="1" count="1">
            <x v="132"/>
          </reference>
        </references>
      </pivotArea>
    </format>
    <format dxfId="617">
      <pivotArea dataOnly="0" labelOnly="1" outline="0" fieldPosition="0">
        <references count="2">
          <reference field="0" count="1" selected="0">
            <x v="27"/>
          </reference>
          <reference field="1" count="1">
            <x v="89"/>
          </reference>
        </references>
      </pivotArea>
    </format>
    <format dxfId="616">
      <pivotArea dataOnly="0" labelOnly="1" outline="0" fieldPosition="0">
        <references count="2">
          <reference field="0" count="1" selected="0">
            <x v="29"/>
          </reference>
          <reference field="1" count="1">
            <x v="204"/>
          </reference>
        </references>
      </pivotArea>
    </format>
    <format dxfId="615">
      <pivotArea dataOnly="0" labelOnly="1" outline="0" fieldPosition="0">
        <references count="2">
          <reference field="0" count="1" selected="0">
            <x v="31"/>
          </reference>
          <reference field="1" count="1">
            <x v="284"/>
          </reference>
        </references>
      </pivotArea>
    </format>
    <format dxfId="614">
      <pivotArea dataOnly="0" labelOnly="1" outline="0" fieldPosition="0">
        <references count="2">
          <reference field="0" count="1" selected="0">
            <x v="34"/>
          </reference>
          <reference field="1" count="1">
            <x v="144"/>
          </reference>
        </references>
      </pivotArea>
    </format>
    <format dxfId="613">
      <pivotArea dataOnly="0" labelOnly="1" outline="0" fieldPosition="0">
        <references count="2">
          <reference field="0" count="1" selected="0">
            <x v="35"/>
          </reference>
          <reference field="1" count="1">
            <x v="219"/>
          </reference>
        </references>
      </pivotArea>
    </format>
    <format dxfId="612">
      <pivotArea dataOnly="0" labelOnly="1" outline="0" fieldPosition="0">
        <references count="2">
          <reference field="0" count="1" selected="0">
            <x v="36"/>
          </reference>
          <reference field="1" count="1">
            <x v="110"/>
          </reference>
        </references>
      </pivotArea>
    </format>
    <format dxfId="611">
      <pivotArea dataOnly="0" labelOnly="1" outline="0" fieldPosition="0">
        <references count="2">
          <reference field="0" count="1" selected="0">
            <x v="38"/>
          </reference>
          <reference field="1" count="1">
            <x v="2"/>
          </reference>
        </references>
      </pivotArea>
    </format>
    <format dxfId="610">
      <pivotArea dataOnly="0" labelOnly="1" outline="0" fieldPosition="0">
        <references count="2">
          <reference field="0" count="1" selected="0">
            <x v="40"/>
          </reference>
          <reference field="1" count="1">
            <x v="142"/>
          </reference>
        </references>
      </pivotArea>
    </format>
    <format dxfId="609">
      <pivotArea dataOnly="0" labelOnly="1" outline="0" fieldPosition="0">
        <references count="2">
          <reference field="0" count="1" selected="0">
            <x v="45"/>
          </reference>
          <reference field="1" count="1">
            <x v="192"/>
          </reference>
        </references>
      </pivotArea>
    </format>
    <format dxfId="608">
      <pivotArea dataOnly="0" labelOnly="1" outline="0" fieldPosition="0">
        <references count="2">
          <reference field="0" count="1" selected="0">
            <x v="49"/>
          </reference>
          <reference field="1" count="1">
            <x v="44"/>
          </reference>
        </references>
      </pivotArea>
    </format>
    <format dxfId="607">
      <pivotArea dataOnly="0" labelOnly="1" outline="0" fieldPosition="0">
        <references count="2">
          <reference field="0" count="1" selected="0">
            <x v="50"/>
          </reference>
          <reference field="1" count="1">
            <x v="201"/>
          </reference>
        </references>
      </pivotArea>
    </format>
    <format dxfId="606">
      <pivotArea dataOnly="0" labelOnly="1" outline="0" fieldPosition="0">
        <references count="2">
          <reference field="0" count="1" selected="0">
            <x v="51"/>
          </reference>
          <reference field="1" count="1">
            <x v="143"/>
          </reference>
        </references>
      </pivotArea>
    </format>
    <format dxfId="605">
      <pivotArea dataOnly="0" labelOnly="1" outline="0" fieldPosition="0">
        <references count="2">
          <reference field="0" count="1" selected="0">
            <x v="52"/>
          </reference>
          <reference field="1" count="1">
            <x v="98"/>
          </reference>
        </references>
      </pivotArea>
    </format>
    <format dxfId="604">
      <pivotArea dataOnly="0" labelOnly="1" outline="0" fieldPosition="0">
        <references count="2">
          <reference field="0" count="1" selected="0">
            <x v="53"/>
          </reference>
          <reference field="1" count="1">
            <x v="140"/>
          </reference>
        </references>
      </pivotArea>
    </format>
    <format dxfId="603">
      <pivotArea dataOnly="0" labelOnly="1" outline="0" fieldPosition="0">
        <references count="2">
          <reference field="0" count="1" selected="0">
            <x v="55"/>
          </reference>
          <reference field="1" count="1">
            <x v="39"/>
          </reference>
        </references>
      </pivotArea>
    </format>
    <format dxfId="602">
      <pivotArea dataOnly="0" labelOnly="1" outline="0" fieldPosition="0">
        <references count="2">
          <reference field="0" count="1" selected="0">
            <x v="57"/>
          </reference>
          <reference field="1" count="1">
            <x v="85"/>
          </reference>
        </references>
      </pivotArea>
    </format>
    <format dxfId="601">
      <pivotArea dataOnly="0" labelOnly="1" outline="0" fieldPosition="0">
        <references count="2">
          <reference field="0" count="1" selected="0">
            <x v="58"/>
          </reference>
          <reference field="1" count="1">
            <x v="225"/>
          </reference>
        </references>
      </pivotArea>
    </format>
    <format dxfId="600">
      <pivotArea dataOnly="0" labelOnly="1" outline="0" fieldPosition="0">
        <references count="2">
          <reference field="0" count="1" selected="0">
            <x v="63"/>
          </reference>
          <reference field="1" count="1">
            <x v="244"/>
          </reference>
        </references>
      </pivotArea>
    </format>
    <format dxfId="599">
      <pivotArea dataOnly="0" labelOnly="1" outline="0" fieldPosition="0">
        <references count="2">
          <reference field="0" count="1" selected="0">
            <x v="64"/>
          </reference>
          <reference field="1" count="1">
            <x v="84"/>
          </reference>
        </references>
      </pivotArea>
    </format>
    <format dxfId="598">
      <pivotArea dataOnly="0" labelOnly="1" outline="0" fieldPosition="0">
        <references count="2">
          <reference field="0" count="1" selected="0">
            <x v="65"/>
          </reference>
          <reference field="1" count="1">
            <x v="40"/>
          </reference>
        </references>
      </pivotArea>
    </format>
    <format dxfId="597">
      <pivotArea dataOnly="0" labelOnly="1" outline="0" fieldPosition="0">
        <references count="2">
          <reference field="0" count="1" selected="0">
            <x v="66"/>
          </reference>
          <reference field="1" count="1">
            <x v="19"/>
          </reference>
        </references>
      </pivotArea>
    </format>
    <format dxfId="596">
      <pivotArea dataOnly="0" labelOnly="1" outline="0" fieldPosition="0">
        <references count="2">
          <reference field="0" count="1" selected="0">
            <x v="69"/>
          </reference>
          <reference field="1" count="1">
            <x v="7"/>
          </reference>
        </references>
      </pivotArea>
    </format>
    <format dxfId="595">
      <pivotArea dataOnly="0" labelOnly="1" outline="0" fieldPosition="0">
        <references count="2">
          <reference field="0" count="1" selected="0">
            <x v="70"/>
          </reference>
          <reference field="1" count="1">
            <x v="287"/>
          </reference>
        </references>
      </pivotArea>
    </format>
    <format dxfId="594">
      <pivotArea dataOnly="0" labelOnly="1" outline="0" fieldPosition="0">
        <references count="2">
          <reference field="0" count="1" selected="0">
            <x v="71"/>
          </reference>
          <reference field="1" count="1">
            <x v="11"/>
          </reference>
        </references>
      </pivotArea>
    </format>
    <format dxfId="593">
      <pivotArea dataOnly="0" labelOnly="1" outline="0" fieldPosition="0">
        <references count="2">
          <reference field="0" count="1" selected="0">
            <x v="72"/>
          </reference>
          <reference field="1" count="1">
            <x v="253"/>
          </reference>
        </references>
      </pivotArea>
    </format>
    <format dxfId="592">
      <pivotArea dataOnly="0" labelOnly="1" outline="0" fieldPosition="0">
        <references count="2">
          <reference field="0" count="1" selected="0">
            <x v="75"/>
          </reference>
          <reference field="1" count="1">
            <x v="106"/>
          </reference>
        </references>
      </pivotArea>
    </format>
    <format dxfId="591">
      <pivotArea dataOnly="0" labelOnly="1" outline="0" fieldPosition="0">
        <references count="2">
          <reference field="0" count="1" selected="0">
            <x v="76"/>
          </reference>
          <reference field="1" count="1">
            <x v="310"/>
          </reference>
        </references>
      </pivotArea>
    </format>
    <format dxfId="590">
      <pivotArea dataOnly="0" labelOnly="1" outline="0" fieldPosition="0">
        <references count="2">
          <reference field="0" count="1" selected="0">
            <x v="77"/>
          </reference>
          <reference field="1" count="1">
            <x v="0"/>
          </reference>
        </references>
      </pivotArea>
    </format>
    <format dxfId="589">
      <pivotArea dataOnly="0" labelOnly="1" outline="0" fieldPosition="0">
        <references count="2">
          <reference field="0" count="1" selected="0">
            <x v="78"/>
          </reference>
          <reference field="1" count="1">
            <x v="250"/>
          </reference>
        </references>
      </pivotArea>
    </format>
    <format dxfId="588">
      <pivotArea dataOnly="0" labelOnly="1" outline="0" fieldPosition="0">
        <references count="2">
          <reference field="0" count="1" selected="0">
            <x v="79"/>
          </reference>
          <reference field="1" count="1">
            <x v="247"/>
          </reference>
        </references>
      </pivotArea>
    </format>
    <format dxfId="587">
      <pivotArea dataOnly="0" labelOnly="1" outline="0" fieldPosition="0">
        <references count="2">
          <reference field="0" count="1" selected="0">
            <x v="80"/>
          </reference>
          <reference field="1" count="1">
            <x v="62"/>
          </reference>
        </references>
      </pivotArea>
    </format>
    <format dxfId="586">
      <pivotArea dataOnly="0" labelOnly="1" outline="0" fieldPosition="0">
        <references count="2">
          <reference field="0" count="1" selected="0">
            <x v="85"/>
          </reference>
          <reference field="1" count="1">
            <x v="134"/>
          </reference>
        </references>
      </pivotArea>
    </format>
    <format dxfId="585">
      <pivotArea dataOnly="0" labelOnly="1" outline="0" fieldPosition="0">
        <references count="2">
          <reference field="0" count="1" selected="0">
            <x v="86"/>
          </reference>
          <reference field="1" count="1">
            <x v="228"/>
          </reference>
        </references>
      </pivotArea>
    </format>
    <format dxfId="584">
      <pivotArea dataOnly="0" labelOnly="1" outline="0" fieldPosition="0">
        <references count="2">
          <reference field="0" count="1" selected="0">
            <x v="87"/>
          </reference>
          <reference field="1" count="1">
            <x v="238"/>
          </reference>
        </references>
      </pivotArea>
    </format>
    <format dxfId="583">
      <pivotArea dataOnly="0" labelOnly="1" outline="0" fieldPosition="0">
        <references count="2">
          <reference field="0" count="1" selected="0">
            <x v="89"/>
          </reference>
          <reference field="1" count="1">
            <x v="68"/>
          </reference>
        </references>
      </pivotArea>
    </format>
    <format dxfId="582">
      <pivotArea dataOnly="0" labelOnly="1" outline="0" fieldPosition="0">
        <references count="2">
          <reference field="0" count="1" selected="0">
            <x v="90"/>
          </reference>
          <reference field="1" count="1">
            <x v="197"/>
          </reference>
        </references>
      </pivotArea>
    </format>
    <format dxfId="581">
      <pivotArea dataOnly="0" labelOnly="1" outline="0" fieldPosition="0">
        <references count="2">
          <reference field="0" count="1" selected="0">
            <x v="91"/>
          </reference>
          <reference field="1" count="1">
            <x v="213"/>
          </reference>
        </references>
      </pivotArea>
    </format>
    <format dxfId="580">
      <pivotArea dataOnly="0" labelOnly="1" outline="0" fieldPosition="0">
        <references count="2">
          <reference field="0" count="1" selected="0">
            <x v="92"/>
          </reference>
          <reference field="1" count="1">
            <x v="109"/>
          </reference>
        </references>
      </pivotArea>
    </format>
    <format dxfId="579">
      <pivotArea dataOnly="0" labelOnly="1" outline="0" fieldPosition="0">
        <references count="2">
          <reference field="0" count="1" selected="0">
            <x v="93"/>
          </reference>
          <reference field="1" count="1">
            <x v="222"/>
          </reference>
        </references>
      </pivotArea>
    </format>
    <format dxfId="578">
      <pivotArea dataOnly="0" labelOnly="1" outline="0" fieldPosition="0">
        <references count="2">
          <reference field="0" count="1" selected="0">
            <x v="94"/>
          </reference>
          <reference field="1" count="1">
            <x v="55"/>
          </reference>
        </references>
      </pivotArea>
    </format>
    <format dxfId="577">
      <pivotArea dataOnly="0" labelOnly="1" outline="0" fieldPosition="0">
        <references count="2">
          <reference field="0" count="1" selected="0">
            <x v="95"/>
          </reference>
          <reference field="1" count="1">
            <x v="35"/>
          </reference>
        </references>
      </pivotArea>
    </format>
    <format dxfId="576">
      <pivotArea dataOnly="0" labelOnly="1" outline="0" fieldPosition="0">
        <references count="2">
          <reference field="0" count="1" selected="0">
            <x v="96"/>
          </reference>
          <reference field="1" count="1">
            <x v="1"/>
          </reference>
        </references>
      </pivotArea>
    </format>
    <format dxfId="575">
      <pivotArea dataOnly="0" labelOnly="1" outline="0" fieldPosition="0">
        <references count="2">
          <reference field="0" count="1" selected="0">
            <x v="97"/>
          </reference>
          <reference field="1" count="1">
            <x v="82"/>
          </reference>
        </references>
      </pivotArea>
    </format>
    <format dxfId="574">
      <pivotArea dataOnly="0" labelOnly="1" outline="0" fieldPosition="0">
        <references count="2">
          <reference field="0" count="1" selected="0">
            <x v="98"/>
          </reference>
          <reference field="1" count="1">
            <x v="227"/>
          </reference>
        </references>
      </pivotArea>
    </format>
    <format dxfId="573">
      <pivotArea dataOnly="0" labelOnly="1" outline="0" fieldPosition="0">
        <references count="2">
          <reference field="0" count="1" selected="0">
            <x v="99"/>
          </reference>
          <reference field="1" count="1">
            <x v="274"/>
          </reference>
        </references>
      </pivotArea>
    </format>
    <format dxfId="572">
      <pivotArea dataOnly="0" labelOnly="1" outline="0" fieldPosition="0">
        <references count="2">
          <reference field="0" count="1" selected="0">
            <x v="100"/>
          </reference>
          <reference field="1" count="1">
            <x v="54"/>
          </reference>
        </references>
      </pivotArea>
    </format>
    <format dxfId="571">
      <pivotArea dataOnly="0" labelOnly="1" outline="0" fieldPosition="0">
        <references count="2">
          <reference field="0" count="1" selected="0">
            <x v="101"/>
          </reference>
          <reference field="1" count="1">
            <x v="181"/>
          </reference>
        </references>
      </pivotArea>
    </format>
    <format dxfId="570">
      <pivotArea dataOnly="0" labelOnly="1" outline="0" fieldPosition="0">
        <references count="2">
          <reference field="0" count="1" selected="0">
            <x v="102"/>
          </reference>
          <reference field="1" count="1">
            <x v="8"/>
          </reference>
        </references>
      </pivotArea>
    </format>
    <format dxfId="569">
      <pivotArea dataOnly="0" labelOnly="1" outline="0" fieldPosition="0">
        <references count="2">
          <reference field="0" count="1" selected="0">
            <x v="103"/>
          </reference>
          <reference field="1" count="1">
            <x v="56"/>
          </reference>
        </references>
      </pivotArea>
    </format>
    <format dxfId="568">
      <pivotArea dataOnly="0" labelOnly="1" outline="0" fieldPosition="0">
        <references count="2">
          <reference field="0" count="1" selected="0">
            <x v="104"/>
          </reference>
          <reference field="1" count="1">
            <x v="230"/>
          </reference>
        </references>
      </pivotArea>
    </format>
    <format dxfId="567">
      <pivotArea dataOnly="0" labelOnly="1" outline="0" fieldPosition="0">
        <references count="2">
          <reference field="0" count="1" selected="0">
            <x v="105"/>
          </reference>
          <reference field="1" count="1">
            <x v="283"/>
          </reference>
        </references>
      </pivotArea>
    </format>
    <format dxfId="566">
      <pivotArea dataOnly="0" labelOnly="1" outline="0" fieldPosition="0">
        <references count="2">
          <reference field="0" count="1" selected="0">
            <x v="106"/>
          </reference>
          <reference field="1" count="1">
            <x v="246"/>
          </reference>
        </references>
      </pivotArea>
    </format>
    <format dxfId="565">
      <pivotArea dataOnly="0" labelOnly="1" outline="0" fieldPosition="0">
        <references count="2">
          <reference field="0" count="1" selected="0">
            <x v="107"/>
          </reference>
          <reference field="1" count="1">
            <x v="16"/>
          </reference>
        </references>
      </pivotArea>
    </format>
    <format dxfId="564">
      <pivotArea dataOnly="0" labelOnly="1" outline="0" fieldPosition="0">
        <references count="2">
          <reference field="0" count="1" selected="0">
            <x v="108"/>
          </reference>
          <reference field="1" count="1">
            <x v="28"/>
          </reference>
        </references>
      </pivotArea>
    </format>
    <format dxfId="563">
      <pivotArea dataOnly="0" labelOnly="1" outline="0" fieldPosition="0">
        <references count="2">
          <reference field="0" count="1" selected="0">
            <x v="109"/>
          </reference>
          <reference field="1" count="1">
            <x v="70"/>
          </reference>
        </references>
      </pivotArea>
    </format>
    <format dxfId="562">
      <pivotArea dataOnly="0" labelOnly="1" outline="0" fieldPosition="0">
        <references count="2">
          <reference field="0" count="1" selected="0">
            <x v="110"/>
          </reference>
          <reference field="1" count="1">
            <x v="214"/>
          </reference>
        </references>
      </pivotArea>
    </format>
    <format dxfId="561">
      <pivotArea dataOnly="0" labelOnly="1" outline="0" fieldPosition="0">
        <references count="2">
          <reference field="0" count="1" selected="0">
            <x v="111"/>
          </reference>
          <reference field="1" count="1">
            <x v="90"/>
          </reference>
        </references>
      </pivotArea>
    </format>
    <format dxfId="560">
      <pivotArea dataOnly="0" labelOnly="1" outline="0" fieldPosition="0">
        <references count="2">
          <reference field="0" count="1" selected="0">
            <x v="112"/>
          </reference>
          <reference field="1" count="1">
            <x v="17"/>
          </reference>
        </references>
      </pivotArea>
    </format>
    <format dxfId="559">
      <pivotArea dataOnly="0" labelOnly="1" outline="0" fieldPosition="0">
        <references count="2">
          <reference field="0" count="1" selected="0">
            <x v="113"/>
          </reference>
          <reference field="1" count="1">
            <x v="105"/>
          </reference>
        </references>
      </pivotArea>
    </format>
    <format dxfId="558">
      <pivotArea dataOnly="0" labelOnly="1" outline="0" fieldPosition="0">
        <references count="2">
          <reference field="0" count="1" selected="0">
            <x v="114"/>
          </reference>
          <reference field="1" count="1">
            <x v="158"/>
          </reference>
        </references>
      </pivotArea>
    </format>
    <format dxfId="557">
      <pivotArea dataOnly="0" labelOnly="1" outline="0" fieldPosition="0">
        <references count="2">
          <reference field="0" count="1" selected="0">
            <x v="115"/>
          </reference>
          <reference field="1" count="1">
            <x v="166"/>
          </reference>
        </references>
      </pivotArea>
    </format>
    <format dxfId="556">
      <pivotArea dataOnly="0" labelOnly="1" outline="0" fieldPosition="0">
        <references count="2">
          <reference field="0" count="1" selected="0">
            <x v="116"/>
          </reference>
          <reference field="1" count="1">
            <x v="162"/>
          </reference>
        </references>
      </pivotArea>
    </format>
    <format dxfId="555">
      <pivotArea dataOnly="0" labelOnly="1" outline="0" fieldPosition="0">
        <references count="2">
          <reference field="0" count="1" selected="0">
            <x v="117"/>
          </reference>
          <reference field="1" count="1">
            <x v="160"/>
          </reference>
        </references>
      </pivotArea>
    </format>
    <format dxfId="554">
      <pivotArea dataOnly="0" labelOnly="1" outline="0" fieldPosition="0">
        <references count="2">
          <reference field="0" count="1" selected="0">
            <x v="118"/>
          </reference>
          <reference field="1" count="1">
            <x v="118"/>
          </reference>
        </references>
      </pivotArea>
    </format>
    <format dxfId="553">
      <pivotArea dataOnly="0" labelOnly="1" outline="0" fieldPosition="0">
        <references count="2">
          <reference field="0" count="1" selected="0">
            <x v="119"/>
          </reference>
          <reference field="1" count="1">
            <x v="129"/>
          </reference>
        </references>
      </pivotArea>
    </format>
    <format dxfId="552">
      <pivotArea dataOnly="0" labelOnly="1" outline="0" fieldPosition="0">
        <references count="2">
          <reference field="0" count="1" selected="0">
            <x v="120"/>
          </reference>
          <reference field="1" count="1">
            <x v="145"/>
          </reference>
        </references>
      </pivotArea>
    </format>
    <format dxfId="551">
      <pivotArea dataOnly="0" labelOnly="1" outline="0" fieldPosition="0">
        <references count="2">
          <reference field="0" count="1" selected="0">
            <x v="124"/>
          </reference>
          <reference field="1" count="1">
            <x v="5"/>
          </reference>
        </references>
      </pivotArea>
    </format>
    <format dxfId="550">
      <pivotArea dataOnly="0" labelOnly="1" outline="0" fieldPosition="0">
        <references count="2">
          <reference field="0" count="1" selected="0">
            <x v="125"/>
          </reference>
          <reference field="1" count="1">
            <x v="63"/>
          </reference>
        </references>
      </pivotArea>
    </format>
    <format dxfId="549">
      <pivotArea dataOnly="0" labelOnly="1" outline="0" fieldPosition="0">
        <references count="2">
          <reference field="0" count="1" selected="0">
            <x v="127"/>
          </reference>
          <reference field="1" count="1">
            <x v="92"/>
          </reference>
        </references>
      </pivotArea>
    </format>
    <format dxfId="548">
      <pivotArea dataOnly="0" labelOnly="1" outline="0" fieldPosition="0">
        <references count="2">
          <reference field="0" count="1" selected="0">
            <x v="128"/>
          </reference>
          <reference field="1" count="1">
            <x v="169"/>
          </reference>
        </references>
      </pivotArea>
    </format>
    <format dxfId="547">
      <pivotArea dataOnly="0" labelOnly="1" outline="0" fieldPosition="0">
        <references count="2">
          <reference field="0" count="1" selected="0">
            <x v="129"/>
          </reference>
          <reference field="1" count="1">
            <x v="74"/>
          </reference>
        </references>
      </pivotArea>
    </format>
    <format dxfId="546">
      <pivotArea dataOnly="0" labelOnly="1" outline="0" fieldPosition="0">
        <references count="2">
          <reference field="0" count="1" selected="0">
            <x v="130"/>
          </reference>
          <reference field="1" count="1">
            <x v="276"/>
          </reference>
        </references>
      </pivotArea>
    </format>
    <format dxfId="545">
      <pivotArea dataOnly="0" labelOnly="1" outline="0" fieldPosition="0">
        <references count="2">
          <reference field="0" count="1" selected="0">
            <x v="131"/>
          </reference>
          <reference field="1" count="1">
            <x v="254"/>
          </reference>
        </references>
      </pivotArea>
    </format>
    <format dxfId="544">
      <pivotArea dataOnly="0" labelOnly="1" outline="0" fieldPosition="0">
        <references count="2">
          <reference field="0" count="1" selected="0">
            <x v="132"/>
          </reference>
          <reference field="1" count="1">
            <x v="61"/>
          </reference>
        </references>
      </pivotArea>
    </format>
    <format dxfId="543">
      <pivotArea dataOnly="0" labelOnly="1" outline="0" fieldPosition="0">
        <references count="2">
          <reference field="0" count="1" selected="0">
            <x v="133"/>
          </reference>
          <reference field="1" count="1">
            <x v="96"/>
          </reference>
        </references>
      </pivotArea>
    </format>
    <format dxfId="542">
      <pivotArea dataOnly="0" labelOnly="1" outline="0" fieldPosition="0">
        <references count="2">
          <reference field="0" count="1" selected="0">
            <x v="135"/>
          </reference>
          <reference field="1" count="1">
            <x v="180"/>
          </reference>
        </references>
      </pivotArea>
    </format>
    <format dxfId="541">
      <pivotArea dataOnly="0" labelOnly="1" outline="0" fieldPosition="0">
        <references count="2">
          <reference field="0" count="1" selected="0">
            <x v="136"/>
          </reference>
          <reference field="1" count="1">
            <x v="269"/>
          </reference>
        </references>
      </pivotArea>
    </format>
    <format dxfId="540">
      <pivotArea dataOnly="0" labelOnly="1" outline="0" fieldPosition="0">
        <references count="2">
          <reference field="0" count="1" selected="0">
            <x v="137"/>
          </reference>
          <reference field="1" count="1">
            <x v="87"/>
          </reference>
        </references>
      </pivotArea>
    </format>
    <format dxfId="539">
      <pivotArea dataOnly="0" labelOnly="1" outline="0" fieldPosition="0">
        <references count="2">
          <reference field="0" count="1" selected="0">
            <x v="138"/>
          </reference>
          <reference field="1" count="1">
            <x v="257"/>
          </reference>
        </references>
      </pivotArea>
    </format>
    <format dxfId="538">
      <pivotArea dataOnly="0" labelOnly="1" outline="0" fieldPosition="0">
        <references count="2">
          <reference field="0" count="1" selected="0">
            <x v="139"/>
          </reference>
          <reference field="1" count="1">
            <x v="293"/>
          </reference>
        </references>
      </pivotArea>
    </format>
    <format dxfId="537">
      <pivotArea dataOnly="0" labelOnly="1" outline="0" fieldPosition="0">
        <references count="2">
          <reference field="0" count="1" selected="0">
            <x v="140"/>
          </reference>
          <reference field="1" count="1">
            <x v="103"/>
          </reference>
        </references>
      </pivotArea>
    </format>
    <format dxfId="536">
      <pivotArea dataOnly="0" labelOnly="1" outline="0" fieldPosition="0">
        <references count="2">
          <reference field="0" count="1" selected="0">
            <x v="141"/>
          </reference>
          <reference field="1" count="1">
            <x v="295"/>
          </reference>
        </references>
      </pivotArea>
    </format>
    <format dxfId="535">
      <pivotArea dataOnly="0" labelOnly="1" outline="0" fieldPosition="0">
        <references count="2">
          <reference field="0" count="1" selected="0">
            <x v="142"/>
          </reference>
          <reference field="1" count="1">
            <x v="177"/>
          </reference>
        </references>
      </pivotArea>
    </format>
    <format dxfId="534">
      <pivotArea dataOnly="0" labelOnly="1" outline="0" fieldPosition="0">
        <references count="2">
          <reference field="0" count="1" selected="0">
            <x v="143"/>
          </reference>
          <reference field="1" count="1">
            <x v="289"/>
          </reference>
        </references>
      </pivotArea>
    </format>
    <format dxfId="533">
      <pivotArea dataOnly="0" labelOnly="1" outline="0" fieldPosition="0">
        <references count="2">
          <reference field="0" count="1" selected="0">
            <x v="144"/>
          </reference>
          <reference field="1" count="1">
            <x v="34"/>
          </reference>
        </references>
      </pivotArea>
    </format>
    <format dxfId="532">
      <pivotArea dataOnly="0" labelOnly="1" outline="0" fieldPosition="0">
        <references count="2">
          <reference field="0" count="1" selected="0">
            <x v="146"/>
          </reference>
          <reference field="1" count="1">
            <x v="37"/>
          </reference>
        </references>
      </pivotArea>
    </format>
    <format dxfId="531">
      <pivotArea dataOnly="0" labelOnly="1" outline="0" fieldPosition="0">
        <references count="2">
          <reference field="0" count="1" selected="0">
            <x v="147"/>
          </reference>
          <reference field="1" count="1">
            <x v="265"/>
          </reference>
        </references>
      </pivotArea>
    </format>
    <format dxfId="530">
      <pivotArea dataOnly="0" labelOnly="1" outline="0" fieldPosition="0">
        <references count="2">
          <reference field="0" count="1" selected="0">
            <x v="148"/>
          </reference>
          <reference field="1" count="1">
            <x v="234"/>
          </reference>
        </references>
      </pivotArea>
    </format>
    <format dxfId="529">
      <pivotArea dataOnly="0" labelOnly="1" outline="0" fieldPosition="0">
        <references count="2">
          <reference field="0" count="1" selected="0">
            <x v="149"/>
          </reference>
          <reference field="1" count="1">
            <x v="120"/>
          </reference>
        </references>
      </pivotArea>
    </format>
    <format dxfId="528">
      <pivotArea dataOnly="0" labelOnly="1" outline="0" fieldPosition="0">
        <references count="2">
          <reference field="0" count="1" selected="0">
            <x v="150"/>
          </reference>
          <reference field="1" count="1">
            <x v="146"/>
          </reference>
        </references>
      </pivotArea>
    </format>
    <format dxfId="527">
      <pivotArea dataOnly="0" labelOnly="1" outline="0" fieldPosition="0">
        <references count="2">
          <reference field="0" count="1" selected="0">
            <x v="151"/>
          </reference>
          <reference field="1" count="1">
            <x v="273"/>
          </reference>
        </references>
      </pivotArea>
    </format>
    <format dxfId="526">
      <pivotArea dataOnly="0" labelOnly="1" outline="0" fieldPosition="0">
        <references count="2">
          <reference field="0" count="1" selected="0">
            <x v="154"/>
          </reference>
          <reference field="1" count="1">
            <x v="46"/>
          </reference>
        </references>
      </pivotArea>
    </format>
    <format dxfId="525">
      <pivotArea dataOnly="0" labelOnly="1" outline="0" fieldPosition="0">
        <references count="2">
          <reference field="0" count="1" selected="0">
            <x v="155"/>
          </reference>
          <reference field="1" count="1">
            <x v="64"/>
          </reference>
        </references>
      </pivotArea>
    </format>
    <format dxfId="524">
      <pivotArea dataOnly="0" labelOnly="1" outline="0" fieldPosition="0">
        <references count="2">
          <reference field="0" count="1" selected="0">
            <x v="156"/>
          </reference>
          <reference field="1" count="1">
            <x v="115"/>
          </reference>
        </references>
      </pivotArea>
    </format>
    <format dxfId="523">
      <pivotArea dataOnly="0" labelOnly="1" outline="0" fieldPosition="0">
        <references count="2">
          <reference field="0" count="1" selected="0">
            <x v="158"/>
          </reference>
          <reference field="1" count="1">
            <x v="243"/>
          </reference>
        </references>
      </pivotArea>
    </format>
    <format dxfId="522">
      <pivotArea dataOnly="0" labelOnly="1" outline="0" fieldPosition="0">
        <references count="2">
          <reference field="0" count="1" selected="0">
            <x v="159"/>
          </reference>
          <reference field="1" count="1">
            <x v="186"/>
          </reference>
        </references>
      </pivotArea>
    </format>
    <format dxfId="521">
      <pivotArea dataOnly="0" labelOnly="1" outline="0" fieldPosition="0">
        <references count="2">
          <reference field="0" count="1" selected="0">
            <x v="161"/>
          </reference>
          <reference field="1" count="1">
            <x v="114"/>
          </reference>
        </references>
      </pivotArea>
    </format>
    <format dxfId="520">
      <pivotArea dataOnly="0" labelOnly="1" outline="0" fieldPosition="0">
        <references count="2">
          <reference field="0" count="1" selected="0">
            <x v="162"/>
          </reference>
          <reference field="1" count="1">
            <x v="235"/>
          </reference>
        </references>
      </pivotArea>
    </format>
    <format dxfId="519">
      <pivotArea dataOnly="0" labelOnly="1" outline="0" fieldPosition="0">
        <references count="2">
          <reference field="0" count="1" selected="0">
            <x v="163"/>
          </reference>
          <reference field="1" count="1">
            <x v="112"/>
          </reference>
        </references>
      </pivotArea>
    </format>
    <format dxfId="518">
      <pivotArea dataOnly="0" labelOnly="1" outline="0" fieldPosition="0">
        <references count="2">
          <reference field="0" count="1" selected="0">
            <x v="164"/>
          </reference>
          <reference field="1" count="1">
            <x v="292"/>
          </reference>
        </references>
      </pivotArea>
    </format>
    <format dxfId="517">
      <pivotArea dataOnly="0" labelOnly="1" outline="0" fieldPosition="0">
        <references count="2">
          <reference field="0" count="1" selected="0">
            <x v="166"/>
          </reference>
          <reference field="1" count="1">
            <x v="104"/>
          </reference>
        </references>
      </pivotArea>
    </format>
    <format dxfId="516">
      <pivotArea dataOnly="0" labelOnly="1" outline="0" fieldPosition="0">
        <references count="2">
          <reference field="0" count="1" selected="0">
            <x v="168"/>
          </reference>
          <reference field="1" count="1">
            <x v="294"/>
          </reference>
        </references>
      </pivotArea>
    </format>
    <format dxfId="515">
      <pivotArea dataOnly="0" labelOnly="1" outline="0" fieldPosition="0">
        <references count="2">
          <reference field="0" count="1" selected="0">
            <x v="169"/>
          </reference>
          <reference field="1" count="1">
            <x v="20"/>
          </reference>
        </references>
      </pivotArea>
    </format>
    <format dxfId="514">
      <pivotArea dataOnly="0" labelOnly="1" outline="0" fieldPosition="0">
        <references count="2">
          <reference field="0" count="1" selected="0">
            <x v="170"/>
          </reference>
          <reference field="1" count="1">
            <x v="261"/>
          </reference>
        </references>
      </pivotArea>
    </format>
    <format dxfId="513">
      <pivotArea dataOnly="0" labelOnly="1" outline="0" fieldPosition="0">
        <references count="2">
          <reference field="0" count="1" selected="0">
            <x v="171"/>
          </reference>
          <reference field="1" count="1">
            <x v="262"/>
          </reference>
        </references>
      </pivotArea>
    </format>
    <format dxfId="512">
      <pivotArea dataOnly="0" labelOnly="1" outline="0" fieldPosition="0">
        <references count="2">
          <reference field="0" count="1" selected="0">
            <x v="172"/>
          </reference>
          <reference field="1" count="1">
            <x v="263"/>
          </reference>
        </references>
      </pivotArea>
    </format>
    <format dxfId="511">
      <pivotArea dataOnly="0" labelOnly="1" outline="0" fieldPosition="0">
        <references count="2">
          <reference field="0" count="1" selected="0">
            <x v="173"/>
          </reference>
          <reference field="1" count="1">
            <x v="285"/>
          </reference>
        </references>
      </pivotArea>
    </format>
    <format dxfId="510">
      <pivotArea dataOnly="0" labelOnly="1" outline="0" fieldPosition="0">
        <references count="2">
          <reference field="0" count="1" selected="0">
            <x v="174"/>
          </reference>
          <reference field="1" count="1">
            <x v="159"/>
          </reference>
        </references>
      </pivotArea>
    </format>
    <format dxfId="509">
      <pivotArea dataOnly="0" labelOnly="1" outline="0" fieldPosition="0">
        <references count="2">
          <reference field="0" count="1" selected="0">
            <x v="175"/>
          </reference>
          <reference field="1" count="1">
            <x v="167"/>
          </reference>
        </references>
      </pivotArea>
    </format>
    <format dxfId="508">
      <pivotArea dataOnly="0" labelOnly="1" outline="0" fieldPosition="0">
        <references count="2">
          <reference field="0" count="1" selected="0">
            <x v="176"/>
          </reference>
          <reference field="1" count="1">
            <x v="163"/>
          </reference>
        </references>
      </pivotArea>
    </format>
    <format dxfId="507">
      <pivotArea dataOnly="0" labelOnly="1" outline="0" fieldPosition="0">
        <references count="2">
          <reference field="0" count="1" selected="0">
            <x v="177"/>
          </reference>
          <reference field="1" count="1">
            <x v="161"/>
          </reference>
        </references>
      </pivotArea>
    </format>
    <format dxfId="506">
      <pivotArea dataOnly="0" labelOnly="1" outline="0" fieldPosition="0">
        <references count="2">
          <reference field="0" count="1" selected="0">
            <x v="179"/>
          </reference>
          <reference field="1" count="1">
            <x v="147"/>
          </reference>
        </references>
      </pivotArea>
    </format>
    <format dxfId="505">
      <pivotArea dataOnly="0" labelOnly="1" outline="0" fieldPosition="0">
        <references count="2">
          <reference field="0" count="1" selected="0">
            <x v="180"/>
          </reference>
          <reference field="1" count="1">
            <x v="71"/>
          </reference>
        </references>
      </pivotArea>
    </format>
    <format dxfId="504">
      <pivotArea dataOnly="0" labelOnly="1" outline="0" fieldPosition="0">
        <references count="2">
          <reference field="0" count="1" selected="0">
            <x v="181"/>
          </reference>
          <reference field="1" count="1">
            <x v="9"/>
          </reference>
        </references>
      </pivotArea>
    </format>
    <format dxfId="503">
      <pivotArea dataOnly="0" labelOnly="1" outline="0" fieldPosition="0">
        <references count="2">
          <reference field="0" count="1" selected="0">
            <x v="182"/>
          </reference>
          <reference field="1" count="1">
            <x v="108"/>
          </reference>
        </references>
      </pivotArea>
    </format>
    <format dxfId="502">
      <pivotArea dataOnly="0" labelOnly="1" outline="0" fieldPosition="0">
        <references count="2">
          <reference field="0" count="1" selected="0">
            <x v="184"/>
          </reference>
          <reference field="1" count="1">
            <x v="296"/>
          </reference>
        </references>
      </pivotArea>
    </format>
    <format dxfId="501">
      <pivotArea dataOnly="0" labelOnly="1" outline="0" fieldPosition="0">
        <references count="2">
          <reference field="0" count="1" selected="0">
            <x v="185"/>
          </reference>
          <reference field="1" count="1">
            <x v="220"/>
          </reference>
        </references>
      </pivotArea>
    </format>
    <format dxfId="500">
      <pivotArea dataOnly="0" labelOnly="1" outline="0" fieldPosition="0">
        <references count="2">
          <reference field="0" count="1" selected="0">
            <x v="186"/>
          </reference>
          <reference field="1" count="1">
            <x v="208"/>
          </reference>
        </references>
      </pivotArea>
    </format>
    <format dxfId="499">
      <pivotArea dataOnly="0" labelOnly="1" outline="0" fieldPosition="0">
        <references count="2">
          <reference field="0" count="1" selected="0">
            <x v="187"/>
          </reference>
          <reference field="1" count="1">
            <x v="199"/>
          </reference>
        </references>
      </pivotArea>
    </format>
    <format dxfId="498">
      <pivotArea dataOnly="0" labelOnly="1" outline="0" fieldPosition="0">
        <references count="2">
          <reference field="0" count="1" selected="0">
            <x v="188"/>
          </reference>
          <reference field="1" count="1">
            <x v="288"/>
          </reference>
        </references>
      </pivotArea>
    </format>
    <format dxfId="497">
      <pivotArea dataOnly="0" labelOnly="1" outline="0" fieldPosition="0">
        <references count="2">
          <reference field="0" count="1" selected="0">
            <x v="189"/>
          </reference>
          <reference field="1" count="1">
            <x v="182"/>
          </reference>
        </references>
      </pivotArea>
    </format>
    <format dxfId="496">
      <pivotArea dataOnly="0" labelOnly="1" outline="0" fieldPosition="0">
        <references count="2">
          <reference field="0" count="1" selected="0">
            <x v="190"/>
          </reference>
          <reference field="1" count="1">
            <x v="281"/>
          </reference>
        </references>
      </pivotArea>
    </format>
    <format dxfId="495">
      <pivotArea dataOnly="0" labelOnly="1" outline="0" fieldPosition="0">
        <references count="2">
          <reference field="0" count="1" selected="0">
            <x v="191"/>
          </reference>
          <reference field="1" count="1">
            <x v="92"/>
          </reference>
        </references>
      </pivotArea>
    </format>
    <format dxfId="494">
      <pivotArea dataOnly="0" labelOnly="1" outline="0" fieldPosition="0">
        <references count="2">
          <reference field="0" count="1" selected="0">
            <x v="192"/>
          </reference>
          <reference field="1" count="1">
            <x v="51"/>
          </reference>
        </references>
      </pivotArea>
    </format>
    <format dxfId="493">
      <pivotArea dataOnly="0" labelOnly="1" outline="0" fieldPosition="0">
        <references count="2">
          <reference field="0" count="1" selected="0">
            <x v="193"/>
          </reference>
          <reference field="1" count="1">
            <x v="59"/>
          </reference>
        </references>
      </pivotArea>
    </format>
    <format dxfId="492">
      <pivotArea dataOnly="0" labelOnly="1" outline="0" fieldPosition="0">
        <references count="2">
          <reference field="0" count="1" selected="0">
            <x v="194"/>
          </reference>
          <reference field="1" count="1">
            <x v="239"/>
          </reference>
        </references>
      </pivotArea>
    </format>
    <format dxfId="491">
      <pivotArea dataOnly="0" labelOnly="1" outline="0" fieldPosition="0">
        <references count="2">
          <reference field="0" count="1" selected="0">
            <x v="195"/>
          </reference>
          <reference field="1" count="1">
            <x v="264"/>
          </reference>
        </references>
      </pivotArea>
    </format>
    <format dxfId="490">
      <pivotArea dataOnly="0" labelOnly="1" outline="0" fieldPosition="0">
        <references count="2">
          <reference field="0" count="1" selected="0">
            <x v="197"/>
          </reference>
          <reference field="1" count="1">
            <x v="305"/>
          </reference>
        </references>
      </pivotArea>
    </format>
    <format dxfId="489">
      <pivotArea dataOnly="0" labelOnly="1" outline="0" fieldPosition="0">
        <references count="2">
          <reference field="0" count="1" selected="0">
            <x v="198"/>
          </reference>
          <reference field="1" count="1">
            <x v="121"/>
          </reference>
        </references>
      </pivotArea>
    </format>
    <format dxfId="488">
      <pivotArea dataOnly="0" labelOnly="1" outline="0" fieldPosition="0">
        <references count="2">
          <reference field="0" count="1" selected="0">
            <x v="199"/>
          </reference>
          <reference field="1" count="1">
            <x v="148"/>
          </reference>
        </references>
      </pivotArea>
    </format>
    <format dxfId="487">
      <pivotArea dataOnly="0" labelOnly="1" outline="0" fieldPosition="0">
        <references count="2">
          <reference field="0" count="1" selected="0">
            <x v="201"/>
          </reference>
          <reference field="1" count="1">
            <x v="86"/>
          </reference>
        </references>
      </pivotArea>
    </format>
    <format dxfId="486">
      <pivotArea dataOnly="0" labelOnly="1" outline="0" fieldPosition="0">
        <references count="2">
          <reference field="0" count="1" selected="0">
            <x v="204"/>
          </reference>
          <reference field="1" count="1">
            <x v="206"/>
          </reference>
        </references>
      </pivotArea>
    </format>
    <format dxfId="485">
      <pivotArea dataOnly="0" labelOnly="1" outline="0" fieldPosition="0">
        <references count="2">
          <reference field="0" count="1" selected="0">
            <x v="206"/>
          </reference>
          <reference field="1" count="1">
            <x v="304"/>
          </reference>
        </references>
      </pivotArea>
    </format>
    <format dxfId="484">
      <pivotArea dataOnly="0" labelOnly="1" outline="0" fieldPosition="0">
        <references count="2">
          <reference field="0" count="1" selected="0">
            <x v="207"/>
          </reference>
          <reference field="1" count="1">
            <x v="91"/>
          </reference>
        </references>
      </pivotArea>
    </format>
    <format dxfId="483">
      <pivotArea dataOnly="0" labelOnly="1" outline="0" fieldPosition="0">
        <references count="2">
          <reference field="0" count="1" selected="0">
            <x v="208"/>
          </reference>
          <reference field="1" count="1">
            <x v="240"/>
          </reference>
        </references>
      </pivotArea>
    </format>
    <format dxfId="482">
      <pivotArea dataOnly="0" labelOnly="1" outline="0" fieldPosition="0">
        <references count="2">
          <reference field="0" count="1" selected="0">
            <x v="210"/>
          </reference>
          <reference field="1" count="1">
            <x v="203"/>
          </reference>
        </references>
      </pivotArea>
    </format>
    <format dxfId="481">
      <pivotArea dataOnly="0" labelOnly="1" outline="0" fieldPosition="0">
        <references count="2">
          <reference field="0" count="1" selected="0">
            <x v="212"/>
          </reference>
          <reference field="1" count="1">
            <x v="275"/>
          </reference>
        </references>
      </pivotArea>
    </format>
    <format dxfId="480">
      <pivotArea dataOnly="0" labelOnly="1" outline="0" fieldPosition="0">
        <references count="2">
          <reference field="0" count="1" selected="0">
            <x v="213"/>
          </reference>
          <reference field="1" count="1">
            <x v="277"/>
          </reference>
        </references>
      </pivotArea>
    </format>
    <format dxfId="479">
      <pivotArea dataOnly="0" labelOnly="1" outline="0" fieldPosition="0">
        <references count="2">
          <reference field="0" count="1" selected="0">
            <x v="214"/>
          </reference>
          <reference field="1" count="1">
            <x v="267"/>
          </reference>
        </references>
      </pivotArea>
    </format>
    <format dxfId="478">
      <pivotArea dataOnly="0" labelOnly="1" outline="0" fieldPosition="0">
        <references count="2">
          <reference field="0" count="1" selected="0">
            <x v="215"/>
          </reference>
          <reference field="1" count="1">
            <x v="200"/>
          </reference>
        </references>
      </pivotArea>
    </format>
    <format dxfId="477">
      <pivotArea dataOnly="0" labelOnly="1" outline="0" fieldPosition="0">
        <references count="2">
          <reference field="0" count="1" selected="0">
            <x v="219"/>
          </reference>
          <reference field="1" count="1">
            <x v="215"/>
          </reference>
        </references>
      </pivotArea>
    </format>
    <format dxfId="476">
      <pivotArea dataOnly="0" labelOnly="1" outline="0" fieldPosition="0">
        <references count="2">
          <reference field="0" count="1" selected="0">
            <x v="220"/>
          </reference>
          <reference field="1" count="1">
            <x v="116"/>
          </reference>
        </references>
      </pivotArea>
    </format>
    <format dxfId="475">
      <pivotArea dataOnly="0" labelOnly="1" outline="0" fieldPosition="0">
        <references count="2">
          <reference field="0" count="1" selected="0">
            <x v="221"/>
          </reference>
          <reference field="1" count="1">
            <x v="122"/>
          </reference>
        </references>
      </pivotArea>
    </format>
    <format dxfId="474">
      <pivotArea dataOnly="0" labelOnly="1" outline="0" fieldPosition="0">
        <references count="2">
          <reference field="0" count="1" selected="0">
            <x v="222"/>
          </reference>
          <reference field="1" count="1">
            <x v="130"/>
          </reference>
        </references>
      </pivotArea>
    </format>
    <format dxfId="473">
      <pivotArea dataOnly="0" labelOnly="1" outline="0" fieldPosition="0">
        <references count="2">
          <reference field="0" count="1" selected="0">
            <x v="223"/>
          </reference>
          <reference field="1" count="1">
            <x v="291"/>
          </reference>
        </references>
      </pivotArea>
    </format>
    <format dxfId="472">
      <pivotArea dataOnly="0" labelOnly="1" outline="0" fieldPosition="0">
        <references count="2">
          <reference field="0" count="1" selected="0">
            <x v="224"/>
          </reference>
          <reference field="1" count="1">
            <x v="149"/>
          </reference>
        </references>
      </pivotArea>
    </format>
    <format dxfId="471">
      <pivotArea dataOnly="0" labelOnly="1" outline="0" fieldPosition="0">
        <references count="2">
          <reference field="0" count="1" selected="0">
            <x v="225"/>
          </reference>
          <reference field="1" count="1">
            <x v="245"/>
          </reference>
        </references>
      </pivotArea>
    </format>
    <format dxfId="470">
      <pivotArea dataOnly="0" labelOnly="1" outline="0" fieldPosition="0">
        <references count="2">
          <reference field="0" count="1" selected="0">
            <x v="226"/>
          </reference>
          <reference field="1" count="1">
            <x v="297"/>
          </reference>
        </references>
      </pivotArea>
    </format>
    <format dxfId="469">
      <pivotArea dataOnly="0" labelOnly="1" outline="0" fieldPosition="0">
        <references count="2">
          <reference field="0" count="1" selected="0">
            <x v="231"/>
          </reference>
          <reference field="1" count="1">
            <x v="171"/>
          </reference>
        </references>
      </pivotArea>
    </format>
    <format dxfId="468">
      <pivotArea dataOnly="0" labelOnly="1" outline="0" fieldPosition="0">
        <references count="2">
          <reference field="0" count="1" selected="0">
            <x v="232"/>
          </reference>
          <reference field="1" count="1">
            <x v="123"/>
          </reference>
        </references>
      </pivotArea>
    </format>
    <format dxfId="467">
      <pivotArea dataOnly="0" labelOnly="1" outline="0" fieldPosition="0">
        <references count="2">
          <reference field="0" count="1" selected="0">
            <x v="233"/>
          </reference>
          <reference field="1" count="1">
            <x v="298"/>
          </reference>
        </references>
      </pivotArea>
    </format>
    <format dxfId="466">
      <pivotArea dataOnly="0" labelOnly="1" outline="0" fieldPosition="0">
        <references count="2">
          <reference field="0" count="1" selected="0">
            <x v="234"/>
          </reference>
          <reference field="1" count="1">
            <x v="155"/>
          </reference>
        </references>
      </pivotArea>
    </format>
    <format dxfId="465">
      <pivotArea dataOnly="0" labelOnly="1" outline="0" fieldPosition="0">
        <references count="2">
          <reference field="0" count="1" selected="0">
            <x v="235"/>
          </reference>
          <reference field="1" count="1">
            <x v="150"/>
          </reference>
        </references>
      </pivotArea>
    </format>
    <format dxfId="464">
      <pivotArea dataOnly="0" labelOnly="1" outline="0" fieldPosition="0">
        <references count="2">
          <reference field="0" count="1" selected="0">
            <x v="238"/>
          </reference>
          <reference field="1" count="1">
            <x v="168"/>
          </reference>
        </references>
      </pivotArea>
    </format>
    <format dxfId="463">
      <pivotArea dataOnly="0" labelOnly="1" outline="0" fieldPosition="0">
        <references count="2">
          <reference field="0" count="1" selected="0">
            <x v="241"/>
          </reference>
          <reference field="1" count="1">
            <x v="95"/>
          </reference>
        </references>
      </pivotArea>
    </format>
    <format dxfId="462">
      <pivotArea dataOnly="0" labelOnly="1" outline="0" fieldPosition="0">
        <references count="2">
          <reference field="0" count="1" selected="0">
            <x v="242"/>
          </reference>
          <reference field="1" count="1">
            <x v="232"/>
          </reference>
        </references>
      </pivotArea>
    </format>
    <format dxfId="461">
      <pivotArea dataOnly="0" labelOnly="1" outline="0" fieldPosition="0">
        <references count="2">
          <reference field="0" count="1" selected="0">
            <x v="245"/>
          </reference>
          <reference field="1" count="1">
            <x v="184"/>
          </reference>
        </references>
      </pivotArea>
    </format>
    <format dxfId="460">
      <pivotArea dataOnly="0" labelOnly="1" outline="0" fieldPosition="0">
        <references count="2">
          <reference field="0" count="1" selected="0">
            <x v="246"/>
          </reference>
          <reference field="1" count="1">
            <x v="124"/>
          </reference>
        </references>
      </pivotArea>
    </format>
    <format dxfId="459">
      <pivotArea dataOnly="0" labelOnly="1" outline="0" fieldPosition="0">
        <references count="2">
          <reference field="0" count="1" selected="0">
            <x v="247"/>
          </reference>
          <reference field="1" count="1">
            <x v="299"/>
          </reference>
        </references>
      </pivotArea>
    </format>
    <format dxfId="458">
      <pivotArea dataOnly="0" labelOnly="1" outline="0" fieldPosition="0">
        <references count="2">
          <reference field="0" count="1" selected="0">
            <x v="250"/>
          </reference>
          <reference field="1" count="1">
            <x v="164"/>
          </reference>
        </references>
      </pivotArea>
    </format>
    <format dxfId="457">
      <pivotArea dataOnly="0" labelOnly="1" outline="0" fieldPosition="0">
        <references count="2">
          <reference field="0" count="1" selected="0">
            <x v="251"/>
          </reference>
          <reference field="1" count="1">
            <x v="216"/>
          </reference>
        </references>
      </pivotArea>
    </format>
    <format dxfId="456">
      <pivotArea dataOnly="0" labelOnly="1" outline="0" fieldPosition="0">
        <references count="2">
          <reference field="0" count="1" selected="0">
            <x v="252"/>
          </reference>
          <reference field="1" count="1">
            <x v="151"/>
          </reference>
        </references>
      </pivotArea>
    </format>
    <format dxfId="455">
      <pivotArea dataOnly="0" labelOnly="1" outline="0" fieldPosition="0">
        <references count="2">
          <reference field="0" count="1" selected="0">
            <x v="253"/>
          </reference>
          <reference field="1" count="1">
            <x v="236"/>
          </reference>
        </references>
      </pivotArea>
    </format>
    <format dxfId="454">
      <pivotArea dataOnly="0" labelOnly="1" outline="0" fieldPosition="0">
        <references count="2">
          <reference field="0" count="1" selected="0">
            <x v="254"/>
          </reference>
          <reference field="1" count="1">
            <x v="102"/>
          </reference>
        </references>
      </pivotArea>
    </format>
    <format dxfId="453">
      <pivotArea dataOnly="0" labelOnly="1" outline="0" fieldPosition="0">
        <references count="2">
          <reference field="0" count="1" selected="0">
            <x v="255"/>
          </reference>
          <reference field="1" count="1">
            <x v="125"/>
          </reference>
        </references>
      </pivotArea>
    </format>
    <format dxfId="452">
      <pivotArea dataOnly="0" labelOnly="1" outline="0" fieldPosition="0">
        <references count="2">
          <reference field="0" count="1" selected="0">
            <x v="256"/>
          </reference>
          <reference field="1" count="1">
            <x v="185"/>
          </reference>
        </references>
      </pivotArea>
    </format>
    <format dxfId="451">
      <pivotArea dataOnly="0" labelOnly="1" outline="0" fieldPosition="0">
        <references count="2">
          <reference field="0" count="1" selected="0">
            <x v="257"/>
          </reference>
          <reference field="1" count="1">
            <x v="300"/>
          </reference>
        </references>
      </pivotArea>
    </format>
    <format dxfId="450">
      <pivotArea dataOnly="0" labelOnly="1" outline="0" fieldPosition="0">
        <references count="2">
          <reference field="0" count="1" selected="0">
            <x v="258"/>
          </reference>
          <reference field="1" count="1">
            <x v="278"/>
          </reference>
        </references>
      </pivotArea>
    </format>
    <format dxfId="449">
      <pivotArea dataOnly="0" labelOnly="1" outline="0" fieldPosition="0">
        <references count="2">
          <reference field="0" count="1" selected="0">
            <x v="259"/>
          </reference>
          <reference field="1" count="1">
            <x v="217"/>
          </reference>
        </references>
      </pivotArea>
    </format>
    <format dxfId="448">
      <pivotArea dataOnly="0" labelOnly="1" outline="0" fieldPosition="0">
        <references count="2">
          <reference field="0" count="1" selected="0">
            <x v="260"/>
          </reference>
          <reference field="1" count="1">
            <x v="131"/>
          </reference>
        </references>
      </pivotArea>
    </format>
    <format dxfId="447">
      <pivotArea dataOnly="0" labelOnly="1" outline="0" fieldPosition="0">
        <references count="2">
          <reference field="0" count="1" selected="0">
            <x v="261"/>
          </reference>
          <reference field="1" count="1">
            <x v="126"/>
          </reference>
        </references>
      </pivotArea>
    </format>
    <format dxfId="446">
      <pivotArea dataOnly="0" labelOnly="1" outline="0" fieldPosition="0">
        <references count="2">
          <reference field="0" count="1" selected="0">
            <x v="262"/>
          </reference>
          <reference field="1" count="1">
            <x v="301"/>
          </reference>
        </references>
      </pivotArea>
    </format>
    <format dxfId="445">
      <pivotArea dataOnly="0" labelOnly="1" outline="0" fieldPosition="0">
        <references count="2">
          <reference field="0" count="1" selected="0">
            <x v="265"/>
          </reference>
          <reference field="1" count="1">
            <x v="47"/>
          </reference>
        </references>
      </pivotArea>
    </format>
    <format dxfId="444">
      <pivotArea dataOnly="0" labelOnly="1" outline="0" fieldPosition="0">
        <references count="2">
          <reference field="0" count="1" selected="0">
            <x v="266"/>
          </reference>
          <reference field="1" count="1">
            <x v="205"/>
          </reference>
        </references>
      </pivotArea>
    </format>
    <format dxfId="443">
      <pivotArea dataOnly="0" labelOnly="1" outline="0" fieldPosition="0">
        <references count="2">
          <reference field="0" count="1" selected="0">
            <x v="268"/>
          </reference>
          <reference field="1" count="1">
            <x v="302"/>
          </reference>
        </references>
      </pivotArea>
    </format>
    <format dxfId="442">
      <pivotArea dataOnly="0" labelOnly="1" outline="0" fieldPosition="0">
        <references count="2">
          <reference field="0" count="1" selected="0">
            <x v="276"/>
          </reference>
          <reference field="1" count="1">
            <x v="76"/>
          </reference>
        </references>
      </pivotArea>
    </format>
    <format dxfId="441">
      <pivotArea dataOnly="0" labelOnly="1" outline="0" fieldPosition="0">
        <references count="2">
          <reference field="0" count="1" selected="0">
            <x v="279"/>
          </reference>
          <reference field="1" count="1">
            <x v="252"/>
          </reference>
        </references>
      </pivotArea>
    </format>
    <format dxfId="440">
      <pivotArea dataOnly="0" labelOnly="1" outline="0" fieldPosition="0">
        <references count="2">
          <reference field="0" count="1" selected="0">
            <x v="280"/>
          </reference>
          <reference field="1" count="1">
            <x v="48"/>
          </reference>
        </references>
      </pivotArea>
    </format>
    <format dxfId="439">
      <pivotArea dataOnly="0" labelOnly="1" outline="0" fieldPosition="0">
        <references count="2">
          <reference field="0" count="1" selected="0">
            <x v="281"/>
          </reference>
          <reference field="1" count="1">
            <x v="99"/>
          </reference>
        </references>
      </pivotArea>
    </format>
    <format dxfId="438">
      <pivotArea dataOnly="0" labelOnly="1" outline="0" fieldPosition="0">
        <references count="2">
          <reference field="0" count="1" selected="0">
            <x v="282"/>
          </reference>
          <reference field="1" count="1">
            <x v="209"/>
          </reference>
        </references>
      </pivotArea>
    </format>
    <format dxfId="437">
      <pivotArea dataOnly="0" labelOnly="1" outline="0" fieldPosition="0">
        <references count="2">
          <reference field="0" count="1" selected="0">
            <x v="283"/>
          </reference>
          <reference field="1" count="1">
            <x v="271"/>
          </reference>
        </references>
      </pivotArea>
    </format>
    <format dxfId="436">
      <pivotArea dataOnly="0" labelOnly="1" outline="0" fieldPosition="0">
        <references count="2">
          <reference field="0" count="1" selected="0">
            <x v="284"/>
          </reference>
          <reference field="1" count="1">
            <x v="107"/>
          </reference>
        </references>
      </pivotArea>
    </format>
    <format dxfId="435">
      <pivotArea dataOnly="0" labelOnly="1" outline="0" fieldPosition="0">
        <references count="2">
          <reference field="0" count="1" selected="0">
            <x v="286"/>
          </reference>
          <reference field="1" count="1">
            <x v="43"/>
          </reference>
        </references>
      </pivotArea>
    </format>
    <format dxfId="434">
      <pivotArea dataOnly="0" labelOnly="1" outline="0" fieldPosition="0">
        <references count="2">
          <reference field="0" count="1" selected="0">
            <x v="287"/>
          </reference>
          <reference field="1" count="1">
            <x v="49"/>
          </reference>
        </references>
      </pivotArea>
    </format>
    <format dxfId="433">
      <pivotArea dataOnly="0" labelOnly="1" outline="0" fieldPosition="0">
        <references count="2">
          <reference field="0" count="1" selected="0">
            <x v="289"/>
          </reference>
          <reference field="1" count="1">
            <x v="111"/>
          </reference>
        </references>
      </pivotArea>
    </format>
    <format dxfId="432">
      <pivotArea dataOnly="0" labelOnly="1" outline="0" fieldPosition="0">
        <references count="2">
          <reference field="0" count="1" selected="0">
            <x v="290"/>
          </reference>
          <reference field="1" count="1">
            <x v="165"/>
          </reference>
        </references>
      </pivotArea>
    </format>
    <format dxfId="431">
      <pivotArea dataOnly="0" labelOnly="1" outline="0" fieldPosition="0">
        <references count="2">
          <reference field="0" count="1" selected="0">
            <x v="291"/>
          </reference>
          <reference field="1" count="1">
            <x v="248"/>
          </reference>
        </references>
      </pivotArea>
    </format>
    <format dxfId="430">
      <pivotArea dataOnly="0" labelOnly="1" outline="0" fieldPosition="0">
        <references count="2">
          <reference field="0" count="1" selected="0">
            <x v="292"/>
          </reference>
          <reference field="1" count="1">
            <x v="152"/>
          </reference>
        </references>
      </pivotArea>
    </format>
    <format dxfId="429">
      <pivotArea dataOnly="0" labelOnly="1" outline="0" fieldPosition="0">
        <references count="2">
          <reference field="0" count="1" selected="0">
            <x v="293"/>
          </reference>
          <reference field="1" count="1">
            <x v="153"/>
          </reference>
        </references>
      </pivotArea>
    </format>
    <format dxfId="428">
      <pivotArea dataOnly="0" labelOnly="1" outline="0" fieldPosition="0">
        <references count="2">
          <reference field="0" count="1" selected="0">
            <x v="294"/>
          </reference>
          <reference field="1" count="1">
            <x v="154"/>
          </reference>
        </references>
      </pivotArea>
    </format>
    <format dxfId="427">
      <pivotArea dataOnly="0" labelOnly="1" outline="0" fieldPosition="0">
        <references count="2">
          <reference field="0" count="1" selected="0">
            <x v="295"/>
          </reference>
          <reference field="1" count="1">
            <x v="270"/>
          </reference>
        </references>
      </pivotArea>
    </format>
    <format dxfId="426">
      <pivotArea dataOnly="0" labelOnly="1" outline="0" fieldPosition="0">
        <references count="2">
          <reference field="0" count="1" selected="0">
            <x v="296"/>
          </reference>
          <reference field="1" count="1">
            <x v="42"/>
          </reference>
        </references>
      </pivotArea>
    </format>
    <format dxfId="425">
      <pivotArea dataOnly="0" labelOnly="1" outline="0" fieldPosition="0">
        <references count="2">
          <reference field="0" count="1" selected="0">
            <x v="297"/>
          </reference>
          <reference field="1" count="1">
            <x v="233"/>
          </reference>
        </references>
      </pivotArea>
    </format>
    <format dxfId="424">
      <pivotArea dataOnly="0" labelOnly="1" outline="0" fieldPosition="0">
        <references count="2">
          <reference field="0" count="1" selected="0">
            <x v="298"/>
          </reference>
          <reference field="1" count="1">
            <x v="141"/>
          </reference>
        </references>
      </pivotArea>
    </format>
    <format dxfId="423">
      <pivotArea dataOnly="0" labelOnly="1" outline="0" fieldPosition="0">
        <references count="2">
          <reference field="0" count="1" selected="0">
            <x v="299"/>
          </reference>
          <reference field="1" count="1">
            <x v="66"/>
          </reference>
        </references>
      </pivotArea>
    </format>
    <format dxfId="422">
      <pivotArea dataOnly="0" labelOnly="1" outline="0" fieldPosition="0">
        <references count="2">
          <reference field="0" count="1" selected="0">
            <x v="300"/>
          </reference>
          <reference field="1" count="1">
            <x v="157"/>
          </reference>
        </references>
      </pivotArea>
    </format>
    <format dxfId="421">
      <pivotArea dataOnly="0" labelOnly="1" outline="0" fieldPosition="0">
        <references count="2">
          <reference field="0" count="1" selected="0">
            <x v="301"/>
          </reference>
          <reference field="1" count="1">
            <x v="194"/>
          </reference>
        </references>
      </pivotArea>
    </format>
    <format dxfId="420">
      <pivotArea dataOnly="0" labelOnly="1" outline="0" fieldPosition="0">
        <references count="2">
          <reference field="0" count="1" selected="0">
            <x v="302"/>
          </reference>
          <reference field="1" count="1">
            <x v="195"/>
          </reference>
        </references>
      </pivotArea>
    </format>
    <format dxfId="419">
      <pivotArea dataOnly="0" labelOnly="1" outline="0" fieldPosition="0">
        <references count="2">
          <reference field="0" count="1" selected="0">
            <x v="303"/>
          </reference>
          <reference field="1" count="1">
            <x v="196"/>
          </reference>
        </references>
      </pivotArea>
    </format>
    <format dxfId="418">
      <pivotArea dataOnly="0" labelOnly="1" outline="0" fieldPosition="0">
        <references count="2">
          <reference field="0" count="1" selected="0">
            <x v="305"/>
          </reference>
          <reference field="1" count="1">
            <x v="52"/>
          </reference>
        </references>
      </pivotArea>
    </format>
    <format dxfId="417">
      <pivotArea dataOnly="0" labelOnly="1" outline="0" fieldPosition="0">
        <references count="2">
          <reference field="0" count="1" selected="0">
            <x v="306"/>
          </reference>
          <reference field="1" count="1">
            <x v="36"/>
          </reference>
        </references>
      </pivotArea>
    </format>
    <format dxfId="416">
      <pivotArea dataOnly="0" labelOnly="1" outline="0" fieldPosition="0">
        <references count="2">
          <reference field="0" count="1" selected="0">
            <x v="307"/>
          </reference>
          <reference field="1" count="1">
            <x v="286"/>
          </reference>
        </references>
      </pivotArea>
    </format>
    <format dxfId="415">
      <pivotArea dataOnly="0" labelOnly="1" outline="0" fieldPosition="0">
        <references count="2">
          <reference field="0" count="1" selected="0">
            <x v="309"/>
          </reference>
          <reference field="1" count="1">
            <x v="211"/>
          </reference>
        </references>
      </pivotArea>
    </format>
    <format dxfId="414">
      <pivotArea dataOnly="0" labelOnly="1" outline="0" fieldPosition="0">
        <references count="2">
          <reference field="0" count="1" selected="0">
            <x v="310"/>
          </reference>
          <reference field="1" count="1">
            <x v="101"/>
          </reference>
        </references>
      </pivotArea>
    </format>
    <format dxfId="413">
      <pivotArea dataOnly="0" labelOnly="1" outline="0" fieldPosition="0">
        <references count="2">
          <reference field="0" count="1" selected="0">
            <x v="311"/>
          </reference>
          <reference field="1" count="1">
            <x v="224"/>
          </reference>
        </references>
      </pivotArea>
    </format>
    <format dxfId="412">
      <pivotArea dataOnly="0" labelOnly="1" outline="0" fieldPosition="0">
        <references count="2">
          <reference field="0" count="1" selected="0">
            <x v="312"/>
          </reference>
          <reference field="1" count="1">
            <x v="229"/>
          </reference>
        </references>
      </pivotArea>
    </format>
    <format dxfId="411">
      <pivotArea dataOnly="0" labelOnly="1" outline="0" fieldPosition="0">
        <references count="2">
          <reference field="0" count="1" selected="0">
            <x v="313"/>
          </reference>
          <reference field="1" count="1">
            <x v="251"/>
          </reference>
        </references>
      </pivotArea>
    </format>
    <format dxfId="410">
      <pivotArea dataOnly="0" labelOnly="1" outline="0" fieldPosition="0">
        <references count="2">
          <reference field="0" count="1" selected="0">
            <x v="315"/>
          </reference>
          <reference field="1" count="1">
            <x v="307"/>
          </reference>
        </references>
      </pivotArea>
    </format>
    <format dxfId="409">
      <pivotArea dataOnly="0" labelOnly="1" outline="0" fieldPosition="0">
        <references count="2">
          <reference field="0" count="1" selected="0">
            <x v="316"/>
          </reference>
          <reference field="1" count="1">
            <x v="308"/>
          </reference>
        </references>
      </pivotArea>
    </format>
    <format dxfId="408">
      <pivotArea dataOnly="0" labelOnly="1" outline="0" fieldPosition="0">
        <references count="2">
          <reference field="0" count="1" selected="0">
            <x v="317"/>
          </reference>
          <reference field="1" count="1">
            <x v="309"/>
          </reference>
        </references>
      </pivotArea>
    </format>
    <format dxfId="407">
      <pivotArea dataOnly="0" labelOnly="1" outline="0" fieldPosition="0">
        <references count="2">
          <reference field="0" count="1" selected="0">
            <x v="318"/>
          </reference>
          <reference field="1" count="1">
            <x v="100"/>
          </reference>
        </references>
      </pivotArea>
    </format>
    <format dxfId="406">
      <pivotArea dataOnly="0" labelOnly="1" outline="0" fieldPosition="0">
        <references count="2">
          <reference field="0" count="1" selected="0">
            <x v="319"/>
          </reference>
          <reference field="1" count="1">
            <x v="173"/>
          </reference>
        </references>
      </pivotArea>
    </format>
    <format dxfId="405">
      <pivotArea dataOnly="0" labelOnly="1" outline="0" fieldPosition="0">
        <references count="2">
          <reference field="0" count="1" selected="0">
            <x v="320"/>
          </reference>
          <reference field="1" count="1">
            <x v="193"/>
          </reference>
        </references>
      </pivotArea>
    </format>
    <format dxfId="404">
      <pivotArea dataOnly="0" labelOnly="1" outline="0" fieldPosition="0">
        <references count="2">
          <reference field="0" count="1" selected="0">
            <x v="321"/>
          </reference>
          <reference field="1" count="1">
            <x v="280"/>
          </reference>
        </references>
      </pivotArea>
    </format>
    <format dxfId="403">
      <pivotArea dataOnly="0" labelOnly="1" outline="0" fieldPosition="0">
        <references count="2">
          <reference field="0" count="1" selected="0">
            <x v="322"/>
          </reference>
          <reference field="1" count="1">
            <x v="265"/>
          </reference>
        </references>
      </pivotArea>
    </format>
    <format dxfId="402">
      <pivotArea dataOnly="0" labelOnly="1" outline="0" fieldPosition="0">
        <references count="2">
          <reference field="0" count="1" selected="0">
            <x v="323"/>
          </reference>
          <reference field="1" count="1">
            <x v="242"/>
          </reference>
        </references>
      </pivotArea>
    </format>
    <format dxfId="401">
      <pivotArea dataOnly="0" labelOnly="1" outline="0" fieldPosition="0">
        <references count="2">
          <reference field="0" count="1" selected="0">
            <x v="324"/>
          </reference>
          <reference field="1" count="1">
            <x v="202"/>
          </reference>
        </references>
      </pivotArea>
    </format>
    <format dxfId="400">
      <pivotArea dataOnly="0" labelOnly="1" outline="0" fieldPosition="0">
        <references count="2">
          <reference field="0" count="1" selected="0">
            <x v="325"/>
          </reference>
          <reference field="1" count="1">
            <x v="260"/>
          </reference>
        </references>
      </pivotArea>
    </format>
    <format dxfId="399">
      <pivotArea dataOnly="0" labelOnly="1" outline="0" fieldPosition="0">
        <references count="2">
          <reference field="0" count="1" selected="0">
            <x v="326"/>
          </reference>
          <reference field="1" count="1">
            <x v="176"/>
          </reference>
        </references>
      </pivotArea>
    </format>
    <format dxfId="398">
      <pivotArea dataOnly="0" labelOnly="1" outline="0" fieldPosition="0">
        <references count="2">
          <reference field="0" count="1" selected="0">
            <x v="327"/>
          </reference>
          <reference field="1" count="1">
            <x v="183"/>
          </reference>
        </references>
      </pivotArea>
    </format>
    <format dxfId="397">
      <pivotArea dataOnly="0" labelOnly="1" outline="0" fieldPosition="0">
        <references count="2">
          <reference field="0" count="1" selected="0">
            <x v="328"/>
          </reference>
          <reference field="1" count="1">
            <x v="58"/>
          </reference>
        </references>
      </pivotArea>
    </format>
    <format dxfId="396">
      <pivotArea dataOnly="0" labelOnly="1" outline="0" fieldPosition="0">
        <references count="2">
          <reference field="0" count="1" selected="0">
            <x v="329"/>
          </reference>
          <reference field="1" count="1">
            <x v="266"/>
          </reference>
        </references>
      </pivotArea>
    </format>
    <format dxfId="395">
      <pivotArea dataOnly="0" labelOnly="1" outline="0" fieldPosition="0">
        <references count="2">
          <reference field="0" count="1" selected="0">
            <x v="330"/>
          </reference>
          <reference field="1" count="1">
            <x v="175"/>
          </reference>
        </references>
      </pivotArea>
    </format>
    <format dxfId="394">
      <pivotArea dataOnly="0" labelOnly="1" outline="0" fieldPosition="0">
        <references count="2">
          <reference field="0" count="1" selected="0">
            <x v="331"/>
          </reference>
          <reference field="1" count="1">
            <x v="174"/>
          </reference>
        </references>
      </pivotArea>
    </format>
    <format dxfId="393">
      <pivotArea dataOnly="0" labelOnly="1" outline="0" fieldPosition="0">
        <references count="2">
          <reference field="0" count="1" selected="0">
            <x v="332"/>
          </reference>
          <reference field="1" count="1">
            <x v="127"/>
          </reference>
        </references>
      </pivotArea>
    </format>
    <format dxfId="392">
      <pivotArea dataOnly="0" labelOnly="1" outline="0" fieldPosition="0">
        <references count="2">
          <reference field="0" count="1" selected="0">
            <x v="334"/>
          </reference>
          <reference field="1" count="1">
            <x v="136"/>
          </reference>
        </references>
      </pivotArea>
    </format>
    <format dxfId="391">
      <pivotArea dataOnly="0" labelOnly="1" outline="0" fieldPosition="0">
        <references count="2">
          <reference field="0" count="1" selected="0">
            <x v="335"/>
          </reference>
          <reference field="1" count="1">
            <x v="178"/>
          </reference>
        </references>
      </pivotArea>
    </format>
    <format dxfId="390">
      <pivotArea dataOnly="0" labelOnly="1" outline="0" fieldPosition="0">
        <references count="2">
          <reference field="0" count="1" selected="0">
            <x v="336"/>
          </reference>
          <reference field="1" count="1">
            <x v="191"/>
          </reference>
        </references>
      </pivotArea>
    </format>
    <format dxfId="389">
      <pivotArea dataOnly="0" labelOnly="1" outline="0" fieldPosition="0">
        <references count="2">
          <reference field="0" count="1" selected="0">
            <x v="337"/>
          </reference>
          <reference field="1" count="1">
            <x v="207"/>
          </reference>
        </references>
      </pivotArea>
    </format>
    <format dxfId="388">
      <pivotArea dataOnly="0" labelOnly="1" outline="0" fieldPosition="0">
        <references count="2">
          <reference field="0" count="1" selected="0">
            <x v="339"/>
          </reference>
          <reference field="1" count="1">
            <x v="45"/>
          </reference>
        </references>
      </pivotArea>
    </format>
    <format dxfId="387">
      <pivotArea dataOnly="0" labelOnly="1" outline="0" fieldPosition="0">
        <references count="2">
          <reference field="0" count="1" selected="0">
            <x v="341"/>
          </reference>
          <reference field="1" count="1">
            <x v="279"/>
          </reference>
        </references>
      </pivotArea>
    </format>
    <format dxfId="386">
      <pivotArea dataOnly="0" labelOnly="1" outline="0" fieldPosition="0">
        <references count="2">
          <reference field="0" count="1" selected="0">
            <x v="342"/>
          </reference>
          <reference field="1" count="1">
            <x v="210"/>
          </reference>
        </references>
      </pivotArea>
    </format>
    <format dxfId="385">
      <pivotArea dataOnly="0" labelOnly="1" outline="0" fieldPosition="0">
        <references count="2">
          <reference field="0" count="1" selected="0">
            <x v="343"/>
          </reference>
          <reference field="1" count="1">
            <x v="212"/>
          </reference>
        </references>
      </pivotArea>
    </format>
    <format dxfId="384">
      <pivotArea dataOnly="0" labelOnly="1" outline="0" fieldPosition="0">
        <references count="2">
          <reference field="0" count="1" selected="0">
            <x v="344"/>
          </reference>
          <reference field="1" count="1">
            <x v="53"/>
          </reference>
        </references>
      </pivotArea>
    </format>
    <format dxfId="383">
      <pivotArea dataOnly="0" labelOnly="1" outline="0" fieldPosition="0">
        <references count="2">
          <reference field="0" count="1" selected="0">
            <x v="348"/>
          </reference>
          <reference field="1" count="1">
            <x v="170"/>
          </reference>
        </references>
      </pivotArea>
    </format>
    <format dxfId="382">
      <pivotArea dataOnly="0" labelOnly="1" outline="0" fieldPosition="0">
        <references count="2">
          <reference field="0" count="1" selected="0">
            <x v="352"/>
          </reference>
          <reference field="1" count="1">
            <x v="198"/>
          </reference>
        </references>
      </pivotArea>
    </format>
    <format dxfId="381">
      <pivotArea dataOnly="0" labelOnly="1" outline="0" fieldPosition="0">
        <references count="2">
          <reference field="0" count="1" selected="0">
            <x v="353"/>
          </reference>
          <reference field="1" count="1">
            <x v="50"/>
          </reference>
        </references>
      </pivotArea>
    </format>
    <format dxfId="380">
      <pivotArea dataOnly="0" labelOnly="1" outline="0" fieldPosition="0">
        <references count="2">
          <reference field="0" count="1" selected="0">
            <x v="354"/>
          </reference>
          <reference field="1" count="1">
            <x v="231"/>
          </reference>
        </references>
      </pivotArea>
    </format>
    <format dxfId="379">
      <pivotArea dataOnly="0" labelOnly="1" outline="0" fieldPosition="0">
        <references count="2">
          <reference field="0" count="1" selected="0">
            <x v="355"/>
          </reference>
          <reference field="1" count="1">
            <x v="94"/>
          </reference>
        </references>
      </pivotArea>
    </format>
    <format dxfId="378">
      <pivotArea dataOnly="0" labelOnly="1" outline="0" fieldPosition="0">
        <references count="2">
          <reference field="0" count="1" selected="0">
            <x v="356"/>
          </reference>
          <reference field="1" count="1">
            <x v="188"/>
          </reference>
        </references>
      </pivotArea>
    </format>
    <format dxfId="377">
      <pivotArea dataOnly="0" labelOnly="1" outline="0" fieldPosition="0">
        <references count="2">
          <reference field="0" count="1" selected="0">
            <x v="357"/>
          </reference>
          <reference field="1" count="1">
            <x v="128"/>
          </reference>
        </references>
      </pivotArea>
    </format>
    <format dxfId="376">
      <pivotArea dataOnly="0" labelOnly="1" outline="0" fieldPosition="0">
        <references count="2">
          <reference field="0" count="1" selected="0">
            <x v="358"/>
          </reference>
          <reference field="1" count="1">
            <x v="249"/>
          </reference>
        </references>
      </pivotArea>
    </format>
    <format dxfId="375">
      <pivotArea dataOnly="0" labelOnly="1" outline="0" fieldPosition="0">
        <references count="2">
          <reference field="0" count="1" selected="0">
            <x v="359"/>
          </reference>
          <reference field="1" count="1">
            <x v="139"/>
          </reference>
        </references>
      </pivotArea>
    </format>
    <format dxfId="374">
      <pivotArea dataOnly="0" labelOnly="1" outline="0" fieldPosition="0">
        <references count="2">
          <reference field="0" count="1" selected="0">
            <x v="360"/>
          </reference>
          <reference field="1" count="1">
            <x v="179"/>
          </reference>
        </references>
      </pivotArea>
    </format>
    <format dxfId="373">
      <pivotArea dataOnly="0" labelOnly="1" outline="0" fieldPosition="0">
        <references count="2">
          <reference field="0" count="1" selected="0">
            <x v="361"/>
          </reference>
          <reference field="1" count="1">
            <x v="189"/>
          </reference>
        </references>
      </pivotArea>
    </format>
    <format dxfId="372">
      <pivotArea dataOnly="0" labelOnly="1" outline="0" fieldPosition="0">
        <references count="2">
          <reference field="0" count="1" selected="0">
            <x v="362"/>
          </reference>
          <reference field="1" count="1">
            <x v="156"/>
          </reference>
        </references>
      </pivotArea>
    </format>
    <format dxfId="371">
      <pivotArea dataOnly="0" labelOnly="1" outline="0" fieldPosition="0">
        <references count="2">
          <reference field="0" count="1" selected="0">
            <x v="363"/>
          </reference>
          <reference field="1" count="1">
            <x v="258"/>
          </reference>
        </references>
      </pivotArea>
    </format>
    <format dxfId="370">
      <pivotArea dataOnly="0" labelOnly="1" outline="0" fieldPosition="0">
        <references count="1">
          <reference field="31" count="0"/>
        </references>
      </pivotArea>
    </format>
    <format dxfId="369">
      <pivotArea dataOnly="0" labelOnly="1" grandCol="1" outline="0" fieldPosition="0"/>
    </format>
    <format dxfId="368">
      <pivotArea type="all" dataOnly="0" outline="0" fieldPosition="0"/>
    </format>
    <format dxfId="367">
      <pivotArea outline="0" collapsedLevelsAreSubtotals="1" fieldPosition="0"/>
    </format>
    <format dxfId="366">
      <pivotArea dataOnly="0" labelOnly="1" outline="0" fieldPosition="0">
        <references count="1">
          <reference field="0" count="50">
            <x v="4"/>
            <x v="7"/>
            <x v="9"/>
            <x v="11"/>
            <x v="12"/>
            <x v="13"/>
            <x v="17"/>
            <x v="19"/>
            <x v="27"/>
            <x v="29"/>
            <x v="31"/>
            <x v="34"/>
            <x v="35"/>
            <x v="36"/>
            <x v="38"/>
            <x v="40"/>
            <x v="45"/>
            <x v="49"/>
            <x v="50"/>
            <x v="51"/>
            <x v="52"/>
            <x v="53"/>
            <x v="55"/>
            <x v="57"/>
            <x v="58"/>
            <x v="63"/>
            <x v="64"/>
            <x v="65"/>
            <x v="66"/>
            <x v="69"/>
            <x v="70"/>
            <x v="71"/>
            <x v="72"/>
            <x v="75"/>
            <x v="76"/>
            <x v="77"/>
            <x v="78"/>
            <x v="79"/>
            <x v="80"/>
            <x v="85"/>
            <x v="86"/>
            <x v="87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65">
      <pivotArea dataOnly="0" labelOnly="1" outline="0" fieldPosition="0">
        <references count="1">
          <reference field="0" count="48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64">
      <pivotArea dataOnly="0" labelOnly="1" outline="0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8"/>
            <x v="159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363">
      <pivotArea dataOnly="0" labelOnly="1" outline="0" fieldPosition="0">
        <references count="1">
          <reference field="0" count="43">
            <x v="199"/>
            <x v="200"/>
            <x v="201"/>
            <x v="204"/>
            <x v="205"/>
            <x v="206"/>
            <x v="207"/>
            <x v="208"/>
            <x v="210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30"/>
            <x v="231"/>
            <x v="232"/>
            <x v="233"/>
            <x v="234"/>
            <x v="235"/>
            <x v="236"/>
            <x v="237"/>
            <x v="238"/>
            <x v="239"/>
            <x v="241"/>
            <x v="242"/>
            <x v="245"/>
            <x v="246"/>
            <x v="247"/>
            <x v="248"/>
            <x v="249"/>
            <x v="250"/>
          </reference>
        </references>
      </pivotArea>
    </format>
    <format dxfId="362">
      <pivotArea dataOnly="0" labelOnly="1" outline="0" fieldPosition="0">
        <references count="1">
          <reference field="0" count="46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8"/>
            <x v="272"/>
            <x v="273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361">
      <pivotArea dataOnly="0" labelOnly="1" outline="0" fieldPosition="0">
        <references count="1">
          <reference field="0" count="41">
            <x v="303"/>
            <x v="304"/>
            <x v="305"/>
            <x v="306"/>
            <x v="307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9"/>
            <x v="340"/>
            <x v="341"/>
            <x v="342"/>
            <x v="343"/>
            <x v="344"/>
            <x v="345"/>
          </reference>
        </references>
      </pivotArea>
    </format>
    <format dxfId="360">
      <pivotArea dataOnly="0" labelOnly="1" outline="0" fieldPosition="0">
        <references count="1">
          <reference field="0" count="18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359">
      <pivotArea dataOnly="0" labelOnly="1" grandRow="1" outline="0" fieldPosition="0"/>
    </format>
    <format dxfId="358">
      <pivotArea dataOnly="0" labelOnly="1" outline="0" fieldPosition="0">
        <references count="2">
          <reference field="0" count="1" selected="0">
            <x v="4"/>
          </reference>
          <reference field="1" count="1">
            <x v="135"/>
          </reference>
        </references>
      </pivotArea>
    </format>
    <format dxfId="357">
      <pivotArea dataOnly="0" labelOnly="1" outline="0" fieldPosition="0">
        <references count="2">
          <reference field="0" count="1" selected="0">
            <x v="7"/>
          </reference>
          <reference field="1" count="1">
            <x v="138"/>
          </reference>
        </references>
      </pivotArea>
    </format>
    <format dxfId="356">
      <pivotArea dataOnly="0" labelOnly="1" outline="0" fieldPosition="0">
        <references count="2">
          <reference field="0" count="1" selected="0">
            <x v="9"/>
          </reference>
          <reference field="1" count="1">
            <x v="303"/>
          </reference>
        </references>
      </pivotArea>
    </format>
    <format dxfId="355">
      <pivotArea dataOnly="0" labelOnly="1" outline="0" fieldPosition="0">
        <references count="2">
          <reference field="0" count="1" selected="0">
            <x v="11"/>
          </reference>
          <reference field="1" count="1">
            <x v="187"/>
          </reference>
        </references>
      </pivotArea>
    </format>
    <format dxfId="354">
      <pivotArea dataOnly="0" labelOnly="1" outline="0" fieldPosition="0">
        <references count="2">
          <reference field="0" count="1" selected="0">
            <x v="12"/>
          </reference>
          <reference field="1" count="1">
            <x v="306"/>
          </reference>
        </references>
      </pivotArea>
    </format>
    <format dxfId="353">
      <pivotArea dataOnly="0" labelOnly="1" outline="0" fieldPosition="0">
        <references count="2">
          <reference field="0" count="1" selected="0">
            <x v="13"/>
          </reference>
          <reference field="1" count="1">
            <x v="255"/>
          </reference>
        </references>
      </pivotArea>
    </format>
    <format dxfId="352">
      <pivotArea dataOnly="0" labelOnly="1" outline="0" fieldPosition="0">
        <references count="2">
          <reference field="0" count="1" selected="0">
            <x v="17"/>
          </reference>
          <reference field="1" count="1">
            <x v="268"/>
          </reference>
        </references>
      </pivotArea>
    </format>
    <format dxfId="351">
      <pivotArea dataOnly="0" labelOnly="1" outline="0" fieldPosition="0">
        <references count="2">
          <reference field="0" count="1" selected="0">
            <x v="19"/>
          </reference>
          <reference field="1" count="1">
            <x v="132"/>
          </reference>
        </references>
      </pivotArea>
    </format>
    <format dxfId="350">
      <pivotArea dataOnly="0" labelOnly="1" outline="0" fieldPosition="0">
        <references count="2">
          <reference field="0" count="1" selected="0">
            <x v="27"/>
          </reference>
          <reference field="1" count="1">
            <x v="89"/>
          </reference>
        </references>
      </pivotArea>
    </format>
    <format dxfId="349">
      <pivotArea dataOnly="0" labelOnly="1" outline="0" fieldPosition="0">
        <references count="2">
          <reference field="0" count="1" selected="0">
            <x v="29"/>
          </reference>
          <reference field="1" count="1">
            <x v="204"/>
          </reference>
        </references>
      </pivotArea>
    </format>
    <format dxfId="348">
      <pivotArea dataOnly="0" labelOnly="1" outline="0" fieldPosition="0">
        <references count="2">
          <reference field="0" count="1" selected="0">
            <x v="31"/>
          </reference>
          <reference field="1" count="1">
            <x v="284"/>
          </reference>
        </references>
      </pivotArea>
    </format>
    <format dxfId="347">
      <pivotArea dataOnly="0" labelOnly="1" outline="0" fieldPosition="0">
        <references count="2">
          <reference field="0" count="1" selected="0">
            <x v="34"/>
          </reference>
          <reference field="1" count="1">
            <x v="144"/>
          </reference>
        </references>
      </pivotArea>
    </format>
    <format dxfId="346">
      <pivotArea dataOnly="0" labelOnly="1" outline="0" fieldPosition="0">
        <references count="2">
          <reference field="0" count="1" selected="0">
            <x v="35"/>
          </reference>
          <reference field="1" count="1">
            <x v="219"/>
          </reference>
        </references>
      </pivotArea>
    </format>
    <format dxfId="345">
      <pivotArea dataOnly="0" labelOnly="1" outline="0" fieldPosition="0">
        <references count="2">
          <reference field="0" count="1" selected="0">
            <x v="36"/>
          </reference>
          <reference field="1" count="1">
            <x v="110"/>
          </reference>
        </references>
      </pivotArea>
    </format>
    <format dxfId="344">
      <pivotArea dataOnly="0" labelOnly="1" outline="0" fieldPosition="0">
        <references count="2">
          <reference field="0" count="1" selected="0">
            <x v="38"/>
          </reference>
          <reference field="1" count="1">
            <x v="2"/>
          </reference>
        </references>
      </pivotArea>
    </format>
    <format dxfId="343">
      <pivotArea dataOnly="0" labelOnly="1" outline="0" fieldPosition="0">
        <references count="2">
          <reference field="0" count="1" selected="0">
            <x v="40"/>
          </reference>
          <reference field="1" count="1">
            <x v="142"/>
          </reference>
        </references>
      </pivotArea>
    </format>
    <format dxfId="342">
      <pivotArea dataOnly="0" labelOnly="1" outline="0" fieldPosition="0">
        <references count="2">
          <reference field="0" count="1" selected="0">
            <x v="45"/>
          </reference>
          <reference field="1" count="1">
            <x v="192"/>
          </reference>
        </references>
      </pivotArea>
    </format>
    <format dxfId="341">
      <pivotArea dataOnly="0" labelOnly="1" outline="0" fieldPosition="0">
        <references count="2">
          <reference field="0" count="1" selected="0">
            <x v="49"/>
          </reference>
          <reference field="1" count="1">
            <x v="44"/>
          </reference>
        </references>
      </pivotArea>
    </format>
    <format dxfId="340">
      <pivotArea dataOnly="0" labelOnly="1" outline="0" fieldPosition="0">
        <references count="2">
          <reference field="0" count="1" selected="0">
            <x v="50"/>
          </reference>
          <reference field="1" count="1">
            <x v="201"/>
          </reference>
        </references>
      </pivotArea>
    </format>
    <format dxfId="339">
      <pivotArea dataOnly="0" labelOnly="1" outline="0" fieldPosition="0">
        <references count="2">
          <reference field="0" count="1" selected="0">
            <x v="51"/>
          </reference>
          <reference field="1" count="1">
            <x v="143"/>
          </reference>
        </references>
      </pivotArea>
    </format>
    <format dxfId="338">
      <pivotArea dataOnly="0" labelOnly="1" outline="0" fieldPosition="0">
        <references count="2">
          <reference field="0" count="1" selected="0">
            <x v="52"/>
          </reference>
          <reference field="1" count="1">
            <x v="98"/>
          </reference>
        </references>
      </pivotArea>
    </format>
    <format dxfId="337">
      <pivotArea dataOnly="0" labelOnly="1" outline="0" fieldPosition="0">
        <references count="2">
          <reference field="0" count="1" selected="0">
            <x v="53"/>
          </reference>
          <reference field="1" count="1">
            <x v="140"/>
          </reference>
        </references>
      </pivotArea>
    </format>
    <format dxfId="336">
      <pivotArea dataOnly="0" labelOnly="1" outline="0" fieldPosition="0">
        <references count="2">
          <reference field="0" count="1" selected="0">
            <x v="55"/>
          </reference>
          <reference field="1" count="1">
            <x v="39"/>
          </reference>
        </references>
      </pivotArea>
    </format>
    <format dxfId="335">
      <pivotArea dataOnly="0" labelOnly="1" outline="0" fieldPosition="0">
        <references count="2">
          <reference field="0" count="1" selected="0">
            <x v="57"/>
          </reference>
          <reference field="1" count="1">
            <x v="85"/>
          </reference>
        </references>
      </pivotArea>
    </format>
    <format dxfId="334">
      <pivotArea dataOnly="0" labelOnly="1" outline="0" fieldPosition="0">
        <references count="2">
          <reference field="0" count="1" selected="0">
            <x v="58"/>
          </reference>
          <reference field="1" count="1">
            <x v="225"/>
          </reference>
        </references>
      </pivotArea>
    </format>
    <format dxfId="333">
      <pivotArea dataOnly="0" labelOnly="1" outline="0" fieldPosition="0">
        <references count="2">
          <reference field="0" count="1" selected="0">
            <x v="63"/>
          </reference>
          <reference field="1" count="1">
            <x v="244"/>
          </reference>
        </references>
      </pivotArea>
    </format>
    <format dxfId="332">
      <pivotArea dataOnly="0" labelOnly="1" outline="0" fieldPosition="0">
        <references count="2">
          <reference field="0" count="1" selected="0">
            <x v="64"/>
          </reference>
          <reference field="1" count="1">
            <x v="84"/>
          </reference>
        </references>
      </pivotArea>
    </format>
    <format dxfId="331">
      <pivotArea dataOnly="0" labelOnly="1" outline="0" fieldPosition="0">
        <references count="2">
          <reference field="0" count="1" selected="0">
            <x v="65"/>
          </reference>
          <reference field="1" count="1">
            <x v="40"/>
          </reference>
        </references>
      </pivotArea>
    </format>
    <format dxfId="330">
      <pivotArea dataOnly="0" labelOnly="1" outline="0" fieldPosition="0">
        <references count="2">
          <reference field="0" count="1" selected="0">
            <x v="66"/>
          </reference>
          <reference field="1" count="1">
            <x v="19"/>
          </reference>
        </references>
      </pivotArea>
    </format>
    <format dxfId="329">
      <pivotArea dataOnly="0" labelOnly="1" outline="0" fieldPosition="0">
        <references count="2">
          <reference field="0" count="1" selected="0">
            <x v="69"/>
          </reference>
          <reference field="1" count="1">
            <x v="7"/>
          </reference>
        </references>
      </pivotArea>
    </format>
    <format dxfId="328">
      <pivotArea dataOnly="0" labelOnly="1" outline="0" fieldPosition="0">
        <references count="2">
          <reference field="0" count="1" selected="0">
            <x v="70"/>
          </reference>
          <reference field="1" count="1">
            <x v="287"/>
          </reference>
        </references>
      </pivotArea>
    </format>
    <format dxfId="327">
      <pivotArea dataOnly="0" labelOnly="1" outline="0" fieldPosition="0">
        <references count="2">
          <reference field="0" count="1" selected="0">
            <x v="71"/>
          </reference>
          <reference field="1" count="1">
            <x v="11"/>
          </reference>
        </references>
      </pivotArea>
    </format>
    <format dxfId="326">
      <pivotArea dataOnly="0" labelOnly="1" outline="0" fieldPosition="0">
        <references count="2">
          <reference field="0" count="1" selected="0">
            <x v="72"/>
          </reference>
          <reference field="1" count="1">
            <x v="253"/>
          </reference>
        </references>
      </pivotArea>
    </format>
    <format dxfId="325">
      <pivotArea dataOnly="0" labelOnly="1" outline="0" fieldPosition="0">
        <references count="2">
          <reference field="0" count="1" selected="0">
            <x v="75"/>
          </reference>
          <reference field="1" count="1">
            <x v="106"/>
          </reference>
        </references>
      </pivotArea>
    </format>
    <format dxfId="324">
      <pivotArea dataOnly="0" labelOnly="1" outline="0" fieldPosition="0">
        <references count="2">
          <reference field="0" count="1" selected="0">
            <x v="76"/>
          </reference>
          <reference field="1" count="1">
            <x v="310"/>
          </reference>
        </references>
      </pivotArea>
    </format>
    <format dxfId="323">
      <pivotArea dataOnly="0" labelOnly="1" outline="0" fieldPosition="0">
        <references count="2">
          <reference field="0" count="1" selected="0">
            <x v="77"/>
          </reference>
          <reference field="1" count="1">
            <x v="0"/>
          </reference>
        </references>
      </pivotArea>
    </format>
    <format dxfId="322">
      <pivotArea dataOnly="0" labelOnly="1" outline="0" fieldPosition="0">
        <references count="2">
          <reference field="0" count="1" selected="0">
            <x v="78"/>
          </reference>
          <reference field="1" count="1">
            <x v="250"/>
          </reference>
        </references>
      </pivotArea>
    </format>
    <format dxfId="321">
      <pivotArea dataOnly="0" labelOnly="1" outline="0" fieldPosition="0">
        <references count="2">
          <reference field="0" count="1" selected="0">
            <x v="79"/>
          </reference>
          <reference field="1" count="1">
            <x v="247"/>
          </reference>
        </references>
      </pivotArea>
    </format>
    <format dxfId="320">
      <pivotArea dataOnly="0" labelOnly="1" outline="0" fieldPosition="0">
        <references count="2">
          <reference field="0" count="1" selected="0">
            <x v="80"/>
          </reference>
          <reference field="1" count="1">
            <x v="62"/>
          </reference>
        </references>
      </pivotArea>
    </format>
    <format dxfId="319">
      <pivotArea dataOnly="0" labelOnly="1" outline="0" fieldPosition="0">
        <references count="2">
          <reference field="0" count="1" selected="0">
            <x v="85"/>
          </reference>
          <reference field="1" count="1">
            <x v="134"/>
          </reference>
        </references>
      </pivotArea>
    </format>
    <format dxfId="318">
      <pivotArea dataOnly="0" labelOnly="1" outline="0" fieldPosition="0">
        <references count="2">
          <reference field="0" count="1" selected="0">
            <x v="86"/>
          </reference>
          <reference field="1" count="1">
            <x v="228"/>
          </reference>
        </references>
      </pivotArea>
    </format>
    <format dxfId="317">
      <pivotArea dataOnly="0" labelOnly="1" outline="0" fieldPosition="0">
        <references count="2">
          <reference field="0" count="1" selected="0">
            <x v="87"/>
          </reference>
          <reference field="1" count="1">
            <x v="238"/>
          </reference>
        </references>
      </pivotArea>
    </format>
    <format dxfId="316">
      <pivotArea dataOnly="0" labelOnly="1" outline="0" fieldPosition="0">
        <references count="2">
          <reference field="0" count="1" selected="0">
            <x v="89"/>
          </reference>
          <reference field="1" count="1">
            <x v="68"/>
          </reference>
        </references>
      </pivotArea>
    </format>
    <format dxfId="315">
      <pivotArea dataOnly="0" labelOnly="1" outline="0" fieldPosition="0">
        <references count="2">
          <reference field="0" count="1" selected="0">
            <x v="90"/>
          </reference>
          <reference field="1" count="1">
            <x v="197"/>
          </reference>
        </references>
      </pivotArea>
    </format>
    <format dxfId="314">
      <pivotArea dataOnly="0" labelOnly="1" outline="0" fieldPosition="0">
        <references count="2">
          <reference field="0" count="1" selected="0">
            <x v="91"/>
          </reference>
          <reference field="1" count="1">
            <x v="213"/>
          </reference>
        </references>
      </pivotArea>
    </format>
    <format dxfId="313">
      <pivotArea dataOnly="0" labelOnly="1" outline="0" fieldPosition="0">
        <references count="2">
          <reference field="0" count="1" selected="0">
            <x v="92"/>
          </reference>
          <reference field="1" count="1">
            <x v="109"/>
          </reference>
        </references>
      </pivotArea>
    </format>
    <format dxfId="312">
      <pivotArea dataOnly="0" labelOnly="1" outline="0" fieldPosition="0">
        <references count="2">
          <reference field="0" count="1" selected="0">
            <x v="93"/>
          </reference>
          <reference field="1" count="1">
            <x v="222"/>
          </reference>
        </references>
      </pivotArea>
    </format>
    <format dxfId="311">
      <pivotArea dataOnly="0" labelOnly="1" outline="0" fieldPosition="0">
        <references count="2">
          <reference field="0" count="1" selected="0">
            <x v="94"/>
          </reference>
          <reference field="1" count="1">
            <x v="55"/>
          </reference>
        </references>
      </pivotArea>
    </format>
    <format dxfId="310">
      <pivotArea dataOnly="0" labelOnly="1" outline="0" fieldPosition="0">
        <references count="2">
          <reference field="0" count="1" selected="0">
            <x v="95"/>
          </reference>
          <reference field="1" count="1">
            <x v="35"/>
          </reference>
        </references>
      </pivotArea>
    </format>
    <format dxfId="309">
      <pivotArea dataOnly="0" labelOnly="1" outline="0" fieldPosition="0">
        <references count="2">
          <reference field="0" count="1" selected="0">
            <x v="96"/>
          </reference>
          <reference field="1" count="1">
            <x v="1"/>
          </reference>
        </references>
      </pivotArea>
    </format>
    <format dxfId="308">
      <pivotArea dataOnly="0" labelOnly="1" outline="0" fieldPosition="0">
        <references count="2">
          <reference field="0" count="1" selected="0">
            <x v="97"/>
          </reference>
          <reference field="1" count="1">
            <x v="82"/>
          </reference>
        </references>
      </pivotArea>
    </format>
    <format dxfId="307">
      <pivotArea dataOnly="0" labelOnly="1" outline="0" fieldPosition="0">
        <references count="2">
          <reference field="0" count="1" selected="0">
            <x v="98"/>
          </reference>
          <reference field="1" count="1">
            <x v="227"/>
          </reference>
        </references>
      </pivotArea>
    </format>
    <format dxfId="306">
      <pivotArea dataOnly="0" labelOnly="1" outline="0" fieldPosition="0">
        <references count="2">
          <reference field="0" count="1" selected="0">
            <x v="99"/>
          </reference>
          <reference field="1" count="1">
            <x v="274"/>
          </reference>
        </references>
      </pivotArea>
    </format>
    <format dxfId="305">
      <pivotArea dataOnly="0" labelOnly="1" outline="0" fieldPosition="0">
        <references count="2">
          <reference field="0" count="1" selected="0">
            <x v="100"/>
          </reference>
          <reference field="1" count="1">
            <x v="54"/>
          </reference>
        </references>
      </pivotArea>
    </format>
    <format dxfId="304">
      <pivotArea dataOnly="0" labelOnly="1" outline="0" fieldPosition="0">
        <references count="2">
          <reference field="0" count="1" selected="0">
            <x v="101"/>
          </reference>
          <reference field="1" count="1">
            <x v="181"/>
          </reference>
        </references>
      </pivotArea>
    </format>
    <format dxfId="303">
      <pivotArea dataOnly="0" labelOnly="1" outline="0" fieldPosition="0">
        <references count="2">
          <reference field="0" count="1" selected="0">
            <x v="102"/>
          </reference>
          <reference field="1" count="1">
            <x v="8"/>
          </reference>
        </references>
      </pivotArea>
    </format>
    <format dxfId="302">
      <pivotArea dataOnly="0" labelOnly="1" outline="0" fieldPosition="0">
        <references count="2">
          <reference field="0" count="1" selected="0">
            <x v="103"/>
          </reference>
          <reference field="1" count="1">
            <x v="56"/>
          </reference>
        </references>
      </pivotArea>
    </format>
    <format dxfId="301">
      <pivotArea dataOnly="0" labelOnly="1" outline="0" fieldPosition="0">
        <references count="2">
          <reference field="0" count="1" selected="0">
            <x v="104"/>
          </reference>
          <reference field="1" count="1">
            <x v="230"/>
          </reference>
        </references>
      </pivotArea>
    </format>
    <format dxfId="300">
      <pivotArea dataOnly="0" labelOnly="1" outline="0" fieldPosition="0">
        <references count="2">
          <reference field="0" count="1" selected="0">
            <x v="105"/>
          </reference>
          <reference field="1" count="1">
            <x v="283"/>
          </reference>
        </references>
      </pivotArea>
    </format>
    <format dxfId="299">
      <pivotArea dataOnly="0" labelOnly="1" outline="0" fieldPosition="0">
        <references count="2">
          <reference field="0" count="1" selected="0">
            <x v="106"/>
          </reference>
          <reference field="1" count="1">
            <x v="246"/>
          </reference>
        </references>
      </pivotArea>
    </format>
    <format dxfId="298">
      <pivotArea dataOnly="0" labelOnly="1" outline="0" fieldPosition="0">
        <references count="2">
          <reference field="0" count="1" selected="0">
            <x v="107"/>
          </reference>
          <reference field="1" count="1">
            <x v="16"/>
          </reference>
        </references>
      </pivotArea>
    </format>
    <format dxfId="297">
      <pivotArea dataOnly="0" labelOnly="1" outline="0" fieldPosition="0">
        <references count="2">
          <reference field="0" count="1" selected="0">
            <x v="108"/>
          </reference>
          <reference field="1" count="1">
            <x v="28"/>
          </reference>
        </references>
      </pivotArea>
    </format>
    <format dxfId="296">
      <pivotArea dataOnly="0" labelOnly="1" outline="0" fieldPosition="0">
        <references count="2">
          <reference field="0" count="1" selected="0">
            <x v="109"/>
          </reference>
          <reference field="1" count="1">
            <x v="70"/>
          </reference>
        </references>
      </pivotArea>
    </format>
    <format dxfId="295">
      <pivotArea dataOnly="0" labelOnly="1" outline="0" fieldPosition="0">
        <references count="2">
          <reference field="0" count="1" selected="0">
            <x v="110"/>
          </reference>
          <reference field="1" count="1">
            <x v="214"/>
          </reference>
        </references>
      </pivotArea>
    </format>
    <format dxfId="294">
      <pivotArea dataOnly="0" labelOnly="1" outline="0" fieldPosition="0">
        <references count="2">
          <reference field="0" count="1" selected="0">
            <x v="111"/>
          </reference>
          <reference field="1" count="1">
            <x v="90"/>
          </reference>
        </references>
      </pivotArea>
    </format>
    <format dxfId="293">
      <pivotArea dataOnly="0" labelOnly="1" outline="0" fieldPosition="0">
        <references count="2">
          <reference field="0" count="1" selected="0">
            <x v="112"/>
          </reference>
          <reference field="1" count="1">
            <x v="17"/>
          </reference>
        </references>
      </pivotArea>
    </format>
    <format dxfId="292">
      <pivotArea dataOnly="0" labelOnly="1" outline="0" fieldPosition="0">
        <references count="2">
          <reference field="0" count="1" selected="0">
            <x v="113"/>
          </reference>
          <reference field="1" count="1">
            <x v="105"/>
          </reference>
        </references>
      </pivotArea>
    </format>
    <format dxfId="291">
      <pivotArea dataOnly="0" labelOnly="1" outline="0" fieldPosition="0">
        <references count="2">
          <reference field="0" count="1" selected="0">
            <x v="114"/>
          </reference>
          <reference field="1" count="1">
            <x v="158"/>
          </reference>
        </references>
      </pivotArea>
    </format>
    <format dxfId="290">
      <pivotArea dataOnly="0" labelOnly="1" outline="0" fieldPosition="0">
        <references count="2">
          <reference field="0" count="1" selected="0">
            <x v="115"/>
          </reference>
          <reference field="1" count="1">
            <x v="166"/>
          </reference>
        </references>
      </pivotArea>
    </format>
    <format dxfId="289">
      <pivotArea dataOnly="0" labelOnly="1" outline="0" fieldPosition="0">
        <references count="2">
          <reference field="0" count="1" selected="0">
            <x v="116"/>
          </reference>
          <reference field="1" count="1">
            <x v="162"/>
          </reference>
        </references>
      </pivotArea>
    </format>
    <format dxfId="288">
      <pivotArea dataOnly="0" labelOnly="1" outline="0" fieldPosition="0">
        <references count="2">
          <reference field="0" count="1" selected="0">
            <x v="117"/>
          </reference>
          <reference field="1" count="1">
            <x v="160"/>
          </reference>
        </references>
      </pivotArea>
    </format>
    <format dxfId="287">
      <pivotArea dataOnly="0" labelOnly="1" outline="0" fieldPosition="0">
        <references count="2">
          <reference field="0" count="1" selected="0">
            <x v="118"/>
          </reference>
          <reference field="1" count="1">
            <x v="118"/>
          </reference>
        </references>
      </pivotArea>
    </format>
    <format dxfId="286">
      <pivotArea dataOnly="0" labelOnly="1" outline="0" fieldPosition="0">
        <references count="2">
          <reference field="0" count="1" selected="0">
            <x v="119"/>
          </reference>
          <reference field="1" count="1">
            <x v="129"/>
          </reference>
        </references>
      </pivotArea>
    </format>
    <format dxfId="285">
      <pivotArea dataOnly="0" labelOnly="1" outline="0" fieldPosition="0">
        <references count="2">
          <reference field="0" count="1" selected="0">
            <x v="120"/>
          </reference>
          <reference field="1" count="1">
            <x v="145"/>
          </reference>
        </references>
      </pivotArea>
    </format>
    <format dxfId="284">
      <pivotArea dataOnly="0" labelOnly="1" outline="0" fieldPosition="0">
        <references count="2">
          <reference field="0" count="1" selected="0">
            <x v="124"/>
          </reference>
          <reference field="1" count="1">
            <x v="5"/>
          </reference>
        </references>
      </pivotArea>
    </format>
    <format dxfId="283">
      <pivotArea dataOnly="0" labelOnly="1" outline="0" fieldPosition="0">
        <references count="2">
          <reference field="0" count="1" selected="0">
            <x v="125"/>
          </reference>
          <reference field="1" count="1">
            <x v="63"/>
          </reference>
        </references>
      </pivotArea>
    </format>
    <format dxfId="282">
      <pivotArea dataOnly="0" labelOnly="1" outline="0" fieldPosition="0">
        <references count="2">
          <reference field="0" count="1" selected="0">
            <x v="127"/>
          </reference>
          <reference field="1" count="1">
            <x v="92"/>
          </reference>
        </references>
      </pivotArea>
    </format>
    <format dxfId="281">
      <pivotArea dataOnly="0" labelOnly="1" outline="0" fieldPosition="0">
        <references count="2">
          <reference field="0" count="1" selected="0">
            <x v="128"/>
          </reference>
          <reference field="1" count="1">
            <x v="169"/>
          </reference>
        </references>
      </pivotArea>
    </format>
    <format dxfId="280">
      <pivotArea dataOnly="0" labelOnly="1" outline="0" fieldPosition="0">
        <references count="2">
          <reference field="0" count="1" selected="0">
            <x v="129"/>
          </reference>
          <reference field="1" count="1">
            <x v="74"/>
          </reference>
        </references>
      </pivotArea>
    </format>
    <format dxfId="279">
      <pivotArea dataOnly="0" labelOnly="1" outline="0" fieldPosition="0">
        <references count="2">
          <reference field="0" count="1" selected="0">
            <x v="130"/>
          </reference>
          <reference field="1" count="1">
            <x v="276"/>
          </reference>
        </references>
      </pivotArea>
    </format>
    <format dxfId="278">
      <pivotArea dataOnly="0" labelOnly="1" outline="0" fieldPosition="0">
        <references count="2">
          <reference field="0" count="1" selected="0">
            <x v="131"/>
          </reference>
          <reference field="1" count="1">
            <x v="254"/>
          </reference>
        </references>
      </pivotArea>
    </format>
    <format dxfId="277">
      <pivotArea dataOnly="0" labelOnly="1" outline="0" fieldPosition="0">
        <references count="2">
          <reference field="0" count="1" selected="0">
            <x v="132"/>
          </reference>
          <reference field="1" count="1">
            <x v="61"/>
          </reference>
        </references>
      </pivotArea>
    </format>
    <format dxfId="276">
      <pivotArea dataOnly="0" labelOnly="1" outline="0" fieldPosition="0">
        <references count="2">
          <reference field="0" count="1" selected="0">
            <x v="133"/>
          </reference>
          <reference field="1" count="1">
            <x v="96"/>
          </reference>
        </references>
      </pivotArea>
    </format>
    <format dxfId="275">
      <pivotArea dataOnly="0" labelOnly="1" outline="0" fieldPosition="0">
        <references count="2">
          <reference field="0" count="1" selected="0">
            <x v="135"/>
          </reference>
          <reference field="1" count="1">
            <x v="180"/>
          </reference>
        </references>
      </pivotArea>
    </format>
    <format dxfId="274">
      <pivotArea dataOnly="0" labelOnly="1" outline="0" fieldPosition="0">
        <references count="2">
          <reference field="0" count="1" selected="0">
            <x v="136"/>
          </reference>
          <reference field="1" count="1">
            <x v="269"/>
          </reference>
        </references>
      </pivotArea>
    </format>
    <format dxfId="273">
      <pivotArea dataOnly="0" labelOnly="1" outline="0" fieldPosition="0">
        <references count="2">
          <reference field="0" count="1" selected="0">
            <x v="137"/>
          </reference>
          <reference field="1" count="1">
            <x v="87"/>
          </reference>
        </references>
      </pivotArea>
    </format>
    <format dxfId="272">
      <pivotArea dataOnly="0" labelOnly="1" outline="0" fieldPosition="0">
        <references count="2">
          <reference field="0" count="1" selected="0">
            <x v="138"/>
          </reference>
          <reference field="1" count="1">
            <x v="257"/>
          </reference>
        </references>
      </pivotArea>
    </format>
    <format dxfId="271">
      <pivotArea dataOnly="0" labelOnly="1" outline="0" fieldPosition="0">
        <references count="2">
          <reference field="0" count="1" selected="0">
            <x v="139"/>
          </reference>
          <reference field="1" count="1">
            <x v="293"/>
          </reference>
        </references>
      </pivotArea>
    </format>
    <format dxfId="270">
      <pivotArea dataOnly="0" labelOnly="1" outline="0" fieldPosition="0">
        <references count="2">
          <reference field="0" count="1" selected="0">
            <x v="140"/>
          </reference>
          <reference field="1" count="1">
            <x v="103"/>
          </reference>
        </references>
      </pivotArea>
    </format>
    <format dxfId="269">
      <pivotArea dataOnly="0" labelOnly="1" outline="0" fieldPosition="0">
        <references count="2">
          <reference field="0" count="1" selected="0">
            <x v="141"/>
          </reference>
          <reference field="1" count="1">
            <x v="295"/>
          </reference>
        </references>
      </pivotArea>
    </format>
    <format dxfId="268">
      <pivotArea dataOnly="0" labelOnly="1" outline="0" fieldPosition="0">
        <references count="2">
          <reference field="0" count="1" selected="0">
            <x v="142"/>
          </reference>
          <reference field="1" count="1">
            <x v="177"/>
          </reference>
        </references>
      </pivotArea>
    </format>
    <format dxfId="267">
      <pivotArea dataOnly="0" labelOnly="1" outline="0" fieldPosition="0">
        <references count="2">
          <reference field="0" count="1" selected="0">
            <x v="143"/>
          </reference>
          <reference field="1" count="1">
            <x v="289"/>
          </reference>
        </references>
      </pivotArea>
    </format>
    <format dxfId="266">
      <pivotArea dataOnly="0" labelOnly="1" outline="0" fieldPosition="0">
        <references count="2">
          <reference field="0" count="1" selected="0">
            <x v="144"/>
          </reference>
          <reference field="1" count="1">
            <x v="34"/>
          </reference>
        </references>
      </pivotArea>
    </format>
    <format dxfId="265">
      <pivotArea dataOnly="0" labelOnly="1" outline="0" fieldPosition="0">
        <references count="2">
          <reference field="0" count="1" selected="0">
            <x v="146"/>
          </reference>
          <reference field="1" count="1">
            <x v="37"/>
          </reference>
        </references>
      </pivotArea>
    </format>
    <format dxfId="264">
      <pivotArea dataOnly="0" labelOnly="1" outline="0" fieldPosition="0">
        <references count="2">
          <reference field="0" count="1" selected="0">
            <x v="147"/>
          </reference>
          <reference field="1" count="1">
            <x v="265"/>
          </reference>
        </references>
      </pivotArea>
    </format>
    <format dxfId="263">
      <pivotArea dataOnly="0" labelOnly="1" outline="0" fieldPosition="0">
        <references count="2">
          <reference field="0" count="1" selected="0">
            <x v="148"/>
          </reference>
          <reference field="1" count="1">
            <x v="234"/>
          </reference>
        </references>
      </pivotArea>
    </format>
    <format dxfId="262">
      <pivotArea dataOnly="0" labelOnly="1" outline="0" fieldPosition="0">
        <references count="2">
          <reference field="0" count="1" selected="0">
            <x v="149"/>
          </reference>
          <reference field="1" count="1">
            <x v="120"/>
          </reference>
        </references>
      </pivotArea>
    </format>
    <format dxfId="261">
      <pivotArea dataOnly="0" labelOnly="1" outline="0" fieldPosition="0">
        <references count="2">
          <reference field="0" count="1" selected="0">
            <x v="150"/>
          </reference>
          <reference field="1" count="1">
            <x v="146"/>
          </reference>
        </references>
      </pivotArea>
    </format>
    <format dxfId="260">
      <pivotArea dataOnly="0" labelOnly="1" outline="0" fieldPosition="0">
        <references count="2">
          <reference field="0" count="1" selected="0">
            <x v="151"/>
          </reference>
          <reference field="1" count="1">
            <x v="273"/>
          </reference>
        </references>
      </pivotArea>
    </format>
    <format dxfId="259">
      <pivotArea dataOnly="0" labelOnly="1" outline="0" fieldPosition="0">
        <references count="2">
          <reference field="0" count="1" selected="0">
            <x v="154"/>
          </reference>
          <reference field="1" count="1">
            <x v="46"/>
          </reference>
        </references>
      </pivotArea>
    </format>
    <format dxfId="258">
      <pivotArea dataOnly="0" labelOnly="1" outline="0" fieldPosition="0">
        <references count="2">
          <reference field="0" count="1" selected="0">
            <x v="155"/>
          </reference>
          <reference field="1" count="1">
            <x v="64"/>
          </reference>
        </references>
      </pivotArea>
    </format>
    <format dxfId="257">
      <pivotArea dataOnly="0" labelOnly="1" outline="0" fieldPosition="0">
        <references count="2">
          <reference field="0" count="1" selected="0">
            <x v="156"/>
          </reference>
          <reference field="1" count="1">
            <x v="115"/>
          </reference>
        </references>
      </pivotArea>
    </format>
    <format dxfId="256">
      <pivotArea dataOnly="0" labelOnly="1" outline="0" fieldPosition="0">
        <references count="2">
          <reference field="0" count="1" selected="0">
            <x v="158"/>
          </reference>
          <reference field="1" count="1">
            <x v="243"/>
          </reference>
        </references>
      </pivotArea>
    </format>
    <format dxfId="255">
      <pivotArea dataOnly="0" labelOnly="1" outline="0" fieldPosition="0">
        <references count="2">
          <reference field="0" count="1" selected="0">
            <x v="159"/>
          </reference>
          <reference field="1" count="1">
            <x v="186"/>
          </reference>
        </references>
      </pivotArea>
    </format>
    <format dxfId="254">
      <pivotArea dataOnly="0" labelOnly="1" outline="0" fieldPosition="0">
        <references count="2">
          <reference field="0" count="1" selected="0">
            <x v="161"/>
          </reference>
          <reference field="1" count="1">
            <x v="114"/>
          </reference>
        </references>
      </pivotArea>
    </format>
    <format dxfId="253">
      <pivotArea dataOnly="0" labelOnly="1" outline="0" fieldPosition="0">
        <references count="2">
          <reference field="0" count="1" selected="0">
            <x v="162"/>
          </reference>
          <reference field="1" count="1">
            <x v="235"/>
          </reference>
        </references>
      </pivotArea>
    </format>
    <format dxfId="252">
      <pivotArea dataOnly="0" labelOnly="1" outline="0" fieldPosition="0">
        <references count="2">
          <reference field="0" count="1" selected="0">
            <x v="163"/>
          </reference>
          <reference field="1" count="1">
            <x v="112"/>
          </reference>
        </references>
      </pivotArea>
    </format>
    <format dxfId="251">
      <pivotArea dataOnly="0" labelOnly="1" outline="0" fieldPosition="0">
        <references count="2">
          <reference field="0" count="1" selected="0">
            <x v="164"/>
          </reference>
          <reference field="1" count="1">
            <x v="292"/>
          </reference>
        </references>
      </pivotArea>
    </format>
    <format dxfId="250">
      <pivotArea dataOnly="0" labelOnly="1" outline="0" fieldPosition="0">
        <references count="2">
          <reference field="0" count="1" selected="0">
            <x v="166"/>
          </reference>
          <reference field="1" count="1">
            <x v="104"/>
          </reference>
        </references>
      </pivotArea>
    </format>
    <format dxfId="249">
      <pivotArea dataOnly="0" labelOnly="1" outline="0" fieldPosition="0">
        <references count="2">
          <reference field="0" count="1" selected="0">
            <x v="168"/>
          </reference>
          <reference field="1" count="1">
            <x v="294"/>
          </reference>
        </references>
      </pivotArea>
    </format>
    <format dxfId="248">
      <pivotArea dataOnly="0" labelOnly="1" outline="0" fieldPosition="0">
        <references count="2">
          <reference field="0" count="1" selected="0">
            <x v="169"/>
          </reference>
          <reference field="1" count="1">
            <x v="20"/>
          </reference>
        </references>
      </pivotArea>
    </format>
    <format dxfId="247">
      <pivotArea dataOnly="0" labelOnly="1" outline="0" fieldPosition="0">
        <references count="2">
          <reference field="0" count="1" selected="0">
            <x v="170"/>
          </reference>
          <reference field="1" count="1">
            <x v="261"/>
          </reference>
        </references>
      </pivotArea>
    </format>
    <format dxfId="246">
      <pivotArea dataOnly="0" labelOnly="1" outline="0" fieldPosition="0">
        <references count="2">
          <reference field="0" count="1" selected="0">
            <x v="171"/>
          </reference>
          <reference field="1" count="1">
            <x v="262"/>
          </reference>
        </references>
      </pivotArea>
    </format>
    <format dxfId="245">
      <pivotArea dataOnly="0" labelOnly="1" outline="0" fieldPosition="0">
        <references count="2">
          <reference field="0" count="1" selected="0">
            <x v="172"/>
          </reference>
          <reference field="1" count="1">
            <x v="263"/>
          </reference>
        </references>
      </pivotArea>
    </format>
    <format dxfId="244">
      <pivotArea dataOnly="0" labelOnly="1" outline="0" fieldPosition="0">
        <references count="2">
          <reference field="0" count="1" selected="0">
            <x v="173"/>
          </reference>
          <reference field="1" count="1">
            <x v="285"/>
          </reference>
        </references>
      </pivotArea>
    </format>
    <format dxfId="243">
      <pivotArea dataOnly="0" labelOnly="1" outline="0" fieldPosition="0">
        <references count="2">
          <reference field="0" count="1" selected="0">
            <x v="174"/>
          </reference>
          <reference field="1" count="1">
            <x v="159"/>
          </reference>
        </references>
      </pivotArea>
    </format>
    <format dxfId="242">
      <pivotArea dataOnly="0" labelOnly="1" outline="0" fieldPosition="0">
        <references count="2">
          <reference field="0" count="1" selected="0">
            <x v="175"/>
          </reference>
          <reference field="1" count="1">
            <x v="167"/>
          </reference>
        </references>
      </pivotArea>
    </format>
    <format dxfId="241">
      <pivotArea dataOnly="0" labelOnly="1" outline="0" fieldPosition="0">
        <references count="2">
          <reference field="0" count="1" selected="0">
            <x v="176"/>
          </reference>
          <reference field="1" count="1">
            <x v="163"/>
          </reference>
        </references>
      </pivotArea>
    </format>
    <format dxfId="240">
      <pivotArea dataOnly="0" labelOnly="1" outline="0" fieldPosition="0">
        <references count="2">
          <reference field="0" count="1" selected="0">
            <x v="177"/>
          </reference>
          <reference field="1" count="1">
            <x v="161"/>
          </reference>
        </references>
      </pivotArea>
    </format>
    <format dxfId="239">
      <pivotArea dataOnly="0" labelOnly="1" outline="0" fieldPosition="0">
        <references count="2">
          <reference field="0" count="1" selected="0">
            <x v="179"/>
          </reference>
          <reference field="1" count="1">
            <x v="147"/>
          </reference>
        </references>
      </pivotArea>
    </format>
    <format dxfId="238">
      <pivotArea dataOnly="0" labelOnly="1" outline="0" fieldPosition="0">
        <references count="2">
          <reference field="0" count="1" selected="0">
            <x v="180"/>
          </reference>
          <reference field="1" count="1">
            <x v="71"/>
          </reference>
        </references>
      </pivotArea>
    </format>
    <format dxfId="237">
      <pivotArea dataOnly="0" labelOnly="1" outline="0" fieldPosition="0">
        <references count="2">
          <reference field="0" count="1" selected="0">
            <x v="181"/>
          </reference>
          <reference field="1" count="1">
            <x v="9"/>
          </reference>
        </references>
      </pivotArea>
    </format>
    <format dxfId="236">
      <pivotArea dataOnly="0" labelOnly="1" outline="0" fieldPosition="0">
        <references count="2">
          <reference field="0" count="1" selected="0">
            <x v="182"/>
          </reference>
          <reference field="1" count="1">
            <x v="108"/>
          </reference>
        </references>
      </pivotArea>
    </format>
    <format dxfId="235">
      <pivotArea dataOnly="0" labelOnly="1" outline="0" fieldPosition="0">
        <references count="2">
          <reference field="0" count="1" selected="0">
            <x v="184"/>
          </reference>
          <reference field="1" count="1">
            <x v="296"/>
          </reference>
        </references>
      </pivotArea>
    </format>
    <format dxfId="234">
      <pivotArea dataOnly="0" labelOnly="1" outline="0" fieldPosition="0">
        <references count="2">
          <reference field="0" count="1" selected="0">
            <x v="185"/>
          </reference>
          <reference field="1" count="1">
            <x v="220"/>
          </reference>
        </references>
      </pivotArea>
    </format>
    <format dxfId="233">
      <pivotArea dataOnly="0" labelOnly="1" outline="0" fieldPosition="0">
        <references count="2">
          <reference field="0" count="1" selected="0">
            <x v="186"/>
          </reference>
          <reference field="1" count="1">
            <x v="208"/>
          </reference>
        </references>
      </pivotArea>
    </format>
    <format dxfId="232">
      <pivotArea dataOnly="0" labelOnly="1" outline="0" fieldPosition="0">
        <references count="2">
          <reference field="0" count="1" selected="0">
            <x v="187"/>
          </reference>
          <reference field="1" count="1">
            <x v="199"/>
          </reference>
        </references>
      </pivotArea>
    </format>
    <format dxfId="231">
      <pivotArea dataOnly="0" labelOnly="1" outline="0" fieldPosition="0">
        <references count="2">
          <reference field="0" count="1" selected="0">
            <x v="188"/>
          </reference>
          <reference field="1" count="1">
            <x v="288"/>
          </reference>
        </references>
      </pivotArea>
    </format>
    <format dxfId="230">
      <pivotArea dataOnly="0" labelOnly="1" outline="0" fieldPosition="0">
        <references count="2">
          <reference field="0" count="1" selected="0">
            <x v="189"/>
          </reference>
          <reference field="1" count="1">
            <x v="182"/>
          </reference>
        </references>
      </pivotArea>
    </format>
    <format dxfId="229">
      <pivotArea dataOnly="0" labelOnly="1" outline="0" fieldPosition="0">
        <references count="2">
          <reference field="0" count="1" selected="0">
            <x v="190"/>
          </reference>
          <reference field="1" count="1">
            <x v="281"/>
          </reference>
        </references>
      </pivotArea>
    </format>
    <format dxfId="228">
      <pivotArea dataOnly="0" labelOnly="1" outline="0" fieldPosition="0">
        <references count="2">
          <reference field="0" count="1" selected="0">
            <x v="191"/>
          </reference>
          <reference field="1" count="1">
            <x v="92"/>
          </reference>
        </references>
      </pivotArea>
    </format>
    <format dxfId="227">
      <pivotArea dataOnly="0" labelOnly="1" outline="0" fieldPosition="0">
        <references count="2">
          <reference field="0" count="1" selected="0">
            <x v="192"/>
          </reference>
          <reference field="1" count="1">
            <x v="51"/>
          </reference>
        </references>
      </pivotArea>
    </format>
    <format dxfId="226">
      <pivotArea dataOnly="0" labelOnly="1" outline="0" fieldPosition="0">
        <references count="2">
          <reference field="0" count="1" selected="0">
            <x v="193"/>
          </reference>
          <reference field="1" count="1">
            <x v="59"/>
          </reference>
        </references>
      </pivotArea>
    </format>
    <format dxfId="225">
      <pivotArea dataOnly="0" labelOnly="1" outline="0" fieldPosition="0">
        <references count="2">
          <reference field="0" count="1" selected="0">
            <x v="194"/>
          </reference>
          <reference field="1" count="1">
            <x v="239"/>
          </reference>
        </references>
      </pivotArea>
    </format>
    <format dxfId="224">
      <pivotArea dataOnly="0" labelOnly="1" outline="0" fieldPosition="0">
        <references count="2">
          <reference field="0" count="1" selected="0">
            <x v="195"/>
          </reference>
          <reference field="1" count="1">
            <x v="264"/>
          </reference>
        </references>
      </pivotArea>
    </format>
    <format dxfId="223">
      <pivotArea dataOnly="0" labelOnly="1" outline="0" fieldPosition="0">
        <references count="2">
          <reference field="0" count="1" selected="0">
            <x v="197"/>
          </reference>
          <reference field="1" count="1">
            <x v="305"/>
          </reference>
        </references>
      </pivotArea>
    </format>
    <format dxfId="222">
      <pivotArea dataOnly="0" labelOnly="1" outline="0" fieldPosition="0">
        <references count="2">
          <reference field="0" count="1" selected="0">
            <x v="198"/>
          </reference>
          <reference field="1" count="1">
            <x v="121"/>
          </reference>
        </references>
      </pivotArea>
    </format>
    <format dxfId="221">
      <pivotArea dataOnly="0" labelOnly="1" outline="0" fieldPosition="0">
        <references count="2">
          <reference field="0" count="1" selected="0">
            <x v="199"/>
          </reference>
          <reference field="1" count="1">
            <x v="148"/>
          </reference>
        </references>
      </pivotArea>
    </format>
    <format dxfId="220">
      <pivotArea dataOnly="0" labelOnly="1" outline="0" fieldPosition="0">
        <references count="2">
          <reference field="0" count="1" selected="0">
            <x v="201"/>
          </reference>
          <reference field="1" count="1">
            <x v="86"/>
          </reference>
        </references>
      </pivotArea>
    </format>
    <format dxfId="219">
      <pivotArea dataOnly="0" labelOnly="1" outline="0" fieldPosition="0">
        <references count="2">
          <reference field="0" count="1" selected="0">
            <x v="204"/>
          </reference>
          <reference field="1" count="1">
            <x v="206"/>
          </reference>
        </references>
      </pivotArea>
    </format>
    <format dxfId="218">
      <pivotArea dataOnly="0" labelOnly="1" outline="0" fieldPosition="0">
        <references count="2">
          <reference field="0" count="1" selected="0">
            <x v="206"/>
          </reference>
          <reference field="1" count="1">
            <x v="304"/>
          </reference>
        </references>
      </pivotArea>
    </format>
    <format dxfId="217">
      <pivotArea dataOnly="0" labelOnly="1" outline="0" fieldPosition="0">
        <references count="2">
          <reference field="0" count="1" selected="0">
            <x v="207"/>
          </reference>
          <reference field="1" count="1">
            <x v="91"/>
          </reference>
        </references>
      </pivotArea>
    </format>
    <format dxfId="216">
      <pivotArea dataOnly="0" labelOnly="1" outline="0" fieldPosition="0">
        <references count="2">
          <reference field="0" count="1" selected="0">
            <x v="208"/>
          </reference>
          <reference field="1" count="1">
            <x v="240"/>
          </reference>
        </references>
      </pivotArea>
    </format>
    <format dxfId="215">
      <pivotArea dataOnly="0" labelOnly="1" outline="0" fieldPosition="0">
        <references count="2">
          <reference field="0" count="1" selected="0">
            <x v="210"/>
          </reference>
          <reference field="1" count="1">
            <x v="203"/>
          </reference>
        </references>
      </pivotArea>
    </format>
    <format dxfId="214">
      <pivotArea dataOnly="0" labelOnly="1" outline="0" fieldPosition="0">
        <references count="2">
          <reference field="0" count="1" selected="0">
            <x v="212"/>
          </reference>
          <reference field="1" count="1">
            <x v="275"/>
          </reference>
        </references>
      </pivotArea>
    </format>
    <format dxfId="213">
      <pivotArea dataOnly="0" labelOnly="1" outline="0" fieldPosition="0">
        <references count="2">
          <reference field="0" count="1" selected="0">
            <x v="213"/>
          </reference>
          <reference field="1" count="1">
            <x v="277"/>
          </reference>
        </references>
      </pivotArea>
    </format>
    <format dxfId="212">
      <pivotArea dataOnly="0" labelOnly="1" outline="0" fieldPosition="0">
        <references count="2">
          <reference field="0" count="1" selected="0">
            <x v="214"/>
          </reference>
          <reference field="1" count="1">
            <x v="267"/>
          </reference>
        </references>
      </pivotArea>
    </format>
    <format dxfId="211">
      <pivotArea dataOnly="0" labelOnly="1" outline="0" fieldPosition="0">
        <references count="2">
          <reference field="0" count="1" selected="0">
            <x v="215"/>
          </reference>
          <reference field="1" count="1">
            <x v="200"/>
          </reference>
        </references>
      </pivotArea>
    </format>
    <format dxfId="210">
      <pivotArea dataOnly="0" labelOnly="1" outline="0" fieldPosition="0">
        <references count="2">
          <reference field="0" count="1" selected="0">
            <x v="219"/>
          </reference>
          <reference field="1" count="1">
            <x v="215"/>
          </reference>
        </references>
      </pivotArea>
    </format>
    <format dxfId="209">
      <pivotArea dataOnly="0" labelOnly="1" outline="0" fieldPosition="0">
        <references count="2">
          <reference field="0" count="1" selected="0">
            <x v="220"/>
          </reference>
          <reference field="1" count="1">
            <x v="116"/>
          </reference>
        </references>
      </pivotArea>
    </format>
    <format dxfId="208">
      <pivotArea dataOnly="0" labelOnly="1" outline="0" fieldPosition="0">
        <references count="2">
          <reference field="0" count="1" selected="0">
            <x v="221"/>
          </reference>
          <reference field="1" count="1">
            <x v="122"/>
          </reference>
        </references>
      </pivotArea>
    </format>
    <format dxfId="207">
      <pivotArea dataOnly="0" labelOnly="1" outline="0" fieldPosition="0">
        <references count="2">
          <reference field="0" count="1" selected="0">
            <x v="222"/>
          </reference>
          <reference field="1" count="1">
            <x v="130"/>
          </reference>
        </references>
      </pivotArea>
    </format>
    <format dxfId="206">
      <pivotArea dataOnly="0" labelOnly="1" outline="0" fieldPosition="0">
        <references count="2">
          <reference field="0" count="1" selected="0">
            <x v="223"/>
          </reference>
          <reference field="1" count="1">
            <x v="291"/>
          </reference>
        </references>
      </pivotArea>
    </format>
    <format dxfId="205">
      <pivotArea dataOnly="0" labelOnly="1" outline="0" fieldPosition="0">
        <references count="2">
          <reference field="0" count="1" selected="0">
            <x v="224"/>
          </reference>
          <reference field="1" count="1">
            <x v="149"/>
          </reference>
        </references>
      </pivotArea>
    </format>
    <format dxfId="204">
      <pivotArea dataOnly="0" labelOnly="1" outline="0" fieldPosition="0">
        <references count="2">
          <reference field="0" count="1" selected="0">
            <x v="225"/>
          </reference>
          <reference field="1" count="1">
            <x v="245"/>
          </reference>
        </references>
      </pivotArea>
    </format>
    <format dxfId="203">
      <pivotArea dataOnly="0" labelOnly="1" outline="0" fieldPosition="0">
        <references count="2">
          <reference field="0" count="1" selected="0">
            <x v="226"/>
          </reference>
          <reference field="1" count="1">
            <x v="297"/>
          </reference>
        </references>
      </pivotArea>
    </format>
    <format dxfId="202">
      <pivotArea dataOnly="0" labelOnly="1" outline="0" fieldPosition="0">
        <references count="2">
          <reference field="0" count="1" selected="0">
            <x v="231"/>
          </reference>
          <reference field="1" count="1">
            <x v="171"/>
          </reference>
        </references>
      </pivotArea>
    </format>
    <format dxfId="201">
      <pivotArea dataOnly="0" labelOnly="1" outline="0" fieldPosition="0">
        <references count="2">
          <reference field="0" count="1" selected="0">
            <x v="232"/>
          </reference>
          <reference field="1" count="1">
            <x v="123"/>
          </reference>
        </references>
      </pivotArea>
    </format>
    <format dxfId="200">
      <pivotArea dataOnly="0" labelOnly="1" outline="0" fieldPosition="0">
        <references count="2">
          <reference field="0" count="1" selected="0">
            <x v="233"/>
          </reference>
          <reference field="1" count="1">
            <x v="298"/>
          </reference>
        </references>
      </pivotArea>
    </format>
    <format dxfId="199">
      <pivotArea dataOnly="0" labelOnly="1" outline="0" fieldPosition="0">
        <references count="2">
          <reference field="0" count="1" selected="0">
            <x v="234"/>
          </reference>
          <reference field="1" count="1">
            <x v="155"/>
          </reference>
        </references>
      </pivotArea>
    </format>
    <format dxfId="198">
      <pivotArea dataOnly="0" labelOnly="1" outline="0" fieldPosition="0">
        <references count="2">
          <reference field="0" count="1" selected="0">
            <x v="235"/>
          </reference>
          <reference field="1" count="1">
            <x v="150"/>
          </reference>
        </references>
      </pivotArea>
    </format>
    <format dxfId="197">
      <pivotArea dataOnly="0" labelOnly="1" outline="0" fieldPosition="0">
        <references count="2">
          <reference field="0" count="1" selected="0">
            <x v="238"/>
          </reference>
          <reference field="1" count="1">
            <x v="168"/>
          </reference>
        </references>
      </pivotArea>
    </format>
    <format dxfId="196">
      <pivotArea dataOnly="0" labelOnly="1" outline="0" fieldPosition="0">
        <references count="2">
          <reference field="0" count="1" selected="0">
            <x v="241"/>
          </reference>
          <reference field="1" count="1">
            <x v="95"/>
          </reference>
        </references>
      </pivotArea>
    </format>
    <format dxfId="195">
      <pivotArea dataOnly="0" labelOnly="1" outline="0" fieldPosition="0">
        <references count="2">
          <reference field="0" count="1" selected="0">
            <x v="242"/>
          </reference>
          <reference field="1" count="1">
            <x v="232"/>
          </reference>
        </references>
      </pivotArea>
    </format>
    <format dxfId="194">
      <pivotArea dataOnly="0" labelOnly="1" outline="0" fieldPosition="0">
        <references count="2">
          <reference field="0" count="1" selected="0">
            <x v="245"/>
          </reference>
          <reference field="1" count="1">
            <x v="184"/>
          </reference>
        </references>
      </pivotArea>
    </format>
    <format dxfId="193">
      <pivotArea dataOnly="0" labelOnly="1" outline="0" fieldPosition="0">
        <references count="2">
          <reference field="0" count="1" selected="0">
            <x v="246"/>
          </reference>
          <reference field="1" count="1">
            <x v="124"/>
          </reference>
        </references>
      </pivotArea>
    </format>
    <format dxfId="192">
      <pivotArea dataOnly="0" labelOnly="1" outline="0" fieldPosition="0">
        <references count="2">
          <reference field="0" count="1" selected="0">
            <x v="247"/>
          </reference>
          <reference field="1" count="1">
            <x v="299"/>
          </reference>
        </references>
      </pivotArea>
    </format>
    <format dxfId="191">
      <pivotArea dataOnly="0" labelOnly="1" outline="0" fieldPosition="0">
        <references count="2">
          <reference field="0" count="1" selected="0">
            <x v="250"/>
          </reference>
          <reference field="1" count="1">
            <x v="164"/>
          </reference>
        </references>
      </pivotArea>
    </format>
    <format dxfId="190">
      <pivotArea dataOnly="0" labelOnly="1" outline="0" fieldPosition="0">
        <references count="2">
          <reference field="0" count="1" selected="0">
            <x v="251"/>
          </reference>
          <reference field="1" count="1">
            <x v="216"/>
          </reference>
        </references>
      </pivotArea>
    </format>
    <format dxfId="189">
      <pivotArea dataOnly="0" labelOnly="1" outline="0" fieldPosition="0">
        <references count="2">
          <reference field="0" count="1" selected="0">
            <x v="252"/>
          </reference>
          <reference field="1" count="1">
            <x v="151"/>
          </reference>
        </references>
      </pivotArea>
    </format>
    <format dxfId="188">
      <pivotArea dataOnly="0" labelOnly="1" outline="0" fieldPosition="0">
        <references count="2">
          <reference field="0" count="1" selected="0">
            <x v="253"/>
          </reference>
          <reference field="1" count="1">
            <x v="236"/>
          </reference>
        </references>
      </pivotArea>
    </format>
    <format dxfId="187">
      <pivotArea dataOnly="0" labelOnly="1" outline="0" fieldPosition="0">
        <references count="2">
          <reference field="0" count="1" selected="0">
            <x v="254"/>
          </reference>
          <reference field="1" count="1">
            <x v="102"/>
          </reference>
        </references>
      </pivotArea>
    </format>
    <format dxfId="186">
      <pivotArea dataOnly="0" labelOnly="1" outline="0" fieldPosition="0">
        <references count="2">
          <reference field="0" count="1" selected="0">
            <x v="255"/>
          </reference>
          <reference field="1" count="1">
            <x v="125"/>
          </reference>
        </references>
      </pivotArea>
    </format>
    <format dxfId="185">
      <pivotArea dataOnly="0" labelOnly="1" outline="0" fieldPosition="0">
        <references count="2">
          <reference field="0" count="1" selected="0">
            <x v="256"/>
          </reference>
          <reference field="1" count="1">
            <x v="185"/>
          </reference>
        </references>
      </pivotArea>
    </format>
    <format dxfId="184">
      <pivotArea dataOnly="0" labelOnly="1" outline="0" fieldPosition="0">
        <references count="2">
          <reference field="0" count="1" selected="0">
            <x v="257"/>
          </reference>
          <reference field="1" count="1">
            <x v="300"/>
          </reference>
        </references>
      </pivotArea>
    </format>
    <format dxfId="183">
      <pivotArea dataOnly="0" labelOnly="1" outline="0" fieldPosition="0">
        <references count="2">
          <reference field="0" count="1" selected="0">
            <x v="258"/>
          </reference>
          <reference field="1" count="1">
            <x v="278"/>
          </reference>
        </references>
      </pivotArea>
    </format>
    <format dxfId="182">
      <pivotArea dataOnly="0" labelOnly="1" outline="0" fieldPosition="0">
        <references count="2">
          <reference field="0" count="1" selected="0">
            <x v="259"/>
          </reference>
          <reference field="1" count="1">
            <x v="217"/>
          </reference>
        </references>
      </pivotArea>
    </format>
    <format dxfId="181">
      <pivotArea dataOnly="0" labelOnly="1" outline="0" fieldPosition="0">
        <references count="2">
          <reference field="0" count="1" selected="0">
            <x v="260"/>
          </reference>
          <reference field="1" count="1">
            <x v="131"/>
          </reference>
        </references>
      </pivotArea>
    </format>
    <format dxfId="180">
      <pivotArea dataOnly="0" labelOnly="1" outline="0" fieldPosition="0">
        <references count="2">
          <reference field="0" count="1" selected="0">
            <x v="261"/>
          </reference>
          <reference field="1" count="1">
            <x v="126"/>
          </reference>
        </references>
      </pivotArea>
    </format>
    <format dxfId="179">
      <pivotArea dataOnly="0" labelOnly="1" outline="0" fieldPosition="0">
        <references count="2">
          <reference field="0" count="1" selected="0">
            <x v="262"/>
          </reference>
          <reference field="1" count="1">
            <x v="301"/>
          </reference>
        </references>
      </pivotArea>
    </format>
    <format dxfId="178">
      <pivotArea dataOnly="0" labelOnly="1" outline="0" fieldPosition="0">
        <references count="2">
          <reference field="0" count="1" selected="0">
            <x v="265"/>
          </reference>
          <reference field="1" count="1">
            <x v="47"/>
          </reference>
        </references>
      </pivotArea>
    </format>
    <format dxfId="177">
      <pivotArea dataOnly="0" labelOnly="1" outline="0" fieldPosition="0">
        <references count="2">
          <reference field="0" count="1" selected="0">
            <x v="266"/>
          </reference>
          <reference field="1" count="1">
            <x v="205"/>
          </reference>
        </references>
      </pivotArea>
    </format>
    <format dxfId="176">
      <pivotArea dataOnly="0" labelOnly="1" outline="0" fieldPosition="0">
        <references count="2">
          <reference field="0" count="1" selected="0">
            <x v="268"/>
          </reference>
          <reference field="1" count="1">
            <x v="302"/>
          </reference>
        </references>
      </pivotArea>
    </format>
    <format dxfId="175">
      <pivotArea dataOnly="0" labelOnly="1" outline="0" fieldPosition="0">
        <references count="2">
          <reference field="0" count="1" selected="0">
            <x v="276"/>
          </reference>
          <reference field="1" count="1">
            <x v="76"/>
          </reference>
        </references>
      </pivotArea>
    </format>
    <format dxfId="174">
      <pivotArea dataOnly="0" labelOnly="1" outline="0" fieldPosition="0">
        <references count="2">
          <reference field="0" count="1" selected="0">
            <x v="279"/>
          </reference>
          <reference field="1" count="1">
            <x v="252"/>
          </reference>
        </references>
      </pivotArea>
    </format>
    <format dxfId="173">
      <pivotArea dataOnly="0" labelOnly="1" outline="0" fieldPosition="0">
        <references count="2">
          <reference field="0" count="1" selected="0">
            <x v="280"/>
          </reference>
          <reference field="1" count="1">
            <x v="48"/>
          </reference>
        </references>
      </pivotArea>
    </format>
    <format dxfId="172">
      <pivotArea dataOnly="0" labelOnly="1" outline="0" fieldPosition="0">
        <references count="2">
          <reference field="0" count="1" selected="0">
            <x v="281"/>
          </reference>
          <reference field="1" count="1">
            <x v="99"/>
          </reference>
        </references>
      </pivotArea>
    </format>
    <format dxfId="171">
      <pivotArea dataOnly="0" labelOnly="1" outline="0" fieldPosition="0">
        <references count="2">
          <reference field="0" count="1" selected="0">
            <x v="282"/>
          </reference>
          <reference field="1" count="1">
            <x v="209"/>
          </reference>
        </references>
      </pivotArea>
    </format>
    <format dxfId="170">
      <pivotArea dataOnly="0" labelOnly="1" outline="0" fieldPosition="0">
        <references count="2">
          <reference field="0" count="1" selected="0">
            <x v="283"/>
          </reference>
          <reference field="1" count="1">
            <x v="271"/>
          </reference>
        </references>
      </pivotArea>
    </format>
    <format dxfId="169">
      <pivotArea dataOnly="0" labelOnly="1" outline="0" fieldPosition="0">
        <references count="2">
          <reference field="0" count="1" selected="0">
            <x v="284"/>
          </reference>
          <reference field="1" count="1">
            <x v="107"/>
          </reference>
        </references>
      </pivotArea>
    </format>
    <format dxfId="168">
      <pivotArea dataOnly="0" labelOnly="1" outline="0" fieldPosition="0">
        <references count="2">
          <reference field="0" count="1" selected="0">
            <x v="286"/>
          </reference>
          <reference field="1" count="1">
            <x v="43"/>
          </reference>
        </references>
      </pivotArea>
    </format>
    <format dxfId="167">
      <pivotArea dataOnly="0" labelOnly="1" outline="0" fieldPosition="0">
        <references count="2">
          <reference field="0" count="1" selected="0">
            <x v="287"/>
          </reference>
          <reference field="1" count="1">
            <x v="49"/>
          </reference>
        </references>
      </pivotArea>
    </format>
    <format dxfId="166">
      <pivotArea dataOnly="0" labelOnly="1" outline="0" fieldPosition="0">
        <references count="2">
          <reference field="0" count="1" selected="0">
            <x v="289"/>
          </reference>
          <reference field="1" count="1">
            <x v="111"/>
          </reference>
        </references>
      </pivotArea>
    </format>
    <format dxfId="165">
      <pivotArea dataOnly="0" labelOnly="1" outline="0" fieldPosition="0">
        <references count="2">
          <reference field="0" count="1" selected="0">
            <x v="290"/>
          </reference>
          <reference field="1" count="1">
            <x v="165"/>
          </reference>
        </references>
      </pivotArea>
    </format>
    <format dxfId="164">
      <pivotArea dataOnly="0" labelOnly="1" outline="0" fieldPosition="0">
        <references count="2">
          <reference field="0" count="1" selected="0">
            <x v="291"/>
          </reference>
          <reference field="1" count="1">
            <x v="248"/>
          </reference>
        </references>
      </pivotArea>
    </format>
    <format dxfId="163">
      <pivotArea dataOnly="0" labelOnly="1" outline="0" fieldPosition="0">
        <references count="2">
          <reference field="0" count="1" selected="0">
            <x v="292"/>
          </reference>
          <reference field="1" count="1">
            <x v="152"/>
          </reference>
        </references>
      </pivotArea>
    </format>
    <format dxfId="162">
      <pivotArea dataOnly="0" labelOnly="1" outline="0" fieldPosition="0">
        <references count="2">
          <reference field="0" count="1" selected="0">
            <x v="293"/>
          </reference>
          <reference field="1" count="1">
            <x v="153"/>
          </reference>
        </references>
      </pivotArea>
    </format>
    <format dxfId="161">
      <pivotArea dataOnly="0" labelOnly="1" outline="0" fieldPosition="0">
        <references count="2">
          <reference field="0" count="1" selected="0">
            <x v="294"/>
          </reference>
          <reference field="1" count="1">
            <x v="154"/>
          </reference>
        </references>
      </pivotArea>
    </format>
    <format dxfId="160">
      <pivotArea dataOnly="0" labelOnly="1" outline="0" fieldPosition="0">
        <references count="2">
          <reference field="0" count="1" selected="0">
            <x v="295"/>
          </reference>
          <reference field="1" count="1">
            <x v="270"/>
          </reference>
        </references>
      </pivotArea>
    </format>
    <format dxfId="159">
      <pivotArea dataOnly="0" labelOnly="1" outline="0" fieldPosition="0">
        <references count="2">
          <reference field="0" count="1" selected="0">
            <x v="296"/>
          </reference>
          <reference field="1" count="1">
            <x v="42"/>
          </reference>
        </references>
      </pivotArea>
    </format>
    <format dxfId="158">
      <pivotArea dataOnly="0" labelOnly="1" outline="0" fieldPosition="0">
        <references count="2">
          <reference field="0" count="1" selected="0">
            <x v="297"/>
          </reference>
          <reference field="1" count="1">
            <x v="233"/>
          </reference>
        </references>
      </pivotArea>
    </format>
    <format dxfId="157">
      <pivotArea dataOnly="0" labelOnly="1" outline="0" fieldPosition="0">
        <references count="2">
          <reference field="0" count="1" selected="0">
            <x v="298"/>
          </reference>
          <reference field="1" count="1">
            <x v="141"/>
          </reference>
        </references>
      </pivotArea>
    </format>
    <format dxfId="156">
      <pivotArea dataOnly="0" labelOnly="1" outline="0" fieldPosition="0">
        <references count="2">
          <reference field="0" count="1" selected="0">
            <x v="299"/>
          </reference>
          <reference field="1" count="1">
            <x v="66"/>
          </reference>
        </references>
      </pivotArea>
    </format>
    <format dxfId="155">
      <pivotArea dataOnly="0" labelOnly="1" outline="0" fieldPosition="0">
        <references count="2">
          <reference field="0" count="1" selected="0">
            <x v="300"/>
          </reference>
          <reference field="1" count="1">
            <x v="157"/>
          </reference>
        </references>
      </pivotArea>
    </format>
    <format dxfId="154">
      <pivotArea dataOnly="0" labelOnly="1" outline="0" fieldPosition="0">
        <references count="2">
          <reference field="0" count="1" selected="0">
            <x v="301"/>
          </reference>
          <reference field="1" count="1">
            <x v="194"/>
          </reference>
        </references>
      </pivotArea>
    </format>
    <format dxfId="153">
      <pivotArea dataOnly="0" labelOnly="1" outline="0" fieldPosition="0">
        <references count="2">
          <reference field="0" count="1" selected="0">
            <x v="302"/>
          </reference>
          <reference field="1" count="1">
            <x v="195"/>
          </reference>
        </references>
      </pivotArea>
    </format>
    <format dxfId="152">
      <pivotArea dataOnly="0" labelOnly="1" outline="0" fieldPosition="0">
        <references count="2">
          <reference field="0" count="1" selected="0">
            <x v="303"/>
          </reference>
          <reference field="1" count="1">
            <x v="196"/>
          </reference>
        </references>
      </pivotArea>
    </format>
    <format dxfId="151">
      <pivotArea dataOnly="0" labelOnly="1" outline="0" fieldPosition="0">
        <references count="2">
          <reference field="0" count="1" selected="0">
            <x v="305"/>
          </reference>
          <reference field="1" count="1">
            <x v="52"/>
          </reference>
        </references>
      </pivotArea>
    </format>
    <format dxfId="150">
      <pivotArea dataOnly="0" labelOnly="1" outline="0" fieldPosition="0">
        <references count="2">
          <reference field="0" count="1" selected="0">
            <x v="306"/>
          </reference>
          <reference field="1" count="1">
            <x v="36"/>
          </reference>
        </references>
      </pivotArea>
    </format>
    <format dxfId="149">
      <pivotArea dataOnly="0" labelOnly="1" outline="0" fieldPosition="0">
        <references count="2">
          <reference field="0" count="1" selected="0">
            <x v="307"/>
          </reference>
          <reference field="1" count="1">
            <x v="286"/>
          </reference>
        </references>
      </pivotArea>
    </format>
    <format dxfId="148">
      <pivotArea dataOnly="0" labelOnly="1" outline="0" fieldPosition="0">
        <references count="2">
          <reference field="0" count="1" selected="0">
            <x v="309"/>
          </reference>
          <reference field="1" count="1">
            <x v="211"/>
          </reference>
        </references>
      </pivotArea>
    </format>
    <format dxfId="147">
      <pivotArea dataOnly="0" labelOnly="1" outline="0" fieldPosition="0">
        <references count="2">
          <reference field="0" count="1" selected="0">
            <x v="310"/>
          </reference>
          <reference field="1" count="1">
            <x v="101"/>
          </reference>
        </references>
      </pivotArea>
    </format>
    <format dxfId="146">
      <pivotArea dataOnly="0" labelOnly="1" outline="0" fieldPosition="0">
        <references count="2">
          <reference field="0" count="1" selected="0">
            <x v="311"/>
          </reference>
          <reference field="1" count="1">
            <x v="224"/>
          </reference>
        </references>
      </pivotArea>
    </format>
    <format dxfId="145">
      <pivotArea dataOnly="0" labelOnly="1" outline="0" fieldPosition="0">
        <references count="2">
          <reference field="0" count="1" selected="0">
            <x v="312"/>
          </reference>
          <reference field="1" count="1">
            <x v="229"/>
          </reference>
        </references>
      </pivotArea>
    </format>
    <format dxfId="144">
      <pivotArea dataOnly="0" labelOnly="1" outline="0" fieldPosition="0">
        <references count="2">
          <reference field="0" count="1" selected="0">
            <x v="313"/>
          </reference>
          <reference field="1" count="1">
            <x v="251"/>
          </reference>
        </references>
      </pivotArea>
    </format>
    <format dxfId="143">
      <pivotArea dataOnly="0" labelOnly="1" outline="0" fieldPosition="0">
        <references count="2">
          <reference field="0" count="1" selected="0">
            <x v="315"/>
          </reference>
          <reference field="1" count="1">
            <x v="307"/>
          </reference>
        </references>
      </pivotArea>
    </format>
    <format dxfId="142">
      <pivotArea dataOnly="0" labelOnly="1" outline="0" fieldPosition="0">
        <references count="2">
          <reference field="0" count="1" selected="0">
            <x v="316"/>
          </reference>
          <reference field="1" count="1">
            <x v="308"/>
          </reference>
        </references>
      </pivotArea>
    </format>
    <format dxfId="141">
      <pivotArea dataOnly="0" labelOnly="1" outline="0" fieldPosition="0">
        <references count="2">
          <reference field="0" count="1" selected="0">
            <x v="317"/>
          </reference>
          <reference field="1" count="1">
            <x v="309"/>
          </reference>
        </references>
      </pivotArea>
    </format>
    <format dxfId="140">
      <pivotArea dataOnly="0" labelOnly="1" outline="0" fieldPosition="0">
        <references count="2">
          <reference field="0" count="1" selected="0">
            <x v="318"/>
          </reference>
          <reference field="1" count="1">
            <x v="100"/>
          </reference>
        </references>
      </pivotArea>
    </format>
    <format dxfId="139">
      <pivotArea dataOnly="0" labelOnly="1" outline="0" fieldPosition="0">
        <references count="2">
          <reference field="0" count="1" selected="0">
            <x v="319"/>
          </reference>
          <reference field="1" count="1">
            <x v="173"/>
          </reference>
        </references>
      </pivotArea>
    </format>
    <format dxfId="138">
      <pivotArea dataOnly="0" labelOnly="1" outline="0" fieldPosition="0">
        <references count="2">
          <reference field="0" count="1" selected="0">
            <x v="320"/>
          </reference>
          <reference field="1" count="1">
            <x v="193"/>
          </reference>
        </references>
      </pivotArea>
    </format>
    <format dxfId="137">
      <pivotArea dataOnly="0" labelOnly="1" outline="0" fieldPosition="0">
        <references count="2">
          <reference field="0" count="1" selected="0">
            <x v="321"/>
          </reference>
          <reference field="1" count="1">
            <x v="280"/>
          </reference>
        </references>
      </pivotArea>
    </format>
    <format dxfId="136">
      <pivotArea dataOnly="0" labelOnly="1" outline="0" fieldPosition="0">
        <references count="2">
          <reference field="0" count="1" selected="0">
            <x v="322"/>
          </reference>
          <reference field="1" count="1">
            <x v="265"/>
          </reference>
        </references>
      </pivotArea>
    </format>
    <format dxfId="135">
      <pivotArea dataOnly="0" labelOnly="1" outline="0" fieldPosition="0">
        <references count="2">
          <reference field="0" count="1" selected="0">
            <x v="323"/>
          </reference>
          <reference field="1" count="1">
            <x v="242"/>
          </reference>
        </references>
      </pivotArea>
    </format>
    <format dxfId="134">
      <pivotArea dataOnly="0" labelOnly="1" outline="0" fieldPosition="0">
        <references count="2">
          <reference field="0" count="1" selected="0">
            <x v="324"/>
          </reference>
          <reference field="1" count="1">
            <x v="202"/>
          </reference>
        </references>
      </pivotArea>
    </format>
    <format dxfId="133">
      <pivotArea dataOnly="0" labelOnly="1" outline="0" fieldPosition="0">
        <references count="2">
          <reference field="0" count="1" selected="0">
            <x v="325"/>
          </reference>
          <reference field="1" count="1">
            <x v="260"/>
          </reference>
        </references>
      </pivotArea>
    </format>
    <format dxfId="132">
      <pivotArea dataOnly="0" labelOnly="1" outline="0" fieldPosition="0">
        <references count="2">
          <reference field="0" count="1" selected="0">
            <x v="326"/>
          </reference>
          <reference field="1" count="1">
            <x v="176"/>
          </reference>
        </references>
      </pivotArea>
    </format>
    <format dxfId="131">
      <pivotArea dataOnly="0" labelOnly="1" outline="0" fieldPosition="0">
        <references count="2">
          <reference field="0" count="1" selected="0">
            <x v="327"/>
          </reference>
          <reference field="1" count="1">
            <x v="183"/>
          </reference>
        </references>
      </pivotArea>
    </format>
    <format dxfId="130">
      <pivotArea dataOnly="0" labelOnly="1" outline="0" fieldPosition="0">
        <references count="2">
          <reference field="0" count="1" selected="0">
            <x v="328"/>
          </reference>
          <reference field="1" count="1">
            <x v="58"/>
          </reference>
        </references>
      </pivotArea>
    </format>
    <format dxfId="129">
      <pivotArea dataOnly="0" labelOnly="1" outline="0" fieldPosition="0">
        <references count="2">
          <reference field="0" count="1" selected="0">
            <x v="329"/>
          </reference>
          <reference field="1" count="1">
            <x v="266"/>
          </reference>
        </references>
      </pivotArea>
    </format>
    <format dxfId="128">
      <pivotArea dataOnly="0" labelOnly="1" outline="0" fieldPosition="0">
        <references count="2">
          <reference field="0" count="1" selected="0">
            <x v="330"/>
          </reference>
          <reference field="1" count="1">
            <x v="175"/>
          </reference>
        </references>
      </pivotArea>
    </format>
    <format dxfId="127">
      <pivotArea dataOnly="0" labelOnly="1" outline="0" fieldPosition="0">
        <references count="2">
          <reference field="0" count="1" selected="0">
            <x v="331"/>
          </reference>
          <reference field="1" count="1">
            <x v="174"/>
          </reference>
        </references>
      </pivotArea>
    </format>
    <format dxfId="126">
      <pivotArea dataOnly="0" labelOnly="1" outline="0" fieldPosition="0">
        <references count="2">
          <reference field="0" count="1" selected="0">
            <x v="332"/>
          </reference>
          <reference field="1" count="1">
            <x v="127"/>
          </reference>
        </references>
      </pivotArea>
    </format>
    <format dxfId="125">
      <pivotArea dataOnly="0" labelOnly="1" outline="0" fieldPosition="0">
        <references count="2">
          <reference field="0" count="1" selected="0">
            <x v="334"/>
          </reference>
          <reference field="1" count="1">
            <x v="136"/>
          </reference>
        </references>
      </pivotArea>
    </format>
    <format dxfId="124">
      <pivotArea dataOnly="0" labelOnly="1" outline="0" fieldPosition="0">
        <references count="2">
          <reference field="0" count="1" selected="0">
            <x v="335"/>
          </reference>
          <reference field="1" count="1">
            <x v="178"/>
          </reference>
        </references>
      </pivotArea>
    </format>
    <format dxfId="123">
      <pivotArea dataOnly="0" labelOnly="1" outline="0" fieldPosition="0">
        <references count="2">
          <reference field="0" count="1" selected="0">
            <x v="336"/>
          </reference>
          <reference field="1" count="1">
            <x v="191"/>
          </reference>
        </references>
      </pivotArea>
    </format>
    <format dxfId="122">
      <pivotArea dataOnly="0" labelOnly="1" outline="0" fieldPosition="0">
        <references count="2">
          <reference field="0" count="1" selected="0">
            <x v="337"/>
          </reference>
          <reference field="1" count="1">
            <x v="207"/>
          </reference>
        </references>
      </pivotArea>
    </format>
    <format dxfId="121">
      <pivotArea dataOnly="0" labelOnly="1" outline="0" fieldPosition="0">
        <references count="2">
          <reference field="0" count="1" selected="0">
            <x v="339"/>
          </reference>
          <reference field="1" count="1">
            <x v="45"/>
          </reference>
        </references>
      </pivotArea>
    </format>
    <format dxfId="120">
      <pivotArea dataOnly="0" labelOnly="1" outline="0" fieldPosition="0">
        <references count="2">
          <reference field="0" count="1" selected="0">
            <x v="341"/>
          </reference>
          <reference field="1" count="1">
            <x v="279"/>
          </reference>
        </references>
      </pivotArea>
    </format>
    <format dxfId="119">
      <pivotArea dataOnly="0" labelOnly="1" outline="0" fieldPosition="0">
        <references count="2">
          <reference field="0" count="1" selected="0">
            <x v="342"/>
          </reference>
          <reference field="1" count="1">
            <x v="210"/>
          </reference>
        </references>
      </pivotArea>
    </format>
    <format dxfId="118">
      <pivotArea dataOnly="0" labelOnly="1" outline="0" fieldPosition="0">
        <references count="2">
          <reference field="0" count="1" selected="0">
            <x v="343"/>
          </reference>
          <reference field="1" count="1">
            <x v="212"/>
          </reference>
        </references>
      </pivotArea>
    </format>
    <format dxfId="117">
      <pivotArea dataOnly="0" labelOnly="1" outline="0" fieldPosition="0">
        <references count="2">
          <reference field="0" count="1" selected="0">
            <x v="344"/>
          </reference>
          <reference field="1" count="1">
            <x v="53"/>
          </reference>
        </references>
      </pivotArea>
    </format>
    <format dxfId="116">
      <pivotArea dataOnly="0" labelOnly="1" outline="0" fieldPosition="0">
        <references count="2">
          <reference field="0" count="1" selected="0">
            <x v="348"/>
          </reference>
          <reference field="1" count="1">
            <x v="170"/>
          </reference>
        </references>
      </pivotArea>
    </format>
    <format dxfId="115">
      <pivotArea dataOnly="0" labelOnly="1" outline="0" fieldPosition="0">
        <references count="2">
          <reference field="0" count="1" selected="0">
            <x v="352"/>
          </reference>
          <reference field="1" count="1">
            <x v="198"/>
          </reference>
        </references>
      </pivotArea>
    </format>
    <format dxfId="114">
      <pivotArea dataOnly="0" labelOnly="1" outline="0" fieldPosition="0">
        <references count="2">
          <reference field="0" count="1" selected="0">
            <x v="353"/>
          </reference>
          <reference field="1" count="1">
            <x v="50"/>
          </reference>
        </references>
      </pivotArea>
    </format>
    <format dxfId="113">
      <pivotArea dataOnly="0" labelOnly="1" outline="0" fieldPosition="0">
        <references count="2">
          <reference field="0" count="1" selected="0">
            <x v="354"/>
          </reference>
          <reference field="1" count="1">
            <x v="231"/>
          </reference>
        </references>
      </pivotArea>
    </format>
    <format dxfId="112">
      <pivotArea dataOnly="0" labelOnly="1" outline="0" fieldPosition="0">
        <references count="2">
          <reference field="0" count="1" selected="0">
            <x v="355"/>
          </reference>
          <reference field="1" count="1">
            <x v="94"/>
          </reference>
        </references>
      </pivotArea>
    </format>
    <format dxfId="111">
      <pivotArea dataOnly="0" labelOnly="1" outline="0" fieldPosition="0">
        <references count="2">
          <reference field="0" count="1" selected="0">
            <x v="356"/>
          </reference>
          <reference field="1" count="1">
            <x v="188"/>
          </reference>
        </references>
      </pivotArea>
    </format>
    <format dxfId="110">
      <pivotArea dataOnly="0" labelOnly="1" outline="0" fieldPosition="0">
        <references count="2">
          <reference field="0" count="1" selected="0">
            <x v="357"/>
          </reference>
          <reference field="1" count="1">
            <x v="128"/>
          </reference>
        </references>
      </pivotArea>
    </format>
    <format dxfId="109">
      <pivotArea dataOnly="0" labelOnly="1" outline="0" fieldPosition="0">
        <references count="2">
          <reference field="0" count="1" selected="0">
            <x v="358"/>
          </reference>
          <reference field="1" count="1">
            <x v="249"/>
          </reference>
        </references>
      </pivotArea>
    </format>
    <format dxfId="108">
      <pivotArea dataOnly="0" labelOnly="1" outline="0" fieldPosition="0">
        <references count="2">
          <reference field="0" count="1" selected="0">
            <x v="359"/>
          </reference>
          <reference field="1" count="1">
            <x v="139"/>
          </reference>
        </references>
      </pivotArea>
    </format>
    <format dxfId="107">
      <pivotArea dataOnly="0" labelOnly="1" outline="0" fieldPosition="0">
        <references count="2">
          <reference field="0" count="1" selected="0">
            <x v="360"/>
          </reference>
          <reference field="1" count="1">
            <x v="179"/>
          </reference>
        </references>
      </pivotArea>
    </format>
    <format dxfId="106">
      <pivotArea dataOnly="0" labelOnly="1" outline="0" fieldPosition="0">
        <references count="2">
          <reference field="0" count="1" selected="0">
            <x v="361"/>
          </reference>
          <reference field="1" count="1">
            <x v="189"/>
          </reference>
        </references>
      </pivotArea>
    </format>
    <format dxfId="105">
      <pivotArea dataOnly="0" labelOnly="1" outline="0" fieldPosition="0">
        <references count="2">
          <reference field="0" count="1" selected="0">
            <x v="362"/>
          </reference>
          <reference field="1" count="1">
            <x v="156"/>
          </reference>
        </references>
      </pivotArea>
    </format>
    <format dxfId="104">
      <pivotArea dataOnly="0" labelOnly="1" outline="0" fieldPosition="0">
        <references count="2">
          <reference field="0" count="1" selected="0">
            <x v="363"/>
          </reference>
          <reference field="1" count="1">
            <x v="258"/>
          </reference>
        </references>
      </pivotArea>
    </format>
    <format dxfId="103">
      <pivotArea dataOnly="0" labelOnly="1" outline="0" fieldPosition="0">
        <references count="1">
          <reference field="31" count="0"/>
        </references>
      </pivotArea>
    </format>
    <format dxfId="102">
      <pivotArea dataOnly="0" labelOnly="1" grandCol="1" outline="0" fieldPosition="0"/>
    </format>
    <format dxfId="101">
      <pivotArea field="0" type="button" dataOnly="0" labelOnly="1" outline="0" axis="axisRow" fieldPosition="0"/>
    </format>
    <format dxfId="100">
      <pivotArea dataOnly="0" labelOnly="1" outline="0" fieldPosition="0">
        <references count="1">
          <reference field="31" count="0"/>
        </references>
      </pivotArea>
    </format>
    <format dxfId="99">
      <pivotArea dataOnly="0" labelOnly="1" grandCol="1" outline="0" fieldPosition="0"/>
    </format>
    <format dxfId="98">
      <pivotArea outline="0" collapsedLevelsAreSubtotals="1" fieldPosition="0">
        <references count="3">
          <reference field="0" count="1" selected="0">
            <x v="210"/>
          </reference>
          <reference field="1" count="1" selected="0">
            <x v="203"/>
          </reference>
          <reference field="31" count="1" selected="0">
            <x v="7"/>
          </reference>
        </references>
      </pivotArea>
    </format>
    <format dxfId="97">
      <pivotArea outline="0" collapsedLevelsAreSubtotals="1" fieldPosition="0">
        <references count="3">
          <reference field="0" count="1" selected="0">
            <x v="178"/>
          </reference>
          <reference field="1" count="1" selected="0">
            <x v="324"/>
          </reference>
          <reference field="31" count="1" selected="0">
            <x v="7"/>
          </reference>
        </references>
      </pivotArea>
    </format>
    <format dxfId="96">
      <pivotArea outline="0" collapsedLevelsAreSubtotals="1" fieldPosition="0">
        <references count="3">
          <reference field="0" count="1" selected="0">
            <x v="183"/>
          </reference>
          <reference field="1" count="1" selected="0">
            <x v="325"/>
          </reference>
          <reference field="31" count="1" selected="0">
            <x v="7"/>
          </reference>
        </references>
      </pivotArea>
    </format>
    <format dxfId="95">
      <pivotArea outline="0" collapsedLevelsAreSubtotals="1" fieldPosition="0">
        <references count="3">
          <reference field="0" count="1" selected="0">
            <x v="63"/>
          </reference>
          <reference field="1" count="1" selected="0">
            <x v="244"/>
          </reference>
          <reference field="31" count="1" selected="0">
            <x v="9"/>
          </reference>
        </references>
      </pivotArea>
    </format>
    <format dxfId="94">
      <pivotArea outline="0" collapsedLevelsAreSubtotals="1" fieldPosition="0">
        <references count="3">
          <reference field="0" count="1" selected="0">
            <x v="63"/>
          </reference>
          <reference field="1" count="1" selected="0">
            <x v="244"/>
          </reference>
          <reference field="31" count="1" selected="0">
            <x v="9"/>
          </reference>
        </references>
      </pivotArea>
    </format>
    <format dxfId="93">
      <pivotArea outline="0" collapsedLevelsAreSubtotals="1" fieldPosition="0">
        <references count="3">
          <reference field="0" count="1" selected="0">
            <x v="63"/>
          </reference>
          <reference field="1" count="1" selected="0">
            <x v="244"/>
          </reference>
          <reference field="31" count="1" selected="0">
            <x v="9"/>
          </reference>
        </references>
      </pivotArea>
    </format>
    <format dxfId="92">
      <pivotArea outline="0" collapsedLevelsAreSubtotals="1" fieldPosition="0">
        <references count="3">
          <reference field="0" count="1" selected="0">
            <x v="63"/>
          </reference>
          <reference field="1" count="1" selected="0">
            <x v="244"/>
          </reference>
          <reference field="31" count="1" selected="0">
            <x v="9"/>
          </reference>
        </references>
      </pivotArea>
    </format>
    <format dxfId="91">
      <pivotArea outline="0" collapsedLevelsAreSubtotals="1" fieldPosition="0">
        <references count="3">
          <reference field="0" count="1" selected="0">
            <x v="223"/>
          </reference>
          <reference field="1" count="1" selected="0">
            <x v="291"/>
          </reference>
          <reference field="31" count="1" selected="0">
            <x v="8"/>
          </reference>
        </references>
      </pivotArea>
    </format>
    <format dxfId="90">
      <pivotArea outline="0" collapsedLevelsAreSubtotals="1" fieldPosition="0">
        <references count="3">
          <reference field="0" count="1" selected="0">
            <x v="223"/>
          </reference>
          <reference field="1" count="1" selected="0">
            <x v="291"/>
          </reference>
          <reference field="31" count="1" selected="0">
            <x v="8"/>
          </reference>
        </references>
      </pivotArea>
    </format>
    <format dxfId="89">
      <pivotArea outline="0" collapsedLevelsAreSubtotals="1" fieldPosition="0">
        <references count="3">
          <reference field="0" count="1" selected="0">
            <x v="223"/>
          </reference>
          <reference field="1" count="1" selected="0">
            <x v="291"/>
          </reference>
          <reference field="31" count="1" selected="0">
            <x v="8"/>
          </reference>
        </references>
      </pivotArea>
    </format>
    <format dxfId="88">
      <pivotArea outline="0" collapsedLevelsAreSubtotals="1" fieldPosition="0">
        <references count="2">
          <reference field="0" count="10" selected="0"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  <reference field="1" count="4" selected="0">
            <x v="174"/>
            <x v="175"/>
            <x v="244"/>
            <x v="291"/>
          </reference>
        </references>
      </pivotArea>
    </format>
    <format dxfId="87">
      <pivotArea dataOnly="0" labelOnly="1" outline="0" fieldPosition="0">
        <references count="1">
          <reference field="0" count="10"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86">
      <pivotArea dataOnly="0" labelOnly="1" outline="0" fieldPosition="0">
        <references count="2">
          <reference field="0" count="1" selected="0">
            <x v="404"/>
          </reference>
          <reference field="1" count="1">
            <x v="244"/>
          </reference>
        </references>
      </pivotArea>
    </format>
    <format dxfId="85">
      <pivotArea dataOnly="0" labelOnly="1" outline="0" fieldPosition="0">
        <references count="2">
          <reference field="0" count="1" selected="0">
            <x v="405"/>
          </reference>
          <reference field="1" count="1">
            <x v="291"/>
          </reference>
        </references>
      </pivotArea>
    </format>
    <format dxfId="84">
      <pivotArea dataOnly="0" labelOnly="1" outline="0" fieldPosition="0">
        <references count="2">
          <reference field="0" count="1" selected="0">
            <x v="406"/>
          </reference>
          <reference field="1" count="1">
            <x v="244"/>
          </reference>
        </references>
      </pivotArea>
    </format>
    <format dxfId="83">
      <pivotArea dataOnly="0" labelOnly="1" outline="0" fieldPosition="0">
        <references count="2">
          <reference field="0" count="1" selected="0">
            <x v="407"/>
          </reference>
          <reference field="1" count="1">
            <x v="291"/>
          </reference>
        </references>
      </pivotArea>
    </format>
    <format dxfId="82">
      <pivotArea dataOnly="0" labelOnly="1" outline="0" fieldPosition="0">
        <references count="2">
          <reference field="0" count="1" selected="0">
            <x v="408"/>
          </reference>
          <reference field="1" count="1">
            <x v="175"/>
          </reference>
        </references>
      </pivotArea>
    </format>
    <format dxfId="81">
      <pivotArea dataOnly="0" labelOnly="1" outline="0" fieldPosition="0">
        <references count="2">
          <reference field="0" count="1" selected="0">
            <x v="409"/>
          </reference>
          <reference field="1" count="1">
            <x v="175"/>
          </reference>
        </references>
      </pivotArea>
    </format>
    <format dxfId="80">
      <pivotArea dataOnly="0" labelOnly="1" outline="0" fieldPosition="0">
        <references count="2">
          <reference field="0" count="1" selected="0">
            <x v="410"/>
          </reference>
          <reference field="1" count="1">
            <x v="175"/>
          </reference>
        </references>
      </pivotArea>
    </format>
    <format dxfId="79">
      <pivotArea dataOnly="0" labelOnly="1" outline="0" fieldPosition="0">
        <references count="2">
          <reference field="0" count="1" selected="0">
            <x v="411"/>
          </reference>
          <reference field="1" count="1">
            <x v="174"/>
          </reference>
        </references>
      </pivotArea>
    </format>
    <format dxfId="78">
      <pivotArea dataOnly="0" labelOnly="1" outline="0" fieldPosition="0">
        <references count="2">
          <reference field="0" count="1" selected="0">
            <x v="412"/>
          </reference>
          <reference field="1" count="1">
            <x v="175"/>
          </reference>
        </references>
      </pivotArea>
    </format>
    <format dxfId="77">
      <pivotArea dataOnly="0" labelOnly="1" outline="0" fieldPosition="0">
        <references count="2">
          <reference field="0" count="1" selected="0">
            <x v="413"/>
          </reference>
          <reference field="1" count="1">
            <x v="174"/>
          </reference>
        </references>
      </pivotArea>
    </format>
    <format dxfId="76">
      <pivotArea outline="0" collapsedLevelsAreSubtotals="1" fieldPosition="0">
        <references count="2">
          <reference field="0" count="10" selected="0"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  <reference field="1" count="4" selected="0">
            <x v="174"/>
            <x v="175"/>
            <x v="244"/>
            <x v="291"/>
          </reference>
        </references>
      </pivotArea>
    </format>
    <format dxfId="75">
      <pivotArea dataOnly="0" labelOnly="1" outline="0" fieldPosition="0">
        <references count="1">
          <reference field="0" count="10"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74">
      <pivotArea dataOnly="0" labelOnly="1" outline="0" fieldPosition="0">
        <references count="2">
          <reference field="0" count="1" selected="0">
            <x v="404"/>
          </reference>
          <reference field="1" count="1">
            <x v="244"/>
          </reference>
        </references>
      </pivotArea>
    </format>
    <format dxfId="73">
      <pivotArea dataOnly="0" labelOnly="1" outline="0" fieldPosition="0">
        <references count="2">
          <reference field="0" count="1" selected="0">
            <x v="405"/>
          </reference>
          <reference field="1" count="1">
            <x v="291"/>
          </reference>
        </references>
      </pivotArea>
    </format>
    <format dxfId="72">
      <pivotArea dataOnly="0" labelOnly="1" outline="0" fieldPosition="0">
        <references count="2">
          <reference field="0" count="1" selected="0">
            <x v="406"/>
          </reference>
          <reference field="1" count="1">
            <x v="244"/>
          </reference>
        </references>
      </pivotArea>
    </format>
    <format dxfId="71">
      <pivotArea dataOnly="0" labelOnly="1" outline="0" fieldPosition="0">
        <references count="2">
          <reference field="0" count="1" selected="0">
            <x v="407"/>
          </reference>
          <reference field="1" count="1">
            <x v="291"/>
          </reference>
        </references>
      </pivotArea>
    </format>
    <format dxfId="70">
      <pivotArea dataOnly="0" labelOnly="1" outline="0" fieldPosition="0">
        <references count="2">
          <reference field="0" count="1" selected="0">
            <x v="408"/>
          </reference>
          <reference field="1" count="1">
            <x v="175"/>
          </reference>
        </references>
      </pivotArea>
    </format>
    <format dxfId="69">
      <pivotArea dataOnly="0" labelOnly="1" outline="0" fieldPosition="0">
        <references count="2">
          <reference field="0" count="1" selected="0">
            <x v="409"/>
          </reference>
          <reference field="1" count="1">
            <x v="175"/>
          </reference>
        </references>
      </pivotArea>
    </format>
    <format dxfId="68">
      <pivotArea dataOnly="0" labelOnly="1" outline="0" fieldPosition="0">
        <references count="2">
          <reference field="0" count="1" selected="0">
            <x v="410"/>
          </reference>
          <reference field="1" count="1">
            <x v="175"/>
          </reference>
        </references>
      </pivotArea>
    </format>
    <format dxfId="67">
      <pivotArea dataOnly="0" labelOnly="1" outline="0" fieldPosition="0">
        <references count="2">
          <reference field="0" count="1" selected="0">
            <x v="411"/>
          </reference>
          <reference field="1" count="1">
            <x v="174"/>
          </reference>
        </references>
      </pivotArea>
    </format>
    <format dxfId="66">
      <pivotArea dataOnly="0" labelOnly="1" outline="0" fieldPosition="0">
        <references count="2">
          <reference field="0" count="1" selected="0">
            <x v="412"/>
          </reference>
          <reference field="1" count="1">
            <x v="175"/>
          </reference>
        </references>
      </pivotArea>
    </format>
    <format dxfId="65">
      <pivotArea dataOnly="0" labelOnly="1" outline="0" fieldPosition="0">
        <references count="2">
          <reference field="0" count="1" selected="0">
            <x v="413"/>
          </reference>
          <reference field="1" count="1">
            <x v="174"/>
          </reference>
        </references>
      </pivotArea>
    </format>
    <format dxfId="64">
      <pivotArea outline="0" collapsedLevelsAreSubtotals="1" fieldPosition="0">
        <references count="2">
          <reference field="0" count="1" selected="0">
            <x v="63"/>
          </reference>
          <reference field="1" count="1" selected="0">
            <x v="244"/>
          </reference>
        </references>
      </pivotArea>
    </format>
    <format dxfId="63">
      <pivotArea dataOnly="0" labelOnly="1" outline="0" fieldPosition="0">
        <references count="1">
          <reference field="0" count="1">
            <x v="63"/>
          </reference>
        </references>
      </pivotArea>
    </format>
    <format dxfId="62">
      <pivotArea dataOnly="0" labelOnly="1" outline="0" fieldPosition="0">
        <references count="2">
          <reference field="0" count="1" selected="0">
            <x v="63"/>
          </reference>
          <reference field="1" count="1">
            <x v="244"/>
          </reference>
        </references>
      </pivotArea>
    </format>
    <format dxfId="61">
      <pivotArea outline="0" collapsedLevelsAreSubtotals="1" fieldPosition="0">
        <references count="2">
          <reference field="0" count="1" selected="0">
            <x v="63"/>
          </reference>
          <reference field="1" count="1" selected="0">
            <x v="244"/>
          </reference>
        </references>
      </pivotArea>
    </format>
    <format dxfId="60">
      <pivotArea dataOnly="0" labelOnly="1" outline="0" fieldPosition="0">
        <references count="1">
          <reference field="0" count="1">
            <x v="63"/>
          </reference>
        </references>
      </pivotArea>
    </format>
    <format dxfId="59">
      <pivotArea dataOnly="0" labelOnly="1" outline="0" fieldPosition="0">
        <references count="2">
          <reference field="0" count="1" selected="0">
            <x v="63"/>
          </reference>
          <reference field="1" count="1">
            <x v="244"/>
          </reference>
        </references>
      </pivotArea>
    </format>
    <format dxfId="58">
      <pivotArea dataOnly="0" outline="0" fieldPosition="0">
        <references count="2">
          <reference field="0" count="1">
            <x v="223"/>
          </reference>
          <reference field="1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57">
      <pivotArea dataOnly="0" outline="0" fieldPosition="0">
        <references count="2">
          <reference field="0" count="1">
            <x v="223"/>
          </reference>
          <reference field="1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56">
      <pivotArea outline="0" collapsedLevelsAreSubtotals="1" fieldPosition="0">
        <references count="2">
          <reference field="0" count="1" selected="0">
            <x v="416"/>
          </reference>
          <reference field="1" count="1" selected="0">
            <x v="206"/>
          </reference>
        </references>
      </pivotArea>
    </format>
    <format dxfId="55">
      <pivotArea dataOnly="0" labelOnly="1" outline="0" fieldPosition="0">
        <references count="1">
          <reference field="0" count="1">
            <x v="416"/>
          </reference>
        </references>
      </pivotArea>
    </format>
    <format dxfId="54">
      <pivotArea dataOnly="0" labelOnly="1" outline="0" fieldPosition="0">
        <references count="2">
          <reference field="0" count="1" selected="0">
            <x v="416"/>
          </reference>
          <reference field="1" count="1">
            <x v="206"/>
          </reference>
        </references>
      </pivotArea>
    </format>
    <format dxfId="53">
      <pivotArea outline="0" collapsedLevelsAreSubtotals="1" fieldPosition="0">
        <references count="2">
          <reference field="0" count="1" selected="0">
            <x v="416"/>
          </reference>
          <reference field="1" count="1" selected="0">
            <x v="206"/>
          </reference>
        </references>
      </pivotArea>
    </format>
    <format dxfId="52">
      <pivotArea dataOnly="0" labelOnly="1" outline="0" fieldPosition="0">
        <references count="1">
          <reference field="0" count="1">
            <x v="416"/>
          </reference>
        </references>
      </pivotArea>
    </format>
    <format dxfId="51">
      <pivotArea dataOnly="0" labelOnly="1" outline="0" fieldPosition="0">
        <references count="2">
          <reference field="0" count="1" selected="0">
            <x v="416"/>
          </reference>
          <reference field="1" count="1">
            <x v="206"/>
          </reference>
        </references>
      </pivotArea>
    </format>
    <format dxfId="50">
      <pivotArea outline="0" collapsedLevelsAreSubtotals="1" fieldPosition="0">
        <references count="3">
          <reference field="0" count="1" selected="0">
            <x v="367"/>
          </reference>
          <reference field="1" count="1" selected="0">
            <x v="366"/>
          </reference>
          <reference field="31" count="1" selected="0">
            <x v="8"/>
          </reference>
        </references>
      </pivotArea>
    </format>
    <format dxfId="49">
      <pivotArea outline="0" collapsedLevelsAreSubtotals="1" fieldPosition="0">
        <references count="3">
          <reference field="0" count="12" selected="0"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  <reference field="1" count="12" selected="0"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  <reference field="31" count="3" selected="0">
            <x v="7"/>
            <x v="8"/>
            <x v="9"/>
          </reference>
        </references>
      </pivotArea>
    </format>
    <format dxfId="48">
      <pivotArea outline="0" collapsedLevelsAreSubtotals="1" fieldPosition="0">
        <references count="3">
          <reference field="0" count="21" selected="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  <reference field="1" count="21" selected="0">
            <x v="42"/>
            <x v="43"/>
            <x v="49"/>
            <x v="66"/>
            <x v="99"/>
            <x v="107"/>
            <x v="111"/>
            <x v="141"/>
            <x v="152"/>
            <x v="153"/>
            <x v="154"/>
            <x v="157"/>
            <x v="165"/>
            <x v="194"/>
            <x v="209"/>
            <x v="233"/>
            <x v="248"/>
            <x v="270"/>
            <x v="271"/>
            <x v="352"/>
            <x v="353"/>
          </reference>
          <reference field="31" count="3" selected="0">
            <x v="7"/>
            <x v="8"/>
            <x v="9"/>
          </reference>
        </references>
      </pivotArea>
    </format>
    <format dxfId="47">
      <pivotArea outline="0" collapsedLevelsAreSubtotals="1" fieldPosition="0">
        <references count="3">
          <reference field="0" count="3" selected="0">
            <x v="50"/>
            <x v="51"/>
            <x v="52"/>
          </reference>
          <reference field="1" count="3" selected="0">
            <x v="98"/>
            <x v="143"/>
            <x v="201"/>
          </reference>
          <reference field="31" count="3" selected="0">
            <x v="6"/>
            <x v="7"/>
            <x v="8"/>
          </reference>
        </references>
      </pivotArea>
    </format>
    <format dxfId="46">
      <pivotArea outline="0" collapsedLevelsAreSubtotals="1" fieldPosition="0">
        <references count="3">
          <reference field="0" count="1" selected="0">
            <x v="106"/>
          </reference>
          <reference field="1" count="1" selected="0">
            <x v="246"/>
          </reference>
          <reference field="31" count="1" selected="0">
            <x v="7"/>
          </reference>
        </references>
      </pivotArea>
    </format>
    <format dxfId="45">
      <pivotArea outline="0" collapsedLevelsAreSubtotals="1" fieldPosition="0">
        <references count="3">
          <reference field="0" count="23" selected="0">
            <x v="125"/>
            <x v="126"/>
            <x v="127"/>
            <x v="128"/>
            <x v="129"/>
            <x v="130"/>
            <x v="131"/>
            <x v="132"/>
            <x v="133"/>
            <x v="136"/>
            <x v="137"/>
            <x v="138"/>
            <x v="139"/>
            <x v="140"/>
            <x v="142"/>
            <x v="143"/>
            <x v="144"/>
            <x v="145"/>
            <x v="147"/>
            <x v="148"/>
            <x v="149"/>
            <x v="150"/>
            <x v="151"/>
          </reference>
          <reference field="1" count="23" selected="0">
            <x v="34"/>
            <x v="61"/>
            <x v="63"/>
            <x v="74"/>
            <x v="87"/>
            <x v="92"/>
            <x v="96"/>
            <x v="103"/>
            <x v="120"/>
            <x v="146"/>
            <x v="169"/>
            <x v="177"/>
            <x v="234"/>
            <x v="254"/>
            <x v="257"/>
            <x v="265"/>
            <x v="269"/>
            <x v="273"/>
            <x v="276"/>
            <x v="289"/>
            <x v="293"/>
            <x v="318"/>
            <x v="319"/>
          </reference>
          <reference field="31" count="4" selected="0">
            <x v="7"/>
            <x v="8"/>
            <x v="9"/>
            <x v="10"/>
          </reference>
        </references>
      </pivotArea>
    </format>
    <format dxfId="44">
      <pivotArea outline="0" collapsedLevelsAreSubtotals="1" fieldPosition="0">
        <references count="3">
          <reference field="0" count="2" selected="0">
            <x v="162"/>
            <x v="163"/>
          </reference>
          <reference field="1" count="2" selected="0">
            <x v="112"/>
            <x v="235"/>
          </reference>
          <reference field="31" count="3" selected="0">
            <x v="8"/>
            <x v="9"/>
            <x v="10"/>
          </reference>
        </references>
      </pivotArea>
    </format>
    <format dxfId="43">
      <pivotArea outline="0" collapsedLevelsAreSubtotals="1" fieldPosition="0">
        <references count="3">
          <reference field="0" count="2" selected="0">
            <x v="190"/>
            <x v="191"/>
          </reference>
          <reference field="1" count="2" selected="0">
            <x v="281"/>
            <x v="326"/>
          </reference>
          <reference field="31" count="2" selected="0">
            <x v="7"/>
            <x v="8"/>
          </reference>
        </references>
      </pivotArea>
    </format>
    <format dxfId="42">
      <pivotArea outline="0" collapsedLevelsAreSubtotals="1" fieldPosition="0">
        <references count="3">
          <reference field="0" count="10" selected="0">
            <x v="226"/>
            <x v="227"/>
            <x v="230"/>
            <x v="231"/>
            <x v="232"/>
            <x v="233"/>
            <x v="234"/>
            <x v="235"/>
            <x v="236"/>
            <x v="237"/>
          </reference>
          <reference field="1" count="10" selected="0">
            <x v="123"/>
            <x v="150"/>
            <x v="155"/>
            <x v="171"/>
            <x v="297"/>
            <x v="298"/>
            <x v="333"/>
            <x v="334"/>
            <x v="335"/>
            <x v="336"/>
          </reference>
          <reference field="31" count="3" selected="0">
            <x v="7"/>
            <x v="8"/>
            <x v="9"/>
          </reference>
        </references>
      </pivotArea>
    </format>
    <format dxfId="41">
      <pivotArea outline="0" collapsedLevelsAreSubtotals="1" fieldPosition="0">
        <references count="3">
          <reference field="0" count="1" selected="0">
            <x v="223"/>
          </reference>
          <reference field="1" count="1" selected="0">
            <x v="291"/>
          </reference>
          <reference field="31" count="1" selected="0">
            <x v="8"/>
          </reference>
        </references>
      </pivotArea>
    </format>
    <format dxfId="40">
      <pivotArea dataOnly="0" labelOnly="1" outline="0" fieldPosition="0">
        <references count="2">
          <reference field="0" count="1" selected="0">
            <x v="326"/>
          </reference>
          <reference field="1" count="1">
            <x v="176"/>
          </reference>
        </references>
      </pivotArea>
    </format>
    <format dxfId="39">
      <pivotArea dataOnly="0" outline="0" fieldPosition="0">
        <references count="1">
          <reference field="0" count="1">
            <x v="223"/>
          </reference>
        </references>
      </pivotArea>
    </format>
    <format dxfId="38">
      <pivotArea outline="0" collapsedLevelsAreSubtotals="1" fieldPosition="0">
        <references count="2">
          <reference field="0" count="1" selected="0">
            <x v="63"/>
          </reference>
          <reference field="1" count="1" selected="0">
            <x v="244"/>
          </reference>
        </references>
      </pivotArea>
    </format>
    <format dxfId="37">
      <pivotArea dataOnly="0" labelOnly="1" outline="0" fieldPosition="0">
        <references count="1">
          <reference field="0" count="1">
            <x v="63"/>
          </reference>
        </references>
      </pivotArea>
    </format>
    <format dxfId="36">
      <pivotArea dataOnly="0" labelOnly="1" outline="0" fieldPosition="0">
        <references count="2">
          <reference field="0" count="1" selected="0">
            <x v="63"/>
          </reference>
          <reference field="1" count="1">
            <x v="244"/>
          </reference>
        </references>
      </pivotArea>
    </format>
    <format dxfId="35">
      <pivotArea outline="0" collapsedLevelsAreSubtotals="1" fieldPosition="0">
        <references count="2">
          <reference field="0" count="1" selected="0">
            <x v="223"/>
          </reference>
          <reference field="1" count="1" selected="0">
            <x v="291"/>
          </reference>
        </references>
      </pivotArea>
    </format>
    <format dxfId="34">
      <pivotArea dataOnly="0" labelOnly="1" outline="0" fieldPosition="0">
        <references count="1">
          <reference field="0" count="1">
            <x v="223"/>
          </reference>
        </references>
      </pivotArea>
    </format>
    <format dxfId="33">
      <pivotArea dataOnly="0" labelOnly="1" outline="0" fieldPosition="0">
        <references count="2">
          <reference field="0" count="1" selected="0">
            <x v="223"/>
          </reference>
          <reference field="1" count="1">
            <x v="291"/>
          </reference>
        </references>
      </pivotArea>
    </format>
    <format dxfId="32">
      <pivotArea outline="0" collapsedLevelsAreSubtotals="1" fieldPosition="0">
        <references count="2">
          <reference field="0" count="1" selected="0">
            <x v="223"/>
          </reference>
          <reference field="1" count="1" selected="0">
            <x v="291"/>
          </reference>
        </references>
      </pivotArea>
    </format>
    <format dxfId="31">
      <pivotArea dataOnly="0" labelOnly="1" outline="0" fieldPosition="0">
        <references count="1">
          <reference field="0" count="1">
            <x v="223"/>
          </reference>
        </references>
      </pivotArea>
    </format>
    <format dxfId="30">
      <pivotArea dataOnly="0" labelOnly="1" outline="0" fieldPosition="0">
        <references count="2">
          <reference field="0" count="1" selected="0">
            <x v="223"/>
          </reference>
          <reference field="1" count="1">
            <x v="291"/>
          </reference>
        </references>
      </pivotArea>
    </format>
    <format dxfId="29">
      <pivotArea outline="0" collapsedLevelsAreSubtotals="1" fieldPosition="0">
        <references count="2">
          <reference field="0" count="10" selected="0"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  <reference field="1" count="4" selected="0">
            <x v="174"/>
            <x v="175"/>
            <x v="244"/>
            <x v="291"/>
          </reference>
        </references>
      </pivotArea>
    </format>
    <format dxfId="28">
      <pivotArea dataOnly="0" labelOnly="1" outline="0" fieldPosition="0">
        <references count="1">
          <reference field="0" count="10"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27">
      <pivotArea dataOnly="0" labelOnly="1" outline="0" fieldPosition="0">
        <references count="2">
          <reference field="0" count="1" selected="0">
            <x v="404"/>
          </reference>
          <reference field="1" count="1">
            <x v="244"/>
          </reference>
        </references>
      </pivotArea>
    </format>
    <format dxfId="26">
      <pivotArea dataOnly="0" labelOnly="1" outline="0" fieldPosition="0">
        <references count="2">
          <reference field="0" count="1" selected="0">
            <x v="405"/>
          </reference>
          <reference field="1" count="1">
            <x v="291"/>
          </reference>
        </references>
      </pivotArea>
    </format>
    <format dxfId="25">
      <pivotArea dataOnly="0" labelOnly="1" outline="0" fieldPosition="0">
        <references count="2">
          <reference field="0" count="1" selected="0">
            <x v="406"/>
          </reference>
          <reference field="1" count="1">
            <x v="244"/>
          </reference>
        </references>
      </pivotArea>
    </format>
    <format dxfId="24">
      <pivotArea dataOnly="0" labelOnly="1" outline="0" fieldPosition="0">
        <references count="2">
          <reference field="0" count="1" selected="0">
            <x v="407"/>
          </reference>
          <reference field="1" count="1">
            <x v="291"/>
          </reference>
        </references>
      </pivotArea>
    </format>
    <format dxfId="23">
      <pivotArea dataOnly="0" labelOnly="1" outline="0" fieldPosition="0">
        <references count="2">
          <reference field="0" count="1" selected="0">
            <x v="408"/>
          </reference>
          <reference field="1" count="1">
            <x v="175"/>
          </reference>
        </references>
      </pivotArea>
    </format>
    <format dxfId="22">
      <pivotArea dataOnly="0" labelOnly="1" outline="0" fieldPosition="0">
        <references count="2">
          <reference field="0" count="1" selected="0">
            <x v="409"/>
          </reference>
          <reference field="1" count="1">
            <x v="175"/>
          </reference>
        </references>
      </pivotArea>
    </format>
    <format dxfId="21">
      <pivotArea dataOnly="0" labelOnly="1" outline="0" fieldPosition="0">
        <references count="2">
          <reference field="0" count="1" selected="0">
            <x v="410"/>
          </reference>
          <reference field="1" count="1">
            <x v="175"/>
          </reference>
        </references>
      </pivotArea>
    </format>
    <format dxfId="20">
      <pivotArea dataOnly="0" labelOnly="1" outline="0" fieldPosition="0">
        <references count="2">
          <reference field="0" count="1" selected="0">
            <x v="411"/>
          </reference>
          <reference field="1" count="1">
            <x v="174"/>
          </reference>
        </references>
      </pivotArea>
    </format>
    <format dxfId="19">
      <pivotArea dataOnly="0" labelOnly="1" outline="0" fieldPosition="0">
        <references count="2">
          <reference field="0" count="1" selected="0">
            <x v="412"/>
          </reference>
          <reference field="1" count="1">
            <x v="175"/>
          </reference>
        </references>
      </pivotArea>
    </format>
    <format dxfId="18">
      <pivotArea dataOnly="0" labelOnly="1" outline="0" fieldPosition="0">
        <references count="2">
          <reference field="0" count="1" selected="0">
            <x v="413"/>
          </reference>
          <reference field="1" count="1">
            <x v="174"/>
          </reference>
        </references>
      </pivotArea>
    </format>
    <format dxfId="17">
      <pivotArea outline="0" collapsedLevelsAreSubtotals="1" fieldPosition="0">
        <references count="2">
          <reference field="0" count="10" selected="0"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  <reference field="1" count="4" selected="0">
            <x v="174"/>
            <x v="175"/>
            <x v="244"/>
            <x v="291"/>
          </reference>
        </references>
      </pivotArea>
    </format>
    <format dxfId="16">
      <pivotArea dataOnly="0" labelOnly="1" outline="0" fieldPosition="0">
        <references count="1">
          <reference field="0" count="10"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15">
      <pivotArea dataOnly="0" labelOnly="1" outline="0" fieldPosition="0">
        <references count="2">
          <reference field="0" count="1" selected="0">
            <x v="404"/>
          </reference>
          <reference field="1" count="1">
            <x v="244"/>
          </reference>
        </references>
      </pivotArea>
    </format>
    <format dxfId="14">
      <pivotArea dataOnly="0" labelOnly="1" outline="0" fieldPosition="0">
        <references count="2">
          <reference field="0" count="1" selected="0">
            <x v="405"/>
          </reference>
          <reference field="1" count="1">
            <x v="291"/>
          </reference>
        </references>
      </pivotArea>
    </format>
    <format dxfId="13">
      <pivotArea dataOnly="0" labelOnly="1" outline="0" fieldPosition="0">
        <references count="2">
          <reference field="0" count="1" selected="0">
            <x v="406"/>
          </reference>
          <reference field="1" count="1">
            <x v="244"/>
          </reference>
        </references>
      </pivotArea>
    </format>
    <format dxfId="12">
      <pivotArea dataOnly="0" labelOnly="1" outline="0" fieldPosition="0">
        <references count="2">
          <reference field="0" count="1" selected="0">
            <x v="407"/>
          </reference>
          <reference field="1" count="1">
            <x v="291"/>
          </reference>
        </references>
      </pivotArea>
    </format>
    <format dxfId="11">
      <pivotArea dataOnly="0" labelOnly="1" outline="0" fieldPosition="0">
        <references count="2">
          <reference field="0" count="1" selected="0">
            <x v="408"/>
          </reference>
          <reference field="1" count="1">
            <x v="175"/>
          </reference>
        </references>
      </pivotArea>
    </format>
    <format dxfId="10">
      <pivotArea dataOnly="0" labelOnly="1" outline="0" fieldPosition="0">
        <references count="2">
          <reference field="0" count="1" selected="0">
            <x v="409"/>
          </reference>
          <reference field="1" count="1">
            <x v="175"/>
          </reference>
        </references>
      </pivotArea>
    </format>
    <format dxfId="9">
      <pivotArea dataOnly="0" labelOnly="1" outline="0" fieldPosition="0">
        <references count="2">
          <reference field="0" count="1" selected="0">
            <x v="410"/>
          </reference>
          <reference field="1" count="1">
            <x v="175"/>
          </reference>
        </references>
      </pivotArea>
    </format>
    <format dxfId="8">
      <pivotArea dataOnly="0" labelOnly="1" outline="0" fieldPosition="0">
        <references count="2">
          <reference field="0" count="1" selected="0">
            <x v="411"/>
          </reference>
          <reference field="1" count="1">
            <x v="174"/>
          </reference>
        </references>
      </pivotArea>
    </format>
    <format dxfId="7">
      <pivotArea dataOnly="0" labelOnly="1" outline="0" fieldPosition="0">
        <references count="2">
          <reference field="0" count="1" selected="0">
            <x v="412"/>
          </reference>
          <reference field="1" count="1">
            <x v="175"/>
          </reference>
        </references>
      </pivotArea>
    </format>
    <format dxfId="6">
      <pivotArea dataOnly="0" labelOnly="1" outline="0" fieldPosition="0">
        <references count="2">
          <reference field="0" count="1" selected="0">
            <x v="413"/>
          </reference>
          <reference field="1" count="1">
            <x v="174"/>
          </reference>
        </references>
      </pivotArea>
    </format>
    <format dxfId="5">
      <pivotArea outline="0" collapsedLevelsAreSubtotals="1" fieldPosition="0">
        <references count="2">
          <reference field="0" count="1" selected="0">
            <x v="416"/>
          </reference>
          <reference field="1" count="1" selected="0">
            <x v="206"/>
          </reference>
        </references>
      </pivotArea>
    </format>
    <format dxfId="4">
      <pivotArea dataOnly="0" labelOnly="1" outline="0" fieldPosition="0">
        <references count="1">
          <reference field="0" count="1">
            <x v="416"/>
          </reference>
        </references>
      </pivotArea>
    </format>
    <format dxfId="3">
      <pivotArea dataOnly="0" labelOnly="1" outline="0" fieldPosition="0">
        <references count="2">
          <reference field="0" count="1" selected="0">
            <x v="416"/>
          </reference>
          <reference field="1" count="1">
            <x v="206"/>
          </reference>
        </references>
      </pivotArea>
    </format>
    <format dxfId="2">
      <pivotArea outline="0" collapsedLevelsAreSubtotals="1" fieldPosition="0">
        <references count="2">
          <reference field="0" count="1" selected="0">
            <x v="416"/>
          </reference>
          <reference field="1" count="1" selected="0">
            <x v="206"/>
          </reference>
        </references>
      </pivotArea>
    </format>
    <format dxfId="1">
      <pivotArea dataOnly="0" labelOnly="1" outline="0" fieldPosition="0">
        <references count="1">
          <reference field="0" count="1">
            <x v="416"/>
          </reference>
        </references>
      </pivotArea>
    </format>
    <format dxfId="0">
      <pivotArea dataOnly="0" labelOnly="1" outline="0" fieldPosition="0">
        <references count="2">
          <reference field="0" count="1" selected="0">
            <x v="416"/>
          </reference>
          <reference field="1" count="1">
            <x v="20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3"/>
  <sheetViews>
    <sheetView showGridLines="0" tabSelected="1" workbookViewId="0">
      <selection activeCell="B2" sqref="B2"/>
    </sheetView>
  </sheetViews>
  <sheetFormatPr defaultRowHeight="14.25" x14ac:dyDescent="0.2"/>
  <cols>
    <col min="1" max="1" width="26.7109375" style="447" bestFit="1" customWidth="1"/>
    <col min="2" max="2" width="101.140625" style="447" customWidth="1"/>
    <col min="3" max="16384" width="9.140625" style="447"/>
  </cols>
  <sheetData>
    <row r="1" spans="1:2" ht="23.25" x14ac:dyDescent="0.35">
      <c r="A1" s="597" t="s">
        <v>3030</v>
      </c>
    </row>
    <row r="3" spans="1:2" x14ac:dyDescent="0.2">
      <c r="A3" s="757" t="s">
        <v>2292</v>
      </c>
      <c r="B3" s="755" t="s">
        <v>3045</v>
      </c>
    </row>
    <row r="4" spans="1:2" x14ac:dyDescent="0.2">
      <c r="A4" s="757" t="s">
        <v>2291</v>
      </c>
      <c r="B4" s="755" t="s">
        <v>3046</v>
      </c>
    </row>
    <row r="5" spans="1:2" x14ac:dyDescent="0.2">
      <c r="A5" s="757" t="s">
        <v>3031</v>
      </c>
      <c r="B5" s="755" t="s">
        <v>3036</v>
      </c>
    </row>
    <row r="6" spans="1:2" x14ac:dyDescent="0.2">
      <c r="A6" s="757" t="s">
        <v>2746</v>
      </c>
      <c r="B6" s="755" t="s">
        <v>3067</v>
      </c>
    </row>
    <row r="7" spans="1:2" x14ac:dyDescent="0.2">
      <c r="A7" s="757" t="s">
        <v>3032</v>
      </c>
      <c r="B7" s="755" t="s">
        <v>3068</v>
      </c>
    </row>
    <row r="8" spans="1:2" x14ac:dyDescent="0.2">
      <c r="A8" s="757" t="s">
        <v>2748</v>
      </c>
      <c r="B8" s="755" t="s">
        <v>3047</v>
      </c>
    </row>
    <row r="9" spans="1:2" x14ac:dyDescent="0.2">
      <c r="A9" s="757" t="s">
        <v>3033</v>
      </c>
      <c r="B9" s="755" t="s">
        <v>3048</v>
      </c>
    </row>
    <row r="10" spans="1:2" x14ac:dyDescent="0.2">
      <c r="A10" s="757" t="s">
        <v>3049</v>
      </c>
      <c r="B10" s="755" t="s">
        <v>3044</v>
      </c>
    </row>
    <row r="11" spans="1:2" x14ac:dyDescent="0.2">
      <c r="A11" s="757" t="s">
        <v>3034</v>
      </c>
      <c r="B11" s="755" t="s">
        <v>3069</v>
      </c>
    </row>
    <row r="12" spans="1:2" x14ac:dyDescent="0.2">
      <c r="A12" s="757" t="s">
        <v>3035</v>
      </c>
      <c r="B12" s="755" t="s">
        <v>3043</v>
      </c>
    </row>
    <row r="13" spans="1:2" x14ac:dyDescent="0.2">
      <c r="A13" s="757" t="s">
        <v>3064</v>
      </c>
      <c r="B13" s="756" t="s">
        <v>3070</v>
      </c>
    </row>
  </sheetData>
  <hyperlinks>
    <hyperlink ref="A3" location="'PTRM'!A1" tooltip="Link to PTRM" display="PTRM"/>
    <hyperlink ref="A4" location="'RFM'!A1" tooltip="Link to RFM" display="RFM"/>
    <hyperlink ref="A5" location="'For RFM &amp; PTRM'!A1" tooltip="Link to For RFM &amp; PTRM" display="For RFM &amp; PTRM"/>
    <hyperlink ref="A6" location="'Incurred'!A1" tooltip="Link to Incurred" display="Incurred"/>
    <hyperlink ref="A7" location="'Incurred 2.5% cpi'!A1" tooltip="Link to Incurred 2.5% cpi" display="Incurred 2.5% cpi"/>
    <hyperlink ref="A8" location="'Commissioned'!A1" tooltip="Link to Commissioned" display="Commissioned"/>
    <hyperlink ref="A9" location="'Commissioned Extra'!A1" tooltip="Link to Commissioned Extra" display="Commissioned Extra"/>
    <hyperlink ref="A10" location="'Success Asset Classes'!A1" tooltip="Link to Success Asset Classes" display="Success Asset Classes"/>
    <hyperlink ref="A11" location="'Project splits'!A1" tooltip="Link to Project splits" display="Project splits"/>
    <hyperlink ref="A12" location="'Project labour content'!A1" tooltip="Link to Project labour content" display="Project labour content"/>
    <hyperlink ref="A13" location="'Capex 15yr View'!A1" tooltip="Link to Capex 15yr View" display="Capex 15yr View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tabColor rgb="FF00B050"/>
    <pageSetUpPr fitToPage="1"/>
  </sheetPr>
  <dimension ref="A1:AD838"/>
  <sheetViews>
    <sheetView showGridLines="0" zoomScale="80" zoomScaleNormal="80" workbookViewId="0">
      <pane xSplit="4" ySplit="5" topLeftCell="E6" activePane="bottomRight" state="frozen"/>
      <selection activeCell="C31" sqref="C31"/>
      <selection pane="topRight" activeCell="C31" sqref="C31"/>
      <selection pane="bottomLeft" activeCell="C31" sqref="C31"/>
      <selection pane="bottomRight" activeCell="E6" sqref="E6"/>
    </sheetView>
  </sheetViews>
  <sheetFormatPr defaultColWidth="9.140625" defaultRowHeight="12.75" x14ac:dyDescent="0.2"/>
  <cols>
    <col min="1" max="1" width="12.5703125" style="143" customWidth="1"/>
    <col min="2" max="2" width="13.140625" style="143" customWidth="1"/>
    <col min="3" max="3" width="12.85546875" style="143" customWidth="1"/>
    <col min="4" max="4" width="65.85546875" style="143" customWidth="1"/>
    <col min="5" max="5" width="10.85546875" style="143" bestFit="1" customWidth="1"/>
    <col min="6" max="7" width="11.85546875" style="143" bestFit="1" customWidth="1"/>
    <col min="8" max="8" width="11.5703125" style="143" bestFit="1" customWidth="1"/>
    <col min="9" max="11" width="10.140625" style="143" bestFit="1" customWidth="1"/>
    <col min="12" max="12" width="11" style="143" bestFit="1" customWidth="1"/>
    <col min="13" max="13" width="11.28515625" style="143" bestFit="1" customWidth="1"/>
    <col min="14" max="16" width="11.85546875" style="143" bestFit="1" customWidth="1"/>
    <col min="17" max="19" width="10.140625" style="143" bestFit="1" customWidth="1"/>
    <col min="20" max="21" width="12" style="143" bestFit="1" customWidth="1"/>
    <col min="22" max="22" width="11.28515625" style="143" bestFit="1" customWidth="1"/>
    <col min="23" max="23" width="12" style="143" bestFit="1" customWidth="1"/>
    <col min="24" max="24" width="10.140625" style="143" bestFit="1" customWidth="1"/>
    <col min="25" max="25" width="9.140625" style="144"/>
    <col min="26" max="26" width="11.7109375" style="143" customWidth="1"/>
    <col min="27" max="27" width="9.140625" style="143"/>
    <col min="28" max="28" width="10.42578125" style="143" customWidth="1"/>
    <col min="29" max="29" width="13" style="143" bestFit="1" customWidth="1"/>
    <col min="30" max="30" width="11.42578125" style="143" bestFit="1" customWidth="1"/>
    <col min="31" max="16384" width="9.140625" style="143"/>
  </cols>
  <sheetData>
    <row r="1" spans="1:30" x14ac:dyDescent="0.2">
      <c r="E1" s="437">
        <v>72</v>
      </c>
      <c r="F1" s="437">
        <f>E1+1</f>
        <v>73</v>
      </c>
      <c r="G1" s="437">
        <f t="shared" ref="G1:W2" si="0">F1+1</f>
        <v>74</v>
      </c>
      <c r="H1" s="437">
        <f t="shared" si="0"/>
        <v>75</v>
      </c>
      <c r="I1" s="437">
        <f t="shared" si="0"/>
        <v>76</v>
      </c>
      <c r="J1" s="437">
        <f t="shared" si="0"/>
        <v>77</v>
      </c>
      <c r="K1" s="437">
        <f t="shared" si="0"/>
        <v>78</v>
      </c>
      <c r="L1" s="437">
        <f t="shared" si="0"/>
        <v>79</v>
      </c>
      <c r="M1" s="437">
        <f t="shared" si="0"/>
        <v>80</v>
      </c>
      <c r="N1" s="437">
        <f t="shared" si="0"/>
        <v>81</v>
      </c>
      <c r="O1" s="437">
        <f t="shared" si="0"/>
        <v>82</v>
      </c>
      <c r="P1" s="437">
        <f t="shared" si="0"/>
        <v>83</v>
      </c>
      <c r="Q1" s="437">
        <f t="shared" si="0"/>
        <v>84</v>
      </c>
      <c r="R1" s="437">
        <f t="shared" si="0"/>
        <v>85</v>
      </c>
      <c r="S1" s="437">
        <f t="shared" si="0"/>
        <v>86</v>
      </c>
      <c r="T1" s="437">
        <f t="shared" si="0"/>
        <v>87</v>
      </c>
      <c r="U1" s="437">
        <f t="shared" si="0"/>
        <v>88</v>
      </c>
      <c r="V1" s="437">
        <f t="shared" si="0"/>
        <v>89</v>
      </c>
      <c r="W1" s="437">
        <f t="shared" si="0"/>
        <v>90</v>
      </c>
      <c r="X1" s="438" t="s">
        <v>2821</v>
      </c>
      <c r="AB1" s="143">
        <f>COLUMN()-2</f>
        <v>26</v>
      </c>
    </row>
    <row r="2" spans="1:30" x14ac:dyDescent="0.2">
      <c r="E2" s="439">
        <v>34</v>
      </c>
      <c r="F2" s="439">
        <f>E2+1</f>
        <v>35</v>
      </c>
      <c r="G2" s="439">
        <f t="shared" si="0"/>
        <v>36</v>
      </c>
      <c r="H2" s="439">
        <f t="shared" si="0"/>
        <v>37</v>
      </c>
      <c r="I2" s="439">
        <f t="shared" si="0"/>
        <v>38</v>
      </c>
      <c r="J2" s="439">
        <f t="shared" si="0"/>
        <v>39</v>
      </c>
      <c r="K2" s="439">
        <f t="shared" si="0"/>
        <v>40</v>
      </c>
      <c r="L2" s="439">
        <f t="shared" si="0"/>
        <v>41</v>
      </c>
      <c r="M2" s="439">
        <f t="shared" si="0"/>
        <v>42</v>
      </c>
      <c r="N2" s="439">
        <f t="shared" si="0"/>
        <v>43</v>
      </c>
      <c r="O2" s="439">
        <f t="shared" si="0"/>
        <v>44</v>
      </c>
      <c r="P2" s="439">
        <f t="shared" si="0"/>
        <v>45</v>
      </c>
      <c r="Q2" s="439">
        <f t="shared" si="0"/>
        <v>46</v>
      </c>
      <c r="R2" s="439">
        <f t="shared" si="0"/>
        <v>47</v>
      </c>
      <c r="S2" s="439">
        <f t="shared" si="0"/>
        <v>48</v>
      </c>
      <c r="T2" s="439">
        <f t="shared" si="0"/>
        <v>49</v>
      </c>
      <c r="U2" s="439">
        <f t="shared" si="0"/>
        <v>50</v>
      </c>
      <c r="V2" s="439">
        <f t="shared" si="0"/>
        <v>51</v>
      </c>
      <c r="W2" s="439">
        <f t="shared" si="0"/>
        <v>52</v>
      </c>
      <c r="X2" s="440" t="s">
        <v>2982</v>
      </c>
    </row>
    <row r="3" spans="1:30" x14ac:dyDescent="0.2">
      <c r="E3" s="141" t="s">
        <v>1012</v>
      </c>
      <c r="F3" s="141" t="s">
        <v>1013</v>
      </c>
      <c r="G3" s="142" t="s">
        <v>1014</v>
      </c>
      <c r="H3" s="141" t="s">
        <v>1015</v>
      </c>
      <c r="I3" s="141" t="s">
        <v>1016</v>
      </c>
      <c r="J3" s="141" t="s">
        <v>1017</v>
      </c>
      <c r="K3" s="141" t="s">
        <v>1018</v>
      </c>
      <c r="L3" s="141" t="s">
        <v>1019</v>
      </c>
      <c r="M3" s="141" t="s">
        <v>1020</v>
      </c>
      <c r="N3" s="141" t="s">
        <v>1021</v>
      </c>
      <c r="O3" s="141" t="s">
        <v>1022</v>
      </c>
      <c r="P3" s="141" t="s">
        <v>1023</v>
      </c>
      <c r="Q3" s="141" t="s">
        <v>1024</v>
      </c>
      <c r="R3" s="141" t="s">
        <v>1025</v>
      </c>
      <c r="S3" s="141" t="s">
        <v>1026</v>
      </c>
      <c r="T3" s="141" t="s">
        <v>1027</v>
      </c>
      <c r="U3" s="141" t="s">
        <v>1028</v>
      </c>
      <c r="V3" s="141" t="s">
        <v>1029</v>
      </c>
      <c r="W3" s="141" t="s">
        <v>1030</v>
      </c>
    </row>
    <row r="4" spans="1:30" x14ac:dyDescent="0.2">
      <c r="E4" s="144">
        <v>3</v>
      </c>
      <c r="F4" s="144">
        <f>E4+1</f>
        <v>4</v>
      </c>
      <c r="G4" s="144">
        <f t="shared" ref="G4:W4" si="1">F4+1</f>
        <v>5</v>
      </c>
      <c r="H4" s="144">
        <f t="shared" si="1"/>
        <v>6</v>
      </c>
      <c r="I4" s="144">
        <f t="shared" si="1"/>
        <v>7</v>
      </c>
      <c r="J4" s="144">
        <f t="shared" si="1"/>
        <v>8</v>
      </c>
      <c r="K4" s="144">
        <f t="shared" si="1"/>
        <v>9</v>
      </c>
      <c r="L4" s="144">
        <f t="shared" si="1"/>
        <v>10</v>
      </c>
      <c r="M4" s="144">
        <f t="shared" si="1"/>
        <v>11</v>
      </c>
      <c r="N4" s="144">
        <f t="shared" si="1"/>
        <v>12</v>
      </c>
      <c r="O4" s="144">
        <f t="shared" si="1"/>
        <v>13</v>
      </c>
      <c r="P4" s="144">
        <f t="shared" si="1"/>
        <v>14</v>
      </c>
      <c r="Q4" s="144">
        <f t="shared" si="1"/>
        <v>15</v>
      </c>
      <c r="R4" s="144">
        <f t="shared" si="1"/>
        <v>16</v>
      </c>
      <c r="S4" s="144">
        <f t="shared" si="1"/>
        <v>17</v>
      </c>
      <c r="T4" s="144">
        <f t="shared" si="1"/>
        <v>18</v>
      </c>
      <c r="U4" s="144">
        <f t="shared" si="1"/>
        <v>19</v>
      </c>
      <c r="V4" s="144">
        <f t="shared" si="1"/>
        <v>20</v>
      </c>
      <c r="W4" s="144">
        <f t="shared" si="1"/>
        <v>21</v>
      </c>
      <c r="Z4" s="434"/>
      <c r="AA4" s="435"/>
      <c r="AC4" s="530" t="str">
        <f>IF(ISNA(VLOOKUP("EC."&amp;C4,Incurred!$A$276:$Y$363,25,FALSE)),"No spend",VLOOKUP("EC."&amp;C4,Incurred!$A$276:$Y$363,25,FALSE))</f>
        <v>No spend</v>
      </c>
      <c r="AD4" s="436"/>
    </row>
    <row r="5" spans="1:30" ht="56.25" x14ac:dyDescent="0.2">
      <c r="A5" s="145" t="s">
        <v>2812</v>
      </c>
      <c r="B5" s="145" t="s">
        <v>2813</v>
      </c>
      <c r="C5" s="146" t="s">
        <v>1001</v>
      </c>
      <c r="D5" s="147" t="s">
        <v>1000</v>
      </c>
      <c r="E5" s="17" t="s">
        <v>1031</v>
      </c>
      <c r="F5" s="17" t="s">
        <v>1032</v>
      </c>
      <c r="G5" s="17" t="s">
        <v>1033</v>
      </c>
      <c r="H5" s="17" t="s">
        <v>1034</v>
      </c>
      <c r="I5" s="17" t="s">
        <v>1035</v>
      </c>
      <c r="J5" s="17" t="s">
        <v>854</v>
      </c>
      <c r="K5" s="17" t="s">
        <v>1036</v>
      </c>
      <c r="L5" s="17" t="s">
        <v>1037</v>
      </c>
      <c r="M5" s="17" t="s">
        <v>41</v>
      </c>
      <c r="N5" s="17" t="s">
        <v>1038</v>
      </c>
      <c r="O5" s="17" t="s">
        <v>1039</v>
      </c>
      <c r="P5" s="17" t="s">
        <v>1040</v>
      </c>
      <c r="Q5" s="17" t="s">
        <v>1041</v>
      </c>
      <c r="R5" s="17" t="s">
        <v>1042</v>
      </c>
      <c r="S5" s="17" t="s">
        <v>1043</v>
      </c>
      <c r="T5" s="17" t="s">
        <v>1044</v>
      </c>
      <c r="U5" s="17" t="s">
        <v>1045</v>
      </c>
      <c r="V5" s="17" t="s">
        <v>1046</v>
      </c>
      <c r="W5" s="18" t="s">
        <v>1047</v>
      </c>
      <c r="X5" s="148" t="s">
        <v>639</v>
      </c>
      <c r="Y5" s="149" t="s">
        <v>2814</v>
      </c>
      <c r="Z5" s="150" t="s">
        <v>2815</v>
      </c>
      <c r="AA5" s="150" t="s">
        <v>2816</v>
      </c>
      <c r="AB5" s="145" t="s">
        <v>2812</v>
      </c>
      <c r="AC5" s="150" t="s">
        <v>3014</v>
      </c>
      <c r="AD5" s="150"/>
    </row>
    <row r="6" spans="1:30" x14ac:dyDescent="0.2">
      <c r="A6" s="151" t="s">
        <v>2602</v>
      </c>
      <c r="B6" s="151"/>
      <c r="C6" s="152" t="s">
        <v>1102</v>
      </c>
      <c r="D6" s="153" t="s">
        <v>26</v>
      </c>
      <c r="E6" s="154">
        <v>0</v>
      </c>
      <c r="F6" s="154">
        <v>0</v>
      </c>
      <c r="G6" s="154">
        <v>4.4874302157497943E-2</v>
      </c>
      <c r="H6" s="154">
        <v>0</v>
      </c>
      <c r="I6" s="154">
        <v>0</v>
      </c>
      <c r="J6" s="154">
        <v>0</v>
      </c>
      <c r="K6" s="154">
        <v>7.6869566107446395E-4</v>
      </c>
      <c r="L6" s="154">
        <v>0</v>
      </c>
      <c r="M6" s="154">
        <v>0</v>
      </c>
      <c r="N6" s="154">
        <v>0.25202997004207189</v>
      </c>
      <c r="O6" s="154">
        <v>0</v>
      </c>
      <c r="P6" s="154">
        <v>0.13029368434774419</v>
      </c>
      <c r="Q6" s="154">
        <v>0</v>
      </c>
      <c r="R6" s="154">
        <v>0</v>
      </c>
      <c r="S6" s="154">
        <v>4.5298550890942951E-2</v>
      </c>
      <c r="T6" s="154">
        <v>0</v>
      </c>
      <c r="U6" s="154">
        <v>0.5267347969006686</v>
      </c>
      <c r="V6" s="154">
        <v>0</v>
      </c>
      <c r="W6" s="154">
        <v>0</v>
      </c>
      <c r="X6" s="155">
        <f t="shared" ref="X6:X69" si="2">SUM(E6:W6)</f>
        <v>1</v>
      </c>
      <c r="Y6" s="156"/>
      <c r="Z6" s="157" t="s">
        <v>649</v>
      </c>
      <c r="AA6" s="157" t="s">
        <v>663</v>
      </c>
      <c r="AB6" s="151" t="s">
        <v>2602</v>
      </c>
      <c r="AC6" s="530" t="s">
        <v>3015</v>
      </c>
      <c r="AD6" s="159"/>
    </row>
    <row r="7" spans="1:30" x14ac:dyDescent="0.2">
      <c r="A7" s="160" t="s">
        <v>2602</v>
      </c>
      <c r="B7" s="160"/>
      <c r="C7" s="161" t="s">
        <v>1105</v>
      </c>
      <c r="D7" s="162" t="s">
        <v>33</v>
      </c>
      <c r="E7" s="154">
        <v>0</v>
      </c>
      <c r="F7" s="154">
        <v>0.26060008108430538</v>
      </c>
      <c r="G7" s="154">
        <v>7.7400160073879454E-2</v>
      </c>
      <c r="H7" s="154">
        <v>0</v>
      </c>
      <c r="I7" s="154">
        <v>0</v>
      </c>
      <c r="J7" s="154">
        <v>0</v>
      </c>
      <c r="K7" s="154">
        <v>0</v>
      </c>
      <c r="L7" s="154">
        <v>0</v>
      </c>
      <c r="M7" s="154">
        <v>0</v>
      </c>
      <c r="N7" s="154">
        <v>0.40659980361860765</v>
      </c>
      <c r="O7" s="154">
        <v>0</v>
      </c>
      <c r="P7" s="154">
        <v>2.6400035954826338E-2</v>
      </c>
      <c r="Q7" s="154">
        <v>0</v>
      </c>
      <c r="R7" s="154">
        <v>0</v>
      </c>
      <c r="S7" s="154">
        <v>0.22899991926838115</v>
      </c>
      <c r="T7" s="154">
        <v>0</v>
      </c>
      <c r="U7" s="154">
        <v>0</v>
      </c>
      <c r="V7" s="154">
        <v>0</v>
      </c>
      <c r="W7" s="154">
        <v>0</v>
      </c>
      <c r="X7" s="163">
        <f t="shared" si="2"/>
        <v>0.99999999999999989</v>
      </c>
      <c r="Y7" s="156"/>
      <c r="Z7" s="157" t="s">
        <v>649</v>
      </c>
      <c r="AA7" s="157" t="s">
        <v>663</v>
      </c>
      <c r="AB7" s="151" t="s">
        <v>2602</v>
      </c>
      <c r="AC7" s="530" t="s">
        <v>3015</v>
      </c>
      <c r="AD7" s="159"/>
    </row>
    <row r="8" spans="1:30" x14ac:dyDescent="0.2">
      <c r="A8" s="160" t="s">
        <v>2602</v>
      </c>
      <c r="B8" s="160"/>
      <c r="C8" s="161" t="s">
        <v>1108</v>
      </c>
      <c r="D8" s="162" t="s">
        <v>1109</v>
      </c>
      <c r="E8" s="154">
        <v>0</v>
      </c>
      <c r="F8" s="154">
        <v>0</v>
      </c>
      <c r="G8" s="154">
        <v>9.5604049437070203E-3</v>
      </c>
      <c r="H8" s="154">
        <v>0</v>
      </c>
      <c r="I8" s="154">
        <v>0</v>
      </c>
      <c r="J8" s="154">
        <v>0</v>
      </c>
      <c r="K8" s="154">
        <v>0</v>
      </c>
      <c r="L8" s="154">
        <v>0</v>
      </c>
      <c r="M8" s="154">
        <v>0</v>
      </c>
      <c r="N8" s="154">
        <v>0.56218143898982686</v>
      </c>
      <c r="O8" s="154">
        <v>0</v>
      </c>
      <c r="P8" s="154">
        <v>0.26308070577347437</v>
      </c>
      <c r="Q8" s="154">
        <v>0</v>
      </c>
      <c r="R8" s="154">
        <v>0</v>
      </c>
      <c r="S8" s="154">
        <v>0.13730816501851864</v>
      </c>
      <c r="T8" s="154">
        <v>2.7869285274473111E-2</v>
      </c>
      <c r="U8" s="154">
        <v>0</v>
      </c>
      <c r="V8" s="154">
        <v>0</v>
      </c>
      <c r="W8" s="154">
        <v>0</v>
      </c>
      <c r="X8" s="163">
        <f t="shared" si="2"/>
        <v>1</v>
      </c>
      <c r="Y8" s="156"/>
      <c r="Z8" s="157" t="s">
        <v>649</v>
      </c>
      <c r="AA8" s="157" t="s">
        <v>663</v>
      </c>
      <c r="AB8" s="151" t="s">
        <v>2602</v>
      </c>
      <c r="AC8" s="530" t="s">
        <v>3015</v>
      </c>
      <c r="AD8" s="159"/>
    </row>
    <row r="9" spans="1:30" x14ac:dyDescent="0.2">
      <c r="A9" s="160" t="s">
        <v>2602</v>
      </c>
      <c r="B9" s="160"/>
      <c r="C9" s="161" t="s">
        <v>1110</v>
      </c>
      <c r="D9" s="162" t="s">
        <v>39</v>
      </c>
      <c r="E9" s="154">
        <v>0</v>
      </c>
      <c r="F9" s="154">
        <v>0</v>
      </c>
      <c r="G9" s="154">
        <v>0</v>
      </c>
      <c r="H9" s="154">
        <v>0</v>
      </c>
      <c r="I9" s="154">
        <v>0</v>
      </c>
      <c r="J9" s="154">
        <v>0</v>
      </c>
      <c r="K9" s="154">
        <v>0</v>
      </c>
      <c r="L9" s="154">
        <v>0</v>
      </c>
      <c r="M9" s="154">
        <v>0</v>
      </c>
      <c r="N9" s="154">
        <v>0.69830096537617348</v>
      </c>
      <c r="O9" s="154">
        <v>0</v>
      </c>
      <c r="P9" s="154">
        <v>0.1124007955164848</v>
      </c>
      <c r="Q9" s="154">
        <v>0</v>
      </c>
      <c r="R9" s="154">
        <v>0</v>
      </c>
      <c r="S9" s="154">
        <v>0.16889877166487649</v>
      </c>
      <c r="T9" s="154">
        <v>2.039946744246534E-2</v>
      </c>
      <c r="U9" s="154">
        <v>0</v>
      </c>
      <c r="V9" s="154">
        <v>0</v>
      </c>
      <c r="W9" s="154">
        <v>0</v>
      </c>
      <c r="X9" s="163">
        <f t="shared" si="2"/>
        <v>1</v>
      </c>
      <c r="Y9" s="156"/>
      <c r="Z9" s="157" t="s">
        <v>649</v>
      </c>
      <c r="AA9" s="157" t="s">
        <v>663</v>
      </c>
      <c r="AB9" s="151" t="s">
        <v>2602</v>
      </c>
      <c r="AC9" s="530" t="s">
        <v>3015</v>
      </c>
      <c r="AD9" s="159"/>
    </row>
    <row r="10" spans="1:30" x14ac:dyDescent="0.2">
      <c r="A10" s="160" t="s">
        <v>2602</v>
      </c>
      <c r="B10" s="160"/>
      <c r="C10" s="161" t="s">
        <v>1111</v>
      </c>
      <c r="D10" s="162" t="s">
        <v>1112</v>
      </c>
      <c r="E10" s="154">
        <v>0</v>
      </c>
      <c r="F10" s="154">
        <v>0</v>
      </c>
      <c r="G10" s="154">
        <v>0</v>
      </c>
      <c r="H10" s="154">
        <v>0</v>
      </c>
      <c r="I10" s="154">
        <v>0</v>
      </c>
      <c r="J10" s="154">
        <v>0</v>
      </c>
      <c r="K10" s="154">
        <v>0</v>
      </c>
      <c r="L10" s="154">
        <v>0</v>
      </c>
      <c r="M10" s="154">
        <v>0</v>
      </c>
      <c r="N10" s="154">
        <v>0</v>
      </c>
      <c r="O10" s="154">
        <v>0</v>
      </c>
      <c r="P10" s="154">
        <v>0</v>
      </c>
      <c r="Q10" s="154">
        <v>0</v>
      </c>
      <c r="R10" s="154">
        <v>0</v>
      </c>
      <c r="S10" s="154">
        <v>1</v>
      </c>
      <c r="T10" s="154">
        <v>0</v>
      </c>
      <c r="U10" s="154">
        <v>0</v>
      </c>
      <c r="V10" s="154">
        <v>0</v>
      </c>
      <c r="W10" s="154">
        <v>0</v>
      </c>
      <c r="X10" s="163">
        <f t="shared" si="2"/>
        <v>1</v>
      </c>
      <c r="Y10" s="156"/>
      <c r="Z10" s="157" t="s">
        <v>649</v>
      </c>
      <c r="AA10" s="157" t="s">
        <v>663</v>
      </c>
      <c r="AB10" s="151" t="s">
        <v>2602</v>
      </c>
      <c r="AC10" s="530" t="s">
        <v>3015</v>
      </c>
      <c r="AD10" s="159"/>
    </row>
    <row r="11" spans="1:30" x14ac:dyDescent="0.2">
      <c r="A11" s="160" t="s">
        <v>2602</v>
      </c>
      <c r="B11" s="160"/>
      <c r="C11" s="164" t="s">
        <v>1354</v>
      </c>
      <c r="D11" s="165" t="s">
        <v>1355</v>
      </c>
      <c r="E11" s="154">
        <v>0</v>
      </c>
      <c r="F11" s="154">
        <v>5.9975675784972029E-3</v>
      </c>
      <c r="G11" s="154">
        <v>6.8812806221026201E-2</v>
      </c>
      <c r="H11" s="154">
        <v>0</v>
      </c>
      <c r="I11" s="154">
        <v>0</v>
      </c>
      <c r="J11" s="154">
        <v>0</v>
      </c>
      <c r="K11" s="154">
        <v>0</v>
      </c>
      <c r="L11" s="154">
        <v>0</v>
      </c>
      <c r="M11" s="154">
        <v>0</v>
      </c>
      <c r="N11" s="154">
        <v>0.21413670272955318</v>
      </c>
      <c r="O11" s="154">
        <v>0</v>
      </c>
      <c r="P11" s="154">
        <v>0.34840753576984795</v>
      </c>
      <c r="Q11" s="154">
        <v>0</v>
      </c>
      <c r="R11" s="154">
        <v>0</v>
      </c>
      <c r="S11" s="154">
        <v>0.14397345474177362</v>
      </c>
      <c r="T11" s="154">
        <v>0.21867193295930187</v>
      </c>
      <c r="U11" s="154">
        <v>0</v>
      </c>
      <c r="V11" s="154">
        <v>0</v>
      </c>
      <c r="W11" s="154">
        <v>0</v>
      </c>
      <c r="X11" s="166">
        <f t="shared" si="2"/>
        <v>1</v>
      </c>
      <c r="Y11" s="156"/>
      <c r="Z11" s="157" t="s">
        <v>649</v>
      </c>
      <c r="AA11" s="157" t="s">
        <v>663</v>
      </c>
      <c r="AB11" s="151" t="s">
        <v>2602</v>
      </c>
      <c r="AC11" s="530" t="s">
        <v>3015</v>
      </c>
      <c r="AD11" s="159"/>
    </row>
    <row r="12" spans="1:30" x14ac:dyDescent="0.2">
      <c r="A12" s="160" t="s">
        <v>2602</v>
      </c>
      <c r="B12" s="160"/>
      <c r="C12" s="164" t="s">
        <v>1358</v>
      </c>
      <c r="D12" s="165" t="s">
        <v>1359</v>
      </c>
      <c r="E12" s="154">
        <v>0</v>
      </c>
      <c r="F12" s="154">
        <v>0</v>
      </c>
      <c r="G12" s="154">
        <v>3.0009116129340204E-2</v>
      </c>
      <c r="H12" s="154">
        <v>0</v>
      </c>
      <c r="I12" s="154">
        <v>0</v>
      </c>
      <c r="J12" s="154">
        <v>0</v>
      </c>
      <c r="K12" s="154">
        <v>0</v>
      </c>
      <c r="L12" s="154">
        <v>0</v>
      </c>
      <c r="M12" s="154">
        <v>0</v>
      </c>
      <c r="N12" s="154">
        <v>0.57599624274460848</v>
      </c>
      <c r="O12" s="154">
        <v>0</v>
      </c>
      <c r="P12" s="154">
        <v>0.12189611413581034</v>
      </c>
      <c r="Q12" s="154">
        <v>2.798564541537066E-3</v>
      </c>
      <c r="R12" s="154">
        <v>0</v>
      </c>
      <c r="S12" s="154">
        <v>0.26929996244870408</v>
      </c>
      <c r="T12" s="154">
        <v>0</v>
      </c>
      <c r="U12" s="154">
        <v>0</v>
      </c>
      <c r="V12" s="154">
        <v>0</v>
      </c>
      <c r="W12" s="154">
        <v>0</v>
      </c>
      <c r="X12" s="166">
        <f t="shared" si="2"/>
        <v>1.0000000000000002</v>
      </c>
      <c r="Y12" s="156"/>
      <c r="Z12" s="157" t="s">
        <v>649</v>
      </c>
      <c r="AA12" s="157" t="s">
        <v>663</v>
      </c>
      <c r="AB12" s="151" t="s">
        <v>2602</v>
      </c>
      <c r="AC12" s="530" t="s">
        <v>3015</v>
      </c>
      <c r="AD12" s="159"/>
    </row>
    <row r="13" spans="1:30" x14ac:dyDescent="0.2">
      <c r="A13" s="160" t="s">
        <v>2602</v>
      </c>
      <c r="B13" s="160"/>
      <c r="C13" s="164" t="s">
        <v>1666</v>
      </c>
      <c r="D13" s="165" t="s">
        <v>1667</v>
      </c>
      <c r="E13" s="154">
        <v>0</v>
      </c>
      <c r="F13" s="154">
        <v>0</v>
      </c>
      <c r="G13" s="154">
        <v>0</v>
      </c>
      <c r="H13" s="154">
        <v>0</v>
      </c>
      <c r="I13" s="154">
        <v>0</v>
      </c>
      <c r="J13" s="154">
        <v>0</v>
      </c>
      <c r="K13" s="154">
        <v>0</v>
      </c>
      <c r="L13" s="154">
        <v>0</v>
      </c>
      <c r="M13" s="154">
        <v>0</v>
      </c>
      <c r="N13" s="154">
        <v>0.61189999824805741</v>
      </c>
      <c r="O13" s="154">
        <v>0</v>
      </c>
      <c r="P13" s="154">
        <v>0.13739999915955844</v>
      </c>
      <c r="Q13" s="154">
        <v>0</v>
      </c>
      <c r="R13" s="154">
        <v>0</v>
      </c>
      <c r="S13" s="154">
        <v>0.25070000259238406</v>
      </c>
      <c r="T13" s="154">
        <v>0</v>
      </c>
      <c r="U13" s="154">
        <v>0</v>
      </c>
      <c r="V13" s="154">
        <v>0</v>
      </c>
      <c r="W13" s="154">
        <v>0</v>
      </c>
      <c r="X13" s="166">
        <f t="shared" si="2"/>
        <v>1</v>
      </c>
      <c r="Y13" s="156"/>
      <c r="Z13" s="157" t="s">
        <v>649</v>
      </c>
      <c r="AA13" s="157" t="s">
        <v>649</v>
      </c>
      <c r="AB13" s="151" t="s">
        <v>2602</v>
      </c>
      <c r="AC13" s="530" t="s">
        <v>3015</v>
      </c>
      <c r="AD13" s="159"/>
    </row>
    <row r="14" spans="1:30" x14ac:dyDescent="0.2">
      <c r="A14" s="160" t="s">
        <v>2602</v>
      </c>
      <c r="B14" s="160"/>
      <c r="C14" s="161" t="s">
        <v>1115</v>
      </c>
      <c r="D14" s="162" t="s">
        <v>1116</v>
      </c>
      <c r="E14" s="154">
        <v>0</v>
      </c>
      <c r="F14" s="154">
        <v>0</v>
      </c>
      <c r="G14" s="154">
        <v>0</v>
      </c>
      <c r="H14" s="154">
        <v>0</v>
      </c>
      <c r="I14" s="154">
        <v>0</v>
      </c>
      <c r="J14" s="154">
        <v>0</v>
      </c>
      <c r="K14" s="154">
        <v>0</v>
      </c>
      <c r="L14" s="154">
        <v>0</v>
      </c>
      <c r="M14" s="154">
        <v>0</v>
      </c>
      <c r="N14" s="154">
        <v>0</v>
      </c>
      <c r="O14" s="154">
        <v>0</v>
      </c>
      <c r="P14" s="154">
        <v>4.2068987105254273E-2</v>
      </c>
      <c r="Q14" s="154">
        <v>0</v>
      </c>
      <c r="R14" s="154">
        <v>0</v>
      </c>
      <c r="S14" s="154">
        <v>0.95793101289474569</v>
      </c>
      <c r="T14" s="154">
        <v>0</v>
      </c>
      <c r="U14" s="154">
        <v>0</v>
      </c>
      <c r="V14" s="154">
        <v>0</v>
      </c>
      <c r="W14" s="154">
        <v>0</v>
      </c>
      <c r="X14" s="163">
        <f t="shared" si="2"/>
        <v>1</v>
      </c>
      <c r="Y14" s="156"/>
      <c r="Z14" s="157" t="s">
        <v>649</v>
      </c>
      <c r="AA14" s="157" t="s">
        <v>663</v>
      </c>
      <c r="AB14" s="151" t="s">
        <v>2602</v>
      </c>
      <c r="AC14" s="530" t="s">
        <v>3015</v>
      </c>
      <c r="AD14" s="159"/>
    </row>
    <row r="15" spans="1:30" x14ac:dyDescent="0.2">
      <c r="A15" s="160" t="s">
        <v>2602</v>
      </c>
      <c r="B15" s="160"/>
      <c r="C15" s="167" t="s">
        <v>1364</v>
      </c>
      <c r="D15" s="168" t="s">
        <v>1365</v>
      </c>
      <c r="E15" s="154">
        <v>0</v>
      </c>
      <c r="F15" s="154">
        <v>0</v>
      </c>
      <c r="G15" s="154">
        <v>1</v>
      </c>
      <c r="H15" s="154">
        <v>0</v>
      </c>
      <c r="I15" s="154">
        <v>0</v>
      </c>
      <c r="J15" s="154">
        <v>0</v>
      </c>
      <c r="K15" s="154">
        <v>0</v>
      </c>
      <c r="L15" s="154">
        <v>0</v>
      </c>
      <c r="M15" s="154">
        <v>0</v>
      </c>
      <c r="N15" s="154">
        <v>0</v>
      </c>
      <c r="O15" s="154">
        <v>0</v>
      </c>
      <c r="P15" s="154">
        <v>0</v>
      </c>
      <c r="Q15" s="154">
        <v>0</v>
      </c>
      <c r="R15" s="154">
        <v>0</v>
      </c>
      <c r="S15" s="154">
        <v>0</v>
      </c>
      <c r="T15" s="154">
        <v>0</v>
      </c>
      <c r="U15" s="154">
        <v>0</v>
      </c>
      <c r="V15" s="154">
        <v>0</v>
      </c>
      <c r="W15" s="154">
        <v>0</v>
      </c>
      <c r="X15" s="163">
        <f t="shared" si="2"/>
        <v>1</v>
      </c>
      <c r="Y15" s="156"/>
      <c r="Z15" s="157" t="s">
        <v>649</v>
      </c>
      <c r="AA15" s="157" t="s">
        <v>663</v>
      </c>
      <c r="AB15" s="151" t="s">
        <v>2602</v>
      </c>
      <c r="AC15" s="530" t="s">
        <v>3015</v>
      </c>
      <c r="AD15" s="159"/>
    </row>
    <row r="16" spans="1:30" x14ac:dyDescent="0.2">
      <c r="A16" s="160" t="s">
        <v>2602</v>
      </c>
      <c r="B16" s="160"/>
      <c r="C16" s="161" t="s">
        <v>1117</v>
      </c>
      <c r="D16" s="162" t="s">
        <v>1118</v>
      </c>
      <c r="E16" s="154">
        <v>8.3663013714077375E-2</v>
      </c>
      <c r="F16" s="154">
        <v>0.34995130688803661</v>
      </c>
      <c r="G16" s="154">
        <v>0.56255793985886371</v>
      </c>
      <c r="H16" s="154">
        <v>0</v>
      </c>
      <c r="I16" s="154">
        <v>0</v>
      </c>
      <c r="J16" s="154">
        <v>0</v>
      </c>
      <c r="K16" s="154">
        <v>0</v>
      </c>
      <c r="L16" s="154">
        <v>0</v>
      </c>
      <c r="M16" s="154">
        <v>0</v>
      </c>
      <c r="N16" s="154">
        <v>0</v>
      </c>
      <c r="O16" s="154">
        <v>0</v>
      </c>
      <c r="P16" s="154">
        <v>2.2975710230783704E-9</v>
      </c>
      <c r="Q16" s="154">
        <v>0</v>
      </c>
      <c r="R16" s="154">
        <v>0</v>
      </c>
      <c r="S16" s="154">
        <v>3.8277372414514035E-3</v>
      </c>
      <c r="T16" s="154">
        <v>0</v>
      </c>
      <c r="U16" s="154">
        <v>0</v>
      </c>
      <c r="V16" s="154">
        <v>0</v>
      </c>
      <c r="W16" s="154">
        <v>0</v>
      </c>
      <c r="X16" s="163">
        <f t="shared" si="2"/>
        <v>1.0000000000000002</v>
      </c>
      <c r="Y16" s="156"/>
      <c r="Z16" s="157" t="s">
        <v>649</v>
      </c>
      <c r="AA16" s="157" t="s">
        <v>663</v>
      </c>
      <c r="AB16" s="151" t="s">
        <v>2602</v>
      </c>
      <c r="AC16" s="530" t="s">
        <v>3015</v>
      </c>
      <c r="AD16" s="159"/>
    </row>
    <row r="17" spans="1:30" x14ac:dyDescent="0.2">
      <c r="A17" s="160" t="s">
        <v>2602</v>
      </c>
      <c r="B17" s="160"/>
      <c r="C17" s="164" t="s">
        <v>1378</v>
      </c>
      <c r="D17" s="165" t="s">
        <v>1379</v>
      </c>
      <c r="E17" s="154">
        <v>0</v>
      </c>
      <c r="F17" s="154">
        <v>0</v>
      </c>
      <c r="G17" s="154">
        <v>4.5019449406495209E-2</v>
      </c>
      <c r="H17" s="154">
        <v>0</v>
      </c>
      <c r="I17" s="154">
        <v>0</v>
      </c>
      <c r="J17" s="154">
        <v>0</v>
      </c>
      <c r="K17" s="154">
        <v>0</v>
      </c>
      <c r="L17" s="154">
        <v>0</v>
      </c>
      <c r="M17" s="154">
        <v>0</v>
      </c>
      <c r="N17" s="154">
        <v>0.46141719957434996</v>
      </c>
      <c r="O17" s="154">
        <v>0</v>
      </c>
      <c r="P17" s="154">
        <v>0.22842542937902044</v>
      </c>
      <c r="Q17" s="154">
        <v>0</v>
      </c>
      <c r="R17" s="154">
        <v>0</v>
      </c>
      <c r="S17" s="154">
        <v>0.26513792164013439</v>
      </c>
      <c r="T17" s="154">
        <v>0</v>
      </c>
      <c r="U17" s="154">
        <v>0</v>
      </c>
      <c r="V17" s="154">
        <v>0</v>
      </c>
      <c r="W17" s="154">
        <v>0</v>
      </c>
      <c r="X17" s="166">
        <f t="shared" si="2"/>
        <v>1</v>
      </c>
      <c r="Y17" s="156"/>
      <c r="Z17" s="157" t="s">
        <v>649</v>
      </c>
      <c r="AA17" s="157" t="s">
        <v>663</v>
      </c>
      <c r="AB17" s="151" t="s">
        <v>2602</v>
      </c>
      <c r="AC17" s="530" t="s">
        <v>3015</v>
      </c>
      <c r="AD17" s="159"/>
    </row>
    <row r="18" spans="1:30" x14ac:dyDescent="0.2">
      <c r="A18" s="160" t="s">
        <v>2602</v>
      </c>
      <c r="B18" s="160"/>
      <c r="C18" s="164" t="s">
        <v>2267</v>
      </c>
      <c r="D18" s="169" t="s">
        <v>2817</v>
      </c>
      <c r="E18" s="154">
        <v>0</v>
      </c>
      <c r="F18" s="154">
        <v>0</v>
      </c>
      <c r="G18" s="154">
        <v>0</v>
      </c>
      <c r="H18" s="154">
        <v>0</v>
      </c>
      <c r="I18" s="154">
        <v>0</v>
      </c>
      <c r="J18" s="154">
        <v>0</v>
      </c>
      <c r="K18" s="154">
        <v>0</v>
      </c>
      <c r="L18" s="154">
        <v>0</v>
      </c>
      <c r="M18" s="154">
        <v>0</v>
      </c>
      <c r="N18" s="154">
        <v>0</v>
      </c>
      <c r="O18" s="154">
        <v>0</v>
      </c>
      <c r="P18" s="154">
        <v>0</v>
      </c>
      <c r="Q18" s="154">
        <v>0</v>
      </c>
      <c r="R18" s="154">
        <v>0</v>
      </c>
      <c r="S18" s="154">
        <v>1</v>
      </c>
      <c r="T18" s="154">
        <v>0</v>
      </c>
      <c r="U18" s="154">
        <v>0</v>
      </c>
      <c r="V18" s="154">
        <v>0</v>
      </c>
      <c r="W18" s="154">
        <v>0</v>
      </c>
      <c r="X18" s="163">
        <f t="shared" si="2"/>
        <v>1</v>
      </c>
      <c r="Y18" s="156"/>
      <c r="Z18" s="157" t="s">
        <v>649</v>
      </c>
      <c r="AA18" s="157" t="s">
        <v>663</v>
      </c>
      <c r="AB18" s="151" t="s">
        <v>2602</v>
      </c>
      <c r="AC18" s="530" t="s">
        <v>3015</v>
      </c>
      <c r="AD18" s="159"/>
    </row>
    <row r="19" spans="1:30" x14ac:dyDescent="0.2">
      <c r="A19" s="151" t="s">
        <v>2602</v>
      </c>
      <c r="B19" s="151"/>
      <c r="C19" s="170" t="s">
        <v>2266</v>
      </c>
      <c r="D19" s="171" t="s">
        <v>2818</v>
      </c>
      <c r="E19" s="154">
        <v>0</v>
      </c>
      <c r="F19" s="154">
        <v>0</v>
      </c>
      <c r="G19" s="154">
        <v>0</v>
      </c>
      <c r="H19" s="154">
        <v>0</v>
      </c>
      <c r="I19" s="154">
        <v>0</v>
      </c>
      <c r="J19" s="154">
        <v>0</v>
      </c>
      <c r="K19" s="154">
        <v>0</v>
      </c>
      <c r="L19" s="154">
        <v>0</v>
      </c>
      <c r="M19" s="154">
        <v>0</v>
      </c>
      <c r="N19" s="154">
        <v>0</v>
      </c>
      <c r="O19" s="154">
        <v>0</v>
      </c>
      <c r="P19" s="154">
        <v>0</v>
      </c>
      <c r="Q19" s="154">
        <v>0</v>
      </c>
      <c r="R19" s="154">
        <v>0</v>
      </c>
      <c r="S19" s="154">
        <v>1</v>
      </c>
      <c r="T19" s="154">
        <v>0</v>
      </c>
      <c r="U19" s="154">
        <v>0</v>
      </c>
      <c r="V19" s="154">
        <v>0</v>
      </c>
      <c r="W19" s="154">
        <v>0</v>
      </c>
      <c r="X19" s="172">
        <f t="shared" si="2"/>
        <v>1</v>
      </c>
      <c r="Y19" s="156"/>
      <c r="Z19" s="157" t="s">
        <v>649</v>
      </c>
      <c r="AA19" s="157" t="s">
        <v>663</v>
      </c>
      <c r="AB19" s="151" t="s">
        <v>2602</v>
      </c>
      <c r="AC19" s="530" t="s">
        <v>3015</v>
      </c>
      <c r="AD19" s="159"/>
    </row>
    <row r="20" spans="1:30" x14ac:dyDescent="0.2">
      <c r="A20" s="160" t="s">
        <v>2602</v>
      </c>
      <c r="B20" s="160"/>
      <c r="C20" s="161" t="s">
        <v>1120</v>
      </c>
      <c r="D20" s="162" t="s">
        <v>1121</v>
      </c>
      <c r="E20" s="154">
        <v>0</v>
      </c>
      <c r="F20" s="154">
        <v>0</v>
      </c>
      <c r="G20" s="154">
        <v>0</v>
      </c>
      <c r="H20" s="154">
        <v>0</v>
      </c>
      <c r="I20" s="154">
        <v>0</v>
      </c>
      <c r="J20" s="154">
        <v>0</v>
      </c>
      <c r="K20" s="154">
        <v>0</v>
      </c>
      <c r="L20" s="154">
        <v>0</v>
      </c>
      <c r="M20" s="154">
        <v>0</v>
      </c>
      <c r="N20" s="154">
        <v>0.88761005036984553</v>
      </c>
      <c r="O20" s="154">
        <v>0</v>
      </c>
      <c r="P20" s="154">
        <v>8.6815523407040504E-2</v>
      </c>
      <c r="Q20" s="154">
        <v>0</v>
      </c>
      <c r="R20" s="154">
        <v>0</v>
      </c>
      <c r="S20" s="154">
        <v>2.5574426223114084E-2</v>
      </c>
      <c r="T20" s="154">
        <v>0</v>
      </c>
      <c r="U20" s="154">
        <v>0</v>
      </c>
      <c r="V20" s="154">
        <v>0</v>
      </c>
      <c r="W20" s="154">
        <v>0</v>
      </c>
      <c r="X20" s="163">
        <f t="shared" si="2"/>
        <v>1</v>
      </c>
      <c r="Y20" s="156"/>
      <c r="Z20" s="157" t="s">
        <v>649</v>
      </c>
      <c r="AA20" s="157" t="s">
        <v>663</v>
      </c>
      <c r="AB20" s="151" t="s">
        <v>2602</v>
      </c>
      <c r="AC20" s="530" t="s">
        <v>3015</v>
      </c>
      <c r="AD20" s="159"/>
    </row>
    <row r="21" spans="1:30" x14ac:dyDescent="0.2">
      <c r="A21" s="160" t="s">
        <v>2602</v>
      </c>
      <c r="B21" s="160"/>
      <c r="C21" s="164" t="s">
        <v>2819</v>
      </c>
      <c r="D21" s="169" t="s">
        <v>2820</v>
      </c>
      <c r="E21" s="154">
        <v>0</v>
      </c>
      <c r="F21" s="154">
        <v>0</v>
      </c>
      <c r="G21" s="154">
        <v>0</v>
      </c>
      <c r="H21" s="154">
        <v>0</v>
      </c>
      <c r="I21" s="154">
        <v>0</v>
      </c>
      <c r="J21" s="154">
        <v>0</v>
      </c>
      <c r="K21" s="154">
        <v>0</v>
      </c>
      <c r="L21" s="154">
        <v>1</v>
      </c>
      <c r="M21" s="154">
        <v>0</v>
      </c>
      <c r="N21" s="154">
        <v>0</v>
      </c>
      <c r="O21" s="154">
        <v>0</v>
      </c>
      <c r="P21" s="154">
        <v>0</v>
      </c>
      <c r="Q21" s="154">
        <v>0</v>
      </c>
      <c r="R21" s="154">
        <v>0</v>
      </c>
      <c r="S21" s="154">
        <v>0</v>
      </c>
      <c r="T21" s="154">
        <v>0</v>
      </c>
      <c r="U21" s="154">
        <v>0</v>
      </c>
      <c r="V21" s="154">
        <v>0</v>
      </c>
      <c r="W21" s="154">
        <v>0</v>
      </c>
      <c r="X21" s="163">
        <f t="shared" si="2"/>
        <v>1</v>
      </c>
      <c r="Y21" s="156"/>
      <c r="Z21" s="157" t="s">
        <v>649</v>
      </c>
      <c r="AA21" s="157" t="s">
        <v>663</v>
      </c>
      <c r="AB21" s="151" t="s">
        <v>2602</v>
      </c>
      <c r="AC21" s="530" t="s">
        <v>3015</v>
      </c>
      <c r="AD21" s="159"/>
    </row>
    <row r="22" spans="1:30" x14ac:dyDescent="0.2">
      <c r="A22" s="160" t="s">
        <v>2602</v>
      </c>
      <c r="B22" s="160"/>
      <c r="C22" s="167" t="s">
        <v>1410</v>
      </c>
      <c r="D22" s="168" t="s">
        <v>1411</v>
      </c>
      <c r="E22" s="154">
        <v>0</v>
      </c>
      <c r="F22" s="154">
        <v>0</v>
      </c>
      <c r="G22" s="154">
        <v>0</v>
      </c>
      <c r="H22" s="154">
        <v>0</v>
      </c>
      <c r="I22" s="154">
        <v>0</v>
      </c>
      <c r="J22" s="154">
        <v>0</v>
      </c>
      <c r="K22" s="154">
        <v>0</v>
      </c>
      <c r="L22" s="154">
        <v>0</v>
      </c>
      <c r="M22" s="154">
        <v>0</v>
      </c>
      <c r="N22" s="154">
        <v>0</v>
      </c>
      <c r="O22" s="154">
        <v>0</v>
      </c>
      <c r="P22" s="154">
        <v>1</v>
      </c>
      <c r="Q22" s="154">
        <v>0</v>
      </c>
      <c r="R22" s="154">
        <v>0</v>
      </c>
      <c r="S22" s="154">
        <v>0</v>
      </c>
      <c r="T22" s="154">
        <v>0</v>
      </c>
      <c r="U22" s="154">
        <v>0</v>
      </c>
      <c r="V22" s="154">
        <v>0</v>
      </c>
      <c r="W22" s="154">
        <v>0</v>
      </c>
      <c r="X22" s="163">
        <f t="shared" si="2"/>
        <v>1</v>
      </c>
      <c r="Y22" s="156"/>
      <c r="Z22" s="157" t="s">
        <v>649</v>
      </c>
      <c r="AA22" s="157" t="s">
        <v>663</v>
      </c>
      <c r="AB22" s="151" t="s">
        <v>2602</v>
      </c>
      <c r="AC22" s="530" t="s">
        <v>3015</v>
      </c>
      <c r="AD22" s="159"/>
    </row>
    <row r="23" spans="1:30" x14ac:dyDescent="0.2">
      <c r="A23" s="173" t="s">
        <v>2602</v>
      </c>
      <c r="B23" s="151"/>
      <c r="C23" s="174" t="s">
        <v>1122</v>
      </c>
      <c r="D23" s="175" t="s">
        <v>63</v>
      </c>
      <c r="E23" s="154">
        <v>0</v>
      </c>
      <c r="F23" s="154">
        <v>0</v>
      </c>
      <c r="G23" s="154">
        <v>0</v>
      </c>
      <c r="H23" s="154">
        <v>0</v>
      </c>
      <c r="I23" s="154">
        <v>0</v>
      </c>
      <c r="J23" s="154">
        <v>1</v>
      </c>
      <c r="K23" s="154">
        <v>0</v>
      </c>
      <c r="L23" s="154">
        <v>0</v>
      </c>
      <c r="M23" s="154">
        <v>0</v>
      </c>
      <c r="N23" s="154">
        <v>0</v>
      </c>
      <c r="O23" s="154">
        <v>0</v>
      </c>
      <c r="P23" s="154">
        <v>0</v>
      </c>
      <c r="Q23" s="154">
        <v>0</v>
      </c>
      <c r="R23" s="154">
        <v>0</v>
      </c>
      <c r="S23" s="154">
        <v>0</v>
      </c>
      <c r="T23" s="154">
        <v>0</v>
      </c>
      <c r="U23" s="154">
        <v>0</v>
      </c>
      <c r="V23" s="154">
        <v>0</v>
      </c>
      <c r="W23" s="154">
        <v>0</v>
      </c>
      <c r="X23" s="176">
        <f t="shared" si="2"/>
        <v>1</v>
      </c>
      <c r="Y23" s="156"/>
      <c r="Z23" s="157" t="s">
        <v>649</v>
      </c>
      <c r="AA23" s="157" t="s">
        <v>663</v>
      </c>
      <c r="AB23" s="151" t="s">
        <v>2602</v>
      </c>
      <c r="AC23" s="530" t="s">
        <v>3015</v>
      </c>
      <c r="AD23" s="159"/>
    </row>
    <row r="24" spans="1:30" x14ac:dyDescent="0.2">
      <c r="A24" s="151" t="s">
        <v>2602</v>
      </c>
      <c r="B24" s="151"/>
      <c r="C24" s="177" t="s">
        <v>1123</v>
      </c>
      <c r="D24" s="178" t="s">
        <v>1124</v>
      </c>
      <c r="E24" s="154">
        <v>0</v>
      </c>
      <c r="F24" s="154">
        <v>0</v>
      </c>
      <c r="G24" s="154">
        <v>0</v>
      </c>
      <c r="H24" s="154">
        <v>1</v>
      </c>
      <c r="I24" s="154">
        <v>0</v>
      </c>
      <c r="J24" s="154">
        <v>0</v>
      </c>
      <c r="K24" s="154">
        <v>0</v>
      </c>
      <c r="L24" s="154">
        <v>0</v>
      </c>
      <c r="M24" s="154">
        <v>0</v>
      </c>
      <c r="N24" s="154">
        <v>0</v>
      </c>
      <c r="O24" s="154">
        <v>0</v>
      </c>
      <c r="P24" s="154">
        <v>0</v>
      </c>
      <c r="Q24" s="154">
        <v>0</v>
      </c>
      <c r="R24" s="154">
        <v>0</v>
      </c>
      <c r="S24" s="154">
        <v>0</v>
      </c>
      <c r="T24" s="154">
        <v>0</v>
      </c>
      <c r="U24" s="154">
        <v>0</v>
      </c>
      <c r="V24" s="154">
        <v>0</v>
      </c>
      <c r="W24" s="154">
        <v>0</v>
      </c>
      <c r="X24" s="179">
        <f t="shared" si="2"/>
        <v>1</v>
      </c>
      <c r="Y24" s="156"/>
      <c r="Z24" s="157" t="s">
        <v>649</v>
      </c>
      <c r="AA24" s="157" t="s">
        <v>663</v>
      </c>
      <c r="AB24" s="151" t="s">
        <v>2602</v>
      </c>
      <c r="AC24" s="530" t="s">
        <v>3015</v>
      </c>
      <c r="AD24" s="159"/>
    </row>
    <row r="25" spans="1:30" x14ac:dyDescent="0.2">
      <c r="A25" s="160" t="s">
        <v>2602</v>
      </c>
      <c r="B25" s="160"/>
      <c r="C25" s="167" t="s">
        <v>1435</v>
      </c>
      <c r="D25" s="168" t="s">
        <v>1436</v>
      </c>
      <c r="E25" s="154">
        <v>0</v>
      </c>
      <c r="F25" s="154">
        <v>0</v>
      </c>
      <c r="G25" s="154">
        <v>0</v>
      </c>
      <c r="H25" s="154">
        <v>0.10289999210002607</v>
      </c>
      <c r="I25" s="154">
        <v>0</v>
      </c>
      <c r="J25" s="154">
        <v>0</v>
      </c>
      <c r="K25" s="154">
        <v>0</v>
      </c>
      <c r="L25" s="154">
        <v>0.89710000789997391</v>
      </c>
      <c r="M25" s="154">
        <v>0</v>
      </c>
      <c r="N25" s="154">
        <v>0</v>
      </c>
      <c r="O25" s="154">
        <v>0</v>
      </c>
      <c r="P25" s="154">
        <v>0</v>
      </c>
      <c r="Q25" s="154">
        <v>0</v>
      </c>
      <c r="R25" s="154">
        <v>0</v>
      </c>
      <c r="S25" s="154">
        <v>0</v>
      </c>
      <c r="T25" s="154">
        <v>0</v>
      </c>
      <c r="U25" s="154">
        <v>0</v>
      </c>
      <c r="V25" s="154">
        <v>0</v>
      </c>
      <c r="W25" s="154">
        <v>0</v>
      </c>
      <c r="X25" s="163">
        <f t="shared" si="2"/>
        <v>1</v>
      </c>
      <c r="Y25" s="156"/>
      <c r="Z25" s="157" t="s">
        <v>649</v>
      </c>
      <c r="AA25" s="157" t="s">
        <v>663</v>
      </c>
      <c r="AB25" s="151" t="s">
        <v>2602</v>
      </c>
      <c r="AC25" s="530" t="s">
        <v>3015</v>
      </c>
      <c r="AD25" s="159"/>
    </row>
    <row r="26" spans="1:30" x14ac:dyDescent="0.2">
      <c r="A26" s="151" t="s">
        <v>2602</v>
      </c>
      <c r="B26" s="151"/>
      <c r="C26" s="180" t="s">
        <v>1127</v>
      </c>
      <c r="D26" s="181" t="s">
        <v>1128</v>
      </c>
      <c r="E26" s="154">
        <v>0</v>
      </c>
      <c r="F26" s="154">
        <v>0</v>
      </c>
      <c r="G26" s="154">
        <v>0</v>
      </c>
      <c r="H26" s="154">
        <v>0</v>
      </c>
      <c r="I26" s="154">
        <v>0</v>
      </c>
      <c r="J26" s="154">
        <v>1</v>
      </c>
      <c r="K26" s="154">
        <v>0</v>
      </c>
      <c r="L26" s="154">
        <v>0</v>
      </c>
      <c r="M26" s="154">
        <v>0</v>
      </c>
      <c r="N26" s="154">
        <v>0</v>
      </c>
      <c r="O26" s="154">
        <v>0</v>
      </c>
      <c r="P26" s="154">
        <v>0</v>
      </c>
      <c r="Q26" s="154">
        <v>0</v>
      </c>
      <c r="R26" s="154">
        <v>0</v>
      </c>
      <c r="S26" s="154">
        <v>0</v>
      </c>
      <c r="T26" s="154">
        <v>0</v>
      </c>
      <c r="U26" s="154">
        <v>0</v>
      </c>
      <c r="V26" s="154">
        <v>0</v>
      </c>
      <c r="W26" s="154">
        <v>0</v>
      </c>
      <c r="X26" s="172">
        <f t="shared" si="2"/>
        <v>1</v>
      </c>
      <c r="Y26" s="156"/>
      <c r="Z26" s="157" t="s">
        <v>649</v>
      </c>
      <c r="AA26" s="157" t="s">
        <v>663</v>
      </c>
      <c r="AB26" s="151" t="s">
        <v>2602</v>
      </c>
      <c r="AC26" s="530" t="s">
        <v>3015</v>
      </c>
      <c r="AD26" s="159"/>
    </row>
    <row r="27" spans="1:30" x14ac:dyDescent="0.2">
      <c r="A27" s="160" t="s">
        <v>2602</v>
      </c>
      <c r="B27" s="160"/>
      <c r="C27" s="161" t="s">
        <v>1129</v>
      </c>
      <c r="D27" s="162" t="s">
        <v>1130</v>
      </c>
      <c r="E27" s="154">
        <v>0.4189960583470716</v>
      </c>
      <c r="F27" s="154">
        <v>0</v>
      </c>
      <c r="G27" s="154">
        <v>0</v>
      </c>
      <c r="H27" s="154">
        <v>0</v>
      </c>
      <c r="I27" s="154">
        <v>0</v>
      </c>
      <c r="J27" s="154">
        <v>0</v>
      </c>
      <c r="K27" s="154">
        <v>0</v>
      </c>
      <c r="L27" s="154">
        <v>0</v>
      </c>
      <c r="M27" s="154">
        <v>0</v>
      </c>
      <c r="N27" s="154">
        <v>0.24479790471551827</v>
      </c>
      <c r="O27" s="154">
        <v>0</v>
      </c>
      <c r="P27" s="154">
        <v>2.7199738313890671E-2</v>
      </c>
      <c r="Q27" s="154">
        <v>0</v>
      </c>
      <c r="R27" s="154">
        <v>0</v>
      </c>
      <c r="S27" s="154">
        <v>0.30900629862351947</v>
      </c>
      <c r="T27" s="154">
        <v>0</v>
      </c>
      <c r="U27" s="154">
        <v>0</v>
      </c>
      <c r="V27" s="154">
        <v>0</v>
      </c>
      <c r="W27" s="154">
        <v>0</v>
      </c>
      <c r="X27" s="163">
        <f t="shared" si="2"/>
        <v>1</v>
      </c>
      <c r="Y27" s="156"/>
      <c r="Z27" s="157" t="s">
        <v>649</v>
      </c>
      <c r="AA27" s="157" t="s">
        <v>663</v>
      </c>
      <c r="AB27" s="151" t="s">
        <v>2602</v>
      </c>
      <c r="AC27" s="530" t="s">
        <v>3015</v>
      </c>
      <c r="AD27" s="159"/>
    </row>
    <row r="28" spans="1:30" x14ac:dyDescent="0.2">
      <c r="A28" s="151" t="s">
        <v>2602</v>
      </c>
      <c r="B28" s="151"/>
      <c r="C28" s="180" t="s">
        <v>1131</v>
      </c>
      <c r="D28" s="181" t="s">
        <v>1132</v>
      </c>
      <c r="E28" s="154">
        <v>0</v>
      </c>
      <c r="F28" s="154">
        <v>0</v>
      </c>
      <c r="G28" s="154">
        <v>0</v>
      </c>
      <c r="H28" s="154">
        <v>0</v>
      </c>
      <c r="I28" s="154">
        <v>0</v>
      </c>
      <c r="J28" s="154">
        <v>0</v>
      </c>
      <c r="K28" s="154">
        <v>0</v>
      </c>
      <c r="L28" s="154">
        <v>0</v>
      </c>
      <c r="M28" s="154">
        <v>0</v>
      </c>
      <c r="N28" s="154">
        <v>1</v>
      </c>
      <c r="O28" s="154">
        <v>0</v>
      </c>
      <c r="P28" s="154">
        <v>0</v>
      </c>
      <c r="Q28" s="154">
        <v>0</v>
      </c>
      <c r="R28" s="154">
        <v>0</v>
      </c>
      <c r="S28" s="154">
        <v>0</v>
      </c>
      <c r="T28" s="154">
        <v>0</v>
      </c>
      <c r="U28" s="154">
        <v>0</v>
      </c>
      <c r="V28" s="154">
        <v>0</v>
      </c>
      <c r="W28" s="154">
        <v>0</v>
      </c>
      <c r="X28" s="172">
        <f t="shared" si="2"/>
        <v>1</v>
      </c>
      <c r="Y28" s="156"/>
      <c r="Z28" s="157" t="s">
        <v>649</v>
      </c>
      <c r="AA28" s="157" t="s">
        <v>663</v>
      </c>
      <c r="AB28" s="151" t="s">
        <v>2602</v>
      </c>
      <c r="AC28" s="530" t="s">
        <v>3015</v>
      </c>
      <c r="AD28" s="159"/>
    </row>
    <row r="29" spans="1:30" x14ac:dyDescent="0.2">
      <c r="A29" s="160" t="s">
        <v>2602</v>
      </c>
      <c r="B29" s="160"/>
      <c r="C29" s="161" t="s">
        <v>1133</v>
      </c>
      <c r="D29" s="162" t="s">
        <v>64</v>
      </c>
      <c r="E29" s="154">
        <v>0</v>
      </c>
      <c r="F29" s="154">
        <v>0</v>
      </c>
      <c r="G29" s="154">
        <v>0</v>
      </c>
      <c r="H29" s="154">
        <v>1</v>
      </c>
      <c r="I29" s="154">
        <v>0</v>
      </c>
      <c r="J29" s="154">
        <v>0</v>
      </c>
      <c r="K29" s="154">
        <v>0</v>
      </c>
      <c r="L29" s="154">
        <v>0</v>
      </c>
      <c r="M29" s="154">
        <v>0</v>
      </c>
      <c r="N29" s="154">
        <v>0</v>
      </c>
      <c r="O29" s="154">
        <v>0</v>
      </c>
      <c r="P29" s="154">
        <v>0</v>
      </c>
      <c r="Q29" s="154">
        <v>0</v>
      </c>
      <c r="R29" s="154">
        <v>0</v>
      </c>
      <c r="S29" s="154">
        <v>0</v>
      </c>
      <c r="T29" s="154">
        <v>0</v>
      </c>
      <c r="U29" s="154">
        <v>0</v>
      </c>
      <c r="V29" s="154">
        <v>0</v>
      </c>
      <c r="W29" s="154">
        <v>0</v>
      </c>
      <c r="X29" s="163">
        <f t="shared" si="2"/>
        <v>1</v>
      </c>
      <c r="Y29" s="156"/>
      <c r="Z29" s="157" t="s">
        <v>649</v>
      </c>
      <c r="AA29" s="157" t="s">
        <v>663</v>
      </c>
      <c r="AB29" s="151" t="s">
        <v>2602</v>
      </c>
      <c r="AC29" s="530" t="s">
        <v>3015</v>
      </c>
      <c r="AD29" s="159"/>
    </row>
    <row r="30" spans="1:30" x14ac:dyDescent="0.2">
      <c r="A30" s="160" t="s">
        <v>2602</v>
      </c>
      <c r="B30" s="160"/>
      <c r="C30" s="167" t="s">
        <v>1469</v>
      </c>
      <c r="D30" s="168" t="s">
        <v>1470</v>
      </c>
      <c r="E30" s="154">
        <v>0</v>
      </c>
      <c r="F30" s="154">
        <v>0</v>
      </c>
      <c r="G30" s="154">
        <v>0</v>
      </c>
      <c r="H30" s="154">
        <v>0</v>
      </c>
      <c r="I30" s="154">
        <v>0</v>
      </c>
      <c r="J30" s="154">
        <v>0</v>
      </c>
      <c r="K30" s="154">
        <v>0</v>
      </c>
      <c r="L30" s="154">
        <v>0</v>
      </c>
      <c r="M30" s="154">
        <v>0</v>
      </c>
      <c r="N30" s="154">
        <v>1</v>
      </c>
      <c r="O30" s="154">
        <v>0</v>
      </c>
      <c r="P30" s="154">
        <v>0</v>
      </c>
      <c r="Q30" s="154">
        <v>0</v>
      </c>
      <c r="R30" s="154">
        <v>0</v>
      </c>
      <c r="S30" s="154">
        <v>0</v>
      </c>
      <c r="T30" s="154">
        <v>0</v>
      </c>
      <c r="U30" s="154">
        <v>0</v>
      </c>
      <c r="V30" s="154">
        <v>0</v>
      </c>
      <c r="W30" s="154">
        <v>0</v>
      </c>
      <c r="X30" s="163">
        <f t="shared" si="2"/>
        <v>1</v>
      </c>
      <c r="Y30" s="156"/>
      <c r="Z30" s="157" t="s">
        <v>649</v>
      </c>
      <c r="AA30" s="157" t="s">
        <v>663</v>
      </c>
      <c r="AB30" s="151" t="s">
        <v>2602</v>
      </c>
      <c r="AC30" s="530" t="s">
        <v>3015</v>
      </c>
      <c r="AD30" s="159"/>
    </row>
    <row r="31" spans="1:30" x14ac:dyDescent="0.2">
      <c r="A31" s="160" t="s">
        <v>2602</v>
      </c>
      <c r="B31" s="160"/>
      <c r="C31" s="167" t="s">
        <v>1489</v>
      </c>
      <c r="D31" s="168" t="s">
        <v>1490</v>
      </c>
      <c r="E31" s="154">
        <v>0</v>
      </c>
      <c r="F31" s="154">
        <v>0</v>
      </c>
      <c r="G31" s="154">
        <v>0</v>
      </c>
      <c r="H31" s="154">
        <v>0</v>
      </c>
      <c r="I31" s="154">
        <v>0</v>
      </c>
      <c r="J31" s="154">
        <v>0</v>
      </c>
      <c r="K31" s="154">
        <v>0</v>
      </c>
      <c r="L31" s="154">
        <v>0</v>
      </c>
      <c r="M31" s="154">
        <v>0</v>
      </c>
      <c r="N31" s="154">
        <v>1</v>
      </c>
      <c r="O31" s="154">
        <v>0</v>
      </c>
      <c r="P31" s="154">
        <v>0</v>
      </c>
      <c r="Q31" s="154">
        <v>0</v>
      </c>
      <c r="R31" s="154">
        <v>0</v>
      </c>
      <c r="S31" s="154">
        <v>0</v>
      </c>
      <c r="T31" s="154">
        <v>0</v>
      </c>
      <c r="U31" s="154">
        <v>0</v>
      </c>
      <c r="V31" s="154">
        <v>0</v>
      </c>
      <c r="W31" s="154">
        <v>0</v>
      </c>
      <c r="X31" s="163">
        <f t="shared" si="2"/>
        <v>1</v>
      </c>
      <c r="Y31" s="156"/>
      <c r="Z31" s="157" t="s">
        <v>649</v>
      </c>
      <c r="AA31" s="157" t="s">
        <v>663</v>
      </c>
      <c r="AB31" s="151" t="s">
        <v>2602</v>
      </c>
      <c r="AC31" s="530" t="s">
        <v>3015</v>
      </c>
      <c r="AD31" s="159"/>
    </row>
    <row r="32" spans="1:30" x14ac:dyDescent="0.2">
      <c r="A32" s="160" t="s">
        <v>2602</v>
      </c>
      <c r="B32" s="160"/>
      <c r="C32" s="161" t="s">
        <v>1135</v>
      </c>
      <c r="D32" s="162" t="s">
        <v>1136</v>
      </c>
      <c r="E32" s="154">
        <v>0</v>
      </c>
      <c r="F32" s="154">
        <v>0</v>
      </c>
      <c r="G32" s="154">
        <v>0</v>
      </c>
      <c r="H32" s="154">
        <v>1</v>
      </c>
      <c r="I32" s="154">
        <v>0</v>
      </c>
      <c r="J32" s="154">
        <v>0</v>
      </c>
      <c r="K32" s="154">
        <v>0</v>
      </c>
      <c r="L32" s="154">
        <v>0</v>
      </c>
      <c r="M32" s="154">
        <v>0</v>
      </c>
      <c r="N32" s="154">
        <v>0</v>
      </c>
      <c r="O32" s="154">
        <v>0</v>
      </c>
      <c r="P32" s="154">
        <v>0</v>
      </c>
      <c r="Q32" s="154">
        <v>0</v>
      </c>
      <c r="R32" s="154">
        <v>0</v>
      </c>
      <c r="S32" s="154">
        <v>0</v>
      </c>
      <c r="T32" s="154">
        <v>0</v>
      </c>
      <c r="U32" s="154">
        <v>0</v>
      </c>
      <c r="V32" s="154">
        <v>0</v>
      </c>
      <c r="W32" s="154">
        <v>0</v>
      </c>
      <c r="X32" s="163">
        <f t="shared" si="2"/>
        <v>1</v>
      </c>
      <c r="Y32" s="156"/>
      <c r="Z32" s="157" t="s">
        <v>649</v>
      </c>
      <c r="AA32" s="157" t="s">
        <v>663</v>
      </c>
      <c r="AB32" s="151" t="s">
        <v>2602</v>
      </c>
      <c r="AC32" s="530" t="s">
        <v>3015</v>
      </c>
      <c r="AD32" s="159"/>
    </row>
    <row r="33" spans="1:30" x14ac:dyDescent="0.2">
      <c r="A33" s="160" t="s">
        <v>2602</v>
      </c>
      <c r="B33" s="160"/>
      <c r="C33" s="161" t="s">
        <v>1137</v>
      </c>
      <c r="D33" s="162" t="s">
        <v>1138</v>
      </c>
      <c r="E33" s="154">
        <v>0</v>
      </c>
      <c r="F33" s="154">
        <v>0</v>
      </c>
      <c r="G33" s="154">
        <v>0</v>
      </c>
      <c r="H33" s="154">
        <v>1</v>
      </c>
      <c r="I33" s="154">
        <v>0</v>
      </c>
      <c r="J33" s="154">
        <v>0</v>
      </c>
      <c r="K33" s="154">
        <v>0</v>
      </c>
      <c r="L33" s="154">
        <v>0</v>
      </c>
      <c r="M33" s="154">
        <v>0</v>
      </c>
      <c r="N33" s="154">
        <v>0</v>
      </c>
      <c r="O33" s="154">
        <v>0</v>
      </c>
      <c r="P33" s="154">
        <v>0</v>
      </c>
      <c r="Q33" s="154">
        <v>0</v>
      </c>
      <c r="R33" s="154">
        <v>0</v>
      </c>
      <c r="S33" s="154">
        <v>0</v>
      </c>
      <c r="T33" s="154">
        <v>0</v>
      </c>
      <c r="U33" s="154">
        <v>0</v>
      </c>
      <c r="V33" s="154">
        <v>0</v>
      </c>
      <c r="W33" s="154">
        <v>0</v>
      </c>
      <c r="X33" s="163">
        <f t="shared" si="2"/>
        <v>1</v>
      </c>
      <c r="Y33" s="156"/>
      <c r="Z33" s="157" t="s">
        <v>649</v>
      </c>
      <c r="AA33" s="157" t="s">
        <v>663</v>
      </c>
      <c r="AB33" s="151" t="s">
        <v>2602</v>
      </c>
      <c r="AC33" s="530" t="s">
        <v>3015</v>
      </c>
      <c r="AD33" s="159"/>
    </row>
    <row r="34" spans="1:30" x14ac:dyDescent="0.2">
      <c r="A34" s="160" t="s">
        <v>2602</v>
      </c>
      <c r="B34" s="160"/>
      <c r="C34" s="161" t="s">
        <v>1139</v>
      </c>
      <c r="D34" s="162" t="s">
        <v>1140</v>
      </c>
      <c r="E34" s="154">
        <v>0</v>
      </c>
      <c r="F34" s="154">
        <v>0</v>
      </c>
      <c r="G34" s="154">
        <v>0</v>
      </c>
      <c r="H34" s="154">
        <v>1</v>
      </c>
      <c r="I34" s="154">
        <v>0</v>
      </c>
      <c r="J34" s="154">
        <v>0</v>
      </c>
      <c r="K34" s="154">
        <v>0</v>
      </c>
      <c r="L34" s="154">
        <v>0</v>
      </c>
      <c r="M34" s="154">
        <v>0</v>
      </c>
      <c r="N34" s="154">
        <v>0</v>
      </c>
      <c r="O34" s="154">
        <v>0</v>
      </c>
      <c r="P34" s="154">
        <v>0</v>
      </c>
      <c r="Q34" s="154">
        <v>0</v>
      </c>
      <c r="R34" s="154">
        <v>0</v>
      </c>
      <c r="S34" s="154">
        <v>0</v>
      </c>
      <c r="T34" s="154">
        <v>0</v>
      </c>
      <c r="U34" s="154">
        <v>0</v>
      </c>
      <c r="V34" s="154">
        <v>0</v>
      </c>
      <c r="W34" s="154">
        <v>0</v>
      </c>
      <c r="X34" s="163">
        <f t="shared" si="2"/>
        <v>1</v>
      </c>
      <c r="Y34" s="156"/>
      <c r="Z34" s="157" t="s">
        <v>649</v>
      </c>
      <c r="AA34" s="157" t="s">
        <v>663</v>
      </c>
      <c r="AB34" s="151" t="s">
        <v>2602</v>
      </c>
      <c r="AC34" s="530" t="s">
        <v>3015</v>
      </c>
      <c r="AD34" s="159"/>
    </row>
    <row r="35" spans="1:30" x14ac:dyDescent="0.2">
      <c r="A35" s="160" t="s">
        <v>2602</v>
      </c>
      <c r="B35" s="160"/>
      <c r="C35" s="167" t="s">
        <v>1512</v>
      </c>
      <c r="D35" s="168" t="s">
        <v>1513</v>
      </c>
      <c r="E35" s="154">
        <v>1</v>
      </c>
      <c r="F35" s="154">
        <v>0</v>
      </c>
      <c r="G35" s="154">
        <v>0</v>
      </c>
      <c r="H35" s="154">
        <v>0</v>
      </c>
      <c r="I35" s="154">
        <v>0</v>
      </c>
      <c r="J35" s="154">
        <v>0</v>
      </c>
      <c r="K35" s="154">
        <v>0</v>
      </c>
      <c r="L35" s="154">
        <v>0</v>
      </c>
      <c r="M35" s="154">
        <v>0</v>
      </c>
      <c r="N35" s="154">
        <v>0</v>
      </c>
      <c r="O35" s="154">
        <v>0</v>
      </c>
      <c r="P35" s="154">
        <v>0</v>
      </c>
      <c r="Q35" s="154">
        <v>0</v>
      </c>
      <c r="R35" s="154">
        <v>0</v>
      </c>
      <c r="S35" s="154">
        <v>0</v>
      </c>
      <c r="T35" s="154">
        <v>0</v>
      </c>
      <c r="U35" s="154">
        <v>0</v>
      </c>
      <c r="V35" s="154">
        <v>0</v>
      </c>
      <c r="W35" s="154">
        <v>0</v>
      </c>
      <c r="X35" s="163">
        <f t="shared" si="2"/>
        <v>1</v>
      </c>
      <c r="Y35" s="156"/>
      <c r="Z35" s="157" t="s">
        <v>649</v>
      </c>
      <c r="AA35" s="157" t="s">
        <v>663</v>
      </c>
      <c r="AB35" s="151" t="s">
        <v>2602</v>
      </c>
      <c r="AC35" s="530" t="s">
        <v>3015</v>
      </c>
      <c r="AD35" s="159"/>
    </row>
    <row r="36" spans="1:30" x14ac:dyDescent="0.2">
      <c r="A36" s="160" t="s">
        <v>2602</v>
      </c>
      <c r="B36" s="160"/>
      <c r="C36" s="167" t="s">
        <v>1516</v>
      </c>
      <c r="D36" s="168" t="s">
        <v>1517</v>
      </c>
      <c r="E36" s="154">
        <v>0</v>
      </c>
      <c r="F36" s="154">
        <v>0</v>
      </c>
      <c r="G36" s="154">
        <v>0</v>
      </c>
      <c r="H36" s="154">
        <v>1</v>
      </c>
      <c r="I36" s="154">
        <v>0</v>
      </c>
      <c r="J36" s="154">
        <v>0</v>
      </c>
      <c r="K36" s="154">
        <v>0</v>
      </c>
      <c r="L36" s="154">
        <v>0</v>
      </c>
      <c r="M36" s="154">
        <v>0</v>
      </c>
      <c r="N36" s="154">
        <v>0</v>
      </c>
      <c r="O36" s="154">
        <v>0</v>
      </c>
      <c r="P36" s="154">
        <v>0</v>
      </c>
      <c r="Q36" s="154">
        <v>0</v>
      </c>
      <c r="R36" s="154">
        <v>0</v>
      </c>
      <c r="S36" s="154">
        <v>0</v>
      </c>
      <c r="T36" s="154">
        <v>0</v>
      </c>
      <c r="U36" s="154">
        <v>0</v>
      </c>
      <c r="V36" s="154">
        <v>0</v>
      </c>
      <c r="W36" s="154">
        <v>0</v>
      </c>
      <c r="X36" s="163">
        <f t="shared" si="2"/>
        <v>1</v>
      </c>
      <c r="Y36" s="156"/>
      <c r="Z36" s="157" t="s">
        <v>649</v>
      </c>
      <c r="AA36" s="157" t="s">
        <v>663</v>
      </c>
      <c r="AB36" s="151" t="s">
        <v>2602</v>
      </c>
      <c r="AC36" s="530" t="s">
        <v>3015</v>
      </c>
      <c r="AD36" s="159"/>
    </row>
    <row r="37" spans="1:30" x14ac:dyDescent="0.2">
      <c r="A37" s="160" t="s">
        <v>2602</v>
      </c>
      <c r="B37" s="160"/>
      <c r="C37" s="167" t="s">
        <v>1518</v>
      </c>
      <c r="D37" s="168" t="s">
        <v>1519</v>
      </c>
      <c r="E37" s="154">
        <v>0</v>
      </c>
      <c r="F37" s="154">
        <v>0</v>
      </c>
      <c r="G37" s="154">
        <v>0</v>
      </c>
      <c r="H37" s="154">
        <v>0</v>
      </c>
      <c r="I37" s="154">
        <v>0</v>
      </c>
      <c r="J37" s="154">
        <v>0</v>
      </c>
      <c r="K37" s="154">
        <v>0</v>
      </c>
      <c r="L37" s="154">
        <v>0</v>
      </c>
      <c r="M37" s="154">
        <v>0</v>
      </c>
      <c r="N37" s="154">
        <v>0</v>
      </c>
      <c r="O37" s="154">
        <v>0</v>
      </c>
      <c r="P37" s="154">
        <v>0</v>
      </c>
      <c r="Q37" s="154">
        <v>0</v>
      </c>
      <c r="R37" s="154">
        <v>0</v>
      </c>
      <c r="S37" s="154">
        <v>1</v>
      </c>
      <c r="T37" s="154">
        <v>0</v>
      </c>
      <c r="U37" s="154">
        <v>0</v>
      </c>
      <c r="V37" s="154">
        <v>0</v>
      </c>
      <c r="W37" s="154">
        <v>0</v>
      </c>
      <c r="X37" s="163">
        <f t="shared" si="2"/>
        <v>1</v>
      </c>
      <c r="Y37" s="156"/>
      <c r="Z37" s="157" t="s">
        <v>649</v>
      </c>
      <c r="AA37" s="157" t="s">
        <v>663</v>
      </c>
      <c r="AB37" s="151" t="s">
        <v>2602</v>
      </c>
      <c r="AC37" s="530" t="s">
        <v>3015</v>
      </c>
      <c r="AD37" s="159"/>
    </row>
    <row r="38" spans="1:30" x14ac:dyDescent="0.2">
      <c r="A38" s="151" t="s">
        <v>2602</v>
      </c>
      <c r="B38" s="151"/>
      <c r="C38" s="180" t="s">
        <v>1142</v>
      </c>
      <c r="D38" s="181" t="s">
        <v>1143</v>
      </c>
      <c r="E38" s="154">
        <v>0</v>
      </c>
      <c r="F38" s="154">
        <v>0</v>
      </c>
      <c r="G38" s="154">
        <v>0</v>
      </c>
      <c r="H38" s="154">
        <v>0</v>
      </c>
      <c r="I38" s="154">
        <v>0</v>
      </c>
      <c r="J38" s="154">
        <v>0</v>
      </c>
      <c r="K38" s="154">
        <v>0</v>
      </c>
      <c r="L38" s="154">
        <v>1</v>
      </c>
      <c r="M38" s="154">
        <v>0</v>
      </c>
      <c r="N38" s="154">
        <v>0</v>
      </c>
      <c r="O38" s="154">
        <v>0</v>
      </c>
      <c r="P38" s="154">
        <v>0</v>
      </c>
      <c r="Q38" s="154">
        <v>0</v>
      </c>
      <c r="R38" s="154">
        <v>0</v>
      </c>
      <c r="S38" s="154">
        <v>0</v>
      </c>
      <c r="T38" s="154">
        <v>0</v>
      </c>
      <c r="U38" s="154">
        <v>0</v>
      </c>
      <c r="V38" s="154">
        <v>0</v>
      </c>
      <c r="W38" s="154">
        <v>0</v>
      </c>
      <c r="X38" s="172">
        <f t="shared" si="2"/>
        <v>1</v>
      </c>
      <c r="Y38" s="156"/>
      <c r="Z38" s="157" t="s">
        <v>649</v>
      </c>
      <c r="AA38" s="157" t="s">
        <v>663</v>
      </c>
      <c r="AB38" s="151" t="s">
        <v>2602</v>
      </c>
      <c r="AC38" s="530" t="s">
        <v>3015</v>
      </c>
      <c r="AD38" s="159"/>
    </row>
    <row r="39" spans="1:30" x14ac:dyDescent="0.2">
      <c r="A39" s="160" t="s">
        <v>2602</v>
      </c>
      <c r="B39" s="160"/>
      <c r="C39" s="161" t="s">
        <v>1146</v>
      </c>
      <c r="D39" s="162" t="s">
        <v>1147</v>
      </c>
      <c r="E39" s="154">
        <v>0</v>
      </c>
      <c r="F39" s="154">
        <v>0</v>
      </c>
      <c r="G39" s="154">
        <v>0</v>
      </c>
      <c r="H39" s="154">
        <v>1</v>
      </c>
      <c r="I39" s="154">
        <v>0</v>
      </c>
      <c r="J39" s="154">
        <v>0</v>
      </c>
      <c r="K39" s="154">
        <v>0</v>
      </c>
      <c r="L39" s="154">
        <v>0</v>
      </c>
      <c r="M39" s="154">
        <v>0</v>
      </c>
      <c r="N39" s="154">
        <v>0</v>
      </c>
      <c r="O39" s="154">
        <v>0</v>
      </c>
      <c r="P39" s="154">
        <v>0</v>
      </c>
      <c r="Q39" s="154">
        <v>0</v>
      </c>
      <c r="R39" s="154">
        <v>0</v>
      </c>
      <c r="S39" s="154">
        <v>0</v>
      </c>
      <c r="T39" s="154">
        <v>0</v>
      </c>
      <c r="U39" s="154">
        <v>0</v>
      </c>
      <c r="V39" s="154">
        <v>0</v>
      </c>
      <c r="W39" s="154">
        <v>0</v>
      </c>
      <c r="X39" s="163">
        <f t="shared" si="2"/>
        <v>1</v>
      </c>
      <c r="Y39" s="156"/>
      <c r="Z39" s="157" t="s">
        <v>649</v>
      </c>
      <c r="AA39" s="157" t="s">
        <v>663</v>
      </c>
      <c r="AB39" s="151" t="s">
        <v>2602</v>
      </c>
      <c r="AC39" s="530" t="s">
        <v>3015</v>
      </c>
      <c r="AD39" s="159"/>
    </row>
    <row r="40" spans="1:30" x14ac:dyDescent="0.2">
      <c r="A40" s="160" t="s">
        <v>2602</v>
      </c>
      <c r="B40" s="160"/>
      <c r="C40" s="161" t="s">
        <v>1149</v>
      </c>
      <c r="D40" s="162" t="s">
        <v>1150</v>
      </c>
      <c r="E40" s="154">
        <v>0</v>
      </c>
      <c r="F40" s="154">
        <v>0</v>
      </c>
      <c r="G40" s="154">
        <v>0</v>
      </c>
      <c r="H40" s="154">
        <v>0</v>
      </c>
      <c r="I40" s="154">
        <v>0</v>
      </c>
      <c r="J40" s="154">
        <v>0</v>
      </c>
      <c r="K40" s="154">
        <v>0</v>
      </c>
      <c r="L40" s="154">
        <v>0</v>
      </c>
      <c r="M40" s="154">
        <v>0</v>
      </c>
      <c r="N40" s="154">
        <v>1</v>
      </c>
      <c r="O40" s="154">
        <v>0</v>
      </c>
      <c r="P40" s="154">
        <v>0</v>
      </c>
      <c r="Q40" s="154">
        <v>0</v>
      </c>
      <c r="R40" s="154">
        <v>0</v>
      </c>
      <c r="S40" s="154">
        <v>0</v>
      </c>
      <c r="T40" s="154">
        <v>0</v>
      </c>
      <c r="U40" s="154">
        <v>0</v>
      </c>
      <c r="V40" s="154">
        <v>0</v>
      </c>
      <c r="W40" s="154">
        <v>0</v>
      </c>
      <c r="X40" s="163">
        <f t="shared" si="2"/>
        <v>1</v>
      </c>
      <c r="Y40" s="156"/>
      <c r="Z40" s="157" t="s">
        <v>649</v>
      </c>
      <c r="AA40" s="157" t="s">
        <v>663</v>
      </c>
      <c r="AB40" s="151" t="s">
        <v>2602</v>
      </c>
      <c r="AC40" s="530" t="s">
        <v>3015</v>
      </c>
      <c r="AD40" s="159"/>
    </row>
    <row r="41" spans="1:30" x14ac:dyDescent="0.2">
      <c r="A41" s="160" t="s">
        <v>2602</v>
      </c>
      <c r="B41" s="160"/>
      <c r="C41" s="167" t="s">
        <v>1522</v>
      </c>
      <c r="D41" s="168" t="s">
        <v>1523</v>
      </c>
      <c r="E41" s="154">
        <v>0</v>
      </c>
      <c r="F41" s="154">
        <v>0</v>
      </c>
      <c r="G41" s="154">
        <v>0</v>
      </c>
      <c r="H41" s="154">
        <v>0</v>
      </c>
      <c r="I41" s="154">
        <v>0</v>
      </c>
      <c r="J41" s="154">
        <v>0</v>
      </c>
      <c r="K41" s="154">
        <v>0</v>
      </c>
      <c r="L41" s="154">
        <v>0</v>
      </c>
      <c r="M41" s="154">
        <v>0</v>
      </c>
      <c r="N41" s="154">
        <v>0</v>
      </c>
      <c r="O41" s="154">
        <v>0</v>
      </c>
      <c r="P41" s="154">
        <v>0</v>
      </c>
      <c r="Q41" s="154">
        <v>0</v>
      </c>
      <c r="R41" s="154">
        <v>0</v>
      </c>
      <c r="S41" s="154">
        <v>0</v>
      </c>
      <c r="T41" s="154">
        <v>1</v>
      </c>
      <c r="U41" s="154">
        <v>0</v>
      </c>
      <c r="V41" s="154">
        <v>0</v>
      </c>
      <c r="W41" s="154">
        <v>0</v>
      </c>
      <c r="X41" s="163">
        <f t="shared" si="2"/>
        <v>1</v>
      </c>
      <c r="Y41" s="156"/>
      <c r="Z41" s="157" t="s">
        <v>649</v>
      </c>
      <c r="AA41" s="157" t="s">
        <v>663</v>
      </c>
      <c r="AB41" s="151" t="s">
        <v>2602</v>
      </c>
      <c r="AC41" s="530" t="s">
        <v>3015</v>
      </c>
      <c r="AD41" s="159"/>
    </row>
    <row r="42" spans="1:30" x14ac:dyDescent="0.2">
      <c r="A42" s="151" t="s">
        <v>2602</v>
      </c>
      <c r="B42" s="151"/>
      <c r="C42" s="182" t="s">
        <v>1524</v>
      </c>
      <c r="D42" s="183" t="s">
        <v>1525</v>
      </c>
      <c r="E42" s="154">
        <v>0</v>
      </c>
      <c r="F42" s="154">
        <v>0</v>
      </c>
      <c r="G42" s="154">
        <v>0</v>
      </c>
      <c r="H42" s="154">
        <v>1</v>
      </c>
      <c r="I42" s="154">
        <v>0</v>
      </c>
      <c r="J42" s="154">
        <v>0</v>
      </c>
      <c r="K42" s="154">
        <v>0</v>
      </c>
      <c r="L42" s="154">
        <v>0</v>
      </c>
      <c r="M42" s="154">
        <v>0</v>
      </c>
      <c r="N42" s="154">
        <v>0</v>
      </c>
      <c r="O42" s="154">
        <v>0</v>
      </c>
      <c r="P42" s="154">
        <v>0</v>
      </c>
      <c r="Q42" s="154">
        <v>0</v>
      </c>
      <c r="R42" s="154">
        <v>0</v>
      </c>
      <c r="S42" s="154">
        <v>0</v>
      </c>
      <c r="T42" s="154">
        <v>0</v>
      </c>
      <c r="U42" s="154">
        <v>0</v>
      </c>
      <c r="V42" s="154">
        <v>0</v>
      </c>
      <c r="W42" s="154">
        <v>0</v>
      </c>
      <c r="X42" s="172">
        <f t="shared" si="2"/>
        <v>1</v>
      </c>
      <c r="Y42" s="156"/>
      <c r="Z42" s="157" t="s">
        <v>649</v>
      </c>
      <c r="AA42" s="157" t="s">
        <v>663</v>
      </c>
      <c r="AB42" s="151" t="s">
        <v>2602</v>
      </c>
      <c r="AC42" s="530" t="s">
        <v>3015</v>
      </c>
      <c r="AD42" s="159"/>
    </row>
    <row r="43" spans="1:30" x14ac:dyDescent="0.2">
      <c r="A43" s="160" t="s">
        <v>2602</v>
      </c>
      <c r="B43" s="160"/>
      <c r="C43" s="167" t="s">
        <v>1526</v>
      </c>
      <c r="D43" s="168" t="s">
        <v>1527</v>
      </c>
      <c r="E43" s="154">
        <v>0</v>
      </c>
      <c r="F43" s="154">
        <v>0</v>
      </c>
      <c r="G43" s="154">
        <v>0</v>
      </c>
      <c r="H43" s="154">
        <v>1</v>
      </c>
      <c r="I43" s="154">
        <v>0</v>
      </c>
      <c r="J43" s="154">
        <v>0</v>
      </c>
      <c r="K43" s="154">
        <v>0</v>
      </c>
      <c r="L43" s="154">
        <v>0</v>
      </c>
      <c r="M43" s="154">
        <v>0</v>
      </c>
      <c r="N43" s="154">
        <v>0</v>
      </c>
      <c r="O43" s="154">
        <v>0</v>
      </c>
      <c r="P43" s="154">
        <v>0</v>
      </c>
      <c r="Q43" s="154">
        <v>0</v>
      </c>
      <c r="R43" s="154">
        <v>0</v>
      </c>
      <c r="S43" s="154">
        <v>0</v>
      </c>
      <c r="T43" s="154">
        <v>0</v>
      </c>
      <c r="U43" s="154">
        <v>0</v>
      </c>
      <c r="V43" s="154">
        <v>0</v>
      </c>
      <c r="W43" s="154">
        <v>0</v>
      </c>
      <c r="X43" s="163">
        <f t="shared" si="2"/>
        <v>1</v>
      </c>
      <c r="Y43" s="156"/>
      <c r="Z43" s="157" t="s">
        <v>649</v>
      </c>
      <c r="AA43" s="157" t="s">
        <v>663</v>
      </c>
      <c r="AB43" s="151" t="s">
        <v>2602</v>
      </c>
      <c r="AC43" s="530" t="s">
        <v>3015</v>
      </c>
      <c r="AD43" s="159"/>
    </row>
    <row r="44" spans="1:30" x14ac:dyDescent="0.2">
      <c r="A44" s="151" t="s">
        <v>2602</v>
      </c>
      <c r="B44" s="151"/>
      <c r="C44" s="184" t="s">
        <v>1151</v>
      </c>
      <c r="D44" s="185" t="s">
        <v>1152</v>
      </c>
      <c r="E44" s="154">
        <v>0</v>
      </c>
      <c r="F44" s="154">
        <v>1.7017376710523916E-3</v>
      </c>
      <c r="G44" s="154">
        <v>7.2796248786436257E-2</v>
      </c>
      <c r="H44" s="154">
        <v>0</v>
      </c>
      <c r="I44" s="154">
        <v>0</v>
      </c>
      <c r="J44" s="154">
        <v>0</v>
      </c>
      <c r="K44" s="154">
        <v>0</v>
      </c>
      <c r="L44" s="154">
        <v>0</v>
      </c>
      <c r="M44" s="154">
        <v>0</v>
      </c>
      <c r="N44" s="154">
        <v>0.40929924573090215</v>
      </c>
      <c r="O44" s="154">
        <v>0</v>
      </c>
      <c r="P44" s="154">
        <v>0.15460765779756919</v>
      </c>
      <c r="Q44" s="154">
        <v>0</v>
      </c>
      <c r="R44" s="154">
        <v>0</v>
      </c>
      <c r="S44" s="154">
        <v>0.11708801793106921</v>
      </c>
      <c r="T44" s="154">
        <v>0.24450709208297083</v>
      </c>
      <c r="U44" s="154">
        <v>0</v>
      </c>
      <c r="V44" s="154">
        <v>0</v>
      </c>
      <c r="W44" s="154">
        <v>0</v>
      </c>
      <c r="X44" s="186">
        <f t="shared" si="2"/>
        <v>1</v>
      </c>
      <c r="Y44" s="156"/>
      <c r="Z44" s="157" t="s">
        <v>649</v>
      </c>
      <c r="AA44" s="157" t="s">
        <v>663</v>
      </c>
      <c r="AB44" s="151" t="s">
        <v>2602</v>
      </c>
      <c r="AC44" s="530" t="s">
        <v>3015</v>
      </c>
      <c r="AD44" s="159"/>
    </row>
    <row r="45" spans="1:30" x14ac:dyDescent="0.2">
      <c r="A45" s="151" t="s">
        <v>2602</v>
      </c>
      <c r="B45" s="151"/>
      <c r="C45" s="177" t="s">
        <v>1153</v>
      </c>
      <c r="D45" s="178" t="s">
        <v>1154</v>
      </c>
      <c r="E45" s="154">
        <v>0</v>
      </c>
      <c r="F45" s="154">
        <v>0</v>
      </c>
      <c r="G45" s="154">
        <v>3.5023015927772107E-2</v>
      </c>
      <c r="H45" s="154">
        <v>0</v>
      </c>
      <c r="I45" s="154">
        <v>0</v>
      </c>
      <c r="J45" s="154">
        <v>0</v>
      </c>
      <c r="K45" s="154">
        <v>0</v>
      </c>
      <c r="L45" s="154">
        <v>0</v>
      </c>
      <c r="M45" s="154">
        <v>0</v>
      </c>
      <c r="N45" s="154">
        <v>0.37927508351138134</v>
      </c>
      <c r="O45" s="154">
        <v>0</v>
      </c>
      <c r="P45" s="154">
        <v>0.3059215002616365</v>
      </c>
      <c r="Q45" s="154">
        <v>0</v>
      </c>
      <c r="R45" s="154">
        <v>0</v>
      </c>
      <c r="S45" s="154">
        <v>0.27978040029920997</v>
      </c>
      <c r="T45" s="154">
        <v>0</v>
      </c>
      <c r="U45" s="154">
        <v>0</v>
      </c>
      <c r="V45" s="154">
        <v>0</v>
      </c>
      <c r="W45" s="154">
        <v>0</v>
      </c>
      <c r="X45" s="179">
        <f t="shared" si="2"/>
        <v>1</v>
      </c>
      <c r="Y45" s="156"/>
      <c r="Z45" s="157" t="s">
        <v>649</v>
      </c>
      <c r="AA45" s="157" t="s">
        <v>663</v>
      </c>
      <c r="AB45" s="151" t="s">
        <v>2602</v>
      </c>
      <c r="AC45" s="530" t="s">
        <v>3015</v>
      </c>
      <c r="AD45" s="159"/>
    </row>
    <row r="46" spans="1:30" x14ac:dyDescent="0.2">
      <c r="A46" s="160" t="s">
        <v>2602</v>
      </c>
      <c r="B46" s="160"/>
      <c r="C46" s="161" t="s">
        <v>1156</v>
      </c>
      <c r="D46" s="162" t="s">
        <v>1157</v>
      </c>
      <c r="E46" s="154">
        <v>0</v>
      </c>
      <c r="F46" s="154">
        <v>0</v>
      </c>
      <c r="G46" s="154">
        <v>0.16809374938857385</v>
      </c>
      <c r="H46" s="154">
        <v>0</v>
      </c>
      <c r="I46" s="154">
        <v>0</v>
      </c>
      <c r="J46" s="154">
        <v>0</v>
      </c>
      <c r="K46" s="154">
        <v>1.6381075245655542E-4</v>
      </c>
      <c r="L46" s="154">
        <v>0</v>
      </c>
      <c r="M46" s="154">
        <v>0</v>
      </c>
      <c r="N46" s="154">
        <v>0.38426550596488368</v>
      </c>
      <c r="O46" s="154">
        <v>0</v>
      </c>
      <c r="P46" s="154">
        <v>0.33044604527252608</v>
      </c>
      <c r="Q46" s="154">
        <v>0</v>
      </c>
      <c r="R46" s="154">
        <v>0</v>
      </c>
      <c r="S46" s="154">
        <v>0.11703088862155986</v>
      </c>
      <c r="T46" s="154">
        <v>0</v>
      </c>
      <c r="U46" s="154">
        <v>0</v>
      </c>
      <c r="V46" s="154">
        <v>0</v>
      </c>
      <c r="W46" s="154">
        <v>0</v>
      </c>
      <c r="X46" s="163">
        <f t="shared" si="2"/>
        <v>1</v>
      </c>
      <c r="Y46" s="156"/>
      <c r="Z46" s="157" t="s">
        <v>649</v>
      </c>
      <c r="AA46" s="157" t="s">
        <v>663</v>
      </c>
      <c r="AB46" s="151" t="s">
        <v>2602</v>
      </c>
      <c r="AC46" s="530" t="s">
        <v>3015</v>
      </c>
      <c r="AD46" s="159"/>
    </row>
    <row r="47" spans="1:30" x14ac:dyDescent="0.2">
      <c r="A47" s="151" t="s">
        <v>2602</v>
      </c>
      <c r="B47" s="151"/>
      <c r="C47" s="184" t="s">
        <v>1158</v>
      </c>
      <c r="D47" s="185" t="s">
        <v>73</v>
      </c>
      <c r="E47" s="154">
        <v>0</v>
      </c>
      <c r="F47" s="154">
        <v>0</v>
      </c>
      <c r="G47" s="154">
        <v>0.11161900340610426</v>
      </c>
      <c r="H47" s="154">
        <v>0</v>
      </c>
      <c r="I47" s="154">
        <v>0</v>
      </c>
      <c r="J47" s="154">
        <v>0</v>
      </c>
      <c r="K47" s="154">
        <v>0</v>
      </c>
      <c r="L47" s="154">
        <v>0</v>
      </c>
      <c r="M47" s="154">
        <v>0</v>
      </c>
      <c r="N47" s="154">
        <v>0.12662043616447669</v>
      </c>
      <c r="O47" s="154">
        <v>0</v>
      </c>
      <c r="P47" s="154">
        <v>0.22081157960265235</v>
      </c>
      <c r="Q47" s="154">
        <v>0</v>
      </c>
      <c r="R47" s="154">
        <v>0</v>
      </c>
      <c r="S47" s="154">
        <v>0.54094898082676668</v>
      </c>
      <c r="T47" s="154">
        <v>0</v>
      </c>
      <c r="U47" s="154">
        <v>0</v>
      </c>
      <c r="V47" s="154">
        <v>0</v>
      </c>
      <c r="W47" s="154">
        <v>0</v>
      </c>
      <c r="X47" s="186">
        <f t="shared" si="2"/>
        <v>1</v>
      </c>
      <c r="Y47" s="156"/>
      <c r="Z47" s="157" t="s">
        <v>649</v>
      </c>
      <c r="AA47" s="157" t="s">
        <v>663</v>
      </c>
      <c r="AB47" s="151" t="s">
        <v>2602</v>
      </c>
      <c r="AC47" s="530" t="s">
        <v>3015</v>
      </c>
      <c r="AD47" s="159"/>
    </row>
    <row r="48" spans="1:30" x14ac:dyDescent="0.2">
      <c r="A48" s="151" t="s">
        <v>2602</v>
      </c>
      <c r="B48" s="151"/>
      <c r="C48" s="152" t="s">
        <v>1161</v>
      </c>
      <c r="D48" s="187" t="s">
        <v>1162</v>
      </c>
      <c r="E48" s="154">
        <v>0</v>
      </c>
      <c r="F48" s="154">
        <v>0</v>
      </c>
      <c r="G48" s="154">
        <v>0.83928385278341977</v>
      </c>
      <c r="H48" s="154">
        <v>0</v>
      </c>
      <c r="I48" s="154">
        <v>0</v>
      </c>
      <c r="J48" s="154">
        <v>0</v>
      </c>
      <c r="K48" s="154">
        <v>0</v>
      </c>
      <c r="L48" s="154">
        <v>0</v>
      </c>
      <c r="M48" s="154">
        <v>0</v>
      </c>
      <c r="N48" s="154">
        <v>0</v>
      </c>
      <c r="O48" s="154">
        <v>0</v>
      </c>
      <c r="P48" s="154">
        <v>0</v>
      </c>
      <c r="Q48" s="154">
        <v>0</v>
      </c>
      <c r="R48" s="154">
        <v>0</v>
      </c>
      <c r="S48" s="154">
        <v>0.16071614721658023</v>
      </c>
      <c r="T48" s="154">
        <v>0</v>
      </c>
      <c r="U48" s="154">
        <v>0</v>
      </c>
      <c r="V48" s="154">
        <v>0</v>
      </c>
      <c r="W48" s="154">
        <v>0</v>
      </c>
      <c r="X48" s="155">
        <f t="shared" si="2"/>
        <v>1</v>
      </c>
      <c r="Y48" s="156"/>
      <c r="Z48" s="157" t="s">
        <v>649</v>
      </c>
      <c r="AA48" s="157" t="s">
        <v>663</v>
      </c>
      <c r="AB48" s="151" t="s">
        <v>2602</v>
      </c>
      <c r="AC48" s="530" t="s">
        <v>3015</v>
      </c>
      <c r="AD48" s="159"/>
    </row>
    <row r="49" spans="1:30" x14ac:dyDescent="0.2">
      <c r="A49" s="160" t="s">
        <v>2602</v>
      </c>
      <c r="B49" s="160"/>
      <c r="C49" s="161" t="s">
        <v>1163</v>
      </c>
      <c r="D49" s="162" t="s">
        <v>1164</v>
      </c>
      <c r="E49" s="154">
        <v>0</v>
      </c>
      <c r="F49" s="154">
        <v>0</v>
      </c>
      <c r="G49" s="154">
        <v>0</v>
      </c>
      <c r="H49" s="154">
        <v>1</v>
      </c>
      <c r="I49" s="154">
        <v>0</v>
      </c>
      <c r="J49" s="154">
        <v>0</v>
      </c>
      <c r="K49" s="154">
        <v>0</v>
      </c>
      <c r="L49" s="154">
        <v>0</v>
      </c>
      <c r="M49" s="154">
        <v>0</v>
      </c>
      <c r="N49" s="154">
        <v>0</v>
      </c>
      <c r="O49" s="154">
        <v>0</v>
      </c>
      <c r="P49" s="154">
        <v>0</v>
      </c>
      <c r="Q49" s="154">
        <v>0</v>
      </c>
      <c r="R49" s="154">
        <v>0</v>
      </c>
      <c r="S49" s="154">
        <v>0</v>
      </c>
      <c r="T49" s="154">
        <v>0</v>
      </c>
      <c r="U49" s="154">
        <v>0</v>
      </c>
      <c r="V49" s="154">
        <v>0</v>
      </c>
      <c r="W49" s="154">
        <v>0</v>
      </c>
      <c r="X49" s="163">
        <f t="shared" si="2"/>
        <v>1</v>
      </c>
      <c r="Y49" s="156"/>
      <c r="Z49" s="157" t="s">
        <v>649</v>
      </c>
      <c r="AA49" s="157" t="s">
        <v>663</v>
      </c>
      <c r="AB49" s="151" t="s">
        <v>2602</v>
      </c>
      <c r="AC49" s="530" t="s">
        <v>3015</v>
      </c>
      <c r="AD49" s="159"/>
    </row>
    <row r="50" spans="1:30" x14ac:dyDescent="0.2">
      <c r="A50" s="160" t="s">
        <v>2602</v>
      </c>
      <c r="B50" s="160"/>
      <c r="C50" s="161" t="s">
        <v>1165</v>
      </c>
      <c r="D50" s="162" t="s">
        <v>1166</v>
      </c>
      <c r="E50" s="154">
        <v>0</v>
      </c>
      <c r="F50" s="154">
        <v>0</v>
      </c>
      <c r="G50" s="154">
        <v>0</v>
      </c>
      <c r="H50" s="154">
        <v>1</v>
      </c>
      <c r="I50" s="154">
        <v>0</v>
      </c>
      <c r="J50" s="154">
        <v>0</v>
      </c>
      <c r="K50" s="154">
        <v>0</v>
      </c>
      <c r="L50" s="154">
        <v>0</v>
      </c>
      <c r="M50" s="154">
        <v>0</v>
      </c>
      <c r="N50" s="154">
        <v>0</v>
      </c>
      <c r="O50" s="154">
        <v>0</v>
      </c>
      <c r="P50" s="154">
        <v>0</v>
      </c>
      <c r="Q50" s="154">
        <v>0</v>
      </c>
      <c r="R50" s="154">
        <v>0</v>
      </c>
      <c r="S50" s="154">
        <v>0</v>
      </c>
      <c r="T50" s="154">
        <v>0</v>
      </c>
      <c r="U50" s="154">
        <v>0</v>
      </c>
      <c r="V50" s="154">
        <v>0</v>
      </c>
      <c r="W50" s="154">
        <v>0</v>
      </c>
      <c r="X50" s="163">
        <f t="shared" si="2"/>
        <v>1</v>
      </c>
      <c r="Y50" s="156"/>
      <c r="Z50" s="157" t="s">
        <v>649</v>
      </c>
      <c r="AA50" s="157" t="s">
        <v>663</v>
      </c>
      <c r="AB50" s="151" t="s">
        <v>2602</v>
      </c>
      <c r="AC50" s="530" t="s">
        <v>3015</v>
      </c>
      <c r="AD50" s="159"/>
    </row>
    <row r="51" spans="1:30" x14ac:dyDescent="0.2">
      <c r="A51" s="160" t="s">
        <v>2602</v>
      </c>
      <c r="B51" s="160"/>
      <c r="C51" s="167" t="s">
        <v>1536</v>
      </c>
      <c r="D51" s="168" t="s">
        <v>194</v>
      </c>
      <c r="E51" s="154">
        <v>0</v>
      </c>
      <c r="F51" s="154">
        <v>0</v>
      </c>
      <c r="G51" s="154">
        <v>0</v>
      </c>
      <c r="H51" s="154">
        <v>1</v>
      </c>
      <c r="I51" s="154">
        <v>0</v>
      </c>
      <c r="J51" s="154">
        <v>0</v>
      </c>
      <c r="K51" s="154">
        <v>0</v>
      </c>
      <c r="L51" s="154">
        <v>0</v>
      </c>
      <c r="M51" s="154">
        <v>0</v>
      </c>
      <c r="N51" s="154">
        <v>0</v>
      </c>
      <c r="O51" s="154">
        <v>0</v>
      </c>
      <c r="P51" s="154">
        <v>0</v>
      </c>
      <c r="Q51" s="154">
        <v>0</v>
      </c>
      <c r="R51" s="154">
        <v>0</v>
      </c>
      <c r="S51" s="154">
        <v>0</v>
      </c>
      <c r="T51" s="154">
        <v>0</v>
      </c>
      <c r="U51" s="154">
        <v>0</v>
      </c>
      <c r="V51" s="154">
        <v>0</v>
      </c>
      <c r="W51" s="154">
        <v>0</v>
      </c>
      <c r="X51" s="163">
        <f t="shared" si="2"/>
        <v>1</v>
      </c>
      <c r="Y51" s="156"/>
      <c r="Z51" s="157" t="s">
        <v>649</v>
      </c>
      <c r="AA51" s="157" t="s">
        <v>663</v>
      </c>
      <c r="AB51" s="151" t="s">
        <v>2602</v>
      </c>
      <c r="AC51" s="530" t="s">
        <v>3015</v>
      </c>
      <c r="AD51" s="159"/>
    </row>
    <row r="52" spans="1:30" x14ac:dyDescent="0.2">
      <c r="A52" s="160" t="s">
        <v>2602</v>
      </c>
      <c r="B52" s="160"/>
      <c r="C52" s="161" t="s">
        <v>1167</v>
      </c>
      <c r="D52" s="162" t="s">
        <v>1168</v>
      </c>
      <c r="E52" s="154">
        <v>0</v>
      </c>
      <c r="F52" s="154">
        <v>0</v>
      </c>
      <c r="G52" s="154">
        <v>0</v>
      </c>
      <c r="H52" s="154">
        <v>1</v>
      </c>
      <c r="I52" s="154">
        <v>0</v>
      </c>
      <c r="J52" s="154">
        <v>0</v>
      </c>
      <c r="K52" s="154">
        <v>0</v>
      </c>
      <c r="L52" s="154">
        <v>0</v>
      </c>
      <c r="M52" s="154">
        <v>0</v>
      </c>
      <c r="N52" s="154">
        <v>0</v>
      </c>
      <c r="O52" s="154">
        <v>0</v>
      </c>
      <c r="P52" s="154">
        <v>0</v>
      </c>
      <c r="Q52" s="154">
        <v>0</v>
      </c>
      <c r="R52" s="154">
        <v>0</v>
      </c>
      <c r="S52" s="154">
        <v>0</v>
      </c>
      <c r="T52" s="154">
        <v>0</v>
      </c>
      <c r="U52" s="154">
        <v>0</v>
      </c>
      <c r="V52" s="154">
        <v>0</v>
      </c>
      <c r="W52" s="154">
        <v>0</v>
      </c>
      <c r="X52" s="163">
        <f t="shared" si="2"/>
        <v>1</v>
      </c>
      <c r="Y52" s="156"/>
      <c r="Z52" s="157" t="s">
        <v>649</v>
      </c>
      <c r="AA52" s="157" t="s">
        <v>663</v>
      </c>
      <c r="AB52" s="151" t="s">
        <v>2602</v>
      </c>
      <c r="AC52" s="530" t="s">
        <v>3015</v>
      </c>
      <c r="AD52" s="159"/>
    </row>
    <row r="53" spans="1:30" x14ac:dyDescent="0.2">
      <c r="A53" s="160" t="s">
        <v>2602</v>
      </c>
      <c r="B53" s="160"/>
      <c r="C53" s="167" t="s">
        <v>1539</v>
      </c>
      <c r="D53" s="168" t="s">
        <v>1540</v>
      </c>
      <c r="E53" s="154">
        <v>1</v>
      </c>
      <c r="F53" s="154">
        <v>0</v>
      </c>
      <c r="G53" s="154">
        <v>0</v>
      </c>
      <c r="H53" s="154">
        <v>0</v>
      </c>
      <c r="I53" s="154">
        <v>0</v>
      </c>
      <c r="J53" s="154">
        <v>0</v>
      </c>
      <c r="K53" s="154">
        <v>0</v>
      </c>
      <c r="L53" s="154">
        <v>0</v>
      </c>
      <c r="M53" s="154">
        <v>0</v>
      </c>
      <c r="N53" s="154">
        <v>0</v>
      </c>
      <c r="O53" s="154">
        <v>0</v>
      </c>
      <c r="P53" s="154">
        <v>0</v>
      </c>
      <c r="Q53" s="154">
        <v>0</v>
      </c>
      <c r="R53" s="154">
        <v>0</v>
      </c>
      <c r="S53" s="154">
        <v>0</v>
      </c>
      <c r="T53" s="154">
        <v>0</v>
      </c>
      <c r="U53" s="154">
        <v>0</v>
      </c>
      <c r="V53" s="154">
        <v>0</v>
      </c>
      <c r="W53" s="154">
        <v>0</v>
      </c>
      <c r="X53" s="163">
        <f t="shared" si="2"/>
        <v>1</v>
      </c>
      <c r="Y53" s="156"/>
      <c r="Z53" s="157" t="s">
        <v>649</v>
      </c>
      <c r="AA53" s="157" t="s">
        <v>663</v>
      </c>
      <c r="AB53" s="151" t="s">
        <v>2602</v>
      </c>
      <c r="AC53" s="530" t="s">
        <v>3015</v>
      </c>
      <c r="AD53" s="159"/>
    </row>
    <row r="54" spans="1:30" x14ac:dyDescent="0.2">
      <c r="A54" s="160" t="s">
        <v>2602</v>
      </c>
      <c r="B54" s="160"/>
      <c r="C54" s="161" t="s">
        <v>1169</v>
      </c>
      <c r="D54" s="162" t="s">
        <v>1170</v>
      </c>
      <c r="E54" s="154">
        <v>0</v>
      </c>
      <c r="F54" s="154">
        <v>0</v>
      </c>
      <c r="G54" s="154">
        <v>0</v>
      </c>
      <c r="H54" s="154">
        <v>1</v>
      </c>
      <c r="I54" s="154">
        <v>0</v>
      </c>
      <c r="J54" s="154">
        <v>0</v>
      </c>
      <c r="K54" s="154">
        <v>0</v>
      </c>
      <c r="L54" s="154">
        <v>0</v>
      </c>
      <c r="M54" s="154">
        <v>0</v>
      </c>
      <c r="N54" s="154">
        <v>0</v>
      </c>
      <c r="O54" s="154">
        <v>0</v>
      </c>
      <c r="P54" s="154">
        <v>0</v>
      </c>
      <c r="Q54" s="154">
        <v>0</v>
      </c>
      <c r="R54" s="154">
        <v>0</v>
      </c>
      <c r="S54" s="154">
        <v>0</v>
      </c>
      <c r="T54" s="154">
        <v>0</v>
      </c>
      <c r="U54" s="154">
        <v>0</v>
      </c>
      <c r="V54" s="154">
        <v>0</v>
      </c>
      <c r="W54" s="154">
        <v>0</v>
      </c>
      <c r="X54" s="163">
        <f t="shared" si="2"/>
        <v>1</v>
      </c>
      <c r="Y54" s="156"/>
      <c r="Z54" s="157" t="s">
        <v>649</v>
      </c>
      <c r="AA54" s="157" t="s">
        <v>663</v>
      </c>
      <c r="AB54" s="151" t="s">
        <v>2602</v>
      </c>
      <c r="AC54" s="530" t="s">
        <v>3015</v>
      </c>
      <c r="AD54" s="159"/>
    </row>
    <row r="55" spans="1:30" x14ac:dyDescent="0.2">
      <c r="A55" s="160" t="s">
        <v>2602</v>
      </c>
      <c r="B55" s="160"/>
      <c r="C55" s="161" t="s">
        <v>1171</v>
      </c>
      <c r="D55" s="162" t="s">
        <v>1172</v>
      </c>
      <c r="E55" s="154">
        <v>0</v>
      </c>
      <c r="F55" s="154">
        <v>0</v>
      </c>
      <c r="G55" s="154">
        <v>0</v>
      </c>
      <c r="H55" s="154">
        <v>1</v>
      </c>
      <c r="I55" s="154">
        <v>0</v>
      </c>
      <c r="J55" s="154">
        <v>0</v>
      </c>
      <c r="K55" s="154">
        <v>0</v>
      </c>
      <c r="L55" s="154">
        <v>0</v>
      </c>
      <c r="M55" s="154">
        <v>0</v>
      </c>
      <c r="N55" s="154">
        <v>0</v>
      </c>
      <c r="O55" s="154">
        <v>0</v>
      </c>
      <c r="P55" s="154">
        <v>0</v>
      </c>
      <c r="Q55" s="154">
        <v>0</v>
      </c>
      <c r="R55" s="154">
        <v>0</v>
      </c>
      <c r="S55" s="154">
        <v>0</v>
      </c>
      <c r="T55" s="154">
        <v>0</v>
      </c>
      <c r="U55" s="154">
        <v>0</v>
      </c>
      <c r="V55" s="154">
        <v>0</v>
      </c>
      <c r="W55" s="154">
        <v>0</v>
      </c>
      <c r="X55" s="163">
        <f t="shared" si="2"/>
        <v>1</v>
      </c>
      <c r="Y55" s="156"/>
      <c r="Z55" s="157" t="s">
        <v>649</v>
      </c>
      <c r="AA55" s="157" t="s">
        <v>663</v>
      </c>
      <c r="AB55" s="151" t="s">
        <v>2602</v>
      </c>
      <c r="AC55" s="530" t="s">
        <v>3015</v>
      </c>
      <c r="AD55" s="159"/>
    </row>
    <row r="56" spans="1:30" x14ac:dyDescent="0.2">
      <c r="A56" s="151" t="s">
        <v>2602</v>
      </c>
      <c r="B56" s="151"/>
      <c r="C56" s="188" t="s">
        <v>1688</v>
      </c>
      <c r="D56" s="189" t="s">
        <v>1689</v>
      </c>
      <c r="E56" s="154">
        <v>0</v>
      </c>
      <c r="F56" s="154">
        <v>0</v>
      </c>
      <c r="G56" s="154">
        <v>0</v>
      </c>
      <c r="H56" s="154">
        <v>5.3588478529363655E-3</v>
      </c>
      <c r="I56" s="154">
        <v>0</v>
      </c>
      <c r="J56" s="154">
        <v>0</v>
      </c>
      <c r="K56" s="154">
        <v>4.7610698422891437E-2</v>
      </c>
      <c r="L56" s="154">
        <v>3.1178684978418972E-3</v>
      </c>
      <c r="M56" s="154">
        <v>0</v>
      </c>
      <c r="N56" s="154">
        <v>0</v>
      </c>
      <c r="O56" s="154">
        <v>5.1511602988631673E-2</v>
      </c>
      <c r="P56" s="154">
        <v>0</v>
      </c>
      <c r="Q56" s="154">
        <v>0</v>
      </c>
      <c r="R56" s="154">
        <v>0</v>
      </c>
      <c r="S56" s="154">
        <v>0.8924009822376987</v>
      </c>
      <c r="T56" s="154">
        <v>0</v>
      </c>
      <c r="U56" s="154">
        <v>0</v>
      </c>
      <c r="V56" s="154">
        <v>0</v>
      </c>
      <c r="W56" s="154">
        <v>0</v>
      </c>
      <c r="X56" s="172">
        <f t="shared" si="2"/>
        <v>1</v>
      </c>
      <c r="Y56" s="156"/>
      <c r="Z56" s="157" t="s">
        <v>649</v>
      </c>
      <c r="AA56" s="157" t="s">
        <v>663</v>
      </c>
      <c r="AB56" s="151" t="s">
        <v>2602</v>
      </c>
      <c r="AC56" s="530" t="s">
        <v>3015</v>
      </c>
      <c r="AD56" s="159"/>
    </row>
    <row r="57" spans="1:30" x14ac:dyDescent="0.2">
      <c r="A57" s="160" t="s">
        <v>2602</v>
      </c>
      <c r="B57" s="160"/>
      <c r="C57" s="161" t="s">
        <v>1173</v>
      </c>
      <c r="D57" s="162" t="s">
        <v>1174</v>
      </c>
      <c r="E57" s="154">
        <v>0</v>
      </c>
      <c r="F57" s="154">
        <v>0</v>
      </c>
      <c r="G57" s="154">
        <v>0</v>
      </c>
      <c r="H57" s="154">
        <v>1</v>
      </c>
      <c r="I57" s="154">
        <v>0</v>
      </c>
      <c r="J57" s="154">
        <v>0</v>
      </c>
      <c r="K57" s="154">
        <v>0</v>
      </c>
      <c r="L57" s="154">
        <v>0</v>
      </c>
      <c r="M57" s="154">
        <v>0</v>
      </c>
      <c r="N57" s="154">
        <v>0</v>
      </c>
      <c r="O57" s="154">
        <v>0</v>
      </c>
      <c r="P57" s="154">
        <v>0</v>
      </c>
      <c r="Q57" s="154">
        <v>0</v>
      </c>
      <c r="R57" s="154">
        <v>0</v>
      </c>
      <c r="S57" s="154">
        <v>0</v>
      </c>
      <c r="T57" s="154">
        <v>0</v>
      </c>
      <c r="U57" s="154">
        <v>0</v>
      </c>
      <c r="V57" s="154">
        <v>0</v>
      </c>
      <c r="W57" s="154">
        <v>0</v>
      </c>
      <c r="X57" s="163">
        <f t="shared" si="2"/>
        <v>1</v>
      </c>
      <c r="Y57" s="156"/>
      <c r="Z57" s="157" t="s">
        <v>649</v>
      </c>
      <c r="AA57" s="157" t="s">
        <v>663</v>
      </c>
      <c r="AB57" s="151" t="s">
        <v>2602</v>
      </c>
      <c r="AC57" s="530" t="s">
        <v>3015</v>
      </c>
      <c r="AD57" s="159"/>
    </row>
    <row r="58" spans="1:30" x14ac:dyDescent="0.2">
      <c r="A58" s="160" t="s">
        <v>2602</v>
      </c>
      <c r="B58" s="160"/>
      <c r="C58" s="161" t="s">
        <v>1175</v>
      </c>
      <c r="D58" s="162" t="s">
        <v>1176</v>
      </c>
      <c r="E58" s="154">
        <v>0</v>
      </c>
      <c r="F58" s="154">
        <v>0</v>
      </c>
      <c r="G58" s="154">
        <v>0</v>
      </c>
      <c r="H58" s="154">
        <v>0</v>
      </c>
      <c r="I58" s="154">
        <v>0</v>
      </c>
      <c r="J58" s="154">
        <v>0</v>
      </c>
      <c r="K58" s="154">
        <v>0</v>
      </c>
      <c r="L58" s="154">
        <v>1</v>
      </c>
      <c r="M58" s="154">
        <v>0</v>
      </c>
      <c r="N58" s="154">
        <v>0</v>
      </c>
      <c r="O58" s="154">
        <v>0</v>
      </c>
      <c r="P58" s="154">
        <v>0</v>
      </c>
      <c r="Q58" s="154">
        <v>0</v>
      </c>
      <c r="R58" s="154">
        <v>0</v>
      </c>
      <c r="S58" s="154">
        <v>0</v>
      </c>
      <c r="T58" s="154">
        <v>0</v>
      </c>
      <c r="U58" s="154">
        <v>0</v>
      </c>
      <c r="V58" s="154">
        <v>0</v>
      </c>
      <c r="W58" s="154">
        <v>0</v>
      </c>
      <c r="X58" s="163">
        <f t="shared" si="2"/>
        <v>1</v>
      </c>
      <c r="Y58" s="156"/>
      <c r="Z58" s="157" t="s">
        <v>649</v>
      </c>
      <c r="AA58" s="157" t="s">
        <v>663</v>
      </c>
      <c r="AB58" s="151" t="s">
        <v>2602</v>
      </c>
      <c r="AC58" s="530" t="s">
        <v>3015</v>
      </c>
      <c r="AD58" s="159"/>
    </row>
    <row r="59" spans="1:30" x14ac:dyDescent="0.2">
      <c r="A59" s="160" t="s">
        <v>2602</v>
      </c>
      <c r="B59" s="160"/>
      <c r="C59" s="161" t="s">
        <v>1181</v>
      </c>
      <c r="D59" s="162" t="s">
        <v>1182</v>
      </c>
      <c r="E59" s="154">
        <v>0</v>
      </c>
      <c r="F59" s="154">
        <v>0</v>
      </c>
      <c r="G59" s="154">
        <v>0</v>
      </c>
      <c r="H59" s="154">
        <v>1</v>
      </c>
      <c r="I59" s="154">
        <v>0</v>
      </c>
      <c r="J59" s="154">
        <v>0</v>
      </c>
      <c r="K59" s="154">
        <v>0</v>
      </c>
      <c r="L59" s="154">
        <v>0</v>
      </c>
      <c r="M59" s="154">
        <v>0</v>
      </c>
      <c r="N59" s="154">
        <v>0</v>
      </c>
      <c r="O59" s="154">
        <v>0</v>
      </c>
      <c r="P59" s="154">
        <v>0</v>
      </c>
      <c r="Q59" s="154">
        <v>0</v>
      </c>
      <c r="R59" s="154">
        <v>0</v>
      </c>
      <c r="S59" s="154">
        <v>0</v>
      </c>
      <c r="T59" s="154">
        <v>0</v>
      </c>
      <c r="U59" s="154">
        <v>0</v>
      </c>
      <c r="V59" s="154">
        <v>0</v>
      </c>
      <c r="W59" s="154">
        <v>0</v>
      </c>
      <c r="X59" s="163">
        <f t="shared" si="2"/>
        <v>1</v>
      </c>
      <c r="Y59" s="156"/>
      <c r="Z59" s="157" t="s">
        <v>649</v>
      </c>
      <c r="AA59" s="157" t="s">
        <v>663</v>
      </c>
      <c r="AB59" s="151" t="s">
        <v>2602</v>
      </c>
      <c r="AC59" s="530" t="s">
        <v>3015</v>
      </c>
      <c r="AD59" s="159"/>
    </row>
    <row r="60" spans="1:30" x14ac:dyDescent="0.2">
      <c r="A60" s="160" t="s">
        <v>2602</v>
      </c>
      <c r="B60" s="160"/>
      <c r="C60" s="167" t="s">
        <v>1541</v>
      </c>
      <c r="D60" s="168" t="s">
        <v>1542</v>
      </c>
      <c r="E60" s="154">
        <v>0</v>
      </c>
      <c r="F60" s="154">
        <v>0</v>
      </c>
      <c r="G60" s="154">
        <v>0</v>
      </c>
      <c r="H60" s="154">
        <v>1</v>
      </c>
      <c r="I60" s="154">
        <v>0</v>
      </c>
      <c r="J60" s="154">
        <v>0</v>
      </c>
      <c r="K60" s="154">
        <v>0</v>
      </c>
      <c r="L60" s="154">
        <v>0</v>
      </c>
      <c r="M60" s="154">
        <v>0</v>
      </c>
      <c r="N60" s="154">
        <v>0</v>
      </c>
      <c r="O60" s="154">
        <v>0</v>
      </c>
      <c r="P60" s="154">
        <v>0</v>
      </c>
      <c r="Q60" s="154">
        <v>0</v>
      </c>
      <c r="R60" s="154">
        <v>0</v>
      </c>
      <c r="S60" s="154">
        <v>0</v>
      </c>
      <c r="T60" s="154">
        <v>0</v>
      </c>
      <c r="U60" s="154">
        <v>0</v>
      </c>
      <c r="V60" s="154">
        <v>0</v>
      </c>
      <c r="W60" s="154">
        <v>0</v>
      </c>
      <c r="X60" s="163">
        <f t="shared" si="2"/>
        <v>1</v>
      </c>
      <c r="Y60" s="156"/>
      <c r="Z60" s="157" t="s">
        <v>649</v>
      </c>
      <c r="AA60" s="157" t="s">
        <v>663</v>
      </c>
      <c r="AB60" s="151" t="s">
        <v>2602</v>
      </c>
      <c r="AC60" s="530" t="s">
        <v>3015</v>
      </c>
      <c r="AD60" s="159"/>
    </row>
    <row r="61" spans="1:30" x14ac:dyDescent="0.2">
      <c r="A61" s="160" t="s">
        <v>2602</v>
      </c>
      <c r="B61" s="160"/>
      <c r="C61" s="161" t="s">
        <v>1183</v>
      </c>
      <c r="D61" s="162" t="s">
        <v>1184</v>
      </c>
      <c r="E61" s="154">
        <v>0</v>
      </c>
      <c r="F61" s="154">
        <v>0</v>
      </c>
      <c r="G61" s="154">
        <v>0</v>
      </c>
      <c r="H61" s="154">
        <v>1</v>
      </c>
      <c r="I61" s="154">
        <v>0</v>
      </c>
      <c r="J61" s="154">
        <v>0</v>
      </c>
      <c r="K61" s="154">
        <v>0</v>
      </c>
      <c r="L61" s="154">
        <v>0</v>
      </c>
      <c r="M61" s="154">
        <v>0</v>
      </c>
      <c r="N61" s="154">
        <v>0</v>
      </c>
      <c r="O61" s="154">
        <v>0</v>
      </c>
      <c r="P61" s="154">
        <v>0</v>
      </c>
      <c r="Q61" s="154">
        <v>0</v>
      </c>
      <c r="R61" s="154">
        <v>0</v>
      </c>
      <c r="S61" s="154">
        <v>0</v>
      </c>
      <c r="T61" s="154">
        <v>0</v>
      </c>
      <c r="U61" s="154">
        <v>0</v>
      </c>
      <c r="V61" s="154">
        <v>0</v>
      </c>
      <c r="W61" s="154">
        <v>0</v>
      </c>
      <c r="X61" s="163">
        <f t="shared" si="2"/>
        <v>1</v>
      </c>
      <c r="Y61" s="156"/>
      <c r="Z61" s="157" t="s">
        <v>649</v>
      </c>
      <c r="AA61" s="157" t="s">
        <v>663</v>
      </c>
      <c r="AB61" s="151" t="s">
        <v>2602</v>
      </c>
      <c r="AC61" s="530" t="s">
        <v>3015</v>
      </c>
      <c r="AD61" s="159"/>
    </row>
    <row r="62" spans="1:30" x14ac:dyDescent="0.2">
      <c r="A62" s="160" t="s">
        <v>2602</v>
      </c>
      <c r="B62" s="160"/>
      <c r="C62" s="167" t="s">
        <v>1543</v>
      </c>
      <c r="D62" s="168" t="s">
        <v>1544</v>
      </c>
      <c r="E62" s="154">
        <v>0</v>
      </c>
      <c r="F62" s="154">
        <v>0</v>
      </c>
      <c r="G62" s="154">
        <v>0</v>
      </c>
      <c r="H62" s="154">
        <v>0</v>
      </c>
      <c r="I62" s="154">
        <v>0</v>
      </c>
      <c r="J62" s="154">
        <v>0</v>
      </c>
      <c r="K62" s="154">
        <v>0</v>
      </c>
      <c r="L62" s="154">
        <v>1</v>
      </c>
      <c r="M62" s="154">
        <v>0</v>
      </c>
      <c r="N62" s="154">
        <v>0</v>
      </c>
      <c r="O62" s="154">
        <v>0</v>
      </c>
      <c r="P62" s="154">
        <v>0</v>
      </c>
      <c r="Q62" s="154">
        <v>0</v>
      </c>
      <c r="R62" s="154">
        <v>0</v>
      </c>
      <c r="S62" s="154">
        <v>0</v>
      </c>
      <c r="T62" s="154">
        <v>0</v>
      </c>
      <c r="U62" s="154">
        <v>0</v>
      </c>
      <c r="V62" s="154">
        <v>0</v>
      </c>
      <c r="W62" s="154">
        <v>0</v>
      </c>
      <c r="X62" s="163">
        <f t="shared" si="2"/>
        <v>1</v>
      </c>
      <c r="Y62" s="156"/>
      <c r="Z62" s="157" t="s">
        <v>649</v>
      </c>
      <c r="AA62" s="157" t="s">
        <v>663</v>
      </c>
      <c r="AB62" s="151" t="s">
        <v>2602</v>
      </c>
      <c r="AC62" s="530" t="s">
        <v>3015</v>
      </c>
      <c r="AD62" s="159"/>
    </row>
    <row r="63" spans="1:30" x14ac:dyDescent="0.2">
      <c r="A63" s="151" t="s">
        <v>2602</v>
      </c>
      <c r="B63" s="151"/>
      <c r="C63" s="170" t="s">
        <v>2822</v>
      </c>
      <c r="D63" s="171" t="s">
        <v>2823</v>
      </c>
      <c r="E63" s="154">
        <v>0</v>
      </c>
      <c r="F63" s="154">
        <v>0</v>
      </c>
      <c r="G63" s="154">
        <v>0</v>
      </c>
      <c r="H63" s="154">
        <v>0</v>
      </c>
      <c r="I63" s="154">
        <v>0</v>
      </c>
      <c r="J63" s="154">
        <v>0</v>
      </c>
      <c r="K63" s="154">
        <v>0</v>
      </c>
      <c r="L63" s="154">
        <v>1</v>
      </c>
      <c r="M63" s="154">
        <v>0</v>
      </c>
      <c r="N63" s="154">
        <v>0</v>
      </c>
      <c r="O63" s="154">
        <v>0</v>
      </c>
      <c r="P63" s="154">
        <v>0</v>
      </c>
      <c r="Q63" s="154">
        <v>0</v>
      </c>
      <c r="R63" s="154">
        <v>0</v>
      </c>
      <c r="S63" s="154">
        <v>0</v>
      </c>
      <c r="T63" s="154">
        <v>0</v>
      </c>
      <c r="U63" s="154">
        <v>0</v>
      </c>
      <c r="V63" s="154">
        <v>0</v>
      </c>
      <c r="W63" s="154">
        <v>0</v>
      </c>
      <c r="X63" s="172">
        <f t="shared" si="2"/>
        <v>1</v>
      </c>
      <c r="Y63" s="156"/>
      <c r="Z63" s="157" t="s">
        <v>649</v>
      </c>
      <c r="AA63" s="157" t="s">
        <v>663</v>
      </c>
      <c r="AB63" s="151" t="s">
        <v>2602</v>
      </c>
      <c r="AC63" s="530" t="s">
        <v>3015</v>
      </c>
      <c r="AD63" s="159"/>
    </row>
    <row r="64" spans="1:30" x14ac:dyDescent="0.2">
      <c r="A64" s="160" t="s">
        <v>2602</v>
      </c>
      <c r="B64" s="160"/>
      <c r="C64" s="161" t="s">
        <v>1185</v>
      </c>
      <c r="D64" s="162" t="s">
        <v>2824</v>
      </c>
      <c r="E64" s="154">
        <v>0</v>
      </c>
      <c r="F64" s="154">
        <v>0</v>
      </c>
      <c r="G64" s="154">
        <v>0</v>
      </c>
      <c r="H64" s="154">
        <v>0</v>
      </c>
      <c r="I64" s="154">
        <v>0</v>
      </c>
      <c r="J64" s="154">
        <v>0</v>
      </c>
      <c r="K64" s="154">
        <v>0</v>
      </c>
      <c r="L64" s="154">
        <v>0</v>
      </c>
      <c r="M64" s="154">
        <v>0</v>
      </c>
      <c r="N64" s="154">
        <v>1</v>
      </c>
      <c r="O64" s="154">
        <v>0</v>
      </c>
      <c r="P64" s="154">
        <v>0</v>
      </c>
      <c r="Q64" s="154">
        <v>0</v>
      </c>
      <c r="R64" s="154">
        <v>0</v>
      </c>
      <c r="S64" s="154">
        <v>0</v>
      </c>
      <c r="T64" s="154">
        <v>0</v>
      </c>
      <c r="U64" s="154">
        <v>0</v>
      </c>
      <c r="V64" s="154">
        <v>0</v>
      </c>
      <c r="W64" s="154">
        <v>0</v>
      </c>
      <c r="X64" s="163">
        <f t="shared" si="2"/>
        <v>1</v>
      </c>
      <c r="Y64" s="156"/>
      <c r="Z64" s="157" t="s">
        <v>649</v>
      </c>
      <c r="AA64" s="157" t="s">
        <v>663</v>
      </c>
      <c r="AB64" s="151" t="s">
        <v>2602</v>
      </c>
      <c r="AC64" s="530" t="s">
        <v>3015</v>
      </c>
      <c r="AD64" s="159"/>
    </row>
    <row r="65" spans="1:30" x14ac:dyDescent="0.2">
      <c r="A65" s="160" t="s">
        <v>2602</v>
      </c>
      <c r="B65" s="160"/>
      <c r="C65" s="190" t="s">
        <v>1692</v>
      </c>
      <c r="D65" s="191" t="s">
        <v>1693</v>
      </c>
      <c r="E65" s="154">
        <v>0</v>
      </c>
      <c r="F65" s="154">
        <v>0</v>
      </c>
      <c r="G65" s="154">
        <v>0</v>
      </c>
      <c r="H65" s="154">
        <v>0</v>
      </c>
      <c r="I65" s="154">
        <v>0</v>
      </c>
      <c r="J65" s="154">
        <v>0</v>
      </c>
      <c r="K65" s="154">
        <v>0</v>
      </c>
      <c r="L65" s="154">
        <v>0</v>
      </c>
      <c r="M65" s="154">
        <v>0</v>
      </c>
      <c r="N65" s="154">
        <v>1</v>
      </c>
      <c r="O65" s="154">
        <v>0</v>
      </c>
      <c r="P65" s="154">
        <v>0</v>
      </c>
      <c r="Q65" s="154">
        <v>0</v>
      </c>
      <c r="R65" s="154">
        <v>0</v>
      </c>
      <c r="S65" s="154">
        <v>0</v>
      </c>
      <c r="T65" s="154">
        <v>0</v>
      </c>
      <c r="U65" s="154">
        <v>0</v>
      </c>
      <c r="V65" s="154">
        <v>0</v>
      </c>
      <c r="W65" s="154">
        <v>0</v>
      </c>
      <c r="X65" s="163">
        <f t="shared" si="2"/>
        <v>1</v>
      </c>
      <c r="Y65" s="156"/>
      <c r="Z65" s="157" t="s">
        <v>649</v>
      </c>
      <c r="AA65" s="157" t="s">
        <v>663</v>
      </c>
      <c r="AB65" s="151" t="s">
        <v>2602</v>
      </c>
      <c r="AC65" s="530" t="s">
        <v>3015</v>
      </c>
      <c r="AD65" s="159"/>
    </row>
    <row r="66" spans="1:30" x14ac:dyDescent="0.2">
      <c r="A66" s="151" t="s">
        <v>2602</v>
      </c>
      <c r="B66" s="151"/>
      <c r="C66" s="170" t="s">
        <v>1186</v>
      </c>
      <c r="D66" s="192" t="s">
        <v>1187</v>
      </c>
      <c r="E66" s="154">
        <v>0</v>
      </c>
      <c r="F66" s="154">
        <v>0</v>
      </c>
      <c r="G66" s="154">
        <v>5.5940078265553583E-2</v>
      </c>
      <c r="H66" s="154">
        <v>0</v>
      </c>
      <c r="I66" s="154">
        <v>0</v>
      </c>
      <c r="J66" s="154">
        <v>2.8810194765493752E-2</v>
      </c>
      <c r="K66" s="154">
        <v>0</v>
      </c>
      <c r="L66" s="154">
        <v>0</v>
      </c>
      <c r="M66" s="154">
        <v>0</v>
      </c>
      <c r="N66" s="154">
        <v>0.16877000310792442</v>
      </c>
      <c r="O66" s="154">
        <v>0</v>
      </c>
      <c r="P66" s="154">
        <v>0.47201948346579015</v>
      </c>
      <c r="Q66" s="154">
        <v>9.7540744561708664E-3</v>
      </c>
      <c r="R66" s="154">
        <v>0</v>
      </c>
      <c r="S66" s="154">
        <v>0.10770573079990269</v>
      </c>
      <c r="T66" s="154">
        <v>0.15700043513916459</v>
      </c>
      <c r="U66" s="154">
        <v>0</v>
      </c>
      <c r="V66" s="154">
        <v>0</v>
      </c>
      <c r="W66" s="154">
        <v>0</v>
      </c>
      <c r="X66" s="193">
        <f t="shared" si="2"/>
        <v>1</v>
      </c>
      <c r="Y66" s="156"/>
      <c r="Z66" s="157" t="s">
        <v>649</v>
      </c>
      <c r="AA66" s="157" t="s">
        <v>663</v>
      </c>
      <c r="AB66" s="151" t="s">
        <v>2602</v>
      </c>
      <c r="AC66" s="530" t="s">
        <v>3015</v>
      </c>
      <c r="AD66" s="159"/>
    </row>
    <row r="67" spans="1:30" x14ac:dyDescent="0.2">
      <c r="A67" s="160" t="s">
        <v>2602</v>
      </c>
      <c r="B67" s="160"/>
      <c r="C67" s="164" t="s">
        <v>1188</v>
      </c>
      <c r="D67" s="165" t="s">
        <v>86</v>
      </c>
      <c r="E67" s="154">
        <v>0</v>
      </c>
      <c r="F67" s="154">
        <v>0</v>
      </c>
      <c r="G67" s="154">
        <v>0</v>
      </c>
      <c r="H67" s="154">
        <v>0</v>
      </c>
      <c r="I67" s="154">
        <v>0</v>
      </c>
      <c r="J67" s="154">
        <v>0</v>
      </c>
      <c r="K67" s="154">
        <v>0</v>
      </c>
      <c r="L67" s="154">
        <v>0</v>
      </c>
      <c r="M67" s="154">
        <v>0</v>
      </c>
      <c r="N67" s="154">
        <v>0.25410410952001239</v>
      </c>
      <c r="O67" s="154">
        <v>0</v>
      </c>
      <c r="P67" s="154">
        <v>0</v>
      </c>
      <c r="Q67" s="154">
        <v>0</v>
      </c>
      <c r="R67" s="154">
        <v>0</v>
      </c>
      <c r="S67" s="154">
        <v>0.74589589047998761</v>
      </c>
      <c r="T67" s="154">
        <v>0</v>
      </c>
      <c r="U67" s="154">
        <v>0</v>
      </c>
      <c r="V67" s="154">
        <v>0</v>
      </c>
      <c r="W67" s="154">
        <v>0</v>
      </c>
      <c r="X67" s="166">
        <f t="shared" si="2"/>
        <v>1</v>
      </c>
      <c r="Y67" s="156"/>
      <c r="Z67" s="157" t="s">
        <v>649</v>
      </c>
      <c r="AA67" s="157" t="s">
        <v>663</v>
      </c>
      <c r="AB67" s="151" t="s">
        <v>2602</v>
      </c>
      <c r="AC67" s="530" t="s">
        <v>3015</v>
      </c>
      <c r="AD67" s="159"/>
    </row>
    <row r="68" spans="1:30" x14ac:dyDescent="0.2">
      <c r="A68" s="160" t="s">
        <v>2602</v>
      </c>
      <c r="B68" s="160"/>
      <c r="C68" s="164" t="s">
        <v>1189</v>
      </c>
      <c r="D68" s="165" t="s">
        <v>1190</v>
      </c>
      <c r="E68" s="154">
        <v>0</v>
      </c>
      <c r="F68" s="154">
        <v>1.2122457498357256E-2</v>
      </c>
      <c r="G68" s="154">
        <v>7.4994865341509523E-2</v>
      </c>
      <c r="H68" s="154">
        <v>0</v>
      </c>
      <c r="I68" s="154">
        <v>0</v>
      </c>
      <c r="J68" s="154">
        <v>0</v>
      </c>
      <c r="K68" s="154">
        <v>0</v>
      </c>
      <c r="L68" s="154">
        <v>0</v>
      </c>
      <c r="M68" s="154">
        <v>0</v>
      </c>
      <c r="N68" s="154">
        <v>0.27203615903425238</v>
      </c>
      <c r="O68" s="154">
        <v>0</v>
      </c>
      <c r="P68" s="154">
        <v>8.9582906088047989E-2</v>
      </c>
      <c r="Q68" s="154">
        <v>0</v>
      </c>
      <c r="R68" s="154">
        <v>0</v>
      </c>
      <c r="S68" s="154">
        <v>0.17731662117916025</v>
      </c>
      <c r="T68" s="154">
        <v>0.37394699085867261</v>
      </c>
      <c r="U68" s="154">
        <v>0</v>
      </c>
      <c r="V68" s="154">
        <v>0</v>
      </c>
      <c r="W68" s="154">
        <v>0</v>
      </c>
      <c r="X68" s="166">
        <f t="shared" si="2"/>
        <v>1</v>
      </c>
      <c r="Y68" s="156"/>
      <c r="Z68" s="157" t="s">
        <v>649</v>
      </c>
      <c r="AA68" s="157" t="s">
        <v>663</v>
      </c>
      <c r="AB68" s="151" t="s">
        <v>2602</v>
      </c>
      <c r="AC68" s="530" t="s">
        <v>3015</v>
      </c>
      <c r="AD68" s="159"/>
    </row>
    <row r="69" spans="1:30" x14ac:dyDescent="0.2">
      <c r="A69" s="160" t="s">
        <v>2602</v>
      </c>
      <c r="B69" s="160"/>
      <c r="C69" s="161" t="s">
        <v>1191</v>
      </c>
      <c r="D69" s="162" t="s">
        <v>1192</v>
      </c>
      <c r="E69" s="154">
        <v>0</v>
      </c>
      <c r="F69" s="154">
        <v>0</v>
      </c>
      <c r="G69" s="154">
        <v>0</v>
      </c>
      <c r="H69" s="154">
        <v>0</v>
      </c>
      <c r="I69" s="154">
        <v>0</v>
      </c>
      <c r="J69" s="154">
        <v>0</v>
      </c>
      <c r="K69" s="154">
        <v>0</v>
      </c>
      <c r="L69" s="154">
        <v>0</v>
      </c>
      <c r="M69" s="154">
        <v>0</v>
      </c>
      <c r="N69" s="154">
        <v>0</v>
      </c>
      <c r="O69" s="154">
        <v>0</v>
      </c>
      <c r="P69" s="154">
        <v>0</v>
      </c>
      <c r="Q69" s="154">
        <v>0</v>
      </c>
      <c r="R69" s="154">
        <v>0</v>
      </c>
      <c r="S69" s="154">
        <v>1</v>
      </c>
      <c r="T69" s="154">
        <v>0</v>
      </c>
      <c r="U69" s="154">
        <v>0</v>
      </c>
      <c r="V69" s="154">
        <v>0</v>
      </c>
      <c r="W69" s="154">
        <v>0</v>
      </c>
      <c r="X69" s="163">
        <f t="shared" si="2"/>
        <v>1</v>
      </c>
      <c r="Y69" s="156"/>
      <c r="Z69" s="157" t="s">
        <v>649</v>
      </c>
      <c r="AA69" s="157" t="s">
        <v>663</v>
      </c>
      <c r="AB69" s="151" t="s">
        <v>2602</v>
      </c>
      <c r="AC69" s="530" t="s">
        <v>3015</v>
      </c>
      <c r="AD69" s="159"/>
    </row>
    <row r="70" spans="1:30" x14ac:dyDescent="0.2">
      <c r="A70" s="160" t="s">
        <v>2602</v>
      </c>
      <c r="B70" s="160"/>
      <c r="C70" s="161" t="s">
        <v>1193</v>
      </c>
      <c r="D70" s="162" t="s">
        <v>2825</v>
      </c>
      <c r="E70" s="154">
        <v>0</v>
      </c>
      <c r="F70" s="154">
        <v>0</v>
      </c>
      <c r="G70" s="154">
        <v>1</v>
      </c>
      <c r="H70" s="154">
        <v>0</v>
      </c>
      <c r="I70" s="154">
        <v>0</v>
      </c>
      <c r="J70" s="154">
        <v>0</v>
      </c>
      <c r="K70" s="154">
        <v>0</v>
      </c>
      <c r="L70" s="154">
        <v>0</v>
      </c>
      <c r="M70" s="154">
        <v>0</v>
      </c>
      <c r="N70" s="154">
        <v>0</v>
      </c>
      <c r="O70" s="154">
        <v>0</v>
      </c>
      <c r="P70" s="154">
        <v>0</v>
      </c>
      <c r="Q70" s="154">
        <v>0</v>
      </c>
      <c r="R70" s="154">
        <v>0</v>
      </c>
      <c r="S70" s="154">
        <v>0</v>
      </c>
      <c r="T70" s="154">
        <v>0</v>
      </c>
      <c r="U70" s="154">
        <v>0</v>
      </c>
      <c r="V70" s="154">
        <v>0</v>
      </c>
      <c r="W70" s="154">
        <v>0</v>
      </c>
      <c r="X70" s="163">
        <f t="shared" ref="X70:X133" si="3">SUM(E70:W70)</f>
        <v>1</v>
      </c>
      <c r="Y70" s="156"/>
      <c r="Z70" s="157" t="s">
        <v>649</v>
      </c>
      <c r="AA70" s="157" t="s">
        <v>663</v>
      </c>
      <c r="AB70" s="151" t="s">
        <v>2602</v>
      </c>
      <c r="AC70" s="530" t="s">
        <v>3015</v>
      </c>
      <c r="AD70" s="159"/>
    </row>
    <row r="71" spans="1:30" x14ac:dyDescent="0.2">
      <c r="A71" s="160" t="s">
        <v>2602</v>
      </c>
      <c r="B71" s="160"/>
      <c r="C71" s="161" t="s">
        <v>1194</v>
      </c>
      <c r="D71" s="162" t="s">
        <v>90</v>
      </c>
      <c r="E71" s="154">
        <v>0</v>
      </c>
      <c r="F71" s="154">
        <v>0</v>
      </c>
      <c r="G71" s="154">
        <v>0.98529252208264806</v>
      </c>
      <c r="H71" s="154">
        <v>0</v>
      </c>
      <c r="I71" s="154">
        <v>0</v>
      </c>
      <c r="J71" s="154">
        <v>0</v>
      </c>
      <c r="K71" s="154">
        <v>0</v>
      </c>
      <c r="L71" s="154">
        <v>0</v>
      </c>
      <c r="M71" s="154">
        <v>0</v>
      </c>
      <c r="N71" s="154">
        <v>0</v>
      </c>
      <c r="O71" s="154">
        <v>0</v>
      </c>
      <c r="P71" s="154">
        <v>1.470747791735184E-2</v>
      </c>
      <c r="Q71" s="154">
        <v>0</v>
      </c>
      <c r="R71" s="154">
        <v>0</v>
      </c>
      <c r="S71" s="154">
        <v>0</v>
      </c>
      <c r="T71" s="154">
        <v>0</v>
      </c>
      <c r="U71" s="154">
        <v>0</v>
      </c>
      <c r="V71" s="154">
        <v>0</v>
      </c>
      <c r="W71" s="154">
        <v>0</v>
      </c>
      <c r="X71" s="163">
        <f t="shared" si="3"/>
        <v>0.99999999999999989</v>
      </c>
      <c r="Y71" s="156"/>
      <c r="Z71" s="157" t="s">
        <v>649</v>
      </c>
      <c r="AA71" s="157" t="s">
        <v>663</v>
      </c>
      <c r="AB71" s="151" t="s">
        <v>2602</v>
      </c>
      <c r="AC71" s="530" t="s">
        <v>3015</v>
      </c>
      <c r="AD71" s="159"/>
    </row>
    <row r="72" spans="1:30" x14ac:dyDescent="0.2">
      <c r="A72" s="151" t="s">
        <v>2602</v>
      </c>
      <c r="B72" s="151"/>
      <c r="C72" s="170" t="s">
        <v>1195</v>
      </c>
      <c r="D72" s="192" t="s">
        <v>92</v>
      </c>
      <c r="E72" s="154">
        <v>0</v>
      </c>
      <c r="F72" s="154">
        <v>0</v>
      </c>
      <c r="G72" s="154">
        <v>0</v>
      </c>
      <c r="H72" s="154">
        <v>1</v>
      </c>
      <c r="I72" s="154">
        <v>0</v>
      </c>
      <c r="J72" s="154">
        <v>0</v>
      </c>
      <c r="K72" s="154">
        <v>0</v>
      </c>
      <c r="L72" s="154">
        <v>0</v>
      </c>
      <c r="M72" s="154">
        <v>0</v>
      </c>
      <c r="N72" s="154">
        <v>0</v>
      </c>
      <c r="O72" s="154">
        <v>0</v>
      </c>
      <c r="P72" s="154">
        <v>0</v>
      </c>
      <c r="Q72" s="154">
        <v>0</v>
      </c>
      <c r="R72" s="154">
        <v>0</v>
      </c>
      <c r="S72" s="154">
        <v>0</v>
      </c>
      <c r="T72" s="154">
        <v>0</v>
      </c>
      <c r="U72" s="154">
        <v>0</v>
      </c>
      <c r="V72" s="154">
        <v>0</v>
      </c>
      <c r="W72" s="154">
        <v>0</v>
      </c>
      <c r="X72" s="193">
        <f t="shared" si="3"/>
        <v>1</v>
      </c>
      <c r="Y72" s="156"/>
      <c r="Z72" s="157" t="s">
        <v>649</v>
      </c>
      <c r="AA72" s="157" t="s">
        <v>663</v>
      </c>
      <c r="AB72" s="151" t="s">
        <v>2602</v>
      </c>
      <c r="AC72" s="530" t="s">
        <v>3015</v>
      </c>
      <c r="AD72" s="159"/>
    </row>
    <row r="73" spans="1:30" x14ac:dyDescent="0.2">
      <c r="A73" s="160" t="s">
        <v>2602</v>
      </c>
      <c r="B73" s="160"/>
      <c r="C73" s="161" t="s">
        <v>1198</v>
      </c>
      <c r="D73" s="162" t="s">
        <v>1199</v>
      </c>
      <c r="E73" s="154">
        <v>0</v>
      </c>
      <c r="F73" s="154">
        <v>0</v>
      </c>
      <c r="G73" s="154">
        <v>0</v>
      </c>
      <c r="H73" s="154">
        <v>0.1239197669292226</v>
      </c>
      <c r="I73" s="154">
        <v>0</v>
      </c>
      <c r="J73" s="154">
        <v>0</v>
      </c>
      <c r="K73" s="154">
        <v>0</v>
      </c>
      <c r="L73" s="154">
        <v>0</v>
      </c>
      <c r="M73" s="154">
        <v>0</v>
      </c>
      <c r="N73" s="154">
        <v>0.30414474537252706</v>
      </c>
      <c r="O73" s="154">
        <v>0</v>
      </c>
      <c r="P73" s="154">
        <v>0.53370405042260816</v>
      </c>
      <c r="Q73" s="154">
        <v>0</v>
      </c>
      <c r="R73" s="154">
        <v>0</v>
      </c>
      <c r="S73" s="154">
        <v>0</v>
      </c>
      <c r="T73" s="154">
        <v>3.8231437275642363E-2</v>
      </c>
      <c r="U73" s="154">
        <v>0</v>
      </c>
      <c r="V73" s="154">
        <v>0</v>
      </c>
      <c r="W73" s="154">
        <v>0</v>
      </c>
      <c r="X73" s="163">
        <f t="shared" si="3"/>
        <v>1.0000000000000002</v>
      </c>
      <c r="Y73" s="156"/>
      <c r="Z73" s="157" t="s">
        <v>649</v>
      </c>
      <c r="AA73" s="157" t="s">
        <v>663</v>
      </c>
      <c r="AB73" s="151" t="s">
        <v>2602</v>
      </c>
      <c r="AC73" s="530" t="s">
        <v>3015</v>
      </c>
      <c r="AD73" s="159"/>
    </row>
    <row r="74" spans="1:30" x14ac:dyDescent="0.2">
      <c r="A74" s="194" t="s">
        <v>2602</v>
      </c>
      <c r="B74" s="151"/>
      <c r="C74" s="180" t="s">
        <v>1201</v>
      </c>
      <c r="D74" s="181" t="s">
        <v>1202</v>
      </c>
      <c r="E74" s="154">
        <v>0</v>
      </c>
      <c r="F74" s="154">
        <v>0</v>
      </c>
      <c r="G74" s="154">
        <v>0</v>
      </c>
      <c r="H74" s="154">
        <v>1</v>
      </c>
      <c r="I74" s="154">
        <v>0</v>
      </c>
      <c r="J74" s="154">
        <v>0</v>
      </c>
      <c r="K74" s="154">
        <v>0</v>
      </c>
      <c r="L74" s="154">
        <v>0</v>
      </c>
      <c r="M74" s="154">
        <v>0</v>
      </c>
      <c r="N74" s="154">
        <v>0</v>
      </c>
      <c r="O74" s="154">
        <v>0</v>
      </c>
      <c r="P74" s="154">
        <v>0</v>
      </c>
      <c r="Q74" s="154">
        <v>0</v>
      </c>
      <c r="R74" s="154">
        <v>0</v>
      </c>
      <c r="S74" s="154">
        <v>0</v>
      </c>
      <c r="T74" s="154">
        <v>0</v>
      </c>
      <c r="U74" s="154">
        <v>0</v>
      </c>
      <c r="V74" s="154">
        <v>0</v>
      </c>
      <c r="W74" s="154">
        <v>0</v>
      </c>
      <c r="X74" s="176">
        <f t="shared" si="3"/>
        <v>1</v>
      </c>
      <c r="Y74" s="156"/>
      <c r="Z74" s="157" t="s">
        <v>649</v>
      </c>
      <c r="AA74" s="157" t="s">
        <v>663</v>
      </c>
      <c r="AB74" s="151" t="s">
        <v>2602</v>
      </c>
      <c r="AC74" s="530" t="s">
        <v>3015</v>
      </c>
      <c r="AD74" s="159"/>
    </row>
    <row r="75" spans="1:30" x14ac:dyDescent="0.2">
      <c r="A75" s="160" t="s">
        <v>2602</v>
      </c>
      <c r="B75" s="160"/>
      <c r="C75" s="161" t="s">
        <v>1203</v>
      </c>
      <c r="D75" s="162" t="s">
        <v>2826</v>
      </c>
      <c r="E75" s="154">
        <v>0</v>
      </c>
      <c r="F75" s="154">
        <v>0</v>
      </c>
      <c r="G75" s="154">
        <v>0</v>
      </c>
      <c r="H75" s="154">
        <v>1</v>
      </c>
      <c r="I75" s="154">
        <v>0</v>
      </c>
      <c r="J75" s="154">
        <v>0</v>
      </c>
      <c r="K75" s="154">
        <v>0</v>
      </c>
      <c r="L75" s="154">
        <v>0</v>
      </c>
      <c r="M75" s="154">
        <v>0</v>
      </c>
      <c r="N75" s="154">
        <v>0</v>
      </c>
      <c r="O75" s="154">
        <v>0</v>
      </c>
      <c r="P75" s="154">
        <v>0</v>
      </c>
      <c r="Q75" s="154">
        <v>0</v>
      </c>
      <c r="R75" s="154">
        <v>0</v>
      </c>
      <c r="S75" s="154">
        <v>0</v>
      </c>
      <c r="T75" s="154">
        <v>0</v>
      </c>
      <c r="U75" s="154">
        <v>0</v>
      </c>
      <c r="V75" s="154">
        <v>0</v>
      </c>
      <c r="W75" s="154">
        <v>0</v>
      </c>
      <c r="X75" s="163">
        <f t="shared" si="3"/>
        <v>1</v>
      </c>
      <c r="Y75" s="156"/>
      <c r="Z75" s="157" t="s">
        <v>649</v>
      </c>
      <c r="AA75" s="157" t="s">
        <v>663</v>
      </c>
      <c r="AB75" s="151" t="s">
        <v>2602</v>
      </c>
      <c r="AC75" s="530" t="s">
        <v>3015</v>
      </c>
      <c r="AD75" s="159"/>
    </row>
    <row r="76" spans="1:30" x14ac:dyDescent="0.2">
      <c r="A76" s="160" t="s">
        <v>2602</v>
      </c>
      <c r="B76" s="160"/>
      <c r="C76" s="167" t="s">
        <v>1552</v>
      </c>
      <c r="D76" s="168" t="s">
        <v>1553</v>
      </c>
      <c r="E76" s="154">
        <v>0</v>
      </c>
      <c r="F76" s="154">
        <v>0</v>
      </c>
      <c r="G76" s="154">
        <v>0</v>
      </c>
      <c r="H76" s="154">
        <v>1</v>
      </c>
      <c r="I76" s="154">
        <v>0</v>
      </c>
      <c r="J76" s="154">
        <v>0</v>
      </c>
      <c r="K76" s="154">
        <v>0</v>
      </c>
      <c r="L76" s="154">
        <v>0</v>
      </c>
      <c r="M76" s="154">
        <v>0</v>
      </c>
      <c r="N76" s="154">
        <v>0</v>
      </c>
      <c r="O76" s="154">
        <v>0</v>
      </c>
      <c r="P76" s="154">
        <v>0</v>
      </c>
      <c r="Q76" s="154">
        <v>0</v>
      </c>
      <c r="R76" s="154">
        <v>0</v>
      </c>
      <c r="S76" s="154">
        <v>0</v>
      </c>
      <c r="T76" s="154">
        <v>0</v>
      </c>
      <c r="U76" s="154">
        <v>0</v>
      </c>
      <c r="V76" s="154">
        <v>0</v>
      </c>
      <c r="W76" s="154">
        <v>0</v>
      </c>
      <c r="X76" s="163">
        <f t="shared" si="3"/>
        <v>1</v>
      </c>
      <c r="Y76" s="156"/>
      <c r="Z76" s="157" t="s">
        <v>649</v>
      </c>
      <c r="AA76" s="157" t="s">
        <v>663</v>
      </c>
      <c r="AB76" s="151" t="s">
        <v>2602</v>
      </c>
      <c r="AC76" s="530" t="s">
        <v>3015</v>
      </c>
      <c r="AD76" s="159"/>
    </row>
    <row r="77" spans="1:30" x14ac:dyDescent="0.2">
      <c r="A77" s="160" t="s">
        <v>2602</v>
      </c>
      <c r="B77" s="160"/>
      <c r="C77" s="161" t="s">
        <v>1204</v>
      </c>
      <c r="D77" s="162" t="s">
        <v>97</v>
      </c>
      <c r="E77" s="154">
        <v>0</v>
      </c>
      <c r="F77" s="154">
        <v>0</v>
      </c>
      <c r="G77" s="154">
        <v>0</v>
      </c>
      <c r="H77" s="154">
        <v>1</v>
      </c>
      <c r="I77" s="154">
        <v>0</v>
      </c>
      <c r="J77" s="154">
        <v>0</v>
      </c>
      <c r="K77" s="154">
        <v>0</v>
      </c>
      <c r="L77" s="154">
        <v>0</v>
      </c>
      <c r="M77" s="154">
        <v>0</v>
      </c>
      <c r="N77" s="154">
        <v>0</v>
      </c>
      <c r="O77" s="154">
        <v>0</v>
      </c>
      <c r="P77" s="154">
        <v>0</v>
      </c>
      <c r="Q77" s="154">
        <v>0</v>
      </c>
      <c r="R77" s="154">
        <v>0</v>
      </c>
      <c r="S77" s="154">
        <v>0</v>
      </c>
      <c r="T77" s="154">
        <v>0</v>
      </c>
      <c r="U77" s="154">
        <v>0</v>
      </c>
      <c r="V77" s="154">
        <v>0</v>
      </c>
      <c r="W77" s="154">
        <v>0</v>
      </c>
      <c r="X77" s="163">
        <f t="shared" si="3"/>
        <v>1</v>
      </c>
      <c r="Y77" s="156"/>
      <c r="Z77" s="157" t="s">
        <v>649</v>
      </c>
      <c r="AA77" s="157" t="s">
        <v>663</v>
      </c>
      <c r="AB77" s="151" t="s">
        <v>2602</v>
      </c>
      <c r="AC77" s="530" t="s">
        <v>3015</v>
      </c>
      <c r="AD77" s="159"/>
    </row>
    <row r="78" spans="1:30" x14ac:dyDescent="0.2">
      <c r="A78" s="160" t="s">
        <v>2602</v>
      </c>
      <c r="B78" s="160"/>
      <c r="C78" s="161" t="s">
        <v>1205</v>
      </c>
      <c r="D78" s="162" t="s">
        <v>1206</v>
      </c>
      <c r="E78" s="154">
        <v>1</v>
      </c>
      <c r="F78" s="154">
        <v>0</v>
      </c>
      <c r="G78" s="154">
        <v>0</v>
      </c>
      <c r="H78" s="154">
        <v>0</v>
      </c>
      <c r="I78" s="154">
        <v>0</v>
      </c>
      <c r="J78" s="154">
        <v>0</v>
      </c>
      <c r="K78" s="154">
        <v>0</v>
      </c>
      <c r="L78" s="154">
        <v>0</v>
      </c>
      <c r="M78" s="154">
        <v>0</v>
      </c>
      <c r="N78" s="154">
        <v>0</v>
      </c>
      <c r="O78" s="154">
        <v>0</v>
      </c>
      <c r="P78" s="154">
        <v>0</v>
      </c>
      <c r="Q78" s="154">
        <v>0</v>
      </c>
      <c r="R78" s="154">
        <v>0</v>
      </c>
      <c r="S78" s="154">
        <v>0</v>
      </c>
      <c r="T78" s="154">
        <v>0</v>
      </c>
      <c r="U78" s="154">
        <v>0</v>
      </c>
      <c r="V78" s="154">
        <v>0</v>
      </c>
      <c r="W78" s="154">
        <v>0</v>
      </c>
      <c r="X78" s="163">
        <f t="shared" si="3"/>
        <v>1</v>
      </c>
      <c r="Y78" s="156"/>
      <c r="Z78" s="157" t="s">
        <v>649</v>
      </c>
      <c r="AA78" s="157" t="s">
        <v>663</v>
      </c>
      <c r="AB78" s="151" t="s">
        <v>2602</v>
      </c>
      <c r="AC78" s="530" t="s">
        <v>3015</v>
      </c>
      <c r="AD78" s="159"/>
    </row>
    <row r="79" spans="1:30" x14ac:dyDescent="0.2">
      <c r="A79" s="160" t="s">
        <v>2602</v>
      </c>
      <c r="B79" s="160"/>
      <c r="C79" s="161" t="s">
        <v>1207</v>
      </c>
      <c r="D79" s="162" t="s">
        <v>1208</v>
      </c>
      <c r="E79" s="154">
        <v>0</v>
      </c>
      <c r="F79" s="154">
        <v>0</v>
      </c>
      <c r="G79" s="154">
        <v>0</v>
      </c>
      <c r="H79" s="154">
        <v>0</v>
      </c>
      <c r="I79" s="154">
        <v>0</v>
      </c>
      <c r="J79" s="154">
        <v>0</v>
      </c>
      <c r="K79" s="154">
        <v>0</v>
      </c>
      <c r="L79" s="154">
        <v>0</v>
      </c>
      <c r="M79" s="154">
        <v>0</v>
      </c>
      <c r="N79" s="154">
        <v>0</v>
      </c>
      <c r="O79" s="154">
        <v>0</v>
      </c>
      <c r="P79" s="154">
        <v>0</v>
      </c>
      <c r="Q79" s="154">
        <v>0</v>
      </c>
      <c r="R79" s="154">
        <v>0</v>
      </c>
      <c r="S79" s="154">
        <v>1</v>
      </c>
      <c r="T79" s="154">
        <v>0</v>
      </c>
      <c r="U79" s="154">
        <v>0</v>
      </c>
      <c r="V79" s="154">
        <v>0</v>
      </c>
      <c r="W79" s="154">
        <v>0</v>
      </c>
      <c r="X79" s="163">
        <f t="shared" si="3"/>
        <v>1</v>
      </c>
      <c r="Y79" s="156"/>
      <c r="Z79" s="157" t="s">
        <v>649</v>
      </c>
      <c r="AA79" s="157" t="s">
        <v>663</v>
      </c>
      <c r="AB79" s="151" t="s">
        <v>2602</v>
      </c>
      <c r="AC79" s="530" t="s">
        <v>3015</v>
      </c>
      <c r="AD79" s="159"/>
    </row>
    <row r="80" spans="1:30" x14ac:dyDescent="0.2">
      <c r="A80" s="151" t="s">
        <v>2602</v>
      </c>
      <c r="B80" s="151"/>
      <c r="C80" s="174" t="s">
        <v>1209</v>
      </c>
      <c r="D80" s="175" t="s">
        <v>1210</v>
      </c>
      <c r="E80" s="154">
        <v>0</v>
      </c>
      <c r="F80" s="154">
        <v>0</v>
      </c>
      <c r="G80" s="154">
        <v>0</v>
      </c>
      <c r="H80" s="154">
        <v>1</v>
      </c>
      <c r="I80" s="154">
        <v>0</v>
      </c>
      <c r="J80" s="154">
        <v>0</v>
      </c>
      <c r="K80" s="154">
        <v>0</v>
      </c>
      <c r="L80" s="154">
        <v>0</v>
      </c>
      <c r="M80" s="154">
        <v>0</v>
      </c>
      <c r="N80" s="154">
        <v>0</v>
      </c>
      <c r="O80" s="154">
        <v>0</v>
      </c>
      <c r="P80" s="154">
        <v>0</v>
      </c>
      <c r="Q80" s="154">
        <v>0</v>
      </c>
      <c r="R80" s="154">
        <v>0</v>
      </c>
      <c r="S80" s="154">
        <v>0</v>
      </c>
      <c r="T80" s="154">
        <v>0</v>
      </c>
      <c r="U80" s="154">
        <v>0</v>
      </c>
      <c r="V80" s="154">
        <v>0</v>
      </c>
      <c r="W80" s="154">
        <v>0</v>
      </c>
      <c r="X80" s="176">
        <f t="shared" si="3"/>
        <v>1</v>
      </c>
      <c r="Y80" s="156"/>
      <c r="Z80" s="157" t="s">
        <v>649</v>
      </c>
      <c r="AA80" s="157" t="s">
        <v>663</v>
      </c>
      <c r="AB80" s="151" t="s">
        <v>2602</v>
      </c>
      <c r="AC80" s="530" t="s">
        <v>3015</v>
      </c>
      <c r="AD80" s="159"/>
    </row>
    <row r="81" spans="1:30" x14ac:dyDescent="0.2">
      <c r="A81" s="151" t="s">
        <v>2602</v>
      </c>
      <c r="B81" s="151"/>
      <c r="C81" s="164" t="s">
        <v>1211</v>
      </c>
      <c r="D81" s="165" t="s">
        <v>1212</v>
      </c>
      <c r="E81" s="154">
        <v>0</v>
      </c>
      <c r="F81" s="154">
        <v>0</v>
      </c>
      <c r="G81" s="154">
        <v>0</v>
      </c>
      <c r="H81" s="154">
        <v>1</v>
      </c>
      <c r="I81" s="154">
        <v>0</v>
      </c>
      <c r="J81" s="154">
        <v>0</v>
      </c>
      <c r="K81" s="154">
        <v>0</v>
      </c>
      <c r="L81" s="154">
        <v>0</v>
      </c>
      <c r="M81" s="154">
        <v>0</v>
      </c>
      <c r="N81" s="154">
        <v>0</v>
      </c>
      <c r="O81" s="154">
        <v>0</v>
      </c>
      <c r="P81" s="154">
        <v>0</v>
      </c>
      <c r="Q81" s="154">
        <v>0</v>
      </c>
      <c r="R81" s="154">
        <v>0</v>
      </c>
      <c r="S81" s="154">
        <v>0</v>
      </c>
      <c r="T81" s="154">
        <v>0</v>
      </c>
      <c r="U81" s="154">
        <v>0</v>
      </c>
      <c r="V81" s="154">
        <v>0</v>
      </c>
      <c r="W81" s="154">
        <v>0</v>
      </c>
      <c r="X81" s="166">
        <f t="shared" si="3"/>
        <v>1</v>
      </c>
      <c r="Y81" s="156"/>
      <c r="Z81" s="157" t="s">
        <v>649</v>
      </c>
      <c r="AA81" s="157" t="s">
        <v>663</v>
      </c>
      <c r="AB81" s="151" t="s">
        <v>2602</v>
      </c>
      <c r="AC81" s="530" t="s">
        <v>3015</v>
      </c>
      <c r="AD81" s="159"/>
    </row>
    <row r="82" spans="1:30" x14ac:dyDescent="0.2">
      <c r="A82" s="151" t="s">
        <v>2602</v>
      </c>
      <c r="B82" s="151"/>
      <c r="C82" s="177" t="s">
        <v>1220</v>
      </c>
      <c r="D82" s="178" t="s">
        <v>1221</v>
      </c>
      <c r="E82" s="154">
        <v>0</v>
      </c>
      <c r="F82" s="154">
        <v>0</v>
      </c>
      <c r="G82" s="154">
        <v>0</v>
      </c>
      <c r="H82" s="154">
        <v>1</v>
      </c>
      <c r="I82" s="154">
        <v>0</v>
      </c>
      <c r="J82" s="154">
        <v>0</v>
      </c>
      <c r="K82" s="154">
        <v>0</v>
      </c>
      <c r="L82" s="154">
        <v>0</v>
      </c>
      <c r="M82" s="154">
        <v>0</v>
      </c>
      <c r="N82" s="154">
        <v>0</v>
      </c>
      <c r="O82" s="154">
        <v>0</v>
      </c>
      <c r="P82" s="154">
        <v>0</v>
      </c>
      <c r="Q82" s="154">
        <v>0</v>
      </c>
      <c r="R82" s="154">
        <v>0</v>
      </c>
      <c r="S82" s="154">
        <v>0</v>
      </c>
      <c r="T82" s="154">
        <v>0</v>
      </c>
      <c r="U82" s="154">
        <v>0</v>
      </c>
      <c r="V82" s="154">
        <v>0</v>
      </c>
      <c r="W82" s="154">
        <v>0</v>
      </c>
      <c r="X82" s="179">
        <f t="shared" si="3"/>
        <v>1</v>
      </c>
      <c r="Y82" s="156"/>
      <c r="Z82" s="157" t="s">
        <v>649</v>
      </c>
      <c r="AA82" s="157" t="s">
        <v>663</v>
      </c>
      <c r="AB82" s="151" t="s">
        <v>2602</v>
      </c>
      <c r="AC82" s="530" t="s">
        <v>3015</v>
      </c>
      <c r="AD82" s="159"/>
    </row>
    <row r="83" spans="1:30" x14ac:dyDescent="0.2">
      <c r="A83" s="160" t="s">
        <v>2602</v>
      </c>
      <c r="B83" s="160"/>
      <c r="C83" s="161" t="s">
        <v>1222</v>
      </c>
      <c r="D83" s="162" t="s">
        <v>1223</v>
      </c>
      <c r="E83" s="154">
        <v>0</v>
      </c>
      <c r="F83" s="154">
        <v>0</v>
      </c>
      <c r="G83" s="154">
        <v>0</v>
      </c>
      <c r="H83" s="154">
        <v>0</v>
      </c>
      <c r="I83" s="154">
        <v>0</v>
      </c>
      <c r="J83" s="154">
        <v>0</v>
      </c>
      <c r="K83" s="154">
        <v>0</v>
      </c>
      <c r="L83" s="154">
        <v>1</v>
      </c>
      <c r="M83" s="154">
        <v>0</v>
      </c>
      <c r="N83" s="154">
        <v>0</v>
      </c>
      <c r="O83" s="154">
        <v>0</v>
      </c>
      <c r="P83" s="154">
        <v>0</v>
      </c>
      <c r="Q83" s="154">
        <v>0</v>
      </c>
      <c r="R83" s="154">
        <v>0</v>
      </c>
      <c r="S83" s="154">
        <v>0</v>
      </c>
      <c r="T83" s="154">
        <v>0</v>
      </c>
      <c r="U83" s="154">
        <v>0</v>
      </c>
      <c r="V83" s="154">
        <v>0</v>
      </c>
      <c r="W83" s="154">
        <v>0</v>
      </c>
      <c r="X83" s="163">
        <f t="shared" si="3"/>
        <v>1</v>
      </c>
      <c r="Y83" s="156"/>
      <c r="Z83" s="157" t="s">
        <v>649</v>
      </c>
      <c r="AA83" s="157" t="s">
        <v>663</v>
      </c>
      <c r="AB83" s="151" t="s">
        <v>2602</v>
      </c>
      <c r="AC83" s="530" t="s">
        <v>3015</v>
      </c>
      <c r="AD83" s="159"/>
    </row>
    <row r="84" spans="1:30" x14ac:dyDescent="0.2">
      <c r="A84" s="160" t="s">
        <v>2602</v>
      </c>
      <c r="B84" s="160"/>
      <c r="C84" s="161" t="s">
        <v>1224</v>
      </c>
      <c r="D84" s="162" t="s">
        <v>1225</v>
      </c>
      <c r="E84" s="154">
        <v>0</v>
      </c>
      <c r="F84" s="154">
        <v>0</v>
      </c>
      <c r="G84" s="154">
        <v>0</v>
      </c>
      <c r="H84" s="154">
        <v>0</v>
      </c>
      <c r="I84" s="154">
        <v>0</v>
      </c>
      <c r="J84" s="154">
        <v>0</v>
      </c>
      <c r="K84" s="154">
        <v>0</v>
      </c>
      <c r="L84" s="154">
        <v>0</v>
      </c>
      <c r="M84" s="154">
        <v>0</v>
      </c>
      <c r="N84" s="154">
        <v>0</v>
      </c>
      <c r="O84" s="154">
        <v>0</v>
      </c>
      <c r="P84" s="154">
        <v>1</v>
      </c>
      <c r="Q84" s="154">
        <v>0</v>
      </c>
      <c r="R84" s="154">
        <v>0</v>
      </c>
      <c r="S84" s="154">
        <v>0</v>
      </c>
      <c r="T84" s="154">
        <v>0</v>
      </c>
      <c r="U84" s="154">
        <v>0</v>
      </c>
      <c r="V84" s="154">
        <v>0</v>
      </c>
      <c r="W84" s="154">
        <v>0</v>
      </c>
      <c r="X84" s="163">
        <f t="shared" si="3"/>
        <v>1</v>
      </c>
      <c r="Y84" s="156"/>
      <c r="Z84" s="157" t="s">
        <v>649</v>
      </c>
      <c r="AA84" s="157" t="s">
        <v>663</v>
      </c>
      <c r="AB84" s="151" t="s">
        <v>2602</v>
      </c>
      <c r="AC84" s="530" t="s">
        <v>3015</v>
      </c>
      <c r="AD84" s="159"/>
    </row>
    <row r="85" spans="1:30" x14ac:dyDescent="0.2">
      <c r="A85" s="160" t="s">
        <v>2602</v>
      </c>
      <c r="B85" s="160"/>
      <c r="C85" s="161" t="s">
        <v>1299</v>
      </c>
      <c r="D85" s="162" t="s">
        <v>106</v>
      </c>
      <c r="E85" s="154">
        <v>0</v>
      </c>
      <c r="F85" s="154">
        <v>0</v>
      </c>
      <c r="G85" s="154">
        <v>0</v>
      </c>
      <c r="H85" s="154">
        <v>0.1852000057079686</v>
      </c>
      <c r="I85" s="154">
        <v>0</v>
      </c>
      <c r="J85" s="154">
        <v>0</v>
      </c>
      <c r="K85" s="154">
        <v>0</v>
      </c>
      <c r="L85" s="154">
        <v>0.81479999429203143</v>
      </c>
      <c r="M85" s="154">
        <v>0</v>
      </c>
      <c r="N85" s="154">
        <v>0</v>
      </c>
      <c r="O85" s="154">
        <v>0</v>
      </c>
      <c r="P85" s="154">
        <v>0</v>
      </c>
      <c r="Q85" s="154">
        <v>0</v>
      </c>
      <c r="R85" s="154">
        <v>0</v>
      </c>
      <c r="S85" s="154">
        <v>0</v>
      </c>
      <c r="T85" s="154">
        <v>0</v>
      </c>
      <c r="U85" s="154">
        <v>0</v>
      </c>
      <c r="V85" s="154">
        <v>0</v>
      </c>
      <c r="W85" s="154">
        <v>0</v>
      </c>
      <c r="X85" s="163">
        <f t="shared" si="3"/>
        <v>1</v>
      </c>
      <c r="Y85" s="156"/>
      <c r="Z85" s="157" t="s">
        <v>649</v>
      </c>
      <c r="AA85" s="157" t="s">
        <v>663</v>
      </c>
      <c r="AB85" s="151" t="s">
        <v>2602</v>
      </c>
      <c r="AC85" s="530" t="s">
        <v>3015</v>
      </c>
      <c r="AD85" s="159"/>
    </row>
    <row r="86" spans="1:30" x14ac:dyDescent="0.2">
      <c r="A86" s="151" t="s">
        <v>2602</v>
      </c>
      <c r="B86" s="151"/>
      <c r="C86" s="195" t="s">
        <v>1307</v>
      </c>
      <c r="D86" s="196" t="s">
        <v>1308</v>
      </c>
      <c r="E86" s="154">
        <v>0</v>
      </c>
      <c r="F86" s="154">
        <v>0</v>
      </c>
      <c r="G86" s="154">
        <v>0</v>
      </c>
      <c r="H86" s="154">
        <v>0</v>
      </c>
      <c r="I86" s="154">
        <v>0</v>
      </c>
      <c r="J86" s="154">
        <v>0</v>
      </c>
      <c r="K86" s="154">
        <v>1</v>
      </c>
      <c r="L86" s="154">
        <v>0</v>
      </c>
      <c r="M86" s="154">
        <v>0</v>
      </c>
      <c r="N86" s="154">
        <v>0</v>
      </c>
      <c r="O86" s="154">
        <v>0</v>
      </c>
      <c r="P86" s="154">
        <v>0</v>
      </c>
      <c r="Q86" s="154">
        <v>0</v>
      </c>
      <c r="R86" s="154">
        <v>0</v>
      </c>
      <c r="S86" s="154">
        <v>0</v>
      </c>
      <c r="T86" s="154">
        <v>0</v>
      </c>
      <c r="U86" s="154">
        <v>0</v>
      </c>
      <c r="V86" s="154">
        <v>0</v>
      </c>
      <c r="W86" s="154">
        <v>0</v>
      </c>
      <c r="X86" s="172">
        <f t="shared" si="3"/>
        <v>1</v>
      </c>
      <c r="Y86" s="156"/>
      <c r="Z86" s="157" t="s">
        <v>649</v>
      </c>
      <c r="AA86" s="157" t="s">
        <v>663</v>
      </c>
      <c r="AB86" s="151" t="s">
        <v>2602</v>
      </c>
      <c r="AC86" s="530" t="s">
        <v>3015</v>
      </c>
      <c r="AD86" s="159"/>
    </row>
    <row r="87" spans="1:30" x14ac:dyDescent="0.2">
      <c r="A87" s="160" t="s">
        <v>2602</v>
      </c>
      <c r="B87" s="160"/>
      <c r="C87" s="167" t="s">
        <v>1612</v>
      </c>
      <c r="D87" s="197" t="s">
        <v>1613</v>
      </c>
      <c r="E87" s="154">
        <v>0</v>
      </c>
      <c r="F87" s="154">
        <v>0</v>
      </c>
      <c r="G87" s="154">
        <v>0</v>
      </c>
      <c r="H87" s="154">
        <v>1</v>
      </c>
      <c r="I87" s="154">
        <v>0</v>
      </c>
      <c r="J87" s="154">
        <v>0</v>
      </c>
      <c r="K87" s="154">
        <v>0</v>
      </c>
      <c r="L87" s="154">
        <v>0</v>
      </c>
      <c r="M87" s="154">
        <v>0</v>
      </c>
      <c r="N87" s="154">
        <v>0</v>
      </c>
      <c r="O87" s="154">
        <v>0</v>
      </c>
      <c r="P87" s="154">
        <v>0</v>
      </c>
      <c r="Q87" s="154">
        <v>0</v>
      </c>
      <c r="R87" s="154">
        <v>0</v>
      </c>
      <c r="S87" s="154">
        <v>0</v>
      </c>
      <c r="T87" s="154">
        <v>0</v>
      </c>
      <c r="U87" s="154">
        <v>0</v>
      </c>
      <c r="V87" s="154">
        <v>0</v>
      </c>
      <c r="W87" s="154">
        <v>0</v>
      </c>
      <c r="X87" s="163">
        <f t="shared" si="3"/>
        <v>1</v>
      </c>
      <c r="Y87" s="156"/>
      <c r="Z87" s="157" t="s">
        <v>649</v>
      </c>
      <c r="AA87" s="157" t="s">
        <v>663</v>
      </c>
      <c r="AB87" s="151" t="s">
        <v>2602</v>
      </c>
      <c r="AC87" s="530" t="s">
        <v>3015</v>
      </c>
      <c r="AD87" s="159"/>
    </row>
    <row r="88" spans="1:30" x14ac:dyDescent="0.2">
      <c r="A88" s="160" t="s">
        <v>2602</v>
      </c>
      <c r="B88" s="160"/>
      <c r="C88" s="161" t="s">
        <v>1226</v>
      </c>
      <c r="D88" s="162" t="s">
        <v>1227</v>
      </c>
      <c r="E88" s="154">
        <v>0</v>
      </c>
      <c r="F88" s="154">
        <v>0</v>
      </c>
      <c r="G88" s="154">
        <v>0</v>
      </c>
      <c r="H88" s="154">
        <v>1</v>
      </c>
      <c r="I88" s="154">
        <v>0</v>
      </c>
      <c r="J88" s="154">
        <v>0</v>
      </c>
      <c r="K88" s="154">
        <v>0</v>
      </c>
      <c r="L88" s="154">
        <v>0</v>
      </c>
      <c r="M88" s="154">
        <v>0</v>
      </c>
      <c r="N88" s="154">
        <v>0</v>
      </c>
      <c r="O88" s="154">
        <v>0</v>
      </c>
      <c r="P88" s="154">
        <v>0</v>
      </c>
      <c r="Q88" s="154">
        <v>0</v>
      </c>
      <c r="R88" s="154">
        <v>0</v>
      </c>
      <c r="S88" s="154">
        <v>0</v>
      </c>
      <c r="T88" s="154">
        <v>0</v>
      </c>
      <c r="U88" s="154">
        <v>0</v>
      </c>
      <c r="V88" s="154">
        <v>0</v>
      </c>
      <c r="W88" s="154">
        <v>0</v>
      </c>
      <c r="X88" s="163">
        <f t="shared" si="3"/>
        <v>1</v>
      </c>
      <c r="Y88" s="156"/>
      <c r="Z88" s="157" t="s">
        <v>649</v>
      </c>
      <c r="AA88" s="157" t="s">
        <v>663</v>
      </c>
      <c r="AB88" s="151" t="s">
        <v>2602</v>
      </c>
      <c r="AC88" s="530" t="s">
        <v>3015</v>
      </c>
      <c r="AD88" s="159"/>
    </row>
    <row r="89" spans="1:30" x14ac:dyDescent="0.2">
      <c r="A89" s="160" t="s">
        <v>2602</v>
      </c>
      <c r="B89" s="160"/>
      <c r="C89" s="161" t="s">
        <v>1228</v>
      </c>
      <c r="D89" s="162" t="s">
        <v>108</v>
      </c>
      <c r="E89" s="154">
        <v>0</v>
      </c>
      <c r="F89" s="154">
        <v>0</v>
      </c>
      <c r="G89" s="154">
        <v>0</v>
      </c>
      <c r="H89" s="154">
        <v>0.34979999952692986</v>
      </c>
      <c r="I89" s="154">
        <v>0</v>
      </c>
      <c r="J89" s="154">
        <v>0</v>
      </c>
      <c r="K89" s="154">
        <v>0</v>
      </c>
      <c r="L89" s="154">
        <v>0.65020000047307014</v>
      </c>
      <c r="M89" s="154">
        <v>0</v>
      </c>
      <c r="N89" s="154">
        <v>0</v>
      </c>
      <c r="O89" s="154">
        <v>0</v>
      </c>
      <c r="P89" s="154">
        <v>0</v>
      </c>
      <c r="Q89" s="154">
        <v>0</v>
      </c>
      <c r="R89" s="154">
        <v>0</v>
      </c>
      <c r="S89" s="154">
        <v>0</v>
      </c>
      <c r="T89" s="154">
        <v>0</v>
      </c>
      <c r="U89" s="154">
        <v>0</v>
      </c>
      <c r="V89" s="154">
        <v>0</v>
      </c>
      <c r="W89" s="154">
        <v>0</v>
      </c>
      <c r="X89" s="163">
        <f t="shared" si="3"/>
        <v>1</v>
      </c>
      <c r="Y89" s="156"/>
      <c r="Z89" s="157" t="s">
        <v>649</v>
      </c>
      <c r="AA89" s="157" t="s">
        <v>663</v>
      </c>
      <c r="AB89" s="151" t="s">
        <v>2602</v>
      </c>
      <c r="AC89" s="530" t="s">
        <v>3015</v>
      </c>
      <c r="AD89" s="159"/>
    </row>
    <row r="90" spans="1:30" x14ac:dyDescent="0.2">
      <c r="A90" s="160" t="s">
        <v>2602</v>
      </c>
      <c r="B90" s="160"/>
      <c r="C90" s="161" t="s">
        <v>1229</v>
      </c>
      <c r="D90" s="162" t="s">
        <v>1230</v>
      </c>
      <c r="E90" s="154">
        <v>0</v>
      </c>
      <c r="F90" s="154">
        <v>0</v>
      </c>
      <c r="G90" s="154">
        <v>0</v>
      </c>
      <c r="H90" s="154">
        <v>0</v>
      </c>
      <c r="I90" s="154">
        <v>0</v>
      </c>
      <c r="J90" s="154">
        <v>0</v>
      </c>
      <c r="K90" s="154">
        <v>0</v>
      </c>
      <c r="L90" s="154">
        <v>5.2278226505164317E-2</v>
      </c>
      <c r="M90" s="154">
        <v>0</v>
      </c>
      <c r="N90" s="154">
        <v>0.94772177349483566</v>
      </c>
      <c r="O90" s="154">
        <v>0</v>
      </c>
      <c r="P90" s="154">
        <v>0</v>
      </c>
      <c r="Q90" s="154">
        <v>0</v>
      </c>
      <c r="R90" s="154">
        <v>0</v>
      </c>
      <c r="S90" s="154">
        <v>0</v>
      </c>
      <c r="T90" s="154">
        <v>0</v>
      </c>
      <c r="U90" s="154">
        <v>0</v>
      </c>
      <c r="V90" s="154">
        <v>0</v>
      </c>
      <c r="W90" s="154">
        <v>0</v>
      </c>
      <c r="X90" s="163">
        <f t="shared" si="3"/>
        <v>1</v>
      </c>
      <c r="Y90" s="156"/>
      <c r="Z90" s="157" t="s">
        <v>649</v>
      </c>
      <c r="AA90" s="157" t="s">
        <v>663</v>
      </c>
      <c r="AB90" s="151" t="s">
        <v>2602</v>
      </c>
      <c r="AC90" s="530" t="s">
        <v>3015</v>
      </c>
      <c r="AD90" s="159"/>
    </row>
    <row r="91" spans="1:30" x14ac:dyDescent="0.2">
      <c r="A91" s="160" t="s">
        <v>2602</v>
      </c>
      <c r="B91" s="160"/>
      <c r="C91" s="164" t="s">
        <v>1231</v>
      </c>
      <c r="D91" s="165" t="s">
        <v>111</v>
      </c>
      <c r="E91" s="154">
        <v>0</v>
      </c>
      <c r="F91" s="154">
        <v>5.4800000208486938E-2</v>
      </c>
      <c r="G91" s="154">
        <v>9.1600000273894575E-2</v>
      </c>
      <c r="H91" s="154">
        <v>0</v>
      </c>
      <c r="I91" s="154">
        <v>0</v>
      </c>
      <c r="J91" s="154">
        <v>0</v>
      </c>
      <c r="K91" s="154">
        <v>0</v>
      </c>
      <c r="L91" s="154">
        <v>0</v>
      </c>
      <c r="M91" s="154">
        <v>0</v>
      </c>
      <c r="N91" s="154">
        <v>0.10100000006472634</v>
      </c>
      <c r="O91" s="154">
        <v>0</v>
      </c>
      <c r="P91" s="154">
        <v>0.30879999978606243</v>
      </c>
      <c r="Q91" s="154">
        <v>0</v>
      </c>
      <c r="R91" s="154">
        <v>0</v>
      </c>
      <c r="S91" s="154">
        <v>0.44379999966682976</v>
      </c>
      <c r="T91" s="154">
        <v>0</v>
      </c>
      <c r="U91" s="154">
        <v>0</v>
      </c>
      <c r="V91" s="154">
        <v>0</v>
      </c>
      <c r="W91" s="154">
        <v>0</v>
      </c>
      <c r="X91" s="166">
        <f t="shared" si="3"/>
        <v>1</v>
      </c>
      <c r="Y91" s="156"/>
      <c r="Z91" s="157" t="s">
        <v>649</v>
      </c>
      <c r="AA91" s="157" t="s">
        <v>663</v>
      </c>
      <c r="AB91" s="151" t="s">
        <v>2602</v>
      </c>
      <c r="AC91" s="530" t="s">
        <v>3015</v>
      </c>
      <c r="AD91" s="159"/>
    </row>
    <row r="92" spans="1:30" x14ac:dyDescent="0.2">
      <c r="A92" s="160" t="s">
        <v>2602</v>
      </c>
      <c r="B92" s="160"/>
      <c r="C92" s="161" t="s">
        <v>1232</v>
      </c>
      <c r="D92" s="162" t="s">
        <v>1233</v>
      </c>
      <c r="E92" s="154">
        <v>0</v>
      </c>
      <c r="F92" s="154">
        <v>0</v>
      </c>
      <c r="G92" s="154">
        <v>4.1801526308580764E-2</v>
      </c>
      <c r="H92" s="154">
        <v>0</v>
      </c>
      <c r="I92" s="154">
        <v>0</v>
      </c>
      <c r="J92" s="154">
        <v>0</v>
      </c>
      <c r="K92" s="154">
        <v>0</v>
      </c>
      <c r="L92" s="154">
        <v>0</v>
      </c>
      <c r="M92" s="154">
        <v>0</v>
      </c>
      <c r="N92" s="154">
        <v>7.2578260715476919E-2</v>
      </c>
      <c r="O92" s="154">
        <v>0</v>
      </c>
      <c r="P92" s="154">
        <v>0.34179544592454403</v>
      </c>
      <c r="Q92" s="154">
        <v>0</v>
      </c>
      <c r="R92" s="154">
        <v>0</v>
      </c>
      <c r="S92" s="154">
        <v>0.54382476705139826</v>
      </c>
      <c r="T92" s="154">
        <v>0</v>
      </c>
      <c r="U92" s="154">
        <v>0</v>
      </c>
      <c r="V92" s="154">
        <v>0</v>
      </c>
      <c r="W92" s="154">
        <v>0</v>
      </c>
      <c r="X92" s="163">
        <f t="shared" si="3"/>
        <v>1</v>
      </c>
      <c r="Y92" s="156"/>
      <c r="Z92" s="157" t="s">
        <v>649</v>
      </c>
      <c r="AA92" s="157" t="s">
        <v>663</v>
      </c>
      <c r="AB92" s="151" t="s">
        <v>2602</v>
      </c>
      <c r="AC92" s="530" t="s">
        <v>3015</v>
      </c>
      <c r="AD92" s="159"/>
    </row>
    <row r="93" spans="1:30" x14ac:dyDescent="0.2">
      <c r="A93" s="160" t="s">
        <v>2602</v>
      </c>
      <c r="B93" s="160"/>
      <c r="C93" s="161" t="s">
        <v>1234</v>
      </c>
      <c r="D93" s="162" t="s">
        <v>1235</v>
      </c>
      <c r="E93" s="154">
        <v>0</v>
      </c>
      <c r="F93" s="154">
        <v>0</v>
      </c>
      <c r="G93" s="154">
        <v>0.11051553273948254</v>
      </c>
      <c r="H93" s="154">
        <v>0</v>
      </c>
      <c r="I93" s="154">
        <v>0</v>
      </c>
      <c r="J93" s="154">
        <v>0</v>
      </c>
      <c r="K93" s="154">
        <v>0</v>
      </c>
      <c r="L93" s="154">
        <v>0</v>
      </c>
      <c r="M93" s="154">
        <v>0</v>
      </c>
      <c r="N93" s="154">
        <v>0.41956067462815483</v>
      </c>
      <c r="O93" s="154">
        <v>0</v>
      </c>
      <c r="P93" s="154">
        <v>0.27209868204069237</v>
      </c>
      <c r="Q93" s="154">
        <v>0</v>
      </c>
      <c r="R93" s="154">
        <v>0</v>
      </c>
      <c r="S93" s="154">
        <v>0.19782511059167021</v>
      </c>
      <c r="T93" s="154">
        <v>0</v>
      </c>
      <c r="U93" s="154">
        <v>0</v>
      </c>
      <c r="V93" s="154">
        <v>0</v>
      </c>
      <c r="W93" s="154">
        <v>0</v>
      </c>
      <c r="X93" s="163">
        <f t="shared" si="3"/>
        <v>1</v>
      </c>
      <c r="Y93" s="156"/>
      <c r="Z93" s="157" t="s">
        <v>649</v>
      </c>
      <c r="AA93" s="157" t="s">
        <v>663</v>
      </c>
      <c r="AB93" s="151" t="s">
        <v>2602</v>
      </c>
      <c r="AC93" s="530" t="s">
        <v>3015</v>
      </c>
      <c r="AD93" s="159"/>
    </row>
    <row r="94" spans="1:30" x14ac:dyDescent="0.2">
      <c r="A94" s="160" t="s">
        <v>2602</v>
      </c>
      <c r="B94" s="160"/>
      <c r="C94" s="161" t="s">
        <v>1236</v>
      </c>
      <c r="D94" s="162" t="s">
        <v>113</v>
      </c>
      <c r="E94" s="154">
        <v>0</v>
      </c>
      <c r="F94" s="154">
        <v>0</v>
      </c>
      <c r="G94" s="154">
        <v>0</v>
      </c>
      <c r="H94" s="154">
        <v>0</v>
      </c>
      <c r="I94" s="154">
        <v>0</v>
      </c>
      <c r="J94" s="154">
        <v>0</v>
      </c>
      <c r="K94" s="154">
        <v>0</v>
      </c>
      <c r="L94" s="154">
        <v>0</v>
      </c>
      <c r="M94" s="154">
        <v>0</v>
      </c>
      <c r="N94" s="154">
        <v>1</v>
      </c>
      <c r="O94" s="154">
        <v>0</v>
      </c>
      <c r="P94" s="154">
        <v>0</v>
      </c>
      <c r="Q94" s="154">
        <v>0</v>
      </c>
      <c r="R94" s="154">
        <v>0</v>
      </c>
      <c r="S94" s="154">
        <v>0</v>
      </c>
      <c r="T94" s="154">
        <v>0</v>
      </c>
      <c r="U94" s="154">
        <v>0</v>
      </c>
      <c r="V94" s="154">
        <v>0</v>
      </c>
      <c r="W94" s="154">
        <v>0</v>
      </c>
      <c r="X94" s="163">
        <f t="shared" si="3"/>
        <v>1</v>
      </c>
      <c r="Y94" s="156"/>
      <c r="Z94" s="157" t="s">
        <v>649</v>
      </c>
      <c r="AA94" s="157" t="s">
        <v>663</v>
      </c>
      <c r="AB94" s="151" t="s">
        <v>2602</v>
      </c>
      <c r="AC94" s="530" t="s">
        <v>3015</v>
      </c>
      <c r="AD94" s="159"/>
    </row>
    <row r="95" spans="1:30" x14ac:dyDescent="0.2">
      <c r="A95" s="160" t="s">
        <v>2602</v>
      </c>
      <c r="B95" s="160"/>
      <c r="C95" s="161" t="s">
        <v>1237</v>
      </c>
      <c r="D95" s="162" t="s">
        <v>116</v>
      </c>
      <c r="E95" s="154">
        <v>0</v>
      </c>
      <c r="F95" s="154">
        <v>0.18054317433147304</v>
      </c>
      <c r="G95" s="154">
        <v>0.72706439539095524</v>
      </c>
      <c r="H95" s="154">
        <v>0</v>
      </c>
      <c r="I95" s="154">
        <v>0</v>
      </c>
      <c r="J95" s="154">
        <v>0</v>
      </c>
      <c r="K95" s="154">
        <v>0</v>
      </c>
      <c r="L95" s="154">
        <v>0</v>
      </c>
      <c r="M95" s="154">
        <v>0</v>
      </c>
      <c r="N95" s="154">
        <v>0</v>
      </c>
      <c r="O95" s="154">
        <v>0</v>
      </c>
      <c r="P95" s="154">
        <v>9.0288426599664823E-2</v>
      </c>
      <c r="Q95" s="154">
        <v>0</v>
      </c>
      <c r="R95" s="154">
        <v>0</v>
      </c>
      <c r="S95" s="154">
        <v>2.1040036779068224E-3</v>
      </c>
      <c r="T95" s="154">
        <v>0</v>
      </c>
      <c r="U95" s="154">
        <v>0</v>
      </c>
      <c r="V95" s="154">
        <v>0</v>
      </c>
      <c r="W95" s="154">
        <v>0</v>
      </c>
      <c r="X95" s="163">
        <f t="shared" si="3"/>
        <v>1</v>
      </c>
      <c r="Y95" s="156"/>
      <c r="Z95" s="157" t="s">
        <v>649</v>
      </c>
      <c r="AA95" s="157" t="s">
        <v>663</v>
      </c>
      <c r="AB95" s="151" t="s">
        <v>2602</v>
      </c>
      <c r="AC95" s="530" t="s">
        <v>3015</v>
      </c>
      <c r="AD95" s="159"/>
    </row>
    <row r="96" spans="1:30" x14ac:dyDescent="0.2">
      <c r="A96" s="160" t="s">
        <v>2602</v>
      </c>
      <c r="B96" s="160"/>
      <c r="C96" s="161" t="s">
        <v>1238</v>
      </c>
      <c r="D96" s="162" t="s">
        <v>1239</v>
      </c>
      <c r="E96" s="154">
        <v>0</v>
      </c>
      <c r="F96" s="154">
        <v>0</v>
      </c>
      <c r="G96" s="154">
        <v>1</v>
      </c>
      <c r="H96" s="154">
        <v>0</v>
      </c>
      <c r="I96" s="154">
        <v>0</v>
      </c>
      <c r="J96" s="154">
        <v>0</v>
      </c>
      <c r="K96" s="154">
        <v>0</v>
      </c>
      <c r="L96" s="154">
        <v>0</v>
      </c>
      <c r="M96" s="154">
        <v>0</v>
      </c>
      <c r="N96" s="154">
        <v>0</v>
      </c>
      <c r="O96" s="154">
        <v>0</v>
      </c>
      <c r="P96" s="154">
        <v>0</v>
      </c>
      <c r="Q96" s="154">
        <v>0</v>
      </c>
      <c r="R96" s="154">
        <v>0</v>
      </c>
      <c r="S96" s="154">
        <v>0</v>
      </c>
      <c r="T96" s="154">
        <v>0</v>
      </c>
      <c r="U96" s="154">
        <v>0</v>
      </c>
      <c r="V96" s="154">
        <v>0</v>
      </c>
      <c r="W96" s="154">
        <v>0</v>
      </c>
      <c r="X96" s="163">
        <f t="shared" si="3"/>
        <v>1</v>
      </c>
      <c r="Y96" s="156"/>
      <c r="Z96" s="157" t="s">
        <v>649</v>
      </c>
      <c r="AA96" s="157" t="s">
        <v>663</v>
      </c>
      <c r="AB96" s="151" t="s">
        <v>2602</v>
      </c>
      <c r="AC96" s="530" t="s">
        <v>3015</v>
      </c>
      <c r="AD96" s="159"/>
    </row>
    <row r="97" spans="1:30" x14ac:dyDescent="0.2">
      <c r="A97" s="151" t="s">
        <v>2602</v>
      </c>
      <c r="B97" s="151"/>
      <c r="C97" s="180" t="s">
        <v>1240</v>
      </c>
      <c r="D97" s="181" t="s">
        <v>1241</v>
      </c>
      <c r="E97" s="154">
        <v>0</v>
      </c>
      <c r="F97" s="154">
        <v>0</v>
      </c>
      <c r="G97" s="154">
        <v>0</v>
      </c>
      <c r="H97" s="154">
        <v>1</v>
      </c>
      <c r="I97" s="154">
        <v>0</v>
      </c>
      <c r="J97" s="154">
        <v>0</v>
      </c>
      <c r="K97" s="154">
        <v>0</v>
      </c>
      <c r="L97" s="154">
        <v>0</v>
      </c>
      <c r="M97" s="154">
        <v>0</v>
      </c>
      <c r="N97" s="154">
        <v>0</v>
      </c>
      <c r="O97" s="154">
        <v>0</v>
      </c>
      <c r="P97" s="154">
        <v>0</v>
      </c>
      <c r="Q97" s="154">
        <v>0</v>
      </c>
      <c r="R97" s="154">
        <v>0</v>
      </c>
      <c r="S97" s="154">
        <v>0</v>
      </c>
      <c r="T97" s="154">
        <v>0</v>
      </c>
      <c r="U97" s="154">
        <v>0</v>
      </c>
      <c r="V97" s="154">
        <v>0</v>
      </c>
      <c r="W97" s="154">
        <v>0</v>
      </c>
      <c r="X97" s="172">
        <f t="shared" si="3"/>
        <v>1</v>
      </c>
      <c r="Y97" s="156"/>
      <c r="Z97" s="157" t="s">
        <v>649</v>
      </c>
      <c r="AA97" s="157" t="s">
        <v>663</v>
      </c>
      <c r="AB97" s="151" t="s">
        <v>2602</v>
      </c>
      <c r="AC97" s="530" t="s">
        <v>3015</v>
      </c>
      <c r="AD97" s="159"/>
    </row>
    <row r="98" spans="1:30" x14ac:dyDescent="0.2">
      <c r="A98" s="160" t="s">
        <v>2602</v>
      </c>
      <c r="B98" s="160"/>
      <c r="C98" s="161" t="s">
        <v>1242</v>
      </c>
      <c r="D98" s="162" t="s">
        <v>1243</v>
      </c>
      <c r="E98" s="154">
        <v>0.89231090233509669</v>
      </c>
      <c r="F98" s="154">
        <v>0</v>
      </c>
      <c r="G98" s="154">
        <v>0</v>
      </c>
      <c r="H98" s="154">
        <v>0</v>
      </c>
      <c r="I98" s="154">
        <v>0</v>
      </c>
      <c r="J98" s="154">
        <v>0</v>
      </c>
      <c r="K98" s="154">
        <v>0</v>
      </c>
      <c r="L98" s="154">
        <v>0.10768909766490346</v>
      </c>
      <c r="M98" s="154">
        <v>0</v>
      </c>
      <c r="N98" s="154">
        <v>0</v>
      </c>
      <c r="O98" s="154">
        <v>0</v>
      </c>
      <c r="P98" s="154">
        <v>0</v>
      </c>
      <c r="Q98" s="154">
        <v>0</v>
      </c>
      <c r="R98" s="154">
        <v>0</v>
      </c>
      <c r="S98" s="154">
        <v>0</v>
      </c>
      <c r="T98" s="154">
        <v>0</v>
      </c>
      <c r="U98" s="154">
        <v>0</v>
      </c>
      <c r="V98" s="154">
        <v>0</v>
      </c>
      <c r="W98" s="154">
        <v>0</v>
      </c>
      <c r="X98" s="163">
        <f t="shared" si="3"/>
        <v>1.0000000000000002</v>
      </c>
      <c r="Y98" s="156"/>
      <c r="Z98" s="157" t="s">
        <v>649</v>
      </c>
      <c r="AA98" s="157" t="s">
        <v>663</v>
      </c>
      <c r="AB98" s="151" t="s">
        <v>2602</v>
      </c>
      <c r="AC98" s="530" t="s">
        <v>3015</v>
      </c>
      <c r="AD98" s="159"/>
    </row>
    <row r="99" spans="1:30" x14ac:dyDescent="0.2">
      <c r="A99" s="160" t="s">
        <v>2602</v>
      </c>
      <c r="B99" s="160"/>
      <c r="C99" s="161" t="s">
        <v>1244</v>
      </c>
      <c r="D99" s="162" t="s">
        <v>1245</v>
      </c>
      <c r="E99" s="154">
        <v>0.96049455204115586</v>
      </c>
      <c r="F99" s="154">
        <v>0</v>
      </c>
      <c r="G99" s="154">
        <v>0</v>
      </c>
      <c r="H99" s="154">
        <v>1.8547156800189316E-2</v>
      </c>
      <c r="I99" s="154">
        <v>0</v>
      </c>
      <c r="J99" s="154">
        <v>0</v>
      </c>
      <c r="K99" s="154">
        <v>0</v>
      </c>
      <c r="L99" s="154">
        <v>2.0958291158654895E-2</v>
      </c>
      <c r="M99" s="154">
        <v>0</v>
      </c>
      <c r="N99" s="154">
        <v>0</v>
      </c>
      <c r="O99" s="154">
        <v>0</v>
      </c>
      <c r="P99" s="154">
        <v>0</v>
      </c>
      <c r="Q99" s="154">
        <v>0</v>
      </c>
      <c r="R99" s="154">
        <v>0</v>
      </c>
      <c r="S99" s="154">
        <v>0</v>
      </c>
      <c r="T99" s="154">
        <v>0</v>
      </c>
      <c r="U99" s="154">
        <v>0</v>
      </c>
      <c r="V99" s="154">
        <v>0</v>
      </c>
      <c r="W99" s="154">
        <v>0</v>
      </c>
      <c r="X99" s="163">
        <f t="shared" si="3"/>
        <v>1.0000000000000002</v>
      </c>
      <c r="Y99" s="156"/>
      <c r="Z99" s="157" t="s">
        <v>649</v>
      </c>
      <c r="AA99" s="157" t="s">
        <v>663</v>
      </c>
      <c r="AB99" s="151" t="s">
        <v>2602</v>
      </c>
      <c r="AC99" s="530" t="s">
        <v>3015</v>
      </c>
      <c r="AD99" s="159"/>
    </row>
    <row r="100" spans="1:30" x14ac:dyDescent="0.2">
      <c r="A100" s="160" t="s">
        <v>2602</v>
      </c>
      <c r="B100" s="160"/>
      <c r="C100" s="167" t="s">
        <v>1588</v>
      </c>
      <c r="D100" s="168" t="s">
        <v>1589</v>
      </c>
      <c r="E100" s="154">
        <v>0</v>
      </c>
      <c r="F100" s="154">
        <v>0</v>
      </c>
      <c r="G100" s="154">
        <v>0</v>
      </c>
      <c r="H100" s="154">
        <v>1</v>
      </c>
      <c r="I100" s="154">
        <v>0</v>
      </c>
      <c r="J100" s="154">
        <v>0</v>
      </c>
      <c r="K100" s="154">
        <v>0</v>
      </c>
      <c r="L100" s="154">
        <v>0</v>
      </c>
      <c r="M100" s="154">
        <v>0</v>
      </c>
      <c r="N100" s="154">
        <v>0</v>
      </c>
      <c r="O100" s="154">
        <v>0</v>
      </c>
      <c r="P100" s="154">
        <v>0</v>
      </c>
      <c r="Q100" s="154">
        <v>0</v>
      </c>
      <c r="R100" s="154">
        <v>0</v>
      </c>
      <c r="S100" s="154">
        <v>0</v>
      </c>
      <c r="T100" s="154">
        <v>0</v>
      </c>
      <c r="U100" s="154">
        <v>0</v>
      </c>
      <c r="V100" s="154">
        <v>0</v>
      </c>
      <c r="W100" s="154">
        <v>0</v>
      </c>
      <c r="X100" s="163">
        <f t="shared" si="3"/>
        <v>1</v>
      </c>
      <c r="Y100" s="156"/>
      <c r="Z100" s="157" t="s">
        <v>649</v>
      </c>
      <c r="AA100" s="157" t="s">
        <v>663</v>
      </c>
      <c r="AB100" s="151" t="s">
        <v>2602</v>
      </c>
      <c r="AC100" s="530" t="s">
        <v>3015</v>
      </c>
      <c r="AD100" s="159"/>
    </row>
    <row r="101" spans="1:30" x14ac:dyDescent="0.2">
      <c r="A101" s="160" t="s">
        <v>2602</v>
      </c>
      <c r="B101" s="160"/>
      <c r="C101" s="161" t="s">
        <v>1246</v>
      </c>
      <c r="D101" s="162" t="s">
        <v>1247</v>
      </c>
      <c r="E101" s="154">
        <v>0</v>
      </c>
      <c r="F101" s="154">
        <v>0</v>
      </c>
      <c r="G101" s="154">
        <v>0</v>
      </c>
      <c r="H101" s="154">
        <v>1</v>
      </c>
      <c r="I101" s="154">
        <v>0</v>
      </c>
      <c r="J101" s="154">
        <v>0</v>
      </c>
      <c r="K101" s="154">
        <v>0</v>
      </c>
      <c r="L101" s="154">
        <v>0</v>
      </c>
      <c r="M101" s="154">
        <v>0</v>
      </c>
      <c r="N101" s="154">
        <v>0</v>
      </c>
      <c r="O101" s="154">
        <v>0</v>
      </c>
      <c r="P101" s="154">
        <v>0</v>
      </c>
      <c r="Q101" s="154">
        <v>0</v>
      </c>
      <c r="R101" s="154">
        <v>0</v>
      </c>
      <c r="S101" s="154">
        <v>0</v>
      </c>
      <c r="T101" s="154">
        <v>0</v>
      </c>
      <c r="U101" s="154">
        <v>0</v>
      </c>
      <c r="V101" s="154">
        <v>0</v>
      </c>
      <c r="W101" s="154">
        <v>0</v>
      </c>
      <c r="X101" s="163">
        <f t="shared" si="3"/>
        <v>1</v>
      </c>
      <c r="Y101" s="156"/>
      <c r="Z101" s="157" t="s">
        <v>649</v>
      </c>
      <c r="AA101" s="157" t="s">
        <v>663</v>
      </c>
      <c r="AB101" s="151" t="s">
        <v>2602</v>
      </c>
      <c r="AC101" s="530" t="s">
        <v>3015</v>
      </c>
      <c r="AD101" s="159"/>
    </row>
    <row r="102" spans="1:30" x14ac:dyDescent="0.2">
      <c r="A102" s="160" t="s">
        <v>2602</v>
      </c>
      <c r="B102" s="160"/>
      <c r="C102" s="161" t="s">
        <v>1250</v>
      </c>
      <c r="D102" s="162" t="s">
        <v>1251</v>
      </c>
      <c r="E102" s="154">
        <v>0</v>
      </c>
      <c r="F102" s="154">
        <v>0</v>
      </c>
      <c r="G102" s="154">
        <v>0</v>
      </c>
      <c r="H102" s="154">
        <v>0</v>
      </c>
      <c r="I102" s="154">
        <v>0</v>
      </c>
      <c r="J102" s="154">
        <v>0</v>
      </c>
      <c r="K102" s="154">
        <v>0</v>
      </c>
      <c r="L102" s="154">
        <v>0</v>
      </c>
      <c r="M102" s="154">
        <v>0</v>
      </c>
      <c r="N102" s="154">
        <v>0</v>
      </c>
      <c r="O102" s="154">
        <v>0</v>
      </c>
      <c r="P102" s="154">
        <v>0</v>
      </c>
      <c r="Q102" s="154">
        <v>1</v>
      </c>
      <c r="R102" s="154">
        <v>0</v>
      </c>
      <c r="S102" s="154">
        <v>0</v>
      </c>
      <c r="T102" s="154">
        <v>0</v>
      </c>
      <c r="U102" s="154">
        <v>0</v>
      </c>
      <c r="V102" s="154">
        <v>0</v>
      </c>
      <c r="W102" s="154">
        <v>0</v>
      </c>
      <c r="X102" s="163">
        <f t="shared" si="3"/>
        <v>1</v>
      </c>
      <c r="Y102" s="156"/>
      <c r="Z102" s="157" t="s">
        <v>649</v>
      </c>
      <c r="AA102" s="157" t="s">
        <v>663</v>
      </c>
      <c r="AB102" s="151" t="s">
        <v>2602</v>
      </c>
      <c r="AC102" s="530" t="s">
        <v>3015</v>
      </c>
      <c r="AD102" s="159"/>
    </row>
    <row r="103" spans="1:30" x14ac:dyDescent="0.2">
      <c r="A103" s="151" t="s">
        <v>2602</v>
      </c>
      <c r="B103" s="151"/>
      <c r="C103" s="180" t="s">
        <v>1253</v>
      </c>
      <c r="D103" s="181" t="s">
        <v>120</v>
      </c>
      <c r="E103" s="154">
        <v>0</v>
      </c>
      <c r="F103" s="154">
        <v>0</v>
      </c>
      <c r="G103" s="154">
        <v>0</v>
      </c>
      <c r="H103" s="154">
        <v>0</v>
      </c>
      <c r="I103" s="154">
        <v>0</v>
      </c>
      <c r="J103" s="154">
        <v>0</v>
      </c>
      <c r="K103" s="154">
        <v>0</v>
      </c>
      <c r="L103" s="154">
        <v>0</v>
      </c>
      <c r="M103" s="154">
        <v>0</v>
      </c>
      <c r="N103" s="154">
        <v>0.13002523192355411</v>
      </c>
      <c r="O103" s="154">
        <v>0</v>
      </c>
      <c r="P103" s="154">
        <v>0.84884849651455951</v>
      </c>
      <c r="Q103" s="154">
        <v>0</v>
      </c>
      <c r="R103" s="154">
        <v>0</v>
      </c>
      <c r="S103" s="154">
        <v>2.1126271561886401E-2</v>
      </c>
      <c r="T103" s="154">
        <v>0</v>
      </c>
      <c r="U103" s="154">
        <v>0</v>
      </c>
      <c r="V103" s="154">
        <v>0</v>
      </c>
      <c r="W103" s="154">
        <v>0</v>
      </c>
      <c r="X103" s="172">
        <f t="shared" si="3"/>
        <v>1</v>
      </c>
      <c r="Y103" s="156"/>
      <c r="Z103" s="157" t="s">
        <v>649</v>
      </c>
      <c r="AA103" s="157" t="s">
        <v>663</v>
      </c>
      <c r="AB103" s="151" t="s">
        <v>2602</v>
      </c>
      <c r="AC103" s="530" t="s">
        <v>3015</v>
      </c>
      <c r="AD103" s="159"/>
    </row>
    <row r="104" spans="1:30" x14ac:dyDescent="0.2">
      <c r="A104" s="160" t="s">
        <v>2602</v>
      </c>
      <c r="B104" s="160"/>
      <c r="C104" s="161" t="s">
        <v>1254</v>
      </c>
      <c r="D104" s="162" t="s">
        <v>1255</v>
      </c>
      <c r="E104" s="154">
        <v>0</v>
      </c>
      <c r="F104" s="154">
        <v>0</v>
      </c>
      <c r="G104" s="154">
        <v>0</v>
      </c>
      <c r="H104" s="154">
        <v>0</v>
      </c>
      <c r="I104" s="154">
        <v>0</v>
      </c>
      <c r="J104" s="154">
        <v>0</v>
      </c>
      <c r="K104" s="154">
        <v>0</v>
      </c>
      <c r="L104" s="154">
        <v>0</v>
      </c>
      <c r="M104" s="154">
        <v>0</v>
      </c>
      <c r="N104" s="154">
        <v>0</v>
      </c>
      <c r="O104" s="154">
        <v>0</v>
      </c>
      <c r="P104" s="154">
        <v>0</v>
      </c>
      <c r="Q104" s="154">
        <v>0</v>
      </c>
      <c r="R104" s="154">
        <v>0</v>
      </c>
      <c r="S104" s="154">
        <v>0</v>
      </c>
      <c r="T104" s="154">
        <v>0</v>
      </c>
      <c r="U104" s="154">
        <v>0</v>
      </c>
      <c r="V104" s="154">
        <v>1</v>
      </c>
      <c r="W104" s="154">
        <v>0</v>
      </c>
      <c r="X104" s="163">
        <f t="shared" si="3"/>
        <v>1</v>
      </c>
      <c r="Y104" s="156"/>
      <c r="Z104" s="157" t="s">
        <v>649</v>
      </c>
      <c r="AA104" s="157" t="s">
        <v>663</v>
      </c>
      <c r="AB104" s="151" t="s">
        <v>2602</v>
      </c>
      <c r="AC104" s="530" t="s">
        <v>3015</v>
      </c>
      <c r="AD104" s="159"/>
    </row>
    <row r="105" spans="1:30" x14ac:dyDescent="0.2">
      <c r="A105" s="151" t="s">
        <v>2602</v>
      </c>
      <c r="B105" s="151"/>
      <c r="C105" s="180" t="s">
        <v>1256</v>
      </c>
      <c r="D105" s="181" t="s">
        <v>1257</v>
      </c>
      <c r="E105" s="154">
        <v>0</v>
      </c>
      <c r="F105" s="154">
        <v>0</v>
      </c>
      <c r="G105" s="154">
        <v>0</v>
      </c>
      <c r="H105" s="154">
        <v>0</v>
      </c>
      <c r="I105" s="154">
        <v>0</v>
      </c>
      <c r="J105" s="154">
        <v>0</v>
      </c>
      <c r="K105" s="154">
        <v>0</v>
      </c>
      <c r="L105" s="154">
        <v>0</v>
      </c>
      <c r="M105" s="154">
        <v>0</v>
      </c>
      <c r="N105" s="154">
        <v>0</v>
      </c>
      <c r="O105" s="154">
        <v>0</v>
      </c>
      <c r="P105" s="154">
        <v>0</v>
      </c>
      <c r="Q105" s="154">
        <v>0</v>
      </c>
      <c r="R105" s="154">
        <v>0</v>
      </c>
      <c r="S105" s="154">
        <v>0</v>
      </c>
      <c r="T105" s="154">
        <v>0</v>
      </c>
      <c r="U105" s="154">
        <v>0</v>
      </c>
      <c r="V105" s="154">
        <v>1</v>
      </c>
      <c r="W105" s="154">
        <v>0</v>
      </c>
      <c r="X105" s="172">
        <f t="shared" si="3"/>
        <v>1</v>
      </c>
      <c r="Y105" s="156"/>
      <c r="Z105" s="157" t="s">
        <v>649</v>
      </c>
      <c r="AA105" s="157" t="s">
        <v>663</v>
      </c>
      <c r="AB105" s="151" t="s">
        <v>2602</v>
      </c>
      <c r="AC105" s="530" t="s">
        <v>3015</v>
      </c>
      <c r="AD105" s="159"/>
    </row>
    <row r="106" spans="1:30" x14ac:dyDescent="0.2">
      <c r="A106" s="160" t="s">
        <v>2602</v>
      </c>
      <c r="B106" s="160"/>
      <c r="C106" s="161" t="s">
        <v>1258</v>
      </c>
      <c r="D106" s="162" t="s">
        <v>121</v>
      </c>
      <c r="E106" s="154">
        <v>0</v>
      </c>
      <c r="F106" s="154">
        <v>0</v>
      </c>
      <c r="G106" s="154">
        <v>0</v>
      </c>
      <c r="H106" s="154">
        <v>0</v>
      </c>
      <c r="I106" s="154">
        <v>0</v>
      </c>
      <c r="J106" s="154">
        <v>0</v>
      </c>
      <c r="K106" s="154">
        <v>0</v>
      </c>
      <c r="L106" s="154">
        <v>0</v>
      </c>
      <c r="M106" s="154">
        <v>0</v>
      </c>
      <c r="N106" s="154">
        <v>0</v>
      </c>
      <c r="O106" s="154">
        <v>0</v>
      </c>
      <c r="P106" s="154">
        <v>0</v>
      </c>
      <c r="Q106" s="154">
        <v>0</v>
      </c>
      <c r="R106" s="154">
        <v>0</v>
      </c>
      <c r="S106" s="154">
        <v>1</v>
      </c>
      <c r="T106" s="154">
        <v>0</v>
      </c>
      <c r="U106" s="154">
        <v>0</v>
      </c>
      <c r="V106" s="154">
        <v>0</v>
      </c>
      <c r="W106" s="154">
        <v>0</v>
      </c>
      <c r="X106" s="163">
        <f t="shared" si="3"/>
        <v>1</v>
      </c>
      <c r="Y106" s="156"/>
      <c r="Z106" s="157" t="s">
        <v>649</v>
      </c>
      <c r="AA106" s="157" t="s">
        <v>663</v>
      </c>
      <c r="AB106" s="151" t="s">
        <v>2602</v>
      </c>
      <c r="AC106" s="530" t="s">
        <v>3015</v>
      </c>
      <c r="AD106" s="159"/>
    </row>
    <row r="107" spans="1:30" x14ac:dyDescent="0.2">
      <c r="A107" s="160" t="s">
        <v>2602</v>
      </c>
      <c r="B107" s="160"/>
      <c r="C107" s="161" t="s">
        <v>1259</v>
      </c>
      <c r="D107" s="162" t="s">
        <v>122</v>
      </c>
      <c r="E107" s="154">
        <v>0</v>
      </c>
      <c r="F107" s="154">
        <v>0</v>
      </c>
      <c r="G107" s="154">
        <v>0</v>
      </c>
      <c r="H107" s="154">
        <v>0</v>
      </c>
      <c r="I107" s="154">
        <v>0</v>
      </c>
      <c r="J107" s="154">
        <v>0</v>
      </c>
      <c r="K107" s="154">
        <v>0</v>
      </c>
      <c r="L107" s="154">
        <v>0</v>
      </c>
      <c r="M107" s="154">
        <v>0</v>
      </c>
      <c r="N107" s="154">
        <v>1</v>
      </c>
      <c r="O107" s="154">
        <v>0</v>
      </c>
      <c r="P107" s="154">
        <v>0</v>
      </c>
      <c r="Q107" s="154">
        <v>0</v>
      </c>
      <c r="R107" s="154">
        <v>0</v>
      </c>
      <c r="S107" s="154">
        <v>0</v>
      </c>
      <c r="T107" s="154">
        <v>0</v>
      </c>
      <c r="U107" s="154">
        <v>0</v>
      </c>
      <c r="V107" s="154">
        <v>0</v>
      </c>
      <c r="W107" s="154">
        <v>0</v>
      </c>
      <c r="X107" s="163">
        <f t="shared" si="3"/>
        <v>1</v>
      </c>
      <c r="Y107" s="156"/>
      <c r="Z107" s="157" t="s">
        <v>649</v>
      </c>
      <c r="AA107" s="157" t="s">
        <v>663</v>
      </c>
      <c r="AB107" s="151" t="s">
        <v>2602</v>
      </c>
      <c r="AC107" s="530" t="s">
        <v>3015</v>
      </c>
      <c r="AD107" s="159"/>
    </row>
    <row r="108" spans="1:30" x14ac:dyDescent="0.2">
      <c r="A108" s="160" t="s">
        <v>2602</v>
      </c>
      <c r="B108" s="160"/>
      <c r="C108" s="161" t="s">
        <v>1260</v>
      </c>
      <c r="D108" s="162" t="s">
        <v>123</v>
      </c>
      <c r="E108" s="154">
        <v>0</v>
      </c>
      <c r="F108" s="154">
        <v>0</v>
      </c>
      <c r="G108" s="154">
        <v>0</v>
      </c>
      <c r="H108" s="154">
        <v>0</v>
      </c>
      <c r="I108" s="154">
        <v>0</v>
      </c>
      <c r="J108" s="154">
        <v>0</v>
      </c>
      <c r="K108" s="154">
        <v>0</v>
      </c>
      <c r="L108" s="154">
        <v>0</v>
      </c>
      <c r="M108" s="154">
        <v>0</v>
      </c>
      <c r="N108" s="154">
        <v>0.94470857791865281</v>
      </c>
      <c r="O108" s="154">
        <v>0</v>
      </c>
      <c r="P108" s="154">
        <v>0</v>
      </c>
      <c r="Q108" s="154">
        <v>0</v>
      </c>
      <c r="R108" s="154">
        <v>0</v>
      </c>
      <c r="S108" s="154">
        <v>5.5291422081347165E-2</v>
      </c>
      <c r="T108" s="154">
        <v>0</v>
      </c>
      <c r="U108" s="154">
        <v>0</v>
      </c>
      <c r="V108" s="154">
        <v>0</v>
      </c>
      <c r="W108" s="154">
        <v>0</v>
      </c>
      <c r="X108" s="163">
        <f t="shared" si="3"/>
        <v>1</v>
      </c>
      <c r="Y108" s="156"/>
      <c r="Z108" s="157" t="s">
        <v>649</v>
      </c>
      <c r="AA108" s="157" t="s">
        <v>663</v>
      </c>
      <c r="AB108" s="151" t="s">
        <v>2602</v>
      </c>
      <c r="AC108" s="530" t="s">
        <v>3015</v>
      </c>
      <c r="AD108" s="159"/>
    </row>
    <row r="109" spans="1:30" x14ac:dyDescent="0.2">
      <c r="A109" s="151" t="s">
        <v>2602</v>
      </c>
      <c r="B109" s="151"/>
      <c r="C109" s="180" t="s">
        <v>1261</v>
      </c>
      <c r="D109" s="181" t="s">
        <v>1262</v>
      </c>
      <c r="E109" s="154">
        <v>0.58216214118175835</v>
      </c>
      <c r="F109" s="154">
        <v>0</v>
      </c>
      <c r="G109" s="154">
        <v>0</v>
      </c>
      <c r="H109" s="154">
        <v>0</v>
      </c>
      <c r="I109" s="154">
        <v>0</v>
      </c>
      <c r="J109" s="154">
        <v>0</v>
      </c>
      <c r="K109" s="154">
        <v>0</v>
      </c>
      <c r="L109" s="154">
        <v>0.41783785881824159</v>
      </c>
      <c r="M109" s="154">
        <v>0</v>
      </c>
      <c r="N109" s="154">
        <v>0</v>
      </c>
      <c r="O109" s="154">
        <v>0</v>
      </c>
      <c r="P109" s="154">
        <v>0</v>
      </c>
      <c r="Q109" s="154">
        <v>0</v>
      </c>
      <c r="R109" s="154">
        <v>0</v>
      </c>
      <c r="S109" s="154">
        <v>0</v>
      </c>
      <c r="T109" s="154">
        <v>0</v>
      </c>
      <c r="U109" s="154">
        <v>0</v>
      </c>
      <c r="V109" s="154">
        <v>0</v>
      </c>
      <c r="W109" s="154">
        <v>0</v>
      </c>
      <c r="X109" s="172">
        <f t="shared" si="3"/>
        <v>1</v>
      </c>
      <c r="Y109" s="156"/>
      <c r="Z109" s="157" t="s">
        <v>649</v>
      </c>
      <c r="AA109" s="157" t="s">
        <v>663</v>
      </c>
      <c r="AB109" s="151" t="s">
        <v>2602</v>
      </c>
      <c r="AC109" s="530" t="s">
        <v>3015</v>
      </c>
      <c r="AD109" s="159"/>
    </row>
    <row r="110" spans="1:30" x14ac:dyDescent="0.2">
      <c r="A110" s="160" t="s">
        <v>2602</v>
      </c>
      <c r="B110" s="160"/>
      <c r="C110" s="161" t="s">
        <v>1264</v>
      </c>
      <c r="D110" s="162" t="s">
        <v>1265</v>
      </c>
      <c r="E110" s="154">
        <v>0</v>
      </c>
      <c r="F110" s="154">
        <v>0</v>
      </c>
      <c r="G110" s="154">
        <v>0</v>
      </c>
      <c r="H110" s="154">
        <v>0</v>
      </c>
      <c r="I110" s="154">
        <v>0</v>
      </c>
      <c r="J110" s="154">
        <v>0</v>
      </c>
      <c r="K110" s="154">
        <v>0</v>
      </c>
      <c r="L110" s="154">
        <v>1</v>
      </c>
      <c r="M110" s="154">
        <v>0</v>
      </c>
      <c r="N110" s="154">
        <v>0</v>
      </c>
      <c r="O110" s="154">
        <v>0</v>
      </c>
      <c r="P110" s="154">
        <v>0</v>
      </c>
      <c r="Q110" s="154">
        <v>0</v>
      </c>
      <c r="R110" s="154">
        <v>0</v>
      </c>
      <c r="S110" s="154">
        <v>0</v>
      </c>
      <c r="T110" s="154">
        <v>0</v>
      </c>
      <c r="U110" s="154">
        <v>0</v>
      </c>
      <c r="V110" s="154">
        <v>0</v>
      </c>
      <c r="W110" s="154">
        <v>0</v>
      </c>
      <c r="X110" s="163">
        <f t="shared" si="3"/>
        <v>1</v>
      </c>
      <c r="Y110" s="156"/>
      <c r="Z110" s="157" t="s">
        <v>649</v>
      </c>
      <c r="AA110" s="157" t="s">
        <v>663</v>
      </c>
      <c r="AB110" s="151" t="s">
        <v>2602</v>
      </c>
      <c r="AC110" s="530" t="s">
        <v>3015</v>
      </c>
      <c r="AD110" s="159"/>
    </row>
    <row r="111" spans="1:30" x14ac:dyDescent="0.2">
      <c r="A111" s="160" t="s">
        <v>2602</v>
      </c>
      <c r="B111" s="160"/>
      <c r="C111" s="190" t="s">
        <v>1720</v>
      </c>
      <c r="D111" s="191" t="s">
        <v>1721</v>
      </c>
      <c r="E111" s="154">
        <v>0</v>
      </c>
      <c r="F111" s="154">
        <v>0</v>
      </c>
      <c r="G111" s="154">
        <v>0</v>
      </c>
      <c r="H111" s="154">
        <v>1</v>
      </c>
      <c r="I111" s="154">
        <v>0</v>
      </c>
      <c r="J111" s="154">
        <v>0</v>
      </c>
      <c r="K111" s="154">
        <v>0</v>
      </c>
      <c r="L111" s="154">
        <v>0</v>
      </c>
      <c r="M111" s="154">
        <v>0</v>
      </c>
      <c r="N111" s="154">
        <v>0</v>
      </c>
      <c r="O111" s="154">
        <v>0</v>
      </c>
      <c r="P111" s="154">
        <v>0</v>
      </c>
      <c r="Q111" s="154">
        <v>0</v>
      </c>
      <c r="R111" s="154">
        <v>0</v>
      </c>
      <c r="S111" s="154">
        <v>0</v>
      </c>
      <c r="T111" s="154">
        <v>0</v>
      </c>
      <c r="U111" s="154">
        <v>0</v>
      </c>
      <c r="V111" s="154">
        <v>0</v>
      </c>
      <c r="W111" s="154">
        <v>0</v>
      </c>
      <c r="X111" s="163">
        <f t="shared" si="3"/>
        <v>1</v>
      </c>
      <c r="Y111" s="198"/>
      <c r="Z111" s="157" t="s">
        <v>649</v>
      </c>
      <c r="AA111" s="157" t="s">
        <v>663</v>
      </c>
      <c r="AB111" s="151" t="s">
        <v>2602</v>
      </c>
      <c r="AC111" s="530" t="s">
        <v>3015</v>
      </c>
      <c r="AD111" s="159"/>
    </row>
    <row r="112" spans="1:30" x14ac:dyDescent="0.2">
      <c r="A112" s="160" t="s">
        <v>2602</v>
      </c>
      <c r="B112" s="199">
        <v>42247</v>
      </c>
      <c r="C112" s="164" t="s">
        <v>1267</v>
      </c>
      <c r="D112" s="165" t="s">
        <v>127</v>
      </c>
      <c r="E112" s="154">
        <v>0</v>
      </c>
      <c r="F112" s="154">
        <v>0</v>
      </c>
      <c r="G112" s="154">
        <v>5.5000062818232809E-3</v>
      </c>
      <c r="H112" s="154">
        <v>0</v>
      </c>
      <c r="I112" s="154">
        <v>0</v>
      </c>
      <c r="J112" s="154">
        <v>0</v>
      </c>
      <c r="K112" s="154">
        <v>0</v>
      </c>
      <c r="L112" s="154">
        <v>0</v>
      </c>
      <c r="M112" s="154">
        <v>0</v>
      </c>
      <c r="N112" s="154">
        <v>0.48860002652237311</v>
      </c>
      <c r="O112" s="154">
        <v>0</v>
      </c>
      <c r="P112" s="154">
        <v>0.42799997586353072</v>
      </c>
      <c r="Q112" s="154">
        <v>0</v>
      </c>
      <c r="R112" s="154">
        <v>0</v>
      </c>
      <c r="S112" s="154">
        <v>6.7599985918411293E-2</v>
      </c>
      <c r="T112" s="154">
        <v>1.0300005413861578E-2</v>
      </c>
      <c r="U112" s="154">
        <v>0</v>
      </c>
      <c r="V112" s="154">
        <v>0</v>
      </c>
      <c r="W112" s="154">
        <v>0</v>
      </c>
      <c r="X112" s="166">
        <f t="shared" si="3"/>
        <v>1</v>
      </c>
      <c r="Y112" s="198"/>
      <c r="Z112" s="157" t="s">
        <v>649</v>
      </c>
      <c r="AA112" s="157" t="s">
        <v>663</v>
      </c>
      <c r="AB112" s="151" t="s">
        <v>2602</v>
      </c>
      <c r="AC112" s="530" t="s">
        <v>3015</v>
      </c>
      <c r="AD112" s="159"/>
    </row>
    <row r="113" spans="1:30" x14ac:dyDescent="0.2">
      <c r="A113" s="160" t="s">
        <v>2602</v>
      </c>
      <c r="B113" s="160"/>
      <c r="C113" s="161" t="s">
        <v>1268</v>
      </c>
      <c r="D113" s="162" t="s">
        <v>1269</v>
      </c>
      <c r="E113" s="154">
        <v>0</v>
      </c>
      <c r="F113" s="154">
        <v>0</v>
      </c>
      <c r="G113" s="154">
        <v>0</v>
      </c>
      <c r="H113" s="154">
        <v>1</v>
      </c>
      <c r="I113" s="154">
        <v>0</v>
      </c>
      <c r="J113" s="154">
        <v>0</v>
      </c>
      <c r="K113" s="154">
        <v>0</v>
      </c>
      <c r="L113" s="154">
        <v>0</v>
      </c>
      <c r="M113" s="154">
        <v>0</v>
      </c>
      <c r="N113" s="154">
        <v>0</v>
      </c>
      <c r="O113" s="154">
        <v>0</v>
      </c>
      <c r="P113" s="154">
        <v>0</v>
      </c>
      <c r="Q113" s="154">
        <v>0</v>
      </c>
      <c r="R113" s="154">
        <v>0</v>
      </c>
      <c r="S113" s="154">
        <v>0</v>
      </c>
      <c r="T113" s="154">
        <v>0</v>
      </c>
      <c r="U113" s="154">
        <v>0</v>
      </c>
      <c r="V113" s="154">
        <v>0</v>
      </c>
      <c r="W113" s="154">
        <v>0</v>
      </c>
      <c r="X113" s="163">
        <f t="shared" si="3"/>
        <v>1</v>
      </c>
      <c r="Y113" s="156"/>
      <c r="Z113" s="157" t="s">
        <v>649</v>
      </c>
      <c r="AA113" s="157" t="s">
        <v>663</v>
      </c>
      <c r="AB113" s="151" t="s">
        <v>2602</v>
      </c>
      <c r="AC113" s="530" t="s">
        <v>3015</v>
      </c>
      <c r="AD113" s="159"/>
    </row>
    <row r="114" spans="1:30" x14ac:dyDescent="0.2">
      <c r="A114" s="151" t="s">
        <v>2602</v>
      </c>
      <c r="B114" s="151"/>
      <c r="C114" s="170" t="s">
        <v>1270</v>
      </c>
      <c r="D114" s="192" t="s">
        <v>133</v>
      </c>
      <c r="E114" s="154">
        <v>0</v>
      </c>
      <c r="F114" s="154">
        <v>0</v>
      </c>
      <c r="G114" s="154">
        <v>0</v>
      </c>
      <c r="H114" s="154">
        <v>0</v>
      </c>
      <c r="I114" s="154">
        <v>0</v>
      </c>
      <c r="J114" s="154">
        <v>0</v>
      </c>
      <c r="K114" s="154">
        <v>0</v>
      </c>
      <c r="L114" s="154">
        <v>1</v>
      </c>
      <c r="M114" s="154">
        <v>0</v>
      </c>
      <c r="N114" s="154">
        <v>0</v>
      </c>
      <c r="O114" s="154">
        <v>0</v>
      </c>
      <c r="P114" s="154">
        <v>0</v>
      </c>
      <c r="Q114" s="154">
        <v>0</v>
      </c>
      <c r="R114" s="154">
        <v>0</v>
      </c>
      <c r="S114" s="154">
        <v>0</v>
      </c>
      <c r="T114" s="154">
        <v>0</v>
      </c>
      <c r="U114" s="154">
        <v>0</v>
      </c>
      <c r="V114" s="154">
        <v>0</v>
      </c>
      <c r="W114" s="154">
        <v>0</v>
      </c>
      <c r="X114" s="193">
        <f t="shared" si="3"/>
        <v>1</v>
      </c>
      <c r="Y114" s="156"/>
      <c r="Z114" s="157" t="s">
        <v>649</v>
      </c>
      <c r="AA114" s="157" t="s">
        <v>663</v>
      </c>
      <c r="AB114" s="151" t="s">
        <v>2602</v>
      </c>
      <c r="AC114" s="530" t="s">
        <v>3015</v>
      </c>
      <c r="AD114" s="159"/>
    </row>
    <row r="115" spans="1:30" x14ac:dyDescent="0.2">
      <c r="A115" s="160" t="s">
        <v>2602</v>
      </c>
      <c r="B115" s="160"/>
      <c r="C115" s="161" t="s">
        <v>1271</v>
      </c>
      <c r="D115" s="162" t="s">
        <v>1272</v>
      </c>
      <c r="E115" s="154">
        <v>0</v>
      </c>
      <c r="F115" s="154">
        <v>0</v>
      </c>
      <c r="G115" s="154">
        <v>0</v>
      </c>
      <c r="H115" s="154">
        <v>1</v>
      </c>
      <c r="I115" s="154">
        <v>0</v>
      </c>
      <c r="J115" s="154">
        <v>0</v>
      </c>
      <c r="K115" s="154">
        <v>0</v>
      </c>
      <c r="L115" s="154">
        <v>0</v>
      </c>
      <c r="M115" s="154">
        <v>0</v>
      </c>
      <c r="N115" s="154">
        <v>0</v>
      </c>
      <c r="O115" s="154">
        <v>0</v>
      </c>
      <c r="P115" s="154">
        <v>0</v>
      </c>
      <c r="Q115" s="154">
        <v>0</v>
      </c>
      <c r="R115" s="154">
        <v>0</v>
      </c>
      <c r="S115" s="154">
        <v>0</v>
      </c>
      <c r="T115" s="154">
        <v>0</v>
      </c>
      <c r="U115" s="154">
        <v>0</v>
      </c>
      <c r="V115" s="154">
        <v>0</v>
      </c>
      <c r="W115" s="154">
        <v>0</v>
      </c>
      <c r="X115" s="163">
        <f t="shared" si="3"/>
        <v>1</v>
      </c>
      <c r="Y115" s="156"/>
      <c r="Z115" s="157" t="s">
        <v>649</v>
      </c>
      <c r="AA115" s="157" t="s">
        <v>663</v>
      </c>
      <c r="AB115" s="151" t="s">
        <v>2602</v>
      </c>
      <c r="AC115" s="530" t="s">
        <v>3015</v>
      </c>
      <c r="AD115" s="159"/>
    </row>
    <row r="116" spans="1:30" x14ac:dyDescent="0.2">
      <c r="A116" s="160" t="s">
        <v>2602</v>
      </c>
      <c r="B116" s="160"/>
      <c r="C116" s="161" t="s">
        <v>1273</v>
      </c>
      <c r="D116" s="162" t="s">
        <v>1274</v>
      </c>
      <c r="E116" s="154">
        <v>0</v>
      </c>
      <c r="F116" s="154">
        <v>0</v>
      </c>
      <c r="G116" s="154">
        <v>0</v>
      </c>
      <c r="H116" s="154">
        <v>1</v>
      </c>
      <c r="I116" s="154">
        <v>0</v>
      </c>
      <c r="J116" s="154">
        <v>0</v>
      </c>
      <c r="K116" s="154">
        <v>0</v>
      </c>
      <c r="L116" s="154">
        <v>0</v>
      </c>
      <c r="M116" s="154">
        <v>0</v>
      </c>
      <c r="N116" s="154">
        <v>0</v>
      </c>
      <c r="O116" s="154">
        <v>0</v>
      </c>
      <c r="P116" s="154">
        <v>0</v>
      </c>
      <c r="Q116" s="154">
        <v>0</v>
      </c>
      <c r="R116" s="154">
        <v>0</v>
      </c>
      <c r="S116" s="154">
        <v>0</v>
      </c>
      <c r="T116" s="154">
        <v>0</v>
      </c>
      <c r="U116" s="154">
        <v>0</v>
      </c>
      <c r="V116" s="154">
        <v>0</v>
      </c>
      <c r="W116" s="154">
        <v>0</v>
      </c>
      <c r="X116" s="163">
        <f t="shared" si="3"/>
        <v>1</v>
      </c>
      <c r="Y116" s="156"/>
      <c r="Z116" s="157" t="s">
        <v>649</v>
      </c>
      <c r="AA116" s="157" t="s">
        <v>663</v>
      </c>
      <c r="AB116" s="151" t="s">
        <v>2602</v>
      </c>
      <c r="AC116" s="530" t="s">
        <v>3015</v>
      </c>
      <c r="AD116" s="159"/>
    </row>
    <row r="117" spans="1:30" x14ac:dyDescent="0.2">
      <c r="A117" s="160" t="s">
        <v>2602</v>
      </c>
      <c r="B117" s="160"/>
      <c r="C117" s="190" t="s">
        <v>1726</v>
      </c>
      <c r="D117" s="191" t="s">
        <v>1727</v>
      </c>
      <c r="E117" s="154">
        <v>1</v>
      </c>
      <c r="F117" s="154">
        <v>0</v>
      </c>
      <c r="G117" s="154">
        <v>0</v>
      </c>
      <c r="H117" s="154">
        <v>0</v>
      </c>
      <c r="I117" s="154">
        <v>0</v>
      </c>
      <c r="J117" s="154">
        <v>0</v>
      </c>
      <c r="K117" s="154">
        <v>0</v>
      </c>
      <c r="L117" s="154">
        <v>0</v>
      </c>
      <c r="M117" s="154">
        <v>0</v>
      </c>
      <c r="N117" s="154">
        <v>0</v>
      </c>
      <c r="O117" s="154">
        <v>0</v>
      </c>
      <c r="P117" s="154">
        <v>0</v>
      </c>
      <c r="Q117" s="154">
        <v>0</v>
      </c>
      <c r="R117" s="154">
        <v>0</v>
      </c>
      <c r="S117" s="154">
        <v>0</v>
      </c>
      <c r="T117" s="154">
        <v>0</v>
      </c>
      <c r="U117" s="154">
        <v>0</v>
      </c>
      <c r="V117" s="154">
        <v>0</v>
      </c>
      <c r="W117" s="154">
        <v>0</v>
      </c>
      <c r="X117" s="163">
        <f t="shared" si="3"/>
        <v>1</v>
      </c>
      <c r="Y117" s="156"/>
      <c r="Z117" s="157" t="s">
        <v>649</v>
      </c>
      <c r="AA117" s="157" t="s">
        <v>663</v>
      </c>
      <c r="AB117" s="151" t="s">
        <v>2602</v>
      </c>
      <c r="AC117" s="530" t="s">
        <v>3015</v>
      </c>
      <c r="AD117" s="159"/>
    </row>
    <row r="118" spans="1:30" x14ac:dyDescent="0.2">
      <c r="A118" s="160" t="s">
        <v>2602</v>
      </c>
      <c r="B118" s="160"/>
      <c r="C118" s="190" t="s">
        <v>1728</v>
      </c>
      <c r="D118" s="191" t="s">
        <v>1729</v>
      </c>
      <c r="E118" s="154">
        <v>0</v>
      </c>
      <c r="F118" s="154">
        <v>0</v>
      </c>
      <c r="G118" s="154">
        <v>0</v>
      </c>
      <c r="H118" s="154">
        <v>0</v>
      </c>
      <c r="I118" s="154">
        <v>0</v>
      </c>
      <c r="J118" s="154">
        <v>0</v>
      </c>
      <c r="K118" s="154">
        <v>0</v>
      </c>
      <c r="L118" s="154">
        <v>1</v>
      </c>
      <c r="M118" s="154">
        <v>0</v>
      </c>
      <c r="N118" s="154">
        <v>0</v>
      </c>
      <c r="O118" s="154">
        <v>0</v>
      </c>
      <c r="P118" s="154">
        <v>0</v>
      </c>
      <c r="Q118" s="154">
        <v>0</v>
      </c>
      <c r="R118" s="154">
        <v>0</v>
      </c>
      <c r="S118" s="154">
        <v>0</v>
      </c>
      <c r="T118" s="154">
        <v>0</v>
      </c>
      <c r="U118" s="154">
        <v>0</v>
      </c>
      <c r="V118" s="154">
        <v>0</v>
      </c>
      <c r="W118" s="154">
        <v>0</v>
      </c>
      <c r="X118" s="163">
        <f t="shared" si="3"/>
        <v>1</v>
      </c>
      <c r="Y118" s="156"/>
      <c r="Z118" s="157" t="s">
        <v>649</v>
      </c>
      <c r="AA118" s="157" t="s">
        <v>663</v>
      </c>
      <c r="AB118" s="151" t="s">
        <v>2602</v>
      </c>
      <c r="AC118" s="530" t="s">
        <v>3015</v>
      </c>
      <c r="AD118" s="159"/>
    </row>
    <row r="119" spans="1:30" x14ac:dyDescent="0.2">
      <c r="A119" s="151" t="s">
        <v>2602</v>
      </c>
      <c r="B119" s="151"/>
      <c r="C119" s="188" t="s">
        <v>1730</v>
      </c>
      <c r="D119" s="189" t="s">
        <v>1731</v>
      </c>
      <c r="E119" s="154">
        <v>0</v>
      </c>
      <c r="F119" s="154">
        <v>0</v>
      </c>
      <c r="G119" s="154">
        <v>0</v>
      </c>
      <c r="H119" s="154">
        <v>0</v>
      </c>
      <c r="I119" s="154">
        <v>0</v>
      </c>
      <c r="J119" s="154">
        <v>0</v>
      </c>
      <c r="K119" s="154">
        <v>0</v>
      </c>
      <c r="L119" s="154">
        <v>1</v>
      </c>
      <c r="M119" s="154">
        <v>0</v>
      </c>
      <c r="N119" s="154">
        <v>0</v>
      </c>
      <c r="O119" s="154">
        <v>0</v>
      </c>
      <c r="P119" s="154">
        <v>0</v>
      </c>
      <c r="Q119" s="154">
        <v>0</v>
      </c>
      <c r="R119" s="154">
        <v>0</v>
      </c>
      <c r="S119" s="154">
        <v>0</v>
      </c>
      <c r="T119" s="154">
        <v>0</v>
      </c>
      <c r="U119" s="154">
        <v>0</v>
      </c>
      <c r="V119" s="154">
        <v>0</v>
      </c>
      <c r="W119" s="154">
        <v>0</v>
      </c>
      <c r="X119" s="172">
        <f t="shared" si="3"/>
        <v>1</v>
      </c>
      <c r="Y119" s="156"/>
      <c r="Z119" s="157" t="s">
        <v>649</v>
      </c>
      <c r="AA119" s="157" t="s">
        <v>663</v>
      </c>
      <c r="AB119" s="151" t="s">
        <v>2602</v>
      </c>
      <c r="AC119" s="530" t="s">
        <v>3015</v>
      </c>
      <c r="AD119" s="159"/>
    </row>
    <row r="120" spans="1:30" x14ac:dyDescent="0.2">
      <c r="A120" s="160" t="s">
        <v>2602</v>
      </c>
      <c r="B120" s="160"/>
      <c r="C120" s="164" t="s">
        <v>1732</v>
      </c>
      <c r="D120" s="165" t="s">
        <v>1733</v>
      </c>
      <c r="E120" s="154">
        <v>0</v>
      </c>
      <c r="F120" s="154">
        <v>0</v>
      </c>
      <c r="G120" s="154">
        <v>0</v>
      </c>
      <c r="H120" s="154">
        <v>0</v>
      </c>
      <c r="I120" s="154">
        <v>0</v>
      </c>
      <c r="J120" s="154">
        <v>0</v>
      </c>
      <c r="K120" s="154">
        <v>0</v>
      </c>
      <c r="L120" s="154">
        <v>1</v>
      </c>
      <c r="M120" s="154">
        <v>0</v>
      </c>
      <c r="N120" s="154">
        <v>0</v>
      </c>
      <c r="O120" s="154">
        <v>0</v>
      </c>
      <c r="P120" s="154">
        <v>0</v>
      </c>
      <c r="Q120" s="154">
        <v>0</v>
      </c>
      <c r="R120" s="154">
        <v>0</v>
      </c>
      <c r="S120" s="154">
        <v>0</v>
      </c>
      <c r="T120" s="154">
        <v>0</v>
      </c>
      <c r="U120" s="154">
        <v>0</v>
      </c>
      <c r="V120" s="154">
        <v>0</v>
      </c>
      <c r="W120" s="154">
        <v>0</v>
      </c>
      <c r="X120" s="166">
        <f t="shared" si="3"/>
        <v>1</v>
      </c>
      <c r="Y120" s="156"/>
      <c r="Z120" s="157" t="s">
        <v>649</v>
      </c>
      <c r="AA120" s="157" t="s">
        <v>663</v>
      </c>
      <c r="AB120" s="151" t="s">
        <v>2602</v>
      </c>
      <c r="AC120" s="530" t="s">
        <v>3015</v>
      </c>
      <c r="AD120" s="159"/>
    </row>
    <row r="121" spans="1:30" x14ac:dyDescent="0.2">
      <c r="A121" s="160" t="s">
        <v>2602</v>
      </c>
      <c r="B121" s="160"/>
      <c r="C121" s="200" t="s">
        <v>1311</v>
      </c>
      <c r="D121" s="201" t="s">
        <v>1312</v>
      </c>
      <c r="E121" s="154">
        <v>0</v>
      </c>
      <c r="F121" s="154">
        <v>0</v>
      </c>
      <c r="G121" s="154">
        <v>0</v>
      </c>
      <c r="H121" s="154">
        <v>0</v>
      </c>
      <c r="I121" s="154">
        <v>0</v>
      </c>
      <c r="J121" s="154">
        <v>0</v>
      </c>
      <c r="K121" s="154">
        <v>0</v>
      </c>
      <c r="L121" s="154">
        <v>0</v>
      </c>
      <c r="M121" s="154">
        <v>0</v>
      </c>
      <c r="N121" s="154">
        <v>0</v>
      </c>
      <c r="O121" s="154">
        <v>0</v>
      </c>
      <c r="P121" s="154">
        <v>1</v>
      </c>
      <c r="Q121" s="154">
        <v>0</v>
      </c>
      <c r="R121" s="154">
        <v>0</v>
      </c>
      <c r="S121" s="154">
        <v>0</v>
      </c>
      <c r="T121" s="154">
        <v>0</v>
      </c>
      <c r="U121" s="154">
        <v>0</v>
      </c>
      <c r="V121" s="154">
        <v>0</v>
      </c>
      <c r="W121" s="154">
        <v>0</v>
      </c>
      <c r="X121" s="163">
        <f t="shared" si="3"/>
        <v>1</v>
      </c>
      <c r="Y121" s="198"/>
      <c r="Z121" s="157" t="s">
        <v>649</v>
      </c>
      <c r="AA121" s="157" t="s">
        <v>663</v>
      </c>
      <c r="AB121" s="151" t="s">
        <v>2602</v>
      </c>
      <c r="AC121" s="530" t="s">
        <v>3015</v>
      </c>
      <c r="AD121" s="159"/>
    </row>
    <row r="122" spans="1:30" x14ac:dyDescent="0.2">
      <c r="A122" s="160" t="s">
        <v>2602</v>
      </c>
      <c r="B122" s="160"/>
      <c r="C122" s="164" t="s">
        <v>1313</v>
      </c>
      <c r="D122" s="165" t="s">
        <v>138</v>
      </c>
      <c r="E122" s="154">
        <v>0</v>
      </c>
      <c r="F122" s="154">
        <v>0</v>
      </c>
      <c r="G122" s="154">
        <v>0</v>
      </c>
      <c r="H122" s="154">
        <v>1</v>
      </c>
      <c r="I122" s="154">
        <v>0</v>
      </c>
      <c r="J122" s="154">
        <v>0</v>
      </c>
      <c r="K122" s="154">
        <v>0</v>
      </c>
      <c r="L122" s="154">
        <v>0</v>
      </c>
      <c r="M122" s="154">
        <v>0</v>
      </c>
      <c r="N122" s="154">
        <v>0</v>
      </c>
      <c r="O122" s="154">
        <v>0</v>
      </c>
      <c r="P122" s="154">
        <v>0</v>
      </c>
      <c r="Q122" s="154">
        <v>0</v>
      </c>
      <c r="R122" s="154">
        <v>0</v>
      </c>
      <c r="S122" s="154">
        <v>0</v>
      </c>
      <c r="T122" s="154">
        <v>0</v>
      </c>
      <c r="U122" s="154">
        <v>0</v>
      </c>
      <c r="V122" s="154">
        <v>0</v>
      </c>
      <c r="W122" s="154">
        <v>0</v>
      </c>
      <c r="X122" s="166">
        <f t="shared" si="3"/>
        <v>1</v>
      </c>
      <c r="Y122" s="156"/>
      <c r="Z122" s="157" t="s">
        <v>649</v>
      </c>
      <c r="AA122" s="157" t="s">
        <v>663</v>
      </c>
      <c r="AB122" s="151" t="s">
        <v>2602</v>
      </c>
      <c r="AC122" s="530" t="s">
        <v>3015</v>
      </c>
      <c r="AD122" s="159"/>
    </row>
    <row r="123" spans="1:30" x14ac:dyDescent="0.2">
      <c r="A123" s="160" t="s">
        <v>2602</v>
      </c>
      <c r="B123" s="199">
        <v>42247</v>
      </c>
      <c r="C123" s="164" t="s">
        <v>1314</v>
      </c>
      <c r="D123" s="165" t="s">
        <v>1315</v>
      </c>
      <c r="E123" s="154">
        <v>0</v>
      </c>
      <c r="F123" s="154">
        <v>0</v>
      </c>
      <c r="G123" s="154">
        <v>0</v>
      </c>
      <c r="H123" s="154">
        <v>1</v>
      </c>
      <c r="I123" s="154">
        <v>0</v>
      </c>
      <c r="J123" s="154">
        <v>0</v>
      </c>
      <c r="K123" s="154">
        <v>0</v>
      </c>
      <c r="L123" s="154">
        <v>0</v>
      </c>
      <c r="M123" s="154">
        <v>0</v>
      </c>
      <c r="N123" s="154">
        <v>0</v>
      </c>
      <c r="O123" s="154">
        <v>0</v>
      </c>
      <c r="P123" s="154">
        <v>0</v>
      </c>
      <c r="Q123" s="154">
        <v>0</v>
      </c>
      <c r="R123" s="154">
        <v>0</v>
      </c>
      <c r="S123" s="154">
        <v>0</v>
      </c>
      <c r="T123" s="154">
        <v>0</v>
      </c>
      <c r="U123" s="154">
        <v>0</v>
      </c>
      <c r="V123" s="154">
        <v>0</v>
      </c>
      <c r="W123" s="154">
        <v>0</v>
      </c>
      <c r="X123" s="166">
        <f t="shared" si="3"/>
        <v>1</v>
      </c>
      <c r="Y123" s="156"/>
      <c r="Z123" s="157" t="s">
        <v>649</v>
      </c>
      <c r="AA123" s="157" t="s">
        <v>649</v>
      </c>
      <c r="AB123" s="151" t="s">
        <v>2602</v>
      </c>
      <c r="AC123" s="530" t="s">
        <v>3015</v>
      </c>
      <c r="AD123" s="159"/>
    </row>
    <row r="124" spans="1:30" x14ac:dyDescent="0.2">
      <c r="A124" s="160" t="s">
        <v>2602</v>
      </c>
      <c r="B124" s="202"/>
      <c r="C124" s="203" t="s">
        <v>1636</v>
      </c>
      <c r="D124" s="204" t="s">
        <v>141</v>
      </c>
      <c r="E124" s="154">
        <v>0</v>
      </c>
      <c r="F124" s="154">
        <v>0</v>
      </c>
      <c r="G124" s="154">
        <v>0</v>
      </c>
      <c r="H124" s="154">
        <v>0</v>
      </c>
      <c r="I124" s="154">
        <v>0</v>
      </c>
      <c r="J124" s="154">
        <v>0</v>
      </c>
      <c r="K124" s="154">
        <v>0</v>
      </c>
      <c r="L124" s="154">
        <v>0</v>
      </c>
      <c r="M124" s="154">
        <v>0</v>
      </c>
      <c r="N124" s="154">
        <v>0.8020557290016026</v>
      </c>
      <c r="O124" s="154">
        <v>0</v>
      </c>
      <c r="P124" s="154">
        <v>0</v>
      </c>
      <c r="Q124" s="154">
        <v>0</v>
      </c>
      <c r="R124" s="154">
        <v>0</v>
      </c>
      <c r="S124" s="154">
        <v>0.1979442709983974</v>
      </c>
      <c r="T124" s="154">
        <v>0</v>
      </c>
      <c r="U124" s="154">
        <v>0</v>
      </c>
      <c r="V124" s="154">
        <v>0</v>
      </c>
      <c r="W124" s="154">
        <v>0</v>
      </c>
      <c r="X124" s="163">
        <f t="shared" si="3"/>
        <v>1</v>
      </c>
      <c r="Y124" s="156"/>
      <c r="Z124" s="157" t="s">
        <v>649</v>
      </c>
      <c r="AA124" s="157" t="s">
        <v>663</v>
      </c>
      <c r="AB124" s="151" t="s">
        <v>2602</v>
      </c>
      <c r="AC124" s="530" t="s">
        <v>3015</v>
      </c>
      <c r="AD124" s="159"/>
    </row>
    <row r="125" spans="1:30" x14ac:dyDescent="0.2">
      <c r="A125" s="160" t="s">
        <v>2602</v>
      </c>
      <c r="B125" s="202"/>
      <c r="C125" s="161" t="s">
        <v>1278</v>
      </c>
      <c r="D125" s="162" t="s">
        <v>1279</v>
      </c>
      <c r="E125" s="154">
        <v>0</v>
      </c>
      <c r="F125" s="154">
        <v>9.9418060806943969E-5</v>
      </c>
      <c r="G125" s="154">
        <v>1.4601975852319871E-2</v>
      </c>
      <c r="H125" s="154">
        <v>0</v>
      </c>
      <c r="I125" s="154">
        <v>0</v>
      </c>
      <c r="J125" s="154">
        <v>0</v>
      </c>
      <c r="K125" s="154">
        <v>0</v>
      </c>
      <c r="L125" s="154">
        <v>0</v>
      </c>
      <c r="M125" s="154">
        <v>0</v>
      </c>
      <c r="N125" s="154">
        <v>0.71226933453563879</v>
      </c>
      <c r="O125" s="154">
        <v>0</v>
      </c>
      <c r="P125" s="154">
        <v>0.25892388962176127</v>
      </c>
      <c r="Q125" s="154">
        <v>0</v>
      </c>
      <c r="R125" s="154">
        <v>0</v>
      </c>
      <c r="S125" s="154">
        <v>1.41053819294732E-2</v>
      </c>
      <c r="T125" s="154">
        <v>0</v>
      </c>
      <c r="U125" s="154">
        <v>0</v>
      </c>
      <c r="V125" s="154">
        <v>0</v>
      </c>
      <c r="W125" s="154">
        <v>0</v>
      </c>
      <c r="X125" s="163">
        <f t="shared" si="3"/>
        <v>1.0000000000000002</v>
      </c>
      <c r="Y125" s="156"/>
      <c r="Z125" s="157" t="s">
        <v>649</v>
      </c>
      <c r="AA125" s="157" t="s">
        <v>663</v>
      </c>
      <c r="AB125" s="151" t="s">
        <v>2602</v>
      </c>
      <c r="AC125" s="530" t="s">
        <v>3015</v>
      </c>
      <c r="AD125" s="159"/>
    </row>
    <row r="126" spans="1:30" x14ac:dyDescent="0.2">
      <c r="A126" s="160" t="s">
        <v>2602</v>
      </c>
      <c r="B126" s="199">
        <v>42247</v>
      </c>
      <c r="C126" s="190" t="s">
        <v>1738</v>
      </c>
      <c r="D126" s="191" t="s">
        <v>1739</v>
      </c>
      <c r="E126" s="154">
        <v>0</v>
      </c>
      <c r="F126" s="154">
        <v>0</v>
      </c>
      <c r="G126" s="154">
        <v>0</v>
      </c>
      <c r="H126" s="154">
        <v>1</v>
      </c>
      <c r="I126" s="154">
        <v>0</v>
      </c>
      <c r="J126" s="154">
        <v>0</v>
      </c>
      <c r="K126" s="154">
        <v>0</v>
      </c>
      <c r="L126" s="154">
        <v>0</v>
      </c>
      <c r="M126" s="154">
        <v>0</v>
      </c>
      <c r="N126" s="154">
        <v>0</v>
      </c>
      <c r="O126" s="154">
        <v>0</v>
      </c>
      <c r="P126" s="154">
        <v>0</v>
      </c>
      <c r="Q126" s="154">
        <v>0</v>
      </c>
      <c r="R126" s="154">
        <v>0</v>
      </c>
      <c r="S126" s="154">
        <v>0</v>
      </c>
      <c r="T126" s="154">
        <v>0</v>
      </c>
      <c r="U126" s="154">
        <v>0</v>
      </c>
      <c r="V126" s="154">
        <v>0</v>
      </c>
      <c r="W126" s="154">
        <v>0</v>
      </c>
      <c r="X126" s="163">
        <f t="shared" si="3"/>
        <v>1</v>
      </c>
      <c r="Y126" s="156"/>
      <c r="Z126" s="157" t="s">
        <v>649</v>
      </c>
      <c r="AA126" s="157" t="s">
        <v>663</v>
      </c>
      <c r="AB126" s="151" t="s">
        <v>2602</v>
      </c>
      <c r="AC126" s="530" t="s">
        <v>3015</v>
      </c>
      <c r="AD126" s="159"/>
    </row>
    <row r="127" spans="1:30" x14ac:dyDescent="0.2">
      <c r="A127" s="160" t="s">
        <v>2602</v>
      </c>
      <c r="B127" s="202"/>
      <c r="C127" s="161" t="s">
        <v>1280</v>
      </c>
      <c r="D127" s="162" t="s">
        <v>142</v>
      </c>
      <c r="E127" s="154">
        <v>0</v>
      </c>
      <c r="F127" s="154">
        <v>0</v>
      </c>
      <c r="G127" s="154">
        <v>1</v>
      </c>
      <c r="H127" s="154">
        <v>0</v>
      </c>
      <c r="I127" s="154">
        <v>0</v>
      </c>
      <c r="J127" s="154">
        <v>0</v>
      </c>
      <c r="K127" s="154">
        <v>0</v>
      </c>
      <c r="L127" s="154">
        <v>0</v>
      </c>
      <c r="M127" s="154">
        <v>0</v>
      </c>
      <c r="N127" s="154">
        <v>0</v>
      </c>
      <c r="O127" s="154">
        <v>0</v>
      </c>
      <c r="P127" s="154">
        <v>0</v>
      </c>
      <c r="Q127" s="154">
        <v>0</v>
      </c>
      <c r="R127" s="154">
        <v>0</v>
      </c>
      <c r="S127" s="154">
        <v>0</v>
      </c>
      <c r="T127" s="154">
        <v>0</v>
      </c>
      <c r="U127" s="154">
        <v>0</v>
      </c>
      <c r="V127" s="154">
        <v>0</v>
      </c>
      <c r="W127" s="154">
        <v>0</v>
      </c>
      <c r="X127" s="163">
        <f t="shared" si="3"/>
        <v>1</v>
      </c>
      <c r="Y127" s="156"/>
      <c r="Z127" s="157" t="s">
        <v>649</v>
      </c>
      <c r="AA127" s="157" t="s">
        <v>663</v>
      </c>
      <c r="AB127" s="151" t="s">
        <v>2602</v>
      </c>
      <c r="AC127" s="530" t="s">
        <v>3015</v>
      </c>
      <c r="AD127" s="159"/>
    </row>
    <row r="128" spans="1:30" x14ac:dyDescent="0.2">
      <c r="A128" s="160" t="s">
        <v>2602</v>
      </c>
      <c r="B128" s="202"/>
      <c r="C128" s="190" t="s">
        <v>1744</v>
      </c>
      <c r="D128" s="191" t="s">
        <v>1745</v>
      </c>
      <c r="E128" s="154">
        <v>0</v>
      </c>
      <c r="F128" s="154">
        <v>0</v>
      </c>
      <c r="G128" s="154">
        <v>1.3699323461394214E-2</v>
      </c>
      <c r="H128" s="154">
        <v>0</v>
      </c>
      <c r="I128" s="154">
        <v>0</v>
      </c>
      <c r="J128" s="154">
        <v>0</v>
      </c>
      <c r="K128" s="154">
        <v>0</v>
      </c>
      <c r="L128" s="154">
        <v>0</v>
      </c>
      <c r="M128" s="154">
        <v>0</v>
      </c>
      <c r="N128" s="154">
        <v>0</v>
      </c>
      <c r="O128" s="154">
        <v>0</v>
      </c>
      <c r="P128" s="154">
        <v>0</v>
      </c>
      <c r="Q128" s="154">
        <v>0</v>
      </c>
      <c r="R128" s="154">
        <v>0</v>
      </c>
      <c r="S128" s="154">
        <v>0.98630067653860576</v>
      </c>
      <c r="T128" s="154">
        <v>0</v>
      </c>
      <c r="U128" s="154">
        <v>0</v>
      </c>
      <c r="V128" s="154">
        <v>0</v>
      </c>
      <c r="W128" s="154">
        <v>0</v>
      </c>
      <c r="X128" s="163">
        <f t="shared" si="3"/>
        <v>1</v>
      </c>
      <c r="Y128" s="156"/>
      <c r="Z128" s="157" t="s">
        <v>649</v>
      </c>
      <c r="AA128" s="157" t="s">
        <v>663</v>
      </c>
      <c r="AB128" s="151" t="s">
        <v>2602</v>
      </c>
      <c r="AC128" s="530" t="s">
        <v>3015</v>
      </c>
      <c r="AD128" s="159"/>
    </row>
    <row r="129" spans="1:30" x14ac:dyDescent="0.2">
      <c r="A129" s="160" t="s">
        <v>2602</v>
      </c>
      <c r="B129" s="202"/>
      <c r="C129" s="164" t="s">
        <v>1748</v>
      </c>
      <c r="D129" s="165" t="s">
        <v>1749</v>
      </c>
      <c r="E129" s="154">
        <v>0.12370393316152721</v>
      </c>
      <c r="F129" s="154">
        <v>0</v>
      </c>
      <c r="G129" s="154">
        <v>0</v>
      </c>
      <c r="H129" s="154">
        <v>0.45457180412344006</v>
      </c>
      <c r="I129" s="154">
        <v>0</v>
      </c>
      <c r="J129" s="154">
        <v>0</v>
      </c>
      <c r="K129" s="154">
        <v>0</v>
      </c>
      <c r="L129" s="154">
        <v>0.42172426271503272</v>
      </c>
      <c r="M129" s="154">
        <v>0</v>
      </c>
      <c r="N129" s="154">
        <v>0</v>
      </c>
      <c r="O129" s="154">
        <v>0</v>
      </c>
      <c r="P129" s="154">
        <v>0</v>
      </c>
      <c r="Q129" s="154">
        <v>0</v>
      </c>
      <c r="R129" s="154">
        <v>0</v>
      </c>
      <c r="S129" s="154">
        <v>0</v>
      </c>
      <c r="T129" s="154">
        <v>0</v>
      </c>
      <c r="U129" s="154">
        <v>0</v>
      </c>
      <c r="V129" s="154">
        <v>0</v>
      </c>
      <c r="W129" s="154">
        <v>0</v>
      </c>
      <c r="X129" s="166">
        <f t="shared" si="3"/>
        <v>1</v>
      </c>
      <c r="Y129" s="156"/>
      <c r="Z129" s="157" t="s">
        <v>649</v>
      </c>
      <c r="AA129" s="157" t="s">
        <v>649</v>
      </c>
      <c r="AB129" s="151" t="s">
        <v>2602</v>
      </c>
      <c r="AC129" s="530" t="s">
        <v>3015</v>
      </c>
      <c r="AD129" s="159"/>
    </row>
    <row r="130" spans="1:30" x14ac:dyDescent="0.2">
      <c r="A130" s="160" t="s">
        <v>2602</v>
      </c>
      <c r="B130" s="202"/>
      <c r="C130" s="164" t="s">
        <v>1750</v>
      </c>
      <c r="D130" s="165" t="s">
        <v>1751</v>
      </c>
      <c r="E130" s="154">
        <v>0.39453661023008407</v>
      </c>
      <c r="F130" s="154">
        <v>0</v>
      </c>
      <c r="G130" s="154">
        <v>0</v>
      </c>
      <c r="H130" s="154">
        <v>0</v>
      </c>
      <c r="I130" s="154">
        <v>0</v>
      </c>
      <c r="J130" s="154">
        <v>0</v>
      </c>
      <c r="K130" s="154">
        <v>0</v>
      </c>
      <c r="L130" s="154">
        <v>0.60546338976991598</v>
      </c>
      <c r="M130" s="154">
        <v>0</v>
      </c>
      <c r="N130" s="154">
        <v>0</v>
      </c>
      <c r="O130" s="154">
        <v>0</v>
      </c>
      <c r="P130" s="154">
        <v>0</v>
      </c>
      <c r="Q130" s="154">
        <v>0</v>
      </c>
      <c r="R130" s="154">
        <v>0</v>
      </c>
      <c r="S130" s="154">
        <v>0</v>
      </c>
      <c r="T130" s="154">
        <v>0</v>
      </c>
      <c r="U130" s="154">
        <v>0</v>
      </c>
      <c r="V130" s="154">
        <v>0</v>
      </c>
      <c r="W130" s="154">
        <v>0</v>
      </c>
      <c r="X130" s="166">
        <f t="shared" si="3"/>
        <v>1</v>
      </c>
      <c r="Y130" s="156"/>
      <c r="Z130" s="157" t="s">
        <v>649</v>
      </c>
      <c r="AA130" s="157" t="s">
        <v>649</v>
      </c>
      <c r="AB130" s="151" t="s">
        <v>2602</v>
      </c>
      <c r="AC130" s="530" t="s">
        <v>3015</v>
      </c>
      <c r="AD130" s="159"/>
    </row>
    <row r="131" spans="1:30" x14ac:dyDescent="0.2">
      <c r="A131" s="160" t="s">
        <v>2602</v>
      </c>
      <c r="B131" s="202"/>
      <c r="C131" s="164" t="s">
        <v>1752</v>
      </c>
      <c r="D131" s="165" t="s">
        <v>1753</v>
      </c>
      <c r="E131" s="154">
        <v>0</v>
      </c>
      <c r="F131" s="154">
        <v>0</v>
      </c>
      <c r="G131" s="154">
        <v>0</v>
      </c>
      <c r="H131" s="154">
        <v>0</v>
      </c>
      <c r="I131" s="154">
        <v>0</v>
      </c>
      <c r="J131" s="154">
        <v>0</v>
      </c>
      <c r="K131" s="154">
        <v>0</v>
      </c>
      <c r="L131" s="445">
        <f>100%*0</f>
        <v>0</v>
      </c>
      <c r="M131" s="154">
        <v>0</v>
      </c>
      <c r="N131" s="154">
        <v>0</v>
      </c>
      <c r="O131" s="154">
        <v>0</v>
      </c>
      <c r="P131" s="154">
        <v>0</v>
      </c>
      <c r="Q131" s="154">
        <v>0</v>
      </c>
      <c r="R131" s="154">
        <v>0</v>
      </c>
      <c r="S131" s="154">
        <v>0</v>
      </c>
      <c r="T131" s="154">
        <v>0</v>
      </c>
      <c r="U131" s="154">
        <v>0</v>
      </c>
      <c r="V131" s="154">
        <v>0</v>
      </c>
      <c r="W131" s="445">
        <v>1</v>
      </c>
      <c r="X131" s="166">
        <f t="shared" si="3"/>
        <v>1</v>
      </c>
      <c r="Y131" s="156"/>
      <c r="Z131" s="157" t="s">
        <v>649</v>
      </c>
      <c r="AA131" s="157" t="s">
        <v>663</v>
      </c>
      <c r="AB131" s="151" t="s">
        <v>2602</v>
      </c>
      <c r="AC131" s="530" t="s">
        <v>3015</v>
      </c>
      <c r="AD131" s="159"/>
    </row>
    <row r="132" spans="1:30" x14ac:dyDescent="0.2">
      <c r="A132" s="160" t="s">
        <v>2602</v>
      </c>
      <c r="B132" s="202"/>
      <c r="C132" s="164" t="s">
        <v>1754</v>
      </c>
      <c r="D132" s="165" t="s">
        <v>1755</v>
      </c>
      <c r="E132" s="154">
        <v>0</v>
      </c>
      <c r="F132" s="154">
        <v>0</v>
      </c>
      <c r="G132" s="154">
        <v>0</v>
      </c>
      <c r="H132" s="154">
        <v>0</v>
      </c>
      <c r="I132" s="154">
        <v>0</v>
      </c>
      <c r="J132" s="154">
        <v>0</v>
      </c>
      <c r="K132" s="154">
        <v>0</v>
      </c>
      <c r="L132" s="154">
        <v>1</v>
      </c>
      <c r="M132" s="154">
        <v>0</v>
      </c>
      <c r="N132" s="154">
        <v>0</v>
      </c>
      <c r="O132" s="154">
        <v>0</v>
      </c>
      <c r="P132" s="154">
        <v>0</v>
      </c>
      <c r="Q132" s="154">
        <v>0</v>
      </c>
      <c r="R132" s="154">
        <v>0</v>
      </c>
      <c r="S132" s="154">
        <v>0</v>
      </c>
      <c r="T132" s="154">
        <v>0</v>
      </c>
      <c r="U132" s="154">
        <v>0</v>
      </c>
      <c r="V132" s="154">
        <v>0</v>
      </c>
      <c r="W132" s="154">
        <v>0</v>
      </c>
      <c r="X132" s="166">
        <f t="shared" si="3"/>
        <v>1</v>
      </c>
      <c r="Y132" s="156"/>
      <c r="Z132" s="157" t="s">
        <v>649</v>
      </c>
      <c r="AA132" s="157" t="s">
        <v>649</v>
      </c>
      <c r="AB132" s="151" t="s">
        <v>2602</v>
      </c>
      <c r="AC132" s="530" t="s">
        <v>3015</v>
      </c>
      <c r="AD132" s="159"/>
    </row>
    <row r="133" spans="1:30" x14ac:dyDescent="0.2">
      <c r="A133" s="151" t="s">
        <v>2602</v>
      </c>
      <c r="B133" s="205"/>
      <c r="C133" s="170" t="s">
        <v>1762</v>
      </c>
      <c r="D133" s="192" t="s">
        <v>1763</v>
      </c>
      <c r="E133" s="154">
        <v>0</v>
      </c>
      <c r="F133" s="154">
        <v>0</v>
      </c>
      <c r="G133" s="154">
        <v>0</v>
      </c>
      <c r="H133" s="154">
        <v>0</v>
      </c>
      <c r="I133" s="154">
        <v>0</v>
      </c>
      <c r="J133" s="154">
        <v>0</v>
      </c>
      <c r="K133" s="154">
        <v>0</v>
      </c>
      <c r="L133" s="154">
        <v>0</v>
      </c>
      <c r="M133" s="154">
        <v>0</v>
      </c>
      <c r="N133" s="154">
        <v>0</v>
      </c>
      <c r="O133" s="154">
        <v>0</v>
      </c>
      <c r="P133" s="154">
        <v>0</v>
      </c>
      <c r="Q133" s="154">
        <v>0</v>
      </c>
      <c r="R133" s="154">
        <v>0</v>
      </c>
      <c r="S133" s="154">
        <v>0</v>
      </c>
      <c r="T133" s="154">
        <v>0</v>
      </c>
      <c r="U133" s="154">
        <v>0</v>
      </c>
      <c r="V133" s="154">
        <v>0</v>
      </c>
      <c r="W133" s="154">
        <v>1</v>
      </c>
      <c r="X133" s="193">
        <f t="shared" si="3"/>
        <v>1</v>
      </c>
      <c r="Y133" s="156"/>
      <c r="Z133" s="157" t="s">
        <v>649</v>
      </c>
      <c r="AA133" s="157" t="s">
        <v>649</v>
      </c>
      <c r="AB133" s="151" t="s">
        <v>2602</v>
      </c>
      <c r="AC133" s="530" t="s">
        <v>3015</v>
      </c>
      <c r="AD133" s="159"/>
    </row>
    <row r="134" spans="1:30" x14ac:dyDescent="0.2">
      <c r="A134" s="160" t="s">
        <v>2602</v>
      </c>
      <c r="B134" s="202"/>
      <c r="C134" s="164" t="s">
        <v>1637</v>
      </c>
      <c r="D134" s="165" t="s">
        <v>1638</v>
      </c>
      <c r="E134" s="154">
        <v>0</v>
      </c>
      <c r="F134" s="154">
        <v>0</v>
      </c>
      <c r="G134" s="154">
        <v>0</v>
      </c>
      <c r="H134" s="154">
        <v>0</v>
      </c>
      <c r="I134" s="154">
        <v>0</v>
      </c>
      <c r="J134" s="154">
        <v>0</v>
      </c>
      <c r="K134" s="154">
        <v>0</v>
      </c>
      <c r="L134" s="154">
        <v>1</v>
      </c>
      <c r="M134" s="154">
        <v>0</v>
      </c>
      <c r="N134" s="154">
        <v>0</v>
      </c>
      <c r="O134" s="154">
        <v>0</v>
      </c>
      <c r="P134" s="154">
        <v>0</v>
      </c>
      <c r="Q134" s="154">
        <v>0</v>
      </c>
      <c r="R134" s="154">
        <v>0</v>
      </c>
      <c r="S134" s="154">
        <v>0</v>
      </c>
      <c r="T134" s="154">
        <v>0</v>
      </c>
      <c r="U134" s="154">
        <v>0</v>
      </c>
      <c r="V134" s="154">
        <v>0</v>
      </c>
      <c r="W134" s="154">
        <v>0</v>
      </c>
      <c r="X134" s="166">
        <f t="shared" ref="X134:X197" si="4">SUM(E134:W134)</f>
        <v>1</v>
      </c>
      <c r="Y134" s="156"/>
      <c r="Z134" s="157" t="s">
        <v>649</v>
      </c>
      <c r="AA134" s="157" t="s">
        <v>663</v>
      </c>
      <c r="AB134" s="151" t="s">
        <v>2602</v>
      </c>
      <c r="AC134" s="530" t="s">
        <v>3015</v>
      </c>
      <c r="AD134" s="159"/>
    </row>
    <row r="135" spans="1:30" x14ac:dyDescent="0.2">
      <c r="A135" s="160" t="s">
        <v>2602</v>
      </c>
      <c r="B135" s="202"/>
      <c r="C135" s="164" t="s">
        <v>1639</v>
      </c>
      <c r="D135" s="165" t="s">
        <v>167</v>
      </c>
      <c r="E135" s="154">
        <v>0.92678801219736062</v>
      </c>
      <c r="F135" s="154">
        <v>0</v>
      </c>
      <c r="G135" s="154">
        <v>0</v>
      </c>
      <c r="H135" s="154">
        <v>3.9026623756304384E-2</v>
      </c>
      <c r="I135" s="154">
        <v>0</v>
      </c>
      <c r="J135" s="154">
        <v>0</v>
      </c>
      <c r="K135" s="154">
        <v>0</v>
      </c>
      <c r="L135" s="154">
        <v>3.4185364046334966E-2</v>
      </c>
      <c r="M135" s="154">
        <v>0</v>
      </c>
      <c r="N135" s="154">
        <v>0</v>
      </c>
      <c r="O135" s="154">
        <v>0</v>
      </c>
      <c r="P135" s="154">
        <v>0</v>
      </c>
      <c r="Q135" s="154">
        <v>0</v>
      </c>
      <c r="R135" s="154">
        <v>0</v>
      </c>
      <c r="S135" s="154">
        <v>0</v>
      </c>
      <c r="T135" s="154">
        <v>0</v>
      </c>
      <c r="U135" s="154">
        <v>0</v>
      </c>
      <c r="V135" s="154">
        <v>0</v>
      </c>
      <c r="W135" s="154">
        <v>0</v>
      </c>
      <c r="X135" s="166">
        <f t="shared" si="4"/>
        <v>1</v>
      </c>
      <c r="Y135" s="156"/>
      <c r="Z135" s="157" t="s">
        <v>649</v>
      </c>
      <c r="AA135" s="157" t="s">
        <v>663</v>
      </c>
      <c r="AB135" s="151" t="s">
        <v>2602</v>
      </c>
      <c r="AC135" s="530" t="s">
        <v>3015</v>
      </c>
      <c r="AD135" s="159"/>
    </row>
    <row r="136" spans="1:30" x14ac:dyDescent="0.2">
      <c r="A136" s="160" t="s">
        <v>2602</v>
      </c>
      <c r="B136" s="202"/>
      <c r="C136" s="203" t="s">
        <v>1640</v>
      </c>
      <c r="D136" s="204" t="s">
        <v>170</v>
      </c>
      <c r="E136" s="154">
        <v>0</v>
      </c>
      <c r="F136" s="154">
        <v>0</v>
      </c>
      <c r="G136" s="154">
        <v>0</v>
      </c>
      <c r="H136" s="154">
        <v>0</v>
      </c>
      <c r="I136" s="154">
        <v>0</v>
      </c>
      <c r="J136" s="154">
        <v>0</v>
      </c>
      <c r="K136" s="154">
        <v>0</v>
      </c>
      <c r="L136" s="154">
        <v>0</v>
      </c>
      <c r="M136" s="154">
        <v>0</v>
      </c>
      <c r="N136" s="154">
        <v>0.88919999348330359</v>
      </c>
      <c r="O136" s="154">
        <v>0</v>
      </c>
      <c r="P136" s="154">
        <v>0</v>
      </c>
      <c r="Q136" s="154">
        <v>0</v>
      </c>
      <c r="R136" s="154">
        <v>0</v>
      </c>
      <c r="S136" s="154">
        <v>0.11080000651669647</v>
      </c>
      <c r="T136" s="154">
        <v>0</v>
      </c>
      <c r="U136" s="154">
        <v>0</v>
      </c>
      <c r="V136" s="154">
        <v>0</v>
      </c>
      <c r="W136" s="154">
        <v>0</v>
      </c>
      <c r="X136" s="163">
        <f t="shared" si="4"/>
        <v>1</v>
      </c>
      <c r="Y136" s="156"/>
      <c r="Z136" s="157" t="s">
        <v>649</v>
      </c>
      <c r="AA136" s="157" t="s">
        <v>663</v>
      </c>
      <c r="AB136" s="151" t="s">
        <v>2602</v>
      </c>
      <c r="AC136" s="530" t="s">
        <v>3015</v>
      </c>
      <c r="AD136" s="159"/>
    </row>
    <row r="137" spans="1:30" x14ac:dyDescent="0.2">
      <c r="A137" s="160" t="s">
        <v>2602</v>
      </c>
      <c r="B137" s="202"/>
      <c r="C137" s="203" t="s">
        <v>1641</v>
      </c>
      <c r="D137" s="204" t="s">
        <v>173</v>
      </c>
      <c r="E137" s="154">
        <v>0</v>
      </c>
      <c r="F137" s="154">
        <v>0</v>
      </c>
      <c r="G137" s="154">
        <v>0</v>
      </c>
      <c r="H137" s="154">
        <v>1</v>
      </c>
      <c r="I137" s="154">
        <v>0</v>
      </c>
      <c r="J137" s="154">
        <v>0</v>
      </c>
      <c r="K137" s="154">
        <v>0</v>
      </c>
      <c r="L137" s="154">
        <v>0</v>
      </c>
      <c r="M137" s="154">
        <v>0</v>
      </c>
      <c r="N137" s="154">
        <v>0</v>
      </c>
      <c r="O137" s="154">
        <v>0</v>
      </c>
      <c r="P137" s="154">
        <v>0</v>
      </c>
      <c r="Q137" s="154">
        <v>0</v>
      </c>
      <c r="R137" s="154">
        <v>0</v>
      </c>
      <c r="S137" s="154">
        <v>0</v>
      </c>
      <c r="T137" s="154">
        <v>0</v>
      </c>
      <c r="U137" s="154">
        <v>0</v>
      </c>
      <c r="V137" s="154">
        <v>0</v>
      </c>
      <c r="W137" s="154">
        <v>0</v>
      </c>
      <c r="X137" s="163">
        <f t="shared" si="4"/>
        <v>1</v>
      </c>
      <c r="Y137" s="156"/>
      <c r="Z137" s="157" t="s">
        <v>649</v>
      </c>
      <c r="AA137" s="157" t="s">
        <v>663</v>
      </c>
      <c r="AB137" s="151" t="s">
        <v>2602</v>
      </c>
      <c r="AC137" s="530" t="s">
        <v>3015</v>
      </c>
      <c r="AD137" s="159"/>
    </row>
    <row r="138" spans="1:30" x14ac:dyDescent="0.2">
      <c r="A138" s="160" t="s">
        <v>2602</v>
      </c>
      <c r="B138" s="202"/>
      <c r="C138" s="203" t="s">
        <v>1642</v>
      </c>
      <c r="D138" s="204" t="s">
        <v>174</v>
      </c>
      <c r="E138" s="154">
        <v>0</v>
      </c>
      <c r="F138" s="154">
        <v>0</v>
      </c>
      <c r="G138" s="154">
        <v>0</v>
      </c>
      <c r="H138" s="154">
        <v>1</v>
      </c>
      <c r="I138" s="154">
        <v>0</v>
      </c>
      <c r="J138" s="154">
        <v>0</v>
      </c>
      <c r="K138" s="154">
        <v>0</v>
      </c>
      <c r="L138" s="154">
        <v>0</v>
      </c>
      <c r="M138" s="154">
        <v>0</v>
      </c>
      <c r="N138" s="154">
        <v>0</v>
      </c>
      <c r="O138" s="154">
        <v>0</v>
      </c>
      <c r="P138" s="154">
        <v>0</v>
      </c>
      <c r="Q138" s="154">
        <v>0</v>
      </c>
      <c r="R138" s="154">
        <v>0</v>
      </c>
      <c r="S138" s="154">
        <v>0</v>
      </c>
      <c r="T138" s="154">
        <v>0</v>
      </c>
      <c r="U138" s="154">
        <v>0</v>
      </c>
      <c r="V138" s="154">
        <v>0</v>
      </c>
      <c r="W138" s="154">
        <v>0</v>
      </c>
      <c r="X138" s="163">
        <f t="shared" si="4"/>
        <v>1</v>
      </c>
      <c r="Y138" s="156"/>
      <c r="Z138" s="157" t="s">
        <v>649</v>
      </c>
      <c r="AA138" s="157" t="s">
        <v>663</v>
      </c>
      <c r="AB138" s="151" t="s">
        <v>2602</v>
      </c>
      <c r="AC138" s="530" t="s">
        <v>3015</v>
      </c>
      <c r="AD138" s="159"/>
    </row>
    <row r="139" spans="1:30" x14ac:dyDescent="0.2">
      <c r="A139" s="151" t="s">
        <v>2602</v>
      </c>
      <c r="B139" s="205"/>
      <c r="C139" s="184" t="s">
        <v>1618</v>
      </c>
      <c r="D139" s="185" t="s">
        <v>1619</v>
      </c>
      <c r="E139" s="154">
        <v>0</v>
      </c>
      <c r="F139" s="154">
        <v>0</v>
      </c>
      <c r="G139" s="154">
        <v>0</v>
      </c>
      <c r="H139" s="154">
        <v>0</v>
      </c>
      <c r="I139" s="154">
        <v>0</v>
      </c>
      <c r="J139" s="154">
        <v>0</v>
      </c>
      <c r="K139" s="154">
        <v>0</v>
      </c>
      <c r="L139" s="154">
        <v>0</v>
      </c>
      <c r="M139" s="154">
        <v>0</v>
      </c>
      <c r="N139" s="154">
        <v>1</v>
      </c>
      <c r="O139" s="154">
        <v>0</v>
      </c>
      <c r="P139" s="154">
        <v>0</v>
      </c>
      <c r="Q139" s="154">
        <v>0</v>
      </c>
      <c r="R139" s="154">
        <v>0</v>
      </c>
      <c r="S139" s="154">
        <v>0</v>
      </c>
      <c r="T139" s="154">
        <v>0</v>
      </c>
      <c r="U139" s="154">
        <v>0</v>
      </c>
      <c r="V139" s="154">
        <v>0</v>
      </c>
      <c r="W139" s="154">
        <v>0</v>
      </c>
      <c r="X139" s="186">
        <f t="shared" si="4"/>
        <v>1</v>
      </c>
      <c r="Y139" s="156"/>
      <c r="Z139" s="157" t="s">
        <v>649</v>
      </c>
      <c r="AA139" s="157" t="s">
        <v>663</v>
      </c>
      <c r="AB139" s="151" t="s">
        <v>2602</v>
      </c>
      <c r="AC139" s="530" t="s">
        <v>3015</v>
      </c>
      <c r="AD139" s="159"/>
    </row>
    <row r="140" spans="1:30" x14ac:dyDescent="0.2">
      <c r="A140" s="151" t="s">
        <v>2602</v>
      </c>
      <c r="B140" s="205"/>
      <c r="C140" s="206" t="s">
        <v>1620</v>
      </c>
      <c r="D140" s="207" t="s">
        <v>1621</v>
      </c>
      <c r="E140" s="154">
        <v>0</v>
      </c>
      <c r="F140" s="154">
        <v>0</v>
      </c>
      <c r="G140" s="154">
        <v>0</v>
      </c>
      <c r="H140" s="154">
        <v>0</v>
      </c>
      <c r="I140" s="154">
        <v>0</v>
      </c>
      <c r="J140" s="154">
        <v>0</v>
      </c>
      <c r="K140" s="154">
        <v>0</v>
      </c>
      <c r="L140" s="154">
        <v>0</v>
      </c>
      <c r="M140" s="154">
        <v>0</v>
      </c>
      <c r="N140" s="154">
        <v>1</v>
      </c>
      <c r="O140" s="154">
        <v>0</v>
      </c>
      <c r="P140" s="154">
        <v>0</v>
      </c>
      <c r="Q140" s="154">
        <v>0</v>
      </c>
      <c r="R140" s="154">
        <v>0</v>
      </c>
      <c r="S140" s="154">
        <v>0</v>
      </c>
      <c r="T140" s="154">
        <v>0</v>
      </c>
      <c r="U140" s="154">
        <v>0</v>
      </c>
      <c r="V140" s="154">
        <v>0</v>
      </c>
      <c r="W140" s="154">
        <v>0</v>
      </c>
      <c r="X140" s="179">
        <f t="shared" si="4"/>
        <v>1</v>
      </c>
      <c r="Y140" s="156"/>
      <c r="Z140" s="157" t="s">
        <v>649</v>
      </c>
      <c r="AA140" s="157" t="s">
        <v>663</v>
      </c>
      <c r="AB140" s="151" t="s">
        <v>2602</v>
      </c>
      <c r="AC140" s="530" t="s">
        <v>3015</v>
      </c>
      <c r="AD140" s="159"/>
    </row>
    <row r="141" spans="1:30" x14ac:dyDescent="0.2">
      <c r="A141" s="160" t="s">
        <v>2602</v>
      </c>
      <c r="B141" s="202"/>
      <c r="C141" s="164" t="s">
        <v>1616</v>
      </c>
      <c r="D141" s="165" t="s">
        <v>1617</v>
      </c>
      <c r="E141" s="154">
        <v>0</v>
      </c>
      <c r="F141" s="154">
        <v>0</v>
      </c>
      <c r="G141" s="154">
        <v>0</v>
      </c>
      <c r="H141" s="154">
        <v>0</v>
      </c>
      <c r="I141" s="154">
        <v>0</v>
      </c>
      <c r="J141" s="154">
        <v>0</v>
      </c>
      <c r="K141" s="154">
        <v>0</v>
      </c>
      <c r="L141" s="154">
        <v>0</v>
      </c>
      <c r="M141" s="154">
        <v>0</v>
      </c>
      <c r="N141" s="154">
        <v>1</v>
      </c>
      <c r="O141" s="154">
        <v>0</v>
      </c>
      <c r="P141" s="154">
        <v>0</v>
      </c>
      <c r="Q141" s="154">
        <v>0</v>
      </c>
      <c r="R141" s="154">
        <v>0</v>
      </c>
      <c r="S141" s="154">
        <v>0</v>
      </c>
      <c r="T141" s="154">
        <v>0</v>
      </c>
      <c r="U141" s="154">
        <v>0</v>
      </c>
      <c r="V141" s="154">
        <v>0</v>
      </c>
      <c r="W141" s="154">
        <v>0</v>
      </c>
      <c r="X141" s="166">
        <f t="shared" si="4"/>
        <v>1</v>
      </c>
      <c r="Y141" s="156"/>
      <c r="Z141" s="157" t="s">
        <v>649</v>
      </c>
      <c r="AA141" s="157" t="s">
        <v>663</v>
      </c>
      <c r="AB141" s="151" t="s">
        <v>2602</v>
      </c>
      <c r="AC141" s="530" t="s">
        <v>3015</v>
      </c>
      <c r="AD141" s="159"/>
    </row>
    <row r="142" spans="1:30" x14ac:dyDescent="0.2">
      <c r="A142" s="160" t="s">
        <v>2602</v>
      </c>
      <c r="B142" s="202"/>
      <c r="C142" s="167" t="s">
        <v>1614</v>
      </c>
      <c r="D142" s="204" t="s">
        <v>1615</v>
      </c>
      <c r="E142" s="154">
        <v>0</v>
      </c>
      <c r="F142" s="154">
        <v>0</v>
      </c>
      <c r="G142" s="154">
        <v>0</v>
      </c>
      <c r="H142" s="154">
        <v>1</v>
      </c>
      <c r="I142" s="154">
        <v>0</v>
      </c>
      <c r="J142" s="154">
        <v>0</v>
      </c>
      <c r="K142" s="154">
        <v>0</v>
      </c>
      <c r="L142" s="154">
        <v>0</v>
      </c>
      <c r="M142" s="154">
        <v>0</v>
      </c>
      <c r="N142" s="154">
        <v>0</v>
      </c>
      <c r="O142" s="154">
        <v>0</v>
      </c>
      <c r="P142" s="154">
        <v>0</v>
      </c>
      <c r="Q142" s="154">
        <v>0</v>
      </c>
      <c r="R142" s="154">
        <v>0</v>
      </c>
      <c r="S142" s="154">
        <v>0</v>
      </c>
      <c r="T142" s="154">
        <v>0</v>
      </c>
      <c r="U142" s="154">
        <v>0</v>
      </c>
      <c r="V142" s="154">
        <v>0</v>
      </c>
      <c r="W142" s="154">
        <v>0</v>
      </c>
      <c r="X142" s="163">
        <f t="shared" si="4"/>
        <v>1</v>
      </c>
      <c r="Y142" s="156"/>
      <c r="Z142" s="157" t="s">
        <v>649</v>
      </c>
      <c r="AA142" s="157" t="s">
        <v>663</v>
      </c>
      <c r="AB142" s="151" t="s">
        <v>2602</v>
      </c>
      <c r="AC142" s="530" t="s">
        <v>3015</v>
      </c>
      <c r="AD142" s="159"/>
    </row>
    <row r="143" spans="1:30" x14ac:dyDescent="0.2">
      <c r="A143" s="160" t="s">
        <v>2602</v>
      </c>
      <c r="B143" s="202"/>
      <c r="C143" s="167" t="s">
        <v>1622</v>
      </c>
      <c r="D143" s="204" t="s">
        <v>1623</v>
      </c>
      <c r="E143" s="154">
        <v>0</v>
      </c>
      <c r="F143" s="154">
        <v>0</v>
      </c>
      <c r="G143" s="154">
        <v>0</v>
      </c>
      <c r="H143" s="154">
        <v>0</v>
      </c>
      <c r="I143" s="154">
        <v>0</v>
      </c>
      <c r="J143" s="154">
        <v>0</v>
      </c>
      <c r="K143" s="154">
        <v>0</v>
      </c>
      <c r="L143" s="154">
        <v>1</v>
      </c>
      <c r="M143" s="154">
        <v>0</v>
      </c>
      <c r="N143" s="154">
        <v>0</v>
      </c>
      <c r="O143" s="154">
        <v>0</v>
      </c>
      <c r="P143" s="154">
        <v>0</v>
      </c>
      <c r="Q143" s="154">
        <v>0</v>
      </c>
      <c r="R143" s="154">
        <v>0</v>
      </c>
      <c r="S143" s="154">
        <v>0</v>
      </c>
      <c r="T143" s="154">
        <v>0</v>
      </c>
      <c r="U143" s="154">
        <v>0</v>
      </c>
      <c r="V143" s="154">
        <v>0</v>
      </c>
      <c r="W143" s="154">
        <v>0</v>
      </c>
      <c r="X143" s="163">
        <f t="shared" si="4"/>
        <v>1</v>
      </c>
      <c r="Y143" s="156"/>
      <c r="Z143" s="157" t="s">
        <v>649</v>
      </c>
      <c r="AA143" s="157" t="s">
        <v>663</v>
      </c>
      <c r="AB143" s="151" t="s">
        <v>2602</v>
      </c>
      <c r="AC143" s="530" t="s">
        <v>3015</v>
      </c>
      <c r="AD143" s="159"/>
    </row>
    <row r="144" spans="1:30" x14ac:dyDescent="0.2">
      <c r="A144" s="160" t="s">
        <v>2602</v>
      </c>
      <c r="B144" s="202"/>
      <c r="C144" s="208" t="s">
        <v>1624</v>
      </c>
      <c r="D144" s="209" t="s">
        <v>1625</v>
      </c>
      <c r="E144" s="154">
        <v>0</v>
      </c>
      <c r="F144" s="154">
        <v>0</v>
      </c>
      <c r="G144" s="154">
        <v>0</v>
      </c>
      <c r="H144" s="154">
        <v>0</v>
      </c>
      <c r="I144" s="154">
        <v>0</v>
      </c>
      <c r="J144" s="154">
        <v>0</v>
      </c>
      <c r="K144" s="154">
        <v>0</v>
      </c>
      <c r="L144" s="154">
        <v>0</v>
      </c>
      <c r="M144" s="154">
        <v>0</v>
      </c>
      <c r="N144" s="154">
        <v>0.93416923832074183</v>
      </c>
      <c r="O144" s="154">
        <v>0</v>
      </c>
      <c r="P144" s="154">
        <v>3.9926470866991783E-2</v>
      </c>
      <c r="Q144" s="154">
        <v>0</v>
      </c>
      <c r="R144" s="154">
        <v>0</v>
      </c>
      <c r="S144" s="154">
        <v>0</v>
      </c>
      <c r="T144" s="154">
        <v>2.5904290812266445E-2</v>
      </c>
      <c r="U144" s="154">
        <v>0</v>
      </c>
      <c r="V144" s="154">
        <v>0</v>
      </c>
      <c r="W144" s="154">
        <v>0</v>
      </c>
      <c r="X144" s="163">
        <f t="shared" si="4"/>
        <v>1</v>
      </c>
      <c r="Y144" s="156"/>
      <c r="Z144" s="157" t="s">
        <v>649</v>
      </c>
      <c r="AA144" s="157" t="s">
        <v>663</v>
      </c>
      <c r="AB144" s="151" t="s">
        <v>2602</v>
      </c>
      <c r="AC144" s="530" t="s">
        <v>3015</v>
      </c>
      <c r="AD144" s="159"/>
    </row>
    <row r="145" spans="1:30" x14ac:dyDescent="0.2">
      <c r="A145" s="160" t="s">
        <v>2602</v>
      </c>
      <c r="B145" s="202"/>
      <c r="C145" s="164" t="s">
        <v>1766</v>
      </c>
      <c r="D145" s="165" t="s">
        <v>1767</v>
      </c>
      <c r="E145" s="154">
        <v>0</v>
      </c>
      <c r="F145" s="154">
        <v>0</v>
      </c>
      <c r="G145" s="154">
        <v>0</v>
      </c>
      <c r="H145" s="154">
        <v>1</v>
      </c>
      <c r="I145" s="154">
        <v>0</v>
      </c>
      <c r="J145" s="154">
        <v>0</v>
      </c>
      <c r="K145" s="154">
        <v>0</v>
      </c>
      <c r="L145" s="154">
        <v>0</v>
      </c>
      <c r="M145" s="154">
        <v>0</v>
      </c>
      <c r="N145" s="154">
        <v>0</v>
      </c>
      <c r="O145" s="154">
        <v>0</v>
      </c>
      <c r="P145" s="154">
        <v>0</v>
      </c>
      <c r="Q145" s="154">
        <v>0</v>
      </c>
      <c r="R145" s="154">
        <v>0</v>
      </c>
      <c r="S145" s="154">
        <v>0</v>
      </c>
      <c r="T145" s="154">
        <v>0</v>
      </c>
      <c r="U145" s="154">
        <v>0</v>
      </c>
      <c r="V145" s="154">
        <v>0</v>
      </c>
      <c r="W145" s="154">
        <v>0</v>
      </c>
      <c r="X145" s="166">
        <f t="shared" si="4"/>
        <v>1</v>
      </c>
      <c r="Y145" s="156"/>
      <c r="Z145" s="157" t="s">
        <v>649</v>
      </c>
      <c r="AA145" s="157" t="s">
        <v>663</v>
      </c>
      <c r="AB145" s="151" t="s">
        <v>2602</v>
      </c>
      <c r="AC145" s="530" t="s">
        <v>3015</v>
      </c>
      <c r="AD145" s="159"/>
    </row>
    <row r="146" spans="1:30" x14ac:dyDescent="0.2">
      <c r="A146" s="160" t="s">
        <v>2602</v>
      </c>
      <c r="B146" s="202"/>
      <c r="C146" s="164" t="s">
        <v>1768</v>
      </c>
      <c r="D146" s="165" t="s">
        <v>1769</v>
      </c>
      <c r="E146" s="154">
        <v>0</v>
      </c>
      <c r="F146" s="154">
        <v>0</v>
      </c>
      <c r="G146" s="154">
        <v>0</v>
      </c>
      <c r="H146" s="154">
        <v>1</v>
      </c>
      <c r="I146" s="154">
        <v>0</v>
      </c>
      <c r="J146" s="154">
        <v>0</v>
      </c>
      <c r="K146" s="154">
        <v>0</v>
      </c>
      <c r="L146" s="154">
        <v>0</v>
      </c>
      <c r="M146" s="154">
        <v>0</v>
      </c>
      <c r="N146" s="154">
        <v>0</v>
      </c>
      <c r="O146" s="154">
        <v>0</v>
      </c>
      <c r="P146" s="154">
        <v>0</v>
      </c>
      <c r="Q146" s="154">
        <v>0</v>
      </c>
      <c r="R146" s="154">
        <v>0</v>
      </c>
      <c r="S146" s="154">
        <v>0</v>
      </c>
      <c r="T146" s="154">
        <v>0</v>
      </c>
      <c r="U146" s="154">
        <v>0</v>
      </c>
      <c r="V146" s="154">
        <v>0</v>
      </c>
      <c r="W146" s="154">
        <v>0</v>
      </c>
      <c r="X146" s="166">
        <f t="shared" si="4"/>
        <v>1</v>
      </c>
      <c r="Y146" s="156"/>
      <c r="Z146" s="157" t="s">
        <v>649</v>
      </c>
      <c r="AA146" s="157" t="s">
        <v>663</v>
      </c>
      <c r="AB146" s="151" t="s">
        <v>2602</v>
      </c>
      <c r="AC146" s="530" t="s">
        <v>3015</v>
      </c>
      <c r="AD146" s="159"/>
    </row>
    <row r="147" spans="1:30" x14ac:dyDescent="0.2">
      <c r="A147" s="160" t="s">
        <v>2602</v>
      </c>
      <c r="B147" s="202"/>
      <c r="C147" s="190" t="s">
        <v>1770</v>
      </c>
      <c r="D147" s="191" t="s">
        <v>1771</v>
      </c>
      <c r="E147" s="154">
        <v>0</v>
      </c>
      <c r="F147" s="154">
        <v>0</v>
      </c>
      <c r="G147" s="154">
        <v>0</v>
      </c>
      <c r="H147" s="154">
        <v>1</v>
      </c>
      <c r="I147" s="154">
        <v>0</v>
      </c>
      <c r="J147" s="154">
        <v>0</v>
      </c>
      <c r="K147" s="154">
        <v>0</v>
      </c>
      <c r="L147" s="154">
        <v>0</v>
      </c>
      <c r="M147" s="154">
        <v>0</v>
      </c>
      <c r="N147" s="154">
        <v>0</v>
      </c>
      <c r="O147" s="154">
        <v>0</v>
      </c>
      <c r="P147" s="154">
        <v>0</v>
      </c>
      <c r="Q147" s="154">
        <v>0</v>
      </c>
      <c r="R147" s="154">
        <v>0</v>
      </c>
      <c r="S147" s="154">
        <v>0</v>
      </c>
      <c r="T147" s="154">
        <v>0</v>
      </c>
      <c r="U147" s="154">
        <v>0</v>
      </c>
      <c r="V147" s="154">
        <v>0</v>
      </c>
      <c r="W147" s="154">
        <v>0</v>
      </c>
      <c r="X147" s="163">
        <f t="shared" si="4"/>
        <v>1</v>
      </c>
      <c r="Y147" s="156"/>
      <c r="Z147" s="157" t="s">
        <v>649</v>
      </c>
      <c r="AA147" s="157" t="s">
        <v>663</v>
      </c>
      <c r="AB147" s="151" t="s">
        <v>2602</v>
      </c>
      <c r="AC147" s="530" t="s">
        <v>3015</v>
      </c>
      <c r="AD147" s="159"/>
    </row>
    <row r="148" spans="1:30" x14ac:dyDescent="0.2">
      <c r="A148" s="151" t="s">
        <v>2602</v>
      </c>
      <c r="B148" s="205"/>
      <c r="C148" s="188" t="s">
        <v>1772</v>
      </c>
      <c r="D148" s="189" t="s">
        <v>1773</v>
      </c>
      <c r="E148" s="154">
        <v>0</v>
      </c>
      <c r="F148" s="154">
        <v>0</v>
      </c>
      <c r="G148" s="154">
        <v>0</v>
      </c>
      <c r="H148" s="154">
        <v>1</v>
      </c>
      <c r="I148" s="154">
        <v>0</v>
      </c>
      <c r="J148" s="154">
        <v>0</v>
      </c>
      <c r="K148" s="154">
        <v>0</v>
      </c>
      <c r="L148" s="154">
        <v>0</v>
      </c>
      <c r="M148" s="154">
        <v>0</v>
      </c>
      <c r="N148" s="154">
        <v>0</v>
      </c>
      <c r="O148" s="154">
        <v>0</v>
      </c>
      <c r="P148" s="154">
        <v>0</v>
      </c>
      <c r="Q148" s="154">
        <v>0</v>
      </c>
      <c r="R148" s="154">
        <v>0</v>
      </c>
      <c r="S148" s="154">
        <v>0</v>
      </c>
      <c r="T148" s="154">
        <v>0</v>
      </c>
      <c r="U148" s="154">
        <v>0</v>
      </c>
      <c r="V148" s="154">
        <v>0</v>
      </c>
      <c r="W148" s="154">
        <v>0</v>
      </c>
      <c r="X148" s="172">
        <f t="shared" si="4"/>
        <v>1</v>
      </c>
      <c r="Y148" s="156"/>
      <c r="Z148" s="157" t="s">
        <v>649</v>
      </c>
      <c r="AA148" s="157" t="s">
        <v>663</v>
      </c>
      <c r="AB148" s="151" t="s">
        <v>2602</v>
      </c>
      <c r="AC148" s="530" t="s">
        <v>3015</v>
      </c>
      <c r="AD148" s="159"/>
    </row>
    <row r="149" spans="1:30" x14ac:dyDescent="0.2">
      <c r="A149" s="160" t="s">
        <v>2602</v>
      </c>
      <c r="B149" s="202"/>
      <c r="C149" s="190" t="s">
        <v>1774</v>
      </c>
      <c r="D149" s="191" t="s">
        <v>1775</v>
      </c>
      <c r="E149" s="154">
        <v>0.36384866567052809</v>
      </c>
      <c r="F149" s="154">
        <v>0</v>
      </c>
      <c r="G149" s="154">
        <v>0</v>
      </c>
      <c r="H149" s="154">
        <v>0</v>
      </c>
      <c r="I149" s="154">
        <v>0</v>
      </c>
      <c r="J149" s="154">
        <v>0</v>
      </c>
      <c r="K149" s="154">
        <v>0</v>
      </c>
      <c r="L149" s="154">
        <v>0.63615133432947202</v>
      </c>
      <c r="M149" s="154">
        <v>0</v>
      </c>
      <c r="N149" s="154">
        <v>0</v>
      </c>
      <c r="O149" s="154">
        <v>0</v>
      </c>
      <c r="P149" s="154">
        <v>0</v>
      </c>
      <c r="Q149" s="154">
        <v>0</v>
      </c>
      <c r="R149" s="154">
        <v>0</v>
      </c>
      <c r="S149" s="154">
        <v>0</v>
      </c>
      <c r="T149" s="154">
        <v>0</v>
      </c>
      <c r="U149" s="154">
        <v>0</v>
      </c>
      <c r="V149" s="154">
        <v>0</v>
      </c>
      <c r="W149" s="154">
        <v>0</v>
      </c>
      <c r="X149" s="163">
        <f t="shared" si="4"/>
        <v>1</v>
      </c>
      <c r="Y149" s="156"/>
      <c r="Z149" s="157" t="s">
        <v>649</v>
      </c>
      <c r="AA149" s="157" t="s">
        <v>649</v>
      </c>
      <c r="AB149" s="151" t="s">
        <v>2602</v>
      </c>
      <c r="AC149" s="530" t="s">
        <v>3015</v>
      </c>
      <c r="AD149" s="159"/>
    </row>
    <row r="150" spans="1:30" x14ac:dyDescent="0.2">
      <c r="A150" s="160" t="s">
        <v>2602</v>
      </c>
      <c r="B150" s="202"/>
      <c r="C150" s="190" t="s">
        <v>1776</v>
      </c>
      <c r="D150" s="191" t="s">
        <v>1777</v>
      </c>
      <c r="E150" s="154">
        <v>0.85655274362064349</v>
      </c>
      <c r="F150" s="154">
        <v>0</v>
      </c>
      <c r="G150" s="154">
        <v>0</v>
      </c>
      <c r="H150" s="154">
        <v>3.1681537379930486E-2</v>
      </c>
      <c r="I150" s="154">
        <v>0</v>
      </c>
      <c r="J150" s="154">
        <v>0</v>
      </c>
      <c r="K150" s="154">
        <v>0</v>
      </c>
      <c r="L150" s="154">
        <v>0.11176571899942594</v>
      </c>
      <c r="M150" s="154">
        <v>0</v>
      </c>
      <c r="N150" s="154">
        <v>0</v>
      </c>
      <c r="O150" s="154">
        <v>0</v>
      </c>
      <c r="P150" s="154">
        <v>0</v>
      </c>
      <c r="Q150" s="154">
        <v>0</v>
      </c>
      <c r="R150" s="154">
        <v>0</v>
      </c>
      <c r="S150" s="154">
        <v>0</v>
      </c>
      <c r="T150" s="154">
        <v>0</v>
      </c>
      <c r="U150" s="154">
        <v>0</v>
      </c>
      <c r="V150" s="154">
        <v>0</v>
      </c>
      <c r="W150" s="154">
        <v>0</v>
      </c>
      <c r="X150" s="163">
        <f t="shared" si="4"/>
        <v>1</v>
      </c>
      <c r="Y150" s="156"/>
      <c r="Z150" s="157" t="s">
        <v>649</v>
      </c>
      <c r="AA150" s="157" t="s">
        <v>649</v>
      </c>
      <c r="AB150" s="151" t="s">
        <v>2602</v>
      </c>
      <c r="AC150" s="530" t="s">
        <v>3015</v>
      </c>
      <c r="AD150" s="159"/>
    </row>
    <row r="151" spans="1:30" x14ac:dyDescent="0.2">
      <c r="A151" s="160" t="s">
        <v>2602</v>
      </c>
      <c r="B151" s="202"/>
      <c r="C151" s="190" t="s">
        <v>1778</v>
      </c>
      <c r="D151" s="191" t="s">
        <v>1779</v>
      </c>
      <c r="E151" s="154">
        <v>0</v>
      </c>
      <c r="F151" s="154">
        <v>0</v>
      </c>
      <c r="G151" s="154">
        <v>0</v>
      </c>
      <c r="H151" s="154">
        <v>0</v>
      </c>
      <c r="I151" s="154">
        <v>0</v>
      </c>
      <c r="J151" s="154">
        <v>0</v>
      </c>
      <c r="K151" s="154">
        <v>0</v>
      </c>
      <c r="L151" s="154">
        <v>0</v>
      </c>
      <c r="M151" s="154">
        <v>0</v>
      </c>
      <c r="N151" s="154">
        <v>1</v>
      </c>
      <c r="O151" s="154">
        <v>0</v>
      </c>
      <c r="P151" s="154">
        <v>0</v>
      </c>
      <c r="Q151" s="154">
        <v>0</v>
      </c>
      <c r="R151" s="154">
        <v>0</v>
      </c>
      <c r="S151" s="154">
        <v>0</v>
      </c>
      <c r="T151" s="154">
        <v>0</v>
      </c>
      <c r="U151" s="154">
        <v>0</v>
      </c>
      <c r="V151" s="154">
        <v>0</v>
      </c>
      <c r="W151" s="154">
        <v>0</v>
      </c>
      <c r="X151" s="163">
        <f t="shared" si="4"/>
        <v>1</v>
      </c>
      <c r="Y151" s="156"/>
      <c r="Z151" s="157" t="s">
        <v>649</v>
      </c>
      <c r="AA151" s="157" t="s">
        <v>649</v>
      </c>
      <c r="AB151" s="151" t="s">
        <v>2602</v>
      </c>
      <c r="AC151" s="530" t="s">
        <v>3015</v>
      </c>
      <c r="AD151" s="159"/>
    </row>
    <row r="152" spans="1:30" x14ac:dyDescent="0.2">
      <c r="A152" s="151" t="s">
        <v>2602</v>
      </c>
      <c r="B152" s="205"/>
      <c r="C152" s="170" t="s">
        <v>1780</v>
      </c>
      <c r="D152" s="192" t="s">
        <v>1781</v>
      </c>
      <c r="E152" s="154">
        <v>0</v>
      </c>
      <c r="F152" s="154">
        <v>0.11010069401149368</v>
      </c>
      <c r="G152" s="154">
        <v>8.799416012524533E-2</v>
      </c>
      <c r="H152" s="154">
        <v>0</v>
      </c>
      <c r="I152" s="154">
        <v>0</v>
      </c>
      <c r="J152" s="154">
        <v>0</v>
      </c>
      <c r="K152" s="154">
        <v>0</v>
      </c>
      <c r="L152" s="154">
        <v>0</v>
      </c>
      <c r="M152" s="154">
        <v>0</v>
      </c>
      <c r="N152" s="154">
        <v>0.27760663198910435</v>
      </c>
      <c r="O152" s="154">
        <v>0</v>
      </c>
      <c r="P152" s="154">
        <v>0.35649687827932458</v>
      </c>
      <c r="Q152" s="154">
        <v>0</v>
      </c>
      <c r="R152" s="154">
        <v>0</v>
      </c>
      <c r="S152" s="154">
        <v>0.15050164214928188</v>
      </c>
      <c r="T152" s="154">
        <v>1.7299993445550034E-2</v>
      </c>
      <c r="U152" s="154">
        <v>0</v>
      </c>
      <c r="V152" s="154">
        <v>0</v>
      </c>
      <c r="W152" s="154">
        <v>0</v>
      </c>
      <c r="X152" s="193">
        <f t="shared" si="4"/>
        <v>0.99999999999999978</v>
      </c>
      <c r="Y152" s="156"/>
      <c r="Z152" s="157" t="s">
        <v>649</v>
      </c>
      <c r="AA152" s="157" t="s">
        <v>663</v>
      </c>
      <c r="AB152" s="151" t="s">
        <v>2602</v>
      </c>
      <c r="AC152" s="530" t="s">
        <v>3015</v>
      </c>
      <c r="AD152" s="159"/>
    </row>
    <row r="153" spans="1:30" x14ac:dyDescent="0.2">
      <c r="A153" s="160" t="s">
        <v>2602</v>
      </c>
      <c r="B153" s="202"/>
      <c r="C153" s="164" t="s">
        <v>1782</v>
      </c>
      <c r="D153" s="165" t="s">
        <v>1783</v>
      </c>
      <c r="E153" s="154">
        <v>0</v>
      </c>
      <c r="F153" s="154">
        <v>0</v>
      </c>
      <c r="G153" s="154">
        <v>0.10779900758652504</v>
      </c>
      <c r="H153" s="154">
        <v>0</v>
      </c>
      <c r="I153" s="154">
        <v>0</v>
      </c>
      <c r="J153" s="154">
        <v>0</v>
      </c>
      <c r="K153" s="154">
        <v>0</v>
      </c>
      <c r="L153" s="154">
        <v>0</v>
      </c>
      <c r="M153" s="154">
        <v>0</v>
      </c>
      <c r="N153" s="154">
        <v>0.39139992961582287</v>
      </c>
      <c r="O153" s="154">
        <v>0</v>
      </c>
      <c r="P153" s="154">
        <v>0.30939983500572144</v>
      </c>
      <c r="Q153" s="154">
        <v>0</v>
      </c>
      <c r="R153" s="154">
        <v>0</v>
      </c>
      <c r="S153" s="154">
        <v>0.19140122779193078</v>
      </c>
      <c r="T153" s="154">
        <v>0</v>
      </c>
      <c r="U153" s="154">
        <v>0</v>
      </c>
      <c r="V153" s="154">
        <v>0</v>
      </c>
      <c r="W153" s="154">
        <v>0</v>
      </c>
      <c r="X153" s="166">
        <f t="shared" si="4"/>
        <v>1.0000000000000002</v>
      </c>
      <c r="Y153" s="156"/>
      <c r="Z153" s="157" t="s">
        <v>649</v>
      </c>
      <c r="AA153" s="157" t="s">
        <v>649</v>
      </c>
      <c r="AB153" s="151" t="s">
        <v>2602</v>
      </c>
      <c r="AC153" s="530" t="s">
        <v>3015</v>
      </c>
      <c r="AD153" s="159"/>
    </row>
    <row r="154" spans="1:30" x14ac:dyDescent="0.2">
      <c r="A154" s="151" t="s">
        <v>2602</v>
      </c>
      <c r="B154" s="210">
        <v>42247</v>
      </c>
      <c r="C154" s="174" t="s">
        <v>1282</v>
      </c>
      <c r="D154" s="175" t="s">
        <v>1283</v>
      </c>
      <c r="E154" s="154">
        <v>0</v>
      </c>
      <c r="F154" s="154">
        <v>0</v>
      </c>
      <c r="G154" s="154">
        <v>0</v>
      </c>
      <c r="H154" s="154">
        <v>0</v>
      </c>
      <c r="I154" s="154">
        <v>0</v>
      </c>
      <c r="J154" s="154">
        <v>0</v>
      </c>
      <c r="K154" s="154">
        <v>0</v>
      </c>
      <c r="L154" s="154">
        <v>0</v>
      </c>
      <c r="M154" s="154">
        <v>0</v>
      </c>
      <c r="N154" s="154">
        <v>1</v>
      </c>
      <c r="O154" s="154">
        <v>0</v>
      </c>
      <c r="P154" s="154">
        <v>0</v>
      </c>
      <c r="Q154" s="154">
        <v>0</v>
      </c>
      <c r="R154" s="154">
        <v>0</v>
      </c>
      <c r="S154" s="154">
        <v>0</v>
      </c>
      <c r="T154" s="154">
        <v>0</v>
      </c>
      <c r="U154" s="154">
        <v>0</v>
      </c>
      <c r="V154" s="154">
        <v>0</v>
      </c>
      <c r="W154" s="154">
        <v>0</v>
      </c>
      <c r="X154" s="176">
        <f t="shared" si="4"/>
        <v>1</v>
      </c>
      <c r="Y154" s="156"/>
      <c r="Z154" s="157" t="s">
        <v>649</v>
      </c>
      <c r="AA154" s="157" t="s">
        <v>663</v>
      </c>
      <c r="AB154" s="151" t="s">
        <v>2602</v>
      </c>
      <c r="AC154" s="530" t="s">
        <v>3015</v>
      </c>
      <c r="AD154" s="159"/>
    </row>
    <row r="155" spans="1:30" x14ac:dyDescent="0.2">
      <c r="A155" s="151" t="s">
        <v>2602</v>
      </c>
      <c r="B155" s="210">
        <v>42247</v>
      </c>
      <c r="C155" s="164" t="s">
        <v>1788</v>
      </c>
      <c r="D155" s="165" t="s">
        <v>1789</v>
      </c>
      <c r="E155" s="154">
        <v>0</v>
      </c>
      <c r="F155" s="154">
        <v>0</v>
      </c>
      <c r="G155" s="154">
        <v>0</v>
      </c>
      <c r="H155" s="154">
        <v>1</v>
      </c>
      <c r="I155" s="154">
        <v>0</v>
      </c>
      <c r="J155" s="154">
        <v>0</v>
      </c>
      <c r="K155" s="154">
        <v>0</v>
      </c>
      <c r="L155" s="154">
        <v>0</v>
      </c>
      <c r="M155" s="154">
        <v>0</v>
      </c>
      <c r="N155" s="154">
        <v>0</v>
      </c>
      <c r="O155" s="154">
        <v>0</v>
      </c>
      <c r="P155" s="154">
        <v>0</v>
      </c>
      <c r="Q155" s="154">
        <v>0</v>
      </c>
      <c r="R155" s="154">
        <v>0</v>
      </c>
      <c r="S155" s="154">
        <v>0</v>
      </c>
      <c r="T155" s="154">
        <v>0</v>
      </c>
      <c r="U155" s="154">
        <v>0</v>
      </c>
      <c r="V155" s="154">
        <v>0</v>
      </c>
      <c r="W155" s="154">
        <v>0</v>
      </c>
      <c r="X155" s="166">
        <f t="shared" si="4"/>
        <v>1</v>
      </c>
      <c r="Y155" s="156"/>
      <c r="Z155" s="157" t="s">
        <v>649</v>
      </c>
      <c r="AA155" s="157" t="s">
        <v>663</v>
      </c>
      <c r="AB155" s="151" t="s">
        <v>2602</v>
      </c>
      <c r="AC155" s="530" t="s">
        <v>3015</v>
      </c>
      <c r="AD155" s="159"/>
    </row>
    <row r="156" spans="1:30" x14ac:dyDescent="0.2">
      <c r="A156" s="151" t="s">
        <v>2602</v>
      </c>
      <c r="B156" s="205"/>
      <c r="C156" s="211" t="s">
        <v>1794</v>
      </c>
      <c r="D156" s="212" t="s">
        <v>1795</v>
      </c>
      <c r="E156" s="154">
        <v>0</v>
      </c>
      <c r="F156" s="154">
        <v>0</v>
      </c>
      <c r="G156" s="154">
        <v>0</v>
      </c>
      <c r="H156" s="154">
        <v>1</v>
      </c>
      <c r="I156" s="154">
        <v>0</v>
      </c>
      <c r="J156" s="154">
        <v>0</v>
      </c>
      <c r="K156" s="154">
        <v>0</v>
      </c>
      <c r="L156" s="154">
        <v>0</v>
      </c>
      <c r="M156" s="154">
        <v>0</v>
      </c>
      <c r="N156" s="154">
        <v>0</v>
      </c>
      <c r="O156" s="154">
        <v>0</v>
      </c>
      <c r="P156" s="154">
        <v>0</v>
      </c>
      <c r="Q156" s="154">
        <v>0</v>
      </c>
      <c r="R156" s="154">
        <v>0</v>
      </c>
      <c r="S156" s="154">
        <v>0</v>
      </c>
      <c r="T156" s="154">
        <v>0</v>
      </c>
      <c r="U156" s="154">
        <v>0</v>
      </c>
      <c r="V156" s="154">
        <v>0</v>
      </c>
      <c r="W156" s="154">
        <v>0</v>
      </c>
      <c r="X156" s="179">
        <f t="shared" si="4"/>
        <v>1</v>
      </c>
      <c r="Y156" s="156"/>
      <c r="Z156" s="157" t="s">
        <v>649</v>
      </c>
      <c r="AA156" s="157" t="s">
        <v>663</v>
      </c>
      <c r="AB156" s="151" t="s">
        <v>2602</v>
      </c>
      <c r="AC156" s="530" t="s">
        <v>3015</v>
      </c>
      <c r="AD156" s="159"/>
    </row>
    <row r="157" spans="1:30" x14ac:dyDescent="0.2">
      <c r="A157" s="160" t="s">
        <v>2602</v>
      </c>
      <c r="B157" s="202"/>
      <c r="C157" s="190" t="s">
        <v>1798</v>
      </c>
      <c r="D157" s="191" t="s">
        <v>1799</v>
      </c>
      <c r="E157" s="154">
        <v>0</v>
      </c>
      <c r="F157" s="154">
        <v>0</v>
      </c>
      <c r="G157" s="154">
        <v>0</v>
      </c>
      <c r="H157" s="154">
        <v>0.98118523784288869</v>
      </c>
      <c r="I157" s="154">
        <v>0</v>
      </c>
      <c r="J157" s="154">
        <v>0</v>
      </c>
      <c r="K157" s="154">
        <v>0</v>
      </c>
      <c r="L157" s="154">
        <v>1.8814762157111229E-2</v>
      </c>
      <c r="M157" s="154">
        <v>0</v>
      </c>
      <c r="N157" s="154">
        <v>0</v>
      </c>
      <c r="O157" s="154">
        <v>0</v>
      </c>
      <c r="P157" s="154">
        <v>0</v>
      </c>
      <c r="Q157" s="154">
        <v>0</v>
      </c>
      <c r="R157" s="154">
        <v>0</v>
      </c>
      <c r="S157" s="154">
        <v>0</v>
      </c>
      <c r="T157" s="154">
        <v>0</v>
      </c>
      <c r="U157" s="154">
        <v>0</v>
      </c>
      <c r="V157" s="154">
        <v>0</v>
      </c>
      <c r="W157" s="154">
        <v>0</v>
      </c>
      <c r="X157" s="163">
        <f t="shared" si="4"/>
        <v>0.99999999999999989</v>
      </c>
      <c r="Y157" s="156"/>
      <c r="Z157" s="157" t="s">
        <v>649</v>
      </c>
      <c r="AA157" s="157" t="s">
        <v>649</v>
      </c>
      <c r="AB157" s="151" t="s">
        <v>2602</v>
      </c>
      <c r="AC157" s="530" t="s">
        <v>3015</v>
      </c>
      <c r="AD157" s="159"/>
    </row>
    <row r="158" spans="1:30" x14ac:dyDescent="0.2">
      <c r="A158" s="151" t="s">
        <v>2602</v>
      </c>
      <c r="B158" s="205"/>
      <c r="C158" s="170" t="s">
        <v>1286</v>
      </c>
      <c r="D158" s="192" t="s">
        <v>199</v>
      </c>
      <c r="E158" s="154">
        <v>0</v>
      </c>
      <c r="F158" s="154">
        <v>0</v>
      </c>
      <c r="G158" s="154">
        <v>0.28832653381698931</v>
      </c>
      <c r="H158" s="154">
        <v>0</v>
      </c>
      <c r="I158" s="154">
        <v>0</v>
      </c>
      <c r="J158" s="154">
        <v>0</v>
      </c>
      <c r="K158" s="154">
        <v>0</v>
      </c>
      <c r="L158" s="154">
        <v>0</v>
      </c>
      <c r="M158" s="154">
        <v>0</v>
      </c>
      <c r="N158" s="154">
        <v>0</v>
      </c>
      <c r="O158" s="154">
        <v>0</v>
      </c>
      <c r="P158" s="154">
        <v>4.1544842630808661E-2</v>
      </c>
      <c r="Q158" s="154">
        <v>0</v>
      </c>
      <c r="R158" s="154">
        <v>0</v>
      </c>
      <c r="S158" s="154">
        <v>0</v>
      </c>
      <c r="T158" s="154">
        <v>0.67012862355220204</v>
      </c>
      <c r="U158" s="154">
        <v>0</v>
      </c>
      <c r="V158" s="154">
        <v>0</v>
      </c>
      <c r="W158" s="154">
        <v>0</v>
      </c>
      <c r="X158" s="193">
        <f t="shared" si="4"/>
        <v>1</v>
      </c>
      <c r="Y158" s="156"/>
      <c r="Z158" s="157" t="s">
        <v>649</v>
      </c>
      <c r="AA158" s="157" t="s">
        <v>663</v>
      </c>
      <c r="AB158" s="151" t="s">
        <v>2602</v>
      </c>
      <c r="AC158" s="530" t="s">
        <v>3015</v>
      </c>
      <c r="AD158" s="159"/>
    </row>
    <row r="159" spans="1:30" x14ac:dyDescent="0.2">
      <c r="A159" s="160" t="s">
        <v>2602</v>
      </c>
      <c r="B159" s="202"/>
      <c r="C159" s="190" t="s">
        <v>1808</v>
      </c>
      <c r="D159" s="191" t="s">
        <v>1809</v>
      </c>
      <c r="E159" s="154">
        <v>0</v>
      </c>
      <c r="F159" s="154">
        <v>0</v>
      </c>
      <c r="G159" s="154">
        <v>0</v>
      </c>
      <c r="H159" s="154">
        <v>1</v>
      </c>
      <c r="I159" s="154">
        <v>0</v>
      </c>
      <c r="J159" s="154">
        <v>0</v>
      </c>
      <c r="K159" s="154">
        <v>0</v>
      </c>
      <c r="L159" s="154">
        <v>0</v>
      </c>
      <c r="M159" s="154">
        <v>0</v>
      </c>
      <c r="N159" s="154">
        <v>0</v>
      </c>
      <c r="O159" s="154">
        <v>0</v>
      </c>
      <c r="P159" s="154">
        <v>0</v>
      </c>
      <c r="Q159" s="154">
        <v>0</v>
      </c>
      <c r="R159" s="154">
        <v>0</v>
      </c>
      <c r="S159" s="154">
        <v>0</v>
      </c>
      <c r="T159" s="154">
        <v>0</v>
      </c>
      <c r="U159" s="154">
        <v>0</v>
      </c>
      <c r="V159" s="154">
        <v>0</v>
      </c>
      <c r="W159" s="154">
        <v>0</v>
      </c>
      <c r="X159" s="163">
        <f t="shared" si="4"/>
        <v>1</v>
      </c>
      <c r="Y159" s="156"/>
      <c r="Z159" s="157" t="s">
        <v>649</v>
      </c>
      <c r="AA159" s="157" t="s">
        <v>663</v>
      </c>
      <c r="AB159" s="151" t="s">
        <v>2602</v>
      </c>
      <c r="AC159" s="530" t="s">
        <v>3015</v>
      </c>
      <c r="AD159" s="159"/>
    </row>
    <row r="160" spans="1:30" x14ac:dyDescent="0.2">
      <c r="A160" s="160" t="s">
        <v>2602</v>
      </c>
      <c r="B160" s="202"/>
      <c r="C160" s="161" t="s">
        <v>1287</v>
      </c>
      <c r="D160" s="162" t="s">
        <v>1288</v>
      </c>
      <c r="E160" s="154">
        <v>0</v>
      </c>
      <c r="F160" s="154">
        <v>0</v>
      </c>
      <c r="G160" s="154">
        <v>0</v>
      </c>
      <c r="H160" s="154">
        <v>1</v>
      </c>
      <c r="I160" s="154">
        <v>0</v>
      </c>
      <c r="J160" s="154">
        <v>0</v>
      </c>
      <c r="K160" s="154">
        <v>0</v>
      </c>
      <c r="L160" s="154">
        <v>0</v>
      </c>
      <c r="M160" s="154">
        <v>0</v>
      </c>
      <c r="N160" s="154">
        <v>0</v>
      </c>
      <c r="O160" s="154">
        <v>0</v>
      </c>
      <c r="P160" s="154">
        <v>0</v>
      </c>
      <c r="Q160" s="154">
        <v>0</v>
      </c>
      <c r="R160" s="154">
        <v>0</v>
      </c>
      <c r="S160" s="154">
        <v>0</v>
      </c>
      <c r="T160" s="154">
        <v>0</v>
      </c>
      <c r="U160" s="154">
        <v>0</v>
      </c>
      <c r="V160" s="154">
        <v>0</v>
      </c>
      <c r="W160" s="154">
        <v>0</v>
      </c>
      <c r="X160" s="163">
        <f t="shared" si="4"/>
        <v>1</v>
      </c>
      <c r="Y160" s="156"/>
      <c r="Z160" s="157" t="s">
        <v>649</v>
      </c>
      <c r="AA160" s="157" t="s">
        <v>663</v>
      </c>
      <c r="AB160" s="151" t="s">
        <v>2602</v>
      </c>
      <c r="AC160" s="530" t="s">
        <v>3015</v>
      </c>
      <c r="AD160" s="159"/>
    </row>
    <row r="161" spans="1:30" x14ac:dyDescent="0.2">
      <c r="A161" s="151" t="s">
        <v>2602</v>
      </c>
      <c r="B161" s="205"/>
      <c r="C161" s="184" t="s">
        <v>1318</v>
      </c>
      <c r="D161" s="185" t="s">
        <v>1319</v>
      </c>
      <c r="E161" s="154">
        <v>0</v>
      </c>
      <c r="F161" s="154">
        <v>5.4113247421954639E-4</v>
      </c>
      <c r="G161" s="154">
        <v>0.24782136750391559</v>
      </c>
      <c r="H161" s="154">
        <v>0</v>
      </c>
      <c r="I161" s="154">
        <v>0</v>
      </c>
      <c r="J161" s="154">
        <v>0</v>
      </c>
      <c r="K161" s="154">
        <v>0</v>
      </c>
      <c r="L161" s="154">
        <v>0</v>
      </c>
      <c r="M161" s="154">
        <v>0</v>
      </c>
      <c r="N161" s="154">
        <v>0</v>
      </c>
      <c r="O161" s="154">
        <v>0</v>
      </c>
      <c r="P161" s="154">
        <v>8.7997881025152803E-3</v>
      </c>
      <c r="Q161" s="154">
        <v>0</v>
      </c>
      <c r="R161" s="154">
        <v>0</v>
      </c>
      <c r="S161" s="154">
        <v>0</v>
      </c>
      <c r="T161" s="154">
        <v>0.74283771191934955</v>
      </c>
      <c r="U161" s="154">
        <v>0</v>
      </c>
      <c r="V161" s="154">
        <v>0</v>
      </c>
      <c r="W161" s="154">
        <v>0</v>
      </c>
      <c r="X161" s="186">
        <f t="shared" si="4"/>
        <v>1</v>
      </c>
      <c r="Y161" s="156"/>
      <c r="Z161" s="157" t="s">
        <v>649</v>
      </c>
      <c r="AA161" s="157" t="s">
        <v>663</v>
      </c>
      <c r="AB161" s="151" t="s">
        <v>2602</v>
      </c>
      <c r="AC161" s="530" t="s">
        <v>3015</v>
      </c>
      <c r="AD161" s="159"/>
    </row>
    <row r="162" spans="1:30" x14ac:dyDescent="0.2">
      <c r="A162" s="151" t="s">
        <v>2602</v>
      </c>
      <c r="B162" s="205"/>
      <c r="C162" s="190" t="s">
        <v>1822</v>
      </c>
      <c r="D162" s="191" t="s">
        <v>1823</v>
      </c>
      <c r="E162" s="154">
        <v>8.0520431426803693E-2</v>
      </c>
      <c r="F162" s="154">
        <v>0</v>
      </c>
      <c r="G162" s="154">
        <v>0</v>
      </c>
      <c r="H162" s="154">
        <v>9.4801680681072774E-3</v>
      </c>
      <c r="I162" s="154">
        <v>0</v>
      </c>
      <c r="J162" s="154">
        <v>0</v>
      </c>
      <c r="K162" s="154">
        <v>0</v>
      </c>
      <c r="L162" s="154">
        <v>0.9099994005050891</v>
      </c>
      <c r="M162" s="154">
        <v>0</v>
      </c>
      <c r="N162" s="154">
        <v>0</v>
      </c>
      <c r="O162" s="154">
        <v>0</v>
      </c>
      <c r="P162" s="154">
        <v>0</v>
      </c>
      <c r="Q162" s="154">
        <v>0</v>
      </c>
      <c r="R162" s="154">
        <v>0</v>
      </c>
      <c r="S162" s="154">
        <v>0</v>
      </c>
      <c r="T162" s="154">
        <v>0</v>
      </c>
      <c r="U162" s="154">
        <v>0</v>
      </c>
      <c r="V162" s="154">
        <v>0</v>
      </c>
      <c r="W162" s="154">
        <v>0</v>
      </c>
      <c r="X162" s="163">
        <f t="shared" si="4"/>
        <v>1</v>
      </c>
      <c r="Y162" s="156"/>
      <c r="Z162" s="157" t="s">
        <v>649</v>
      </c>
      <c r="AA162" s="157" t="s">
        <v>649</v>
      </c>
      <c r="AB162" s="151" t="s">
        <v>2602</v>
      </c>
      <c r="AC162" s="530" t="s">
        <v>3015</v>
      </c>
      <c r="AD162" s="159"/>
    </row>
    <row r="163" spans="1:30" x14ac:dyDescent="0.2">
      <c r="A163" s="151" t="s">
        <v>2602</v>
      </c>
      <c r="B163" s="205"/>
      <c r="C163" s="164" t="s">
        <v>1824</v>
      </c>
      <c r="D163" s="165" t="s">
        <v>1825</v>
      </c>
      <c r="E163" s="154">
        <v>0</v>
      </c>
      <c r="F163" s="154">
        <v>0</v>
      </c>
      <c r="G163" s="154">
        <v>0</v>
      </c>
      <c r="H163" s="154">
        <v>0</v>
      </c>
      <c r="I163" s="154">
        <v>0</v>
      </c>
      <c r="J163" s="154">
        <v>0</v>
      </c>
      <c r="K163" s="154">
        <v>0</v>
      </c>
      <c r="L163" s="154">
        <v>1</v>
      </c>
      <c r="M163" s="154">
        <v>0</v>
      </c>
      <c r="N163" s="154">
        <v>0</v>
      </c>
      <c r="O163" s="154">
        <v>0</v>
      </c>
      <c r="P163" s="154">
        <v>0</v>
      </c>
      <c r="Q163" s="154">
        <v>0</v>
      </c>
      <c r="R163" s="154">
        <v>0</v>
      </c>
      <c r="S163" s="154">
        <v>0</v>
      </c>
      <c r="T163" s="154">
        <v>0</v>
      </c>
      <c r="U163" s="154">
        <v>0</v>
      </c>
      <c r="V163" s="154">
        <v>0</v>
      </c>
      <c r="W163" s="154">
        <v>0</v>
      </c>
      <c r="X163" s="166">
        <f t="shared" si="4"/>
        <v>1</v>
      </c>
      <c r="Y163" s="156"/>
      <c r="Z163" s="157" t="s">
        <v>649</v>
      </c>
      <c r="AA163" s="157" t="s">
        <v>649</v>
      </c>
      <c r="AB163" s="151" t="s">
        <v>2602</v>
      </c>
      <c r="AC163" s="530" t="s">
        <v>3015</v>
      </c>
      <c r="AD163" s="159"/>
    </row>
    <row r="164" spans="1:30" x14ac:dyDescent="0.2">
      <c r="A164" s="151" t="s">
        <v>2602</v>
      </c>
      <c r="B164" s="205"/>
      <c r="C164" s="152" t="s">
        <v>1826</v>
      </c>
      <c r="D164" s="187" t="s">
        <v>1827</v>
      </c>
      <c r="E164" s="154">
        <v>0</v>
      </c>
      <c r="F164" s="154">
        <v>0</v>
      </c>
      <c r="G164" s="154">
        <v>0</v>
      </c>
      <c r="H164" s="154">
        <v>0</v>
      </c>
      <c r="I164" s="154">
        <v>0</v>
      </c>
      <c r="J164" s="154">
        <v>0</v>
      </c>
      <c r="K164" s="154">
        <v>0</v>
      </c>
      <c r="L164" s="154">
        <v>1</v>
      </c>
      <c r="M164" s="154">
        <v>0</v>
      </c>
      <c r="N164" s="154">
        <v>0</v>
      </c>
      <c r="O164" s="154">
        <v>0</v>
      </c>
      <c r="P164" s="154">
        <v>0</v>
      </c>
      <c r="Q164" s="154">
        <v>0</v>
      </c>
      <c r="R164" s="154">
        <v>0</v>
      </c>
      <c r="S164" s="154">
        <v>0</v>
      </c>
      <c r="T164" s="154">
        <v>0</v>
      </c>
      <c r="U164" s="154">
        <v>0</v>
      </c>
      <c r="V164" s="154">
        <v>0</v>
      </c>
      <c r="W164" s="154">
        <v>0</v>
      </c>
      <c r="X164" s="155">
        <f t="shared" si="4"/>
        <v>1</v>
      </c>
      <c r="Y164" s="156"/>
      <c r="Z164" s="157" t="s">
        <v>649</v>
      </c>
      <c r="AA164" s="157" t="s">
        <v>649</v>
      </c>
      <c r="AB164" s="151" t="s">
        <v>2602</v>
      </c>
      <c r="AC164" s="530" t="s">
        <v>3015</v>
      </c>
      <c r="AD164" s="159"/>
    </row>
    <row r="165" spans="1:30" x14ac:dyDescent="0.2">
      <c r="A165" s="160" t="s">
        <v>2602</v>
      </c>
      <c r="B165" s="202"/>
      <c r="C165" s="203" t="s">
        <v>1643</v>
      </c>
      <c r="D165" s="204" t="s">
        <v>1644</v>
      </c>
      <c r="E165" s="154">
        <v>0</v>
      </c>
      <c r="F165" s="154">
        <v>0</v>
      </c>
      <c r="G165" s="154">
        <v>0</v>
      </c>
      <c r="H165" s="154">
        <v>0</v>
      </c>
      <c r="I165" s="154">
        <v>0</v>
      </c>
      <c r="J165" s="154">
        <v>0</v>
      </c>
      <c r="K165" s="154">
        <v>0</v>
      </c>
      <c r="L165" s="154">
        <v>0</v>
      </c>
      <c r="M165" s="154">
        <v>0</v>
      </c>
      <c r="N165" s="154">
        <v>0</v>
      </c>
      <c r="O165" s="154">
        <v>0</v>
      </c>
      <c r="P165" s="154">
        <v>0</v>
      </c>
      <c r="Q165" s="154">
        <v>0</v>
      </c>
      <c r="R165" s="154">
        <v>0</v>
      </c>
      <c r="S165" s="154">
        <v>1</v>
      </c>
      <c r="T165" s="154">
        <v>0</v>
      </c>
      <c r="U165" s="154">
        <v>0</v>
      </c>
      <c r="V165" s="154">
        <v>0</v>
      </c>
      <c r="W165" s="154">
        <v>0</v>
      </c>
      <c r="X165" s="163">
        <f t="shared" si="4"/>
        <v>1</v>
      </c>
      <c r="Y165" s="156"/>
      <c r="Z165" s="157" t="s">
        <v>649</v>
      </c>
      <c r="AA165" s="157" t="s">
        <v>663</v>
      </c>
      <c r="AB165" s="151" t="s">
        <v>2602</v>
      </c>
      <c r="AC165" s="530" t="s">
        <v>3015</v>
      </c>
      <c r="AD165" s="159"/>
    </row>
    <row r="166" spans="1:30" x14ac:dyDescent="0.2">
      <c r="A166" s="160" t="s">
        <v>2602</v>
      </c>
      <c r="B166" s="202"/>
      <c r="C166" s="164" t="s">
        <v>2191</v>
      </c>
      <c r="D166" s="165" t="s">
        <v>222</v>
      </c>
      <c r="E166" s="154">
        <v>0</v>
      </c>
      <c r="F166" s="154">
        <v>0</v>
      </c>
      <c r="G166" s="154">
        <v>0</v>
      </c>
      <c r="H166" s="154">
        <v>1</v>
      </c>
      <c r="I166" s="154">
        <v>0</v>
      </c>
      <c r="J166" s="154">
        <v>0</v>
      </c>
      <c r="K166" s="154">
        <v>0</v>
      </c>
      <c r="L166" s="154">
        <v>0</v>
      </c>
      <c r="M166" s="154">
        <v>0</v>
      </c>
      <c r="N166" s="154">
        <v>0</v>
      </c>
      <c r="O166" s="154">
        <v>0</v>
      </c>
      <c r="P166" s="154">
        <v>0</v>
      </c>
      <c r="Q166" s="154">
        <v>0</v>
      </c>
      <c r="R166" s="154">
        <v>0</v>
      </c>
      <c r="S166" s="154">
        <v>0</v>
      </c>
      <c r="T166" s="154">
        <v>0</v>
      </c>
      <c r="U166" s="154">
        <v>0</v>
      </c>
      <c r="V166" s="154">
        <v>0</v>
      </c>
      <c r="W166" s="154">
        <v>0</v>
      </c>
      <c r="X166" s="166">
        <f t="shared" si="4"/>
        <v>1</v>
      </c>
      <c r="Y166" s="156"/>
      <c r="Z166" s="157" t="s">
        <v>649</v>
      </c>
      <c r="AA166" s="157" t="s">
        <v>649</v>
      </c>
      <c r="AB166" s="151" t="s">
        <v>2602</v>
      </c>
      <c r="AC166" s="530" t="s">
        <v>3015</v>
      </c>
      <c r="AD166" s="159"/>
    </row>
    <row r="167" spans="1:30" x14ac:dyDescent="0.2">
      <c r="A167" s="151" t="s">
        <v>2602</v>
      </c>
      <c r="B167" s="205"/>
      <c r="C167" s="184" t="s">
        <v>2200</v>
      </c>
      <c r="D167" s="185" t="s">
        <v>226</v>
      </c>
      <c r="E167" s="154">
        <v>0</v>
      </c>
      <c r="F167" s="154">
        <v>0</v>
      </c>
      <c r="G167" s="154">
        <v>0</v>
      </c>
      <c r="H167" s="154">
        <v>1</v>
      </c>
      <c r="I167" s="154">
        <v>0</v>
      </c>
      <c r="J167" s="154">
        <v>0</v>
      </c>
      <c r="K167" s="154">
        <v>0</v>
      </c>
      <c r="L167" s="154">
        <v>0</v>
      </c>
      <c r="M167" s="154">
        <v>0</v>
      </c>
      <c r="N167" s="154">
        <v>0</v>
      </c>
      <c r="O167" s="154">
        <v>0</v>
      </c>
      <c r="P167" s="154">
        <v>0</v>
      </c>
      <c r="Q167" s="154">
        <v>0</v>
      </c>
      <c r="R167" s="154">
        <v>0</v>
      </c>
      <c r="S167" s="154">
        <v>0</v>
      </c>
      <c r="T167" s="154">
        <v>0</v>
      </c>
      <c r="U167" s="154">
        <v>0</v>
      </c>
      <c r="V167" s="154">
        <v>0</v>
      </c>
      <c r="W167" s="154">
        <v>0</v>
      </c>
      <c r="X167" s="186">
        <f t="shared" si="4"/>
        <v>1</v>
      </c>
      <c r="Y167" s="156"/>
      <c r="Z167" s="157" t="s">
        <v>649</v>
      </c>
      <c r="AA167" s="157" t="s">
        <v>663</v>
      </c>
      <c r="AB167" s="151" t="s">
        <v>2602</v>
      </c>
      <c r="AC167" s="530" t="s">
        <v>3015</v>
      </c>
      <c r="AD167" s="159"/>
    </row>
    <row r="168" spans="1:30" x14ac:dyDescent="0.2">
      <c r="A168" s="151" t="s">
        <v>2602</v>
      </c>
      <c r="B168" s="205"/>
      <c r="C168" s="152" t="s">
        <v>1838</v>
      </c>
      <c r="D168" s="187" t="s">
        <v>1839</v>
      </c>
      <c r="E168" s="154">
        <v>0.96237415295750062</v>
      </c>
      <c r="F168" s="154">
        <v>0</v>
      </c>
      <c r="G168" s="154">
        <v>0</v>
      </c>
      <c r="H168" s="154">
        <v>3.7625847042499286E-2</v>
      </c>
      <c r="I168" s="154">
        <v>0</v>
      </c>
      <c r="J168" s="154">
        <v>0</v>
      </c>
      <c r="K168" s="154">
        <v>0</v>
      </c>
      <c r="L168" s="154">
        <v>0</v>
      </c>
      <c r="M168" s="154">
        <v>0</v>
      </c>
      <c r="N168" s="154">
        <v>0</v>
      </c>
      <c r="O168" s="154">
        <v>0</v>
      </c>
      <c r="P168" s="154">
        <v>0</v>
      </c>
      <c r="Q168" s="154">
        <v>0</v>
      </c>
      <c r="R168" s="154">
        <v>0</v>
      </c>
      <c r="S168" s="154">
        <v>0</v>
      </c>
      <c r="T168" s="154">
        <v>0</v>
      </c>
      <c r="U168" s="154">
        <v>0</v>
      </c>
      <c r="V168" s="154">
        <v>0</v>
      </c>
      <c r="W168" s="154">
        <v>0</v>
      </c>
      <c r="X168" s="155">
        <f t="shared" si="4"/>
        <v>0.99999999999999989</v>
      </c>
      <c r="Y168" s="156"/>
      <c r="Z168" s="157" t="s">
        <v>649</v>
      </c>
      <c r="AA168" s="157" t="s">
        <v>649</v>
      </c>
      <c r="AB168" s="151" t="s">
        <v>2602</v>
      </c>
      <c r="AC168" s="530" t="s">
        <v>3015</v>
      </c>
      <c r="AD168" s="159"/>
    </row>
    <row r="169" spans="1:30" x14ac:dyDescent="0.2">
      <c r="A169" s="160" t="s">
        <v>2602</v>
      </c>
      <c r="B169" s="202"/>
      <c r="C169" s="190" t="s">
        <v>1840</v>
      </c>
      <c r="D169" s="191" t="s">
        <v>1841</v>
      </c>
      <c r="E169" s="154">
        <v>5.6758834849468906E-2</v>
      </c>
      <c r="F169" s="154">
        <v>0</v>
      </c>
      <c r="G169" s="154">
        <v>0</v>
      </c>
      <c r="H169" s="154">
        <v>0</v>
      </c>
      <c r="I169" s="154">
        <v>0</v>
      </c>
      <c r="J169" s="154">
        <v>0</v>
      </c>
      <c r="K169" s="154">
        <v>0</v>
      </c>
      <c r="L169" s="154">
        <v>2.9826225559087406E-2</v>
      </c>
      <c r="M169" s="154">
        <v>0</v>
      </c>
      <c r="N169" s="154">
        <v>0.67325157065497532</v>
      </c>
      <c r="O169" s="154">
        <v>0</v>
      </c>
      <c r="P169" s="154">
        <v>0</v>
      </c>
      <c r="Q169" s="154">
        <v>0</v>
      </c>
      <c r="R169" s="154">
        <v>0</v>
      </c>
      <c r="S169" s="154">
        <v>0.17196731700767504</v>
      </c>
      <c r="T169" s="154">
        <v>6.8196051928793355E-2</v>
      </c>
      <c r="U169" s="154">
        <v>0</v>
      </c>
      <c r="V169" s="154">
        <v>0</v>
      </c>
      <c r="W169" s="154">
        <v>0</v>
      </c>
      <c r="X169" s="163">
        <f t="shared" si="4"/>
        <v>1</v>
      </c>
      <c r="Y169" s="198"/>
      <c r="Z169" s="157" t="s">
        <v>649</v>
      </c>
      <c r="AA169" s="157" t="s">
        <v>649</v>
      </c>
      <c r="AB169" s="151" t="s">
        <v>2602</v>
      </c>
      <c r="AC169" s="530" t="s">
        <v>3015</v>
      </c>
      <c r="AD169" s="159"/>
    </row>
    <row r="170" spans="1:30" x14ac:dyDescent="0.2">
      <c r="A170" s="160" t="s">
        <v>2602</v>
      </c>
      <c r="B170" s="199">
        <v>42247</v>
      </c>
      <c r="C170" s="164" t="s">
        <v>1856</v>
      </c>
      <c r="D170" s="165" t="s">
        <v>1857</v>
      </c>
      <c r="E170" s="154">
        <v>0.46721923856033698</v>
      </c>
      <c r="F170" s="154">
        <v>0</v>
      </c>
      <c r="G170" s="154">
        <v>0</v>
      </c>
      <c r="H170" s="154">
        <v>0.20941617456069511</v>
      </c>
      <c r="I170" s="154">
        <v>0</v>
      </c>
      <c r="J170" s="154">
        <v>0</v>
      </c>
      <c r="K170" s="154">
        <v>0</v>
      </c>
      <c r="L170" s="154">
        <v>0.32336458687896802</v>
      </c>
      <c r="M170" s="154">
        <v>0</v>
      </c>
      <c r="N170" s="154">
        <v>0</v>
      </c>
      <c r="O170" s="154">
        <v>0</v>
      </c>
      <c r="P170" s="154">
        <v>0</v>
      </c>
      <c r="Q170" s="154">
        <v>0</v>
      </c>
      <c r="R170" s="154">
        <v>0</v>
      </c>
      <c r="S170" s="154">
        <v>0</v>
      </c>
      <c r="T170" s="154">
        <v>0</v>
      </c>
      <c r="U170" s="154">
        <v>0</v>
      </c>
      <c r="V170" s="154">
        <v>0</v>
      </c>
      <c r="W170" s="154">
        <v>0</v>
      </c>
      <c r="X170" s="166">
        <f t="shared" si="4"/>
        <v>1.0000000000000002</v>
      </c>
      <c r="Y170" s="156"/>
      <c r="Z170" s="157" t="s">
        <v>649</v>
      </c>
      <c r="AA170" s="157" t="s">
        <v>649</v>
      </c>
      <c r="AB170" s="151" t="s">
        <v>2602</v>
      </c>
      <c r="AC170" s="530" t="s">
        <v>3015</v>
      </c>
      <c r="AD170" s="159"/>
    </row>
    <row r="171" spans="1:30" x14ac:dyDescent="0.2">
      <c r="A171" s="160" t="s">
        <v>2602</v>
      </c>
      <c r="B171" s="202"/>
      <c r="C171" s="164" t="s">
        <v>1890</v>
      </c>
      <c r="D171" s="165" t="s">
        <v>1891</v>
      </c>
      <c r="E171" s="154">
        <v>0</v>
      </c>
      <c r="F171" s="154">
        <v>0</v>
      </c>
      <c r="G171" s="154">
        <v>0</v>
      </c>
      <c r="H171" s="154">
        <v>0</v>
      </c>
      <c r="I171" s="154">
        <v>0</v>
      </c>
      <c r="J171" s="154">
        <v>0</v>
      </c>
      <c r="K171" s="154">
        <v>0</v>
      </c>
      <c r="L171" s="154">
        <v>1</v>
      </c>
      <c r="M171" s="154">
        <v>0</v>
      </c>
      <c r="N171" s="154">
        <v>0</v>
      </c>
      <c r="O171" s="154">
        <v>0</v>
      </c>
      <c r="P171" s="154">
        <v>0</v>
      </c>
      <c r="Q171" s="154">
        <v>0</v>
      </c>
      <c r="R171" s="154">
        <v>0</v>
      </c>
      <c r="S171" s="154">
        <v>0</v>
      </c>
      <c r="T171" s="154">
        <v>0</v>
      </c>
      <c r="U171" s="154">
        <v>0</v>
      </c>
      <c r="V171" s="154">
        <v>0</v>
      </c>
      <c r="W171" s="154">
        <v>0</v>
      </c>
      <c r="X171" s="166">
        <f t="shared" si="4"/>
        <v>1</v>
      </c>
      <c r="Y171" s="156"/>
      <c r="Z171" s="157" t="s">
        <v>649</v>
      </c>
      <c r="AA171" s="157" t="s">
        <v>649</v>
      </c>
      <c r="AB171" s="151" t="s">
        <v>2602</v>
      </c>
      <c r="AC171" s="530" t="s">
        <v>3015</v>
      </c>
      <c r="AD171" s="159"/>
    </row>
    <row r="172" spans="1:30" x14ac:dyDescent="0.2">
      <c r="A172" s="151" t="s">
        <v>2602</v>
      </c>
      <c r="B172" s="205"/>
      <c r="C172" s="184" t="s">
        <v>1892</v>
      </c>
      <c r="D172" s="185" t="s">
        <v>1893</v>
      </c>
      <c r="E172" s="154">
        <v>1</v>
      </c>
      <c r="F172" s="154">
        <v>0</v>
      </c>
      <c r="G172" s="154">
        <v>0</v>
      </c>
      <c r="H172" s="154">
        <v>0</v>
      </c>
      <c r="I172" s="154">
        <v>0</v>
      </c>
      <c r="J172" s="154">
        <v>0</v>
      </c>
      <c r="K172" s="154">
        <v>0</v>
      </c>
      <c r="L172" s="154">
        <v>0</v>
      </c>
      <c r="M172" s="154">
        <v>0</v>
      </c>
      <c r="N172" s="154">
        <v>0</v>
      </c>
      <c r="O172" s="154">
        <v>0</v>
      </c>
      <c r="P172" s="154">
        <v>0</v>
      </c>
      <c r="Q172" s="154">
        <v>0</v>
      </c>
      <c r="R172" s="154">
        <v>0</v>
      </c>
      <c r="S172" s="154">
        <v>0</v>
      </c>
      <c r="T172" s="154">
        <v>0</v>
      </c>
      <c r="U172" s="154">
        <v>0</v>
      </c>
      <c r="V172" s="154">
        <v>0</v>
      </c>
      <c r="W172" s="154">
        <v>0</v>
      </c>
      <c r="X172" s="186">
        <f t="shared" si="4"/>
        <v>1</v>
      </c>
      <c r="Y172" s="156"/>
      <c r="Z172" s="157" t="s">
        <v>649</v>
      </c>
      <c r="AA172" s="157" t="s">
        <v>649</v>
      </c>
      <c r="AB172" s="151" t="s">
        <v>2602</v>
      </c>
      <c r="AC172" s="530" t="s">
        <v>3015</v>
      </c>
      <c r="AD172" s="159"/>
    </row>
    <row r="173" spans="1:30" x14ac:dyDescent="0.2">
      <c r="A173" s="151" t="s">
        <v>2602</v>
      </c>
      <c r="B173" s="205"/>
      <c r="C173" s="152" t="s">
        <v>1898</v>
      </c>
      <c r="D173" s="187" t="s">
        <v>1899</v>
      </c>
      <c r="E173" s="154">
        <v>0</v>
      </c>
      <c r="F173" s="154">
        <v>0</v>
      </c>
      <c r="G173" s="154">
        <v>0</v>
      </c>
      <c r="H173" s="154">
        <v>0</v>
      </c>
      <c r="I173" s="154">
        <v>0</v>
      </c>
      <c r="J173" s="154">
        <v>0</v>
      </c>
      <c r="K173" s="154">
        <v>0</v>
      </c>
      <c r="L173" s="154">
        <v>1</v>
      </c>
      <c r="M173" s="154">
        <v>0</v>
      </c>
      <c r="N173" s="154">
        <v>0</v>
      </c>
      <c r="O173" s="154">
        <v>0</v>
      </c>
      <c r="P173" s="154">
        <v>0</v>
      </c>
      <c r="Q173" s="154">
        <v>0</v>
      </c>
      <c r="R173" s="154">
        <v>0</v>
      </c>
      <c r="S173" s="154">
        <v>0</v>
      </c>
      <c r="T173" s="154">
        <v>0</v>
      </c>
      <c r="U173" s="154">
        <v>0</v>
      </c>
      <c r="V173" s="154">
        <v>0</v>
      </c>
      <c r="W173" s="154">
        <v>0</v>
      </c>
      <c r="X173" s="155">
        <f t="shared" si="4"/>
        <v>1</v>
      </c>
      <c r="Y173" s="156"/>
      <c r="Z173" s="157" t="s">
        <v>649</v>
      </c>
      <c r="AA173" s="157" t="s">
        <v>649</v>
      </c>
      <c r="AB173" s="151" t="s">
        <v>2602</v>
      </c>
      <c r="AC173" s="530" t="s">
        <v>3015</v>
      </c>
      <c r="AD173" s="159"/>
    </row>
    <row r="174" spans="1:30" x14ac:dyDescent="0.2">
      <c r="A174" s="160" t="s">
        <v>2602</v>
      </c>
      <c r="B174" s="202"/>
      <c r="C174" s="190" t="s">
        <v>2195</v>
      </c>
      <c r="D174" s="191" t="s">
        <v>2196</v>
      </c>
      <c r="E174" s="154">
        <v>0</v>
      </c>
      <c r="F174" s="154">
        <v>0</v>
      </c>
      <c r="G174" s="154">
        <v>0</v>
      </c>
      <c r="H174" s="154">
        <v>0</v>
      </c>
      <c r="I174" s="154">
        <v>0</v>
      </c>
      <c r="J174" s="154">
        <v>0</v>
      </c>
      <c r="K174" s="154">
        <v>0</v>
      </c>
      <c r="L174" s="154">
        <v>0</v>
      </c>
      <c r="M174" s="154">
        <v>0</v>
      </c>
      <c r="N174" s="154">
        <v>0</v>
      </c>
      <c r="O174" s="154">
        <v>0</v>
      </c>
      <c r="P174" s="154">
        <v>1</v>
      </c>
      <c r="Q174" s="154">
        <v>0</v>
      </c>
      <c r="R174" s="154">
        <v>0</v>
      </c>
      <c r="S174" s="154">
        <v>0</v>
      </c>
      <c r="T174" s="154">
        <v>0</v>
      </c>
      <c r="U174" s="154">
        <v>0</v>
      </c>
      <c r="V174" s="154">
        <v>0</v>
      </c>
      <c r="W174" s="154">
        <v>0</v>
      </c>
      <c r="X174" s="163">
        <f t="shared" si="4"/>
        <v>1</v>
      </c>
      <c r="Y174" s="156"/>
      <c r="Z174" s="157" t="s">
        <v>649</v>
      </c>
      <c r="AA174" s="157" t="s">
        <v>663</v>
      </c>
      <c r="AB174" s="151" t="s">
        <v>2602</v>
      </c>
      <c r="AC174" s="530" t="s">
        <v>3015</v>
      </c>
      <c r="AD174" s="159"/>
    </row>
    <row r="175" spans="1:30" x14ac:dyDescent="0.2">
      <c r="A175" s="160" t="s">
        <v>2602</v>
      </c>
      <c r="B175" s="202"/>
      <c r="C175" s="164" t="s">
        <v>1906</v>
      </c>
      <c r="D175" s="165" t="s">
        <v>1907</v>
      </c>
      <c r="E175" s="154">
        <v>3.9035305763873365E-4</v>
      </c>
      <c r="F175" s="154">
        <v>0</v>
      </c>
      <c r="G175" s="154">
        <v>0</v>
      </c>
      <c r="H175" s="154">
        <v>0.99960964694236121</v>
      </c>
      <c r="I175" s="154">
        <v>0</v>
      </c>
      <c r="J175" s="154">
        <v>0</v>
      </c>
      <c r="K175" s="154">
        <v>0</v>
      </c>
      <c r="L175" s="154">
        <v>0</v>
      </c>
      <c r="M175" s="154">
        <v>0</v>
      </c>
      <c r="N175" s="154">
        <v>0</v>
      </c>
      <c r="O175" s="154">
        <v>0</v>
      </c>
      <c r="P175" s="154">
        <v>0</v>
      </c>
      <c r="Q175" s="154">
        <v>0</v>
      </c>
      <c r="R175" s="154">
        <v>0</v>
      </c>
      <c r="S175" s="154">
        <v>0</v>
      </c>
      <c r="T175" s="154">
        <v>0</v>
      </c>
      <c r="U175" s="154">
        <v>0</v>
      </c>
      <c r="V175" s="154">
        <v>0</v>
      </c>
      <c r="W175" s="154">
        <v>0</v>
      </c>
      <c r="X175" s="166">
        <f t="shared" si="4"/>
        <v>0.99999999999999989</v>
      </c>
      <c r="Y175" s="156"/>
      <c r="Z175" s="157" t="s">
        <v>649</v>
      </c>
      <c r="AA175" s="157" t="s">
        <v>649</v>
      </c>
      <c r="AB175" s="151" t="s">
        <v>2602</v>
      </c>
      <c r="AC175" s="530" t="s">
        <v>3015</v>
      </c>
      <c r="AD175" s="159"/>
    </row>
    <row r="176" spans="1:30" x14ac:dyDescent="0.2">
      <c r="A176" s="151" t="s">
        <v>2602</v>
      </c>
      <c r="B176" s="205"/>
      <c r="C176" s="170" t="s">
        <v>1908</v>
      </c>
      <c r="D176" s="192" t="s">
        <v>1909</v>
      </c>
      <c r="E176" s="154">
        <v>0</v>
      </c>
      <c r="F176" s="154">
        <v>0</v>
      </c>
      <c r="G176" s="154">
        <v>0</v>
      </c>
      <c r="H176" s="154">
        <v>1</v>
      </c>
      <c r="I176" s="154">
        <v>0</v>
      </c>
      <c r="J176" s="154">
        <v>0</v>
      </c>
      <c r="K176" s="154">
        <v>0</v>
      </c>
      <c r="L176" s="154">
        <v>0</v>
      </c>
      <c r="M176" s="154">
        <v>0</v>
      </c>
      <c r="N176" s="154">
        <v>0</v>
      </c>
      <c r="O176" s="154">
        <v>0</v>
      </c>
      <c r="P176" s="154">
        <v>0</v>
      </c>
      <c r="Q176" s="154">
        <v>0</v>
      </c>
      <c r="R176" s="154">
        <v>0</v>
      </c>
      <c r="S176" s="154">
        <v>0</v>
      </c>
      <c r="T176" s="154">
        <v>0</v>
      </c>
      <c r="U176" s="154">
        <v>0</v>
      </c>
      <c r="V176" s="154">
        <v>0</v>
      </c>
      <c r="W176" s="154">
        <v>0</v>
      </c>
      <c r="X176" s="193">
        <f t="shared" si="4"/>
        <v>1</v>
      </c>
      <c r="Y176" s="156"/>
      <c r="Z176" s="157" t="s">
        <v>649</v>
      </c>
      <c r="AA176" s="157" t="s">
        <v>649</v>
      </c>
      <c r="AB176" s="151" t="s">
        <v>2602</v>
      </c>
      <c r="AC176" s="530" t="s">
        <v>3015</v>
      </c>
      <c r="AD176" s="159"/>
    </row>
    <row r="177" spans="1:30" x14ac:dyDescent="0.2">
      <c r="A177" s="160" t="s">
        <v>2602</v>
      </c>
      <c r="B177" s="202"/>
      <c r="C177" s="164" t="s">
        <v>1921</v>
      </c>
      <c r="D177" s="165" t="s">
        <v>1922</v>
      </c>
      <c r="E177" s="154">
        <v>0</v>
      </c>
      <c r="F177" s="154">
        <v>0</v>
      </c>
      <c r="G177" s="154">
        <v>0</v>
      </c>
      <c r="H177" s="154">
        <v>1</v>
      </c>
      <c r="I177" s="154">
        <v>0</v>
      </c>
      <c r="J177" s="154">
        <v>0</v>
      </c>
      <c r="K177" s="154">
        <v>0</v>
      </c>
      <c r="L177" s="154">
        <v>0</v>
      </c>
      <c r="M177" s="154">
        <v>0</v>
      </c>
      <c r="N177" s="154">
        <v>0</v>
      </c>
      <c r="O177" s="154">
        <v>0</v>
      </c>
      <c r="P177" s="154">
        <v>0</v>
      </c>
      <c r="Q177" s="154">
        <v>0</v>
      </c>
      <c r="R177" s="154">
        <v>0</v>
      </c>
      <c r="S177" s="154">
        <v>0</v>
      </c>
      <c r="T177" s="154">
        <v>0</v>
      </c>
      <c r="U177" s="154">
        <v>0</v>
      </c>
      <c r="V177" s="154">
        <v>0</v>
      </c>
      <c r="W177" s="154">
        <v>0</v>
      </c>
      <c r="X177" s="166">
        <f t="shared" si="4"/>
        <v>1</v>
      </c>
      <c r="Y177" s="198"/>
      <c r="Z177" s="157" t="s">
        <v>649</v>
      </c>
      <c r="AA177" s="157" t="s">
        <v>649</v>
      </c>
      <c r="AB177" s="151" t="s">
        <v>2602</v>
      </c>
      <c r="AC177" s="530" t="s">
        <v>3015</v>
      </c>
      <c r="AD177" s="159"/>
    </row>
    <row r="178" spans="1:30" x14ac:dyDescent="0.2">
      <c r="A178" s="151" t="s">
        <v>2602</v>
      </c>
      <c r="B178" s="205"/>
      <c r="C178" s="170" t="s">
        <v>1923</v>
      </c>
      <c r="D178" s="192" t="s">
        <v>1924</v>
      </c>
      <c r="E178" s="154">
        <v>0</v>
      </c>
      <c r="F178" s="154">
        <v>0.37490231322519019</v>
      </c>
      <c r="G178" s="154">
        <v>0.22520260314686905</v>
      </c>
      <c r="H178" s="154">
        <v>0</v>
      </c>
      <c r="I178" s="154">
        <v>0</v>
      </c>
      <c r="J178" s="154">
        <v>0</v>
      </c>
      <c r="K178" s="154">
        <v>0</v>
      </c>
      <c r="L178" s="154">
        <v>0</v>
      </c>
      <c r="M178" s="154">
        <v>0</v>
      </c>
      <c r="N178" s="154">
        <v>0</v>
      </c>
      <c r="O178" s="154">
        <v>0</v>
      </c>
      <c r="P178" s="154">
        <v>0.39989508362794079</v>
      </c>
      <c r="Q178" s="154">
        <v>0</v>
      </c>
      <c r="R178" s="154">
        <v>0</v>
      </c>
      <c r="S178" s="154">
        <v>0</v>
      </c>
      <c r="T178" s="154">
        <v>0</v>
      </c>
      <c r="U178" s="154">
        <v>0</v>
      </c>
      <c r="V178" s="154">
        <v>0</v>
      </c>
      <c r="W178" s="154">
        <v>0</v>
      </c>
      <c r="X178" s="193">
        <f t="shared" si="4"/>
        <v>1</v>
      </c>
      <c r="Y178" s="156"/>
      <c r="Z178" s="157" t="s">
        <v>649</v>
      </c>
      <c r="AA178" s="157" t="s">
        <v>663</v>
      </c>
      <c r="AB178" s="151" t="s">
        <v>2602</v>
      </c>
      <c r="AC178" s="530" t="s">
        <v>3015</v>
      </c>
      <c r="AD178" s="159"/>
    </row>
    <row r="179" spans="1:30" x14ac:dyDescent="0.2">
      <c r="A179" s="160" t="s">
        <v>2602</v>
      </c>
      <c r="B179" s="202"/>
      <c r="C179" s="164" t="s">
        <v>1966</v>
      </c>
      <c r="D179" s="165" t="s">
        <v>1967</v>
      </c>
      <c r="E179" s="154">
        <v>0</v>
      </c>
      <c r="F179" s="154">
        <v>0</v>
      </c>
      <c r="G179" s="154">
        <v>0</v>
      </c>
      <c r="H179" s="154">
        <v>0</v>
      </c>
      <c r="I179" s="154">
        <v>1</v>
      </c>
      <c r="J179" s="154">
        <v>0</v>
      </c>
      <c r="K179" s="154">
        <v>0</v>
      </c>
      <c r="L179" s="154">
        <v>0</v>
      </c>
      <c r="M179" s="154">
        <v>0</v>
      </c>
      <c r="N179" s="154">
        <v>0</v>
      </c>
      <c r="O179" s="154">
        <v>0</v>
      </c>
      <c r="P179" s="154">
        <v>0</v>
      </c>
      <c r="Q179" s="154">
        <v>0</v>
      </c>
      <c r="R179" s="154">
        <v>0</v>
      </c>
      <c r="S179" s="154">
        <v>0</v>
      </c>
      <c r="T179" s="154">
        <v>0</v>
      </c>
      <c r="U179" s="154">
        <v>0</v>
      </c>
      <c r="V179" s="154">
        <v>0</v>
      </c>
      <c r="W179" s="154">
        <v>0</v>
      </c>
      <c r="X179" s="166">
        <f t="shared" si="4"/>
        <v>1</v>
      </c>
      <c r="Y179" s="156"/>
      <c r="Z179" s="157" t="s">
        <v>649</v>
      </c>
      <c r="AA179" s="157" t="s">
        <v>649</v>
      </c>
      <c r="AB179" s="151" t="s">
        <v>2602</v>
      </c>
      <c r="AC179" s="530" t="s">
        <v>3015</v>
      </c>
      <c r="AD179" s="159"/>
    </row>
    <row r="180" spans="1:30" x14ac:dyDescent="0.2">
      <c r="A180" s="151" t="s">
        <v>2602</v>
      </c>
      <c r="B180" s="205"/>
      <c r="C180" s="213" t="s">
        <v>1648</v>
      </c>
      <c r="D180" s="214" t="s">
        <v>303</v>
      </c>
      <c r="E180" s="154">
        <v>0</v>
      </c>
      <c r="F180" s="154">
        <v>0</v>
      </c>
      <c r="G180" s="154">
        <v>0</v>
      </c>
      <c r="H180" s="154">
        <v>0</v>
      </c>
      <c r="I180" s="154">
        <v>0</v>
      </c>
      <c r="J180" s="154">
        <v>0</v>
      </c>
      <c r="K180" s="154">
        <v>0</v>
      </c>
      <c r="L180" s="154">
        <v>0</v>
      </c>
      <c r="M180" s="154">
        <v>0</v>
      </c>
      <c r="N180" s="154">
        <v>1</v>
      </c>
      <c r="O180" s="154">
        <v>0</v>
      </c>
      <c r="P180" s="154">
        <v>0</v>
      </c>
      <c r="Q180" s="154">
        <v>0</v>
      </c>
      <c r="R180" s="154">
        <v>0</v>
      </c>
      <c r="S180" s="154">
        <v>0</v>
      </c>
      <c r="T180" s="154">
        <v>0</v>
      </c>
      <c r="U180" s="154">
        <v>0</v>
      </c>
      <c r="V180" s="154">
        <v>0</v>
      </c>
      <c r="W180" s="154">
        <v>0</v>
      </c>
      <c r="X180" s="176">
        <f t="shared" si="4"/>
        <v>1</v>
      </c>
      <c r="Y180" s="156"/>
      <c r="Z180" s="157" t="s">
        <v>649</v>
      </c>
      <c r="AA180" s="157" t="s">
        <v>663</v>
      </c>
      <c r="AB180" s="151" t="s">
        <v>2602</v>
      </c>
      <c r="AC180" s="530" t="s">
        <v>3015</v>
      </c>
      <c r="AD180" s="159"/>
    </row>
    <row r="181" spans="1:30" x14ac:dyDescent="0.2">
      <c r="A181" s="151" t="s">
        <v>2602</v>
      </c>
      <c r="B181" s="205"/>
      <c r="C181" s="164" t="s">
        <v>1649</v>
      </c>
      <c r="D181" s="165" t="s">
        <v>305</v>
      </c>
      <c r="E181" s="154">
        <v>0</v>
      </c>
      <c r="F181" s="154">
        <v>0</v>
      </c>
      <c r="G181" s="154">
        <v>0</v>
      </c>
      <c r="H181" s="154">
        <v>0</v>
      </c>
      <c r="I181" s="154">
        <v>0</v>
      </c>
      <c r="J181" s="154">
        <v>0</v>
      </c>
      <c r="K181" s="154">
        <v>0</v>
      </c>
      <c r="L181" s="154">
        <v>0</v>
      </c>
      <c r="M181" s="154">
        <v>0</v>
      </c>
      <c r="N181" s="154">
        <v>7.6499994957252668E-2</v>
      </c>
      <c r="O181" s="154">
        <v>0</v>
      </c>
      <c r="P181" s="154">
        <v>0</v>
      </c>
      <c r="Q181" s="154">
        <v>0</v>
      </c>
      <c r="R181" s="154">
        <v>0</v>
      </c>
      <c r="S181" s="154">
        <v>3.7800005213021896E-2</v>
      </c>
      <c r="T181" s="154">
        <v>0.88569999982972536</v>
      </c>
      <c r="U181" s="154">
        <v>0</v>
      </c>
      <c r="V181" s="154">
        <v>0</v>
      </c>
      <c r="W181" s="154">
        <v>0</v>
      </c>
      <c r="X181" s="166">
        <f t="shared" si="4"/>
        <v>0.99999999999999989</v>
      </c>
      <c r="Y181" s="156"/>
      <c r="Z181" s="157" t="s">
        <v>649</v>
      </c>
      <c r="AA181" s="157" t="s">
        <v>663</v>
      </c>
      <c r="AB181" s="151" t="s">
        <v>2602</v>
      </c>
      <c r="AC181" s="530" t="s">
        <v>3015</v>
      </c>
      <c r="AD181" s="159"/>
    </row>
    <row r="182" spans="1:30" x14ac:dyDescent="0.2">
      <c r="A182" s="151" t="s">
        <v>2602</v>
      </c>
      <c r="B182" s="205"/>
      <c r="C182" s="211" t="s">
        <v>1996</v>
      </c>
      <c r="D182" s="212" t="s">
        <v>1997</v>
      </c>
      <c r="E182" s="154">
        <v>0</v>
      </c>
      <c r="F182" s="154">
        <v>0</v>
      </c>
      <c r="G182" s="154">
        <v>0</v>
      </c>
      <c r="H182" s="154">
        <v>0</v>
      </c>
      <c r="I182" s="154">
        <v>0</v>
      </c>
      <c r="J182" s="154">
        <v>0</v>
      </c>
      <c r="K182" s="154">
        <v>0</v>
      </c>
      <c r="L182" s="154">
        <v>1</v>
      </c>
      <c r="M182" s="154">
        <v>0</v>
      </c>
      <c r="N182" s="154">
        <v>0</v>
      </c>
      <c r="O182" s="154">
        <v>0</v>
      </c>
      <c r="P182" s="154">
        <v>0</v>
      </c>
      <c r="Q182" s="154">
        <v>0</v>
      </c>
      <c r="R182" s="154">
        <v>0</v>
      </c>
      <c r="S182" s="154">
        <v>0</v>
      </c>
      <c r="T182" s="154">
        <v>0</v>
      </c>
      <c r="U182" s="154">
        <v>0</v>
      </c>
      <c r="V182" s="154">
        <v>0</v>
      </c>
      <c r="W182" s="154">
        <v>0</v>
      </c>
      <c r="X182" s="179">
        <f t="shared" si="4"/>
        <v>1</v>
      </c>
      <c r="Y182" s="156"/>
      <c r="Z182" s="157" t="s">
        <v>649</v>
      </c>
      <c r="AA182" s="157" t="s">
        <v>663</v>
      </c>
      <c r="AB182" s="151" t="s">
        <v>2602</v>
      </c>
      <c r="AC182" s="530" t="s">
        <v>3015</v>
      </c>
      <c r="AD182" s="159"/>
    </row>
    <row r="183" spans="1:30" x14ac:dyDescent="0.2">
      <c r="A183" s="160" t="s">
        <v>2602</v>
      </c>
      <c r="B183" s="202"/>
      <c r="C183" s="164" t="s">
        <v>2000</v>
      </c>
      <c r="D183" s="165" t="s">
        <v>2001</v>
      </c>
      <c r="E183" s="154">
        <v>0</v>
      </c>
      <c r="F183" s="154">
        <v>0.23740212850862075</v>
      </c>
      <c r="G183" s="154">
        <v>0.36069725300258926</v>
      </c>
      <c r="H183" s="154">
        <v>0</v>
      </c>
      <c r="I183" s="154">
        <v>0</v>
      </c>
      <c r="J183" s="154">
        <v>0</v>
      </c>
      <c r="K183" s="154">
        <v>0</v>
      </c>
      <c r="L183" s="154">
        <v>0</v>
      </c>
      <c r="M183" s="154">
        <v>0</v>
      </c>
      <c r="N183" s="154">
        <v>0</v>
      </c>
      <c r="O183" s="154">
        <v>0</v>
      </c>
      <c r="P183" s="154">
        <v>0.3224927619373022</v>
      </c>
      <c r="Q183" s="154">
        <v>0</v>
      </c>
      <c r="R183" s="154">
        <v>0</v>
      </c>
      <c r="S183" s="154">
        <v>7.940785655148784E-2</v>
      </c>
      <c r="T183" s="154">
        <v>0</v>
      </c>
      <c r="U183" s="154">
        <v>0</v>
      </c>
      <c r="V183" s="154">
        <v>0</v>
      </c>
      <c r="W183" s="154">
        <v>0</v>
      </c>
      <c r="X183" s="166">
        <f t="shared" si="4"/>
        <v>1</v>
      </c>
      <c r="Y183" s="156"/>
      <c r="Z183" s="157" t="s">
        <v>649</v>
      </c>
      <c r="AA183" s="157" t="s">
        <v>649</v>
      </c>
      <c r="AB183" s="151" t="s">
        <v>2602</v>
      </c>
      <c r="AC183" s="530" t="s">
        <v>3015</v>
      </c>
      <c r="AD183" s="159"/>
    </row>
    <row r="184" spans="1:30" x14ac:dyDescent="0.2">
      <c r="A184" s="151" t="s">
        <v>2602</v>
      </c>
      <c r="B184" s="205"/>
      <c r="C184" s="184" t="s">
        <v>1630</v>
      </c>
      <c r="D184" s="185" t="s">
        <v>1631</v>
      </c>
      <c r="E184" s="154">
        <v>0</v>
      </c>
      <c r="F184" s="154">
        <v>0</v>
      </c>
      <c r="G184" s="154">
        <v>0</v>
      </c>
      <c r="H184" s="154">
        <v>0</v>
      </c>
      <c r="I184" s="154">
        <v>0</v>
      </c>
      <c r="J184" s="154">
        <v>0</v>
      </c>
      <c r="K184" s="154">
        <v>0</v>
      </c>
      <c r="L184" s="154">
        <v>0</v>
      </c>
      <c r="M184" s="154">
        <v>0</v>
      </c>
      <c r="N184" s="154">
        <v>0</v>
      </c>
      <c r="O184" s="154">
        <v>0</v>
      </c>
      <c r="P184" s="154">
        <v>0</v>
      </c>
      <c r="Q184" s="154">
        <v>0</v>
      </c>
      <c r="R184" s="154">
        <v>0</v>
      </c>
      <c r="S184" s="154">
        <v>1</v>
      </c>
      <c r="T184" s="154">
        <v>0</v>
      </c>
      <c r="U184" s="154">
        <v>0</v>
      </c>
      <c r="V184" s="154">
        <v>0</v>
      </c>
      <c r="W184" s="154">
        <v>0</v>
      </c>
      <c r="X184" s="186">
        <f t="shared" si="4"/>
        <v>1</v>
      </c>
      <c r="Y184" s="156"/>
      <c r="Z184" s="157" t="s">
        <v>649</v>
      </c>
      <c r="AA184" s="157" t="s">
        <v>663</v>
      </c>
      <c r="AB184" s="151" t="s">
        <v>2602</v>
      </c>
      <c r="AC184" s="530" t="s">
        <v>3015</v>
      </c>
      <c r="AD184" s="159"/>
    </row>
    <row r="185" spans="1:30" x14ac:dyDescent="0.2">
      <c r="A185" s="151" t="s">
        <v>2602</v>
      </c>
      <c r="B185" s="205"/>
      <c r="C185" s="161" t="s">
        <v>1303</v>
      </c>
      <c r="D185" s="162" t="s">
        <v>1304</v>
      </c>
      <c r="E185" s="154">
        <v>0</v>
      </c>
      <c r="F185" s="154">
        <v>0.17820349169537178</v>
      </c>
      <c r="G185" s="154">
        <v>0.46979740997177505</v>
      </c>
      <c r="H185" s="154">
        <v>0</v>
      </c>
      <c r="I185" s="154">
        <v>0</v>
      </c>
      <c r="J185" s="154">
        <v>0</v>
      </c>
      <c r="K185" s="154">
        <v>0</v>
      </c>
      <c r="L185" s="154">
        <v>0</v>
      </c>
      <c r="M185" s="154">
        <v>0</v>
      </c>
      <c r="N185" s="154">
        <v>0.15579986062557954</v>
      </c>
      <c r="O185" s="154">
        <v>0</v>
      </c>
      <c r="P185" s="154">
        <v>0</v>
      </c>
      <c r="Q185" s="154">
        <v>0</v>
      </c>
      <c r="R185" s="154">
        <v>0</v>
      </c>
      <c r="S185" s="154">
        <v>0.19619923770727371</v>
      </c>
      <c r="T185" s="154">
        <v>0</v>
      </c>
      <c r="U185" s="154">
        <v>0</v>
      </c>
      <c r="V185" s="154">
        <v>0</v>
      </c>
      <c r="W185" s="154">
        <v>0</v>
      </c>
      <c r="X185" s="163">
        <f t="shared" si="4"/>
        <v>1</v>
      </c>
      <c r="Y185" s="156"/>
      <c r="Z185" s="157" t="s">
        <v>649</v>
      </c>
      <c r="AA185" s="157" t="s">
        <v>663</v>
      </c>
      <c r="AB185" s="151" t="s">
        <v>2602</v>
      </c>
      <c r="AC185" s="530" t="s">
        <v>3015</v>
      </c>
      <c r="AD185" s="159"/>
    </row>
    <row r="186" spans="1:30" x14ac:dyDescent="0.2">
      <c r="A186" s="151" t="s">
        <v>2602</v>
      </c>
      <c r="B186" s="205"/>
      <c r="C186" s="164" t="s">
        <v>1646</v>
      </c>
      <c r="D186" s="165" t="s">
        <v>1647</v>
      </c>
      <c r="E186" s="154">
        <v>0</v>
      </c>
      <c r="F186" s="154">
        <v>0</v>
      </c>
      <c r="G186" s="154">
        <v>0</v>
      </c>
      <c r="H186" s="154">
        <v>0</v>
      </c>
      <c r="I186" s="154">
        <v>0</v>
      </c>
      <c r="J186" s="154">
        <v>0</v>
      </c>
      <c r="K186" s="154">
        <v>0</v>
      </c>
      <c r="L186" s="154">
        <v>0</v>
      </c>
      <c r="M186" s="154">
        <v>0</v>
      </c>
      <c r="N186" s="154">
        <v>0</v>
      </c>
      <c r="O186" s="154">
        <v>0</v>
      </c>
      <c r="P186" s="154">
        <v>0</v>
      </c>
      <c r="Q186" s="154">
        <v>0</v>
      </c>
      <c r="R186" s="154">
        <v>0</v>
      </c>
      <c r="S186" s="154">
        <v>1</v>
      </c>
      <c r="T186" s="154">
        <v>0</v>
      </c>
      <c r="U186" s="154">
        <v>0</v>
      </c>
      <c r="V186" s="154">
        <v>0</v>
      </c>
      <c r="W186" s="154">
        <v>0</v>
      </c>
      <c r="X186" s="166">
        <f t="shared" si="4"/>
        <v>1</v>
      </c>
      <c r="Y186" s="156"/>
      <c r="Z186" s="157" t="s">
        <v>649</v>
      </c>
      <c r="AA186" s="157" t="s">
        <v>663</v>
      </c>
      <c r="AB186" s="151" t="s">
        <v>2602</v>
      </c>
      <c r="AC186" s="530" t="s">
        <v>3015</v>
      </c>
      <c r="AD186" s="159"/>
    </row>
    <row r="187" spans="1:30" x14ac:dyDescent="0.2">
      <c r="A187" s="151" t="s">
        <v>2602</v>
      </c>
      <c r="B187" s="205"/>
      <c r="C187" s="164" t="s">
        <v>2219</v>
      </c>
      <c r="D187" s="165" t="s">
        <v>476</v>
      </c>
      <c r="E187" s="154">
        <v>0</v>
      </c>
      <c r="F187" s="154">
        <v>0</v>
      </c>
      <c r="G187" s="154">
        <v>0</v>
      </c>
      <c r="H187" s="154">
        <v>1</v>
      </c>
      <c r="I187" s="154">
        <v>0</v>
      </c>
      <c r="J187" s="154">
        <v>0</v>
      </c>
      <c r="K187" s="154">
        <v>0</v>
      </c>
      <c r="L187" s="154">
        <v>0</v>
      </c>
      <c r="M187" s="154">
        <v>0</v>
      </c>
      <c r="N187" s="154">
        <v>0</v>
      </c>
      <c r="O187" s="154">
        <v>0</v>
      </c>
      <c r="P187" s="154">
        <v>0</v>
      </c>
      <c r="Q187" s="154">
        <v>0</v>
      </c>
      <c r="R187" s="154">
        <v>0</v>
      </c>
      <c r="S187" s="154">
        <v>0</v>
      </c>
      <c r="T187" s="154">
        <v>0</v>
      </c>
      <c r="U187" s="154">
        <v>0</v>
      </c>
      <c r="V187" s="154">
        <v>0</v>
      </c>
      <c r="W187" s="154">
        <v>0</v>
      </c>
      <c r="X187" s="166">
        <f t="shared" si="4"/>
        <v>1</v>
      </c>
      <c r="Y187" s="156"/>
      <c r="Z187" s="157" t="s">
        <v>649</v>
      </c>
      <c r="AA187" s="157" t="s">
        <v>649</v>
      </c>
      <c r="AB187" s="151" t="s">
        <v>2602</v>
      </c>
      <c r="AC187" s="530" t="s">
        <v>3015</v>
      </c>
      <c r="AD187" s="159"/>
    </row>
    <row r="188" spans="1:30" x14ac:dyDescent="0.2">
      <c r="A188" s="151" t="s">
        <v>2602</v>
      </c>
      <c r="B188" s="205"/>
      <c r="C188" s="164" t="s">
        <v>2210</v>
      </c>
      <c r="D188" s="165" t="s">
        <v>589</v>
      </c>
      <c r="E188" s="154">
        <v>0.31017773461918163</v>
      </c>
      <c r="F188" s="154">
        <v>0</v>
      </c>
      <c r="G188" s="154">
        <v>0</v>
      </c>
      <c r="H188" s="154">
        <v>0.13864189454261708</v>
      </c>
      <c r="I188" s="154">
        <v>0</v>
      </c>
      <c r="J188" s="154">
        <v>0</v>
      </c>
      <c r="K188" s="154">
        <v>0</v>
      </c>
      <c r="L188" s="154">
        <v>0.55118037083820126</v>
      </c>
      <c r="M188" s="154">
        <v>0</v>
      </c>
      <c r="N188" s="154">
        <v>0</v>
      </c>
      <c r="O188" s="154">
        <v>0</v>
      </c>
      <c r="P188" s="154">
        <v>0</v>
      </c>
      <c r="Q188" s="154">
        <v>0</v>
      </c>
      <c r="R188" s="154">
        <v>0</v>
      </c>
      <c r="S188" s="154">
        <v>0</v>
      </c>
      <c r="T188" s="154">
        <v>0</v>
      </c>
      <c r="U188" s="154">
        <v>0</v>
      </c>
      <c r="V188" s="154">
        <v>0</v>
      </c>
      <c r="W188" s="154">
        <v>0</v>
      </c>
      <c r="X188" s="166">
        <f t="shared" si="4"/>
        <v>1</v>
      </c>
      <c r="Y188" s="198"/>
      <c r="Z188" s="157" t="s">
        <v>649</v>
      </c>
      <c r="AA188" s="157" t="s">
        <v>663</v>
      </c>
      <c r="AB188" s="151" t="s">
        <v>2602</v>
      </c>
      <c r="AC188" s="530">
        <v>163.02000000000001</v>
      </c>
      <c r="AD188" s="159"/>
    </row>
    <row r="189" spans="1:30" x14ac:dyDescent="0.2">
      <c r="A189" s="151" t="s">
        <v>2602</v>
      </c>
      <c r="B189" s="205"/>
      <c r="C189" s="152" t="s">
        <v>2224</v>
      </c>
      <c r="D189" s="187" t="s">
        <v>616</v>
      </c>
      <c r="E189" s="154">
        <v>0</v>
      </c>
      <c r="F189" s="154">
        <v>0</v>
      </c>
      <c r="G189" s="154">
        <v>0</v>
      </c>
      <c r="H189" s="154">
        <v>0</v>
      </c>
      <c r="I189" s="154">
        <v>0</v>
      </c>
      <c r="J189" s="154">
        <v>0</v>
      </c>
      <c r="K189" s="154">
        <v>0</v>
      </c>
      <c r="L189" s="154">
        <v>1</v>
      </c>
      <c r="M189" s="154">
        <v>0</v>
      </c>
      <c r="N189" s="154">
        <v>0</v>
      </c>
      <c r="O189" s="154">
        <v>0</v>
      </c>
      <c r="P189" s="154">
        <v>0</v>
      </c>
      <c r="Q189" s="154">
        <v>0</v>
      </c>
      <c r="R189" s="154">
        <v>0</v>
      </c>
      <c r="S189" s="154">
        <v>0</v>
      </c>
      <c r="T189" s="154">
        <v>0</v>
      </c>
      <c r="U189" s="154">
        <v>0</v>
      </c>
      <c r="V189" s="154">
        <v>0</v>
      </c>
      <c r="W189" s="154">
        <v>0</v>
      </c>
      <c r="X189" s="155">
        <f t="shared" si="4"/>
        <v>1</v>
      </c>
      <c r="Y189" s="198"/>
      <c r="Z189" s="157" t="s">
        <v>649</v>
      </c>
      <c r="AA189" s="157" t="s">
        <v>663</v>
      </c>
      <c r="AB189" s="151" t="s">
        <v>2602</v>
      </c>
      <c r="AC189" s="530">
        <v>0</v>
      </c>
      <c r="AD189" s="159"/>
    </row>
    <row r="190" spans="1:30" x14ac:dyDescent="0.2">
      <c r="A190" s="160" t="s">
        <v>2602</v>
      </c>
      <c r="B190" s="202"/>
      <c r="C190" s="161" t="s">
        <v>1305</v>
      </c>
      <c r="D190" s="162" t="s">
        <v>1306</v>
      </c>
      <c r="E190" s="154">
        <v>0</v>
      </c>
      <c r="F190" s="154">
        <v>3.804035756549127E-3</v>
      </c>
      <c r="G190" s="154">
        <v>8.3860925460696359E-2</v>
      </c>
      <c r="H190" s="154">
        <v>0</v>
      </c>
      <c r="I190" s="154">
        <v>0</v>
      </c>
      <c r="J190" s="154">
        <v>0</v>
      </c>
      <c r="K190" s="154">
        <v>0</v>
      </c>
      <c r="L190" s="154">
        <v>0</v>
      </c>
      <c r="M190" s="154">
        <v>0</v>
      </c>
      <c r="N190" s="154">
        <v>0.37512780309902088</v>
      </c>
      <c r="O190" s="154">
        <v>0</v>
      </c>
      <c r="P190" s="154">
        <v>9.1012330851985263E-2</v>
      </c>
      <c r="Q190" s="154">
        <v>1.1426465888670844E-2</v>
      </c>
      <c r="R190" s="154">
        <v>0</v>
      </c>
      <c r="S190" s="154">
        <v>0.18109707109101236</v>
      </c>
      <c r="T190" s="154">
        <v>0.25367136785206518</v>
      </c>
      <c r="U190" s="154">
        <v>0</v>
      </c>
      <c r="V190" s="154">
        <v>0</v>
      </c>
      <c r="W190" s="154">
        <v>0</v>
      </c>
      <c r="X190" s="163">
        <f t="shared" si="4"/>
        <v>1</v>
      </c>
      <c r="Y190" s="198"/>
      <c r="Z190" s="157" t="s">
        <v>649</v>
      </c>
      <c r="AA190" s="157" t="s">
        <v>663</v>
      </c>
      <c r="AB190" s="151" t="s">
        <v>2602</v>
      </c>
      <c r="AC190" s="530" t="s">
        <v>3015</v>
      </c>
      <c r="AD190" s="159"/>
    </row>
    <row r="191" spans="1:30" x14ac:dyDescent="0.2">
      <c r="A191" s="173" t="s">
        <v>2602</v>
      </c>
      <c r="B191" s="205"/>
      <c r="C191" s="215" t="s">
        <v>1602</v>
      </c>
      <c r="D191" s="216" t="s">
        <v>1603</v>
      </c>
      <c r="E191" s="154">
        <v>0</v>
      </c>
      <c r="F191" s="154">
        <v>0</v>
      </c>
      <c r="G191" s="154">
        <v>0</v>
      </c>
      <c r="H191" s="154">
        <v>0</v>
      </c>
      <c r="I191" s="154">
        <v>0</v>
      </c>
      <c r="J191" s="154">
        <v>0</v>
      </c>
      <c r="K191" s="154">
        <v>0</v>
      </c>
      <c r="L191" s="154">
        <v>0</v>
      </c>
      <c r="M191" s="154">
        <v>0</v>
      </c>
      <c r="N191" s="154">
        <v>0</v>
      </c>
      <c r="O191" s="154">
        <v>0</v>
      </c>
      <c r="P191" s="154">
        <v>0</v>
      </c>
      <c r="Q191" s="154">
        <v>0</v>
      </c>
      <c r="R191" s="154">
        <v>0</v>
      </c>
      <c r="S191" s="154">
        <v>1</v>
      </c>
      <c r="T191" s="154">
        <v>0</v>
      </c>
      <c r="U191" s="154">
        <v>0</v>
      </c>
      <c r="V191" s="154">
        <v>0</v>
      </c>
      <c r="W191" s="154">
        <v>0</v>
      </c>
      <c r="X191" s="176">
        <f t="shared" si="4"/>
        <v>1</v>
      </c>
      <c r="Y191" s="198"/>
      <c r="Z191" s="157" t="s">
        <v>649</v>
      </c>
      <c r="AA191" s="157" t="s">
        <v>663</v>
      </c>
      <c r="AB191" s="151" t="s">
        <v>2602</v>
      </c>
      <c r="AC191" s="530" t="s">
        <v>3015</v>
      </c>
      <c r="AD191" s="159"/>
    </row>
    <row r="192" spans="1:30" x14ac:dyDescent="0.2">
      <c r="A192" s="151" t="s">
        <v>2602</v>
      </c>
      <c r="B192" s="205"/>
      <c r="C192" s="164" t="s">
        <v>2211</v>
      </c>
      <c r="D192" s="165" t="s">
        <v>2212</v>
      </c>
      <c r="E192" s="154">
        <v>0</v>
      </c>
      <c r="F192" s="154">
        <v>0</v>
      </c>
      <c r="G192" s="154">
        <v>0</v>
      </c>
      <c r="H192" s="154">
        <v>0</v>
      </c>
      <c r="I192" s="154">
        <v>0</v>
      </c>
      <c r="J192" s="154">
        <v>0</v>
      </c>
      <c r="K192" s="154">
        <v>0</v>
      </c>
      <c r="L192" s="154">
        <v>1.5541373080605728E-2</v>
      </c>
      <c r="M192" s="154">
        <v>0</v>
      </c>
      <c r="N192" s="154">
        <v>0.98445862691939423</v>
      </c>
      <c r="O192" s="154">
        <v>0</v>
      </c>
      <c r="P192" s="154">
        <v>0</v>
      </c>
      <c r="Q192" s="154">
        <v>0</v>
      </c>
      <c r="R192" s="154">
        <v>0</v>
      </c>
      <c r="S192" s="154">
        <v>0</v>
      </c>
      <c r="T192" s="154">
        <v>0</v>
      </c>
      <c r="U192" s="154">
        <v>0</v>
      </c>
      <c r="V192" s="154">
        <v>0</v>
      </c>
      <c r="W192" s="154">
        <v>0</v>
      </c>
      <c r="X192" s="166">
        <f t="shared" si="4"/>
        <v>1</v>
      </c>
      <c r="Y192" s="198"/>
      <c r="Z192" s="157" t="s">
        <v>649</v>
      </c>
      <c r="AA192" s="157" t="s">
        <v>663</v>
      </c>
      <c r="AB192" s="151" t="s">
        <v>2602</v>
      </c>
      <c r="AC192" s="530" t="s">
        <v>3015</v>
      </c>
      <c r="AD192" s="159"/>
    </row>
    <row r="193" spans="1:30" ht="22.5" x14ac:dyDescent="0.2">
      <c r="A193" s="217"/>
      <c r="B193" s="218"/>
      <c r="C193" s="219" t="s">
        <v>1321</v>
      </c>
      <c r="D193" s="220" t="s">
        <v>1322</v>
      </c>
      <c r="E193" s="221">
        <v>1</v>
      </c>
      <c r="F193" s="221">
        <v>0</v>
      </c>
      <c r="G193" s="221">
        <v>0</v>
      </c>
      <c r="H193" s="221">
        <v>0</v>
      </c>
      <c r="I193" s="221">
        <v>0</v>
      </c>
      <c r="J193" s="221">
        <v>0</v>
      </c>
      <c r="K193" s="221">
        <v>0</v>
      </c>
      <c r="L193" s="221">
        <v>0</v>
      </c>
      <c r="M193" s="221"/>
      <c r="N193" s="221">
        <v>0</v>
      </c>
      <c r="O193" s="221">
        <v>0</v>
      </c>
      <c r="P193" s="221">
        <v>0</v>
      </c>
      <c r="Q193" s="221">
        <v>0</v>
      </c>
      <c r="R193" s="221">
        <v>0</v>
      </c>
      <c r="S193" s="221">
        <v>0</v>
      </c>
      <c r="T193" s="221">
        <v>0</v>
      </c>
      <c r="U193" s="221">
        <v>0</v>
      </c>
      <c r="V193" s="221"/>
      <c r="W193" s="221"/>
      <c r="X193" s="222">
        <f t="shared" si="4"/>
        <v>1</v>
      </c>
      <c r="Y193" s="223"/>
      <c r="Z193" s="224" t="s">
        <v>663</v>
      </c>
      <c r="AA193" s="157" t="s">
        <v>663</v>
      </c>
      <c r="AB193" s="151" t="s">
        <v>2602</v>
      </c>
      <c r="AC193" s="530" t="s">
        <v>3015</v>
      </c>
      <c r="AD193" s="159"/>
    </row>
    <row r="194" spans="1:30" x14ac:dyDescent="0.2">
      <c r="A194" s="218"/>
      <c r="B194" s="218"/>
      <c r="C194" s="225" t="s">
        <v>1650</v>
      </c>
      <c r="D194" s="226" t="s">
        <v>1651</v>
      </c>
      <c r="E194" s="227">
        <v>0</v>
      </c>
      <c r="F194" s="227">
        <v>2.3973481747018191E-3</v>
      </c>
      <c r="G194" s="227">
        <v>1.0456873577219141E-2</v>
      </c>
      <c r="H194" s="227">
        <v>0</v>
      </c>
      <c r="I194" s="227">
        <v>0</v>
      </c>
      <c r="J194" s="227">
        <v>0</v>
      </c>
      <c r="K194" s="227">
        <v>0</v>
      </c>
      <c r="L194" s="227">
        <v>0</v>
      </c>
      <c r="M194" s="227">
        <v>0</v>
      </c>
      <c r="N194" s="227">
        <v>0.11638921678964295</v>
      </c>
      <c r="O194" s="227">
        <v>7.2813949306079501E-3</v>
      </c>
      <c r="P194" s="227">
        <v>5.1445289395439013E-2</v>
      </c>
      <c r="Q194" s="227">
        <v>2.1375766435450874E-3</v>
      </c>
      <c r="R194" s="227">
        <v>0</v>
      </c>
      <c r="S194" s="227">
        <v>3.4276961155078604E-2</v>
      </c>
      <c r="T194" s="227">
        <v>0.77561533933376547</v>
      </c>
      <c r="U194" s="227">
        <v>0</v>
      </c>
      <c r="V194" s="227">
        <v>0</v>
      </c>
      <c r="W194" s="227">
        <v>0</v>
      </c>
      <c r="X194" s="228">
        <f t="shared" si="4"/>
        <v>1</v>
      </c>
      <c r="Y194" s="223"/>
      <c r="Z194" s="224" t="s">
        <v>663</v>
      </c>
      <c r="AA194" s="157" t="s">
        <v>663</v>
      </c>
      <c r="AB194" s="151" t="s">
        <v>2602</v>
      </c>
      <c r="AC194" s="530" t="s">
        <v>3015</v>
      </c>
      <c r="AD194" s="159"/>
    </row>
    <row r="195" spans="1:30" x14ac:dyDescent="0.2">
      <c r="A195" s="229"/>
      <c r="B195" s="229"/>
      <c r="C195" s="219" t="s">
        <v>1323</v>
      </c>
      <c r="D195" s="220" t="s">
        <v>1324</v>
      </c>
      <c r="E195" s="221">
        <v>0</v>
      </c>
      <c r="F195" s="221">
        <v>0</v>
      </c>
      <c r="G195" s="221">
        <v>0</v>
      </c>
      <c r="H195" s="221">
        <v>0</v>
      </c>
      <c r="I195" s="221">
        <v>0</v>
      </c>
      <c r="J195" s="221">
        <v>0</v>
      </c>
      <c r="K195" s="221">
        <v>0</v>
      </c>
      <c r="L195" s="221">
        <v>0</v>
      </c>
      <c r="M195" s="221"/>
      <c r="N195" s="221">
        <v>0.92217898832684819</v>
      </c>
      <c r="O195" s="221">
        <v>0</v>
      </c>
      <c r="P195" s="221">
        <v>0</v>
      </c>
      <c r="Q195" s="221">
        <v>0</v>
      </c>
      <c r="R195" s="221">
        <v>0</v>
      </c>
      <c r="S195" s="221">
        <v>7.7821011673151752E-2</v>
      </c>
      <c r="T195" s="221">
        <v>0</v>
      </c>
      <c r="U195" s="221">
        <v>0</v>
      </c>
      <c r="V195" s="221"/>
      <c r="W195" s="221"/>
      <c r="X195" s="222">
        <f t="shared" si="4"/>
        <v>1</v>
      </c>
      <c r="Y195" s="223"/>
      <c r="Z195" s="224" t="s">
        <v>663</v>
      </c>
      <c r="AA195" s="157" t="s">
        <v>663</v>
      </c>
      <c r="AB195" s="229"/>
      <c r="AC195" s="530" t="s">
        <v>3015</v>
      </c>
      <c r="AD195" s="159"/>
    </row>
    <row r="196" spans="1:30" x14ac:dyDescent="0.2">
      <c r="A196" s="218"/>
      <c r="B196" s="218"/>
      <c r="C196" s="230" t="s">
        <v>1325</v>
      </c>
      <c r="D196" s="231" t="s">
        <v>1326</v>
      </c>
      <c r="E196" s="232">
        <v>0</v>
      </c>
      <c r="F196" s="232">
        <v>0</v>
      </c>
      <c r="G196" s="232">
        <v>0</v>
      </c>
      <c r="H196" s="232">
        <v>0</v>
      </c>
      <c r="I196" s="232">
        <v>0</v>
      </c>
      <c r="J196" s="232">
        <v>0</v>
      </c>
      <c r="K196" s="232">
        <v>0</v>
      </c>
      <c r="L196" s="232">
        <v>0</v>
      </c>
      <c r="M196" s="232"/>
      <c r="N196" s="232">
        <v>0.22</v>
      </c>
      <c r="O196" s="232">
        <v>0</v>
      </c>
      <c r="P196" s="232">
        <v>0.01</v>
      </c>
      <c r="Q196" s="232">
        <v>0</v>
      </c>
      <c r="R196" s="232">
        <v>0</v>
      </c>
      <c r="S196" s="232">
        <v>7.0000000000000007E-2</v>
      </c>
      <c r="T196" s="232">
        <v>0.7</v>
      </c>
      <c r="U196" s="232">
        <v>0</v>
      </c>
      <c r="V196" s="232"/>
      <c r="W196" s="232"/>
      <c r="X196" s="233">
        <f t="shared" si="4"/>
        <v>1</v>
      </c>
      <c r="Y196" s="223"/>
      <c r="Z196" s="224" t="s">
        <v>663</v>
      </c>
      <c r="AA196" s="157" t="s">
        <v>663</v>
      </c>
      <c r="AB196" s="151" t="s">
        <v>2602</v>
      </c>
      <c r="AC196" s="530" t="s">
        <v>3015</v>
      </c>
      <c r="AD196" s="159"/>
    </row>
    <row r="197" spans="1:30" x14ac:dyDescent="0.2">
      <c r="A197" s="218"/>
      <c r="B197" s="218"/>
      <c r="C197" s="219" t="s">
        <v>1018</v>
      </c>
      <c r="D197" s="220" t="s">
        <v>1327</v>
      </c>
      <c r="E197" s="221">
        <v>0</v>
      </c>
      <c r="F197" s="221">
        <v>0</v>
      </c>
      <c r="G197" s="221">
        <v>0</v>
      </c>
      <c r="H197" s="221">
        <v>0</v>
      </c>
      <c r="I197" s="221">
        <v>0</v>
      </c>
      <c r="J197" s="221">
        <v>0</v>
      </c>
      <c r="K197" s="221">
        <v>0</v>
      </c>
      <c r="L197" s="221">
        <v>0</v>
      </c>
      <c r="M197" s="221"/>
      <c r="N197" s="221">
        <v>0</v>
      </c>
      <c r="O197" s="221">
        <v>0</v>
      </c>
      <c r="P197" s="221">
        <v>0</v>
      </c>
      <c r="Q197" s="221">
        <v>0</v>
      </c>
      <c r="R197" s="221">
        <v>0</v>
      </c>
      <c r="S197" s="221">
        <v>1</v>
      </c>
      <c r="T197" s="221">
        <v>0</v>
      </c>
      <c r="U197" s="221">
        <v>0</v>
      </c>
      <c r="V197" s="221"/>
      <c r="W197" s="221"/>
      <c r="X197" s="222">
        <f t="shared" si="4"/>
        <v>1</v>
      </c>
      <c r="Y197" s="223"/>
      <c r="Z197" s="224" t="s">
        <v>663</v>
      </c>
      <c r="AA197" s="157" t="s">
        <v>663</v>
      </c>
      <c r="AB197" s="151" t="s">
        <v>2602</v>
      </c>
      <c r="AC197" s="530" t="s">
        <v>3015</v>
      </c>
      <c r="AD197" s="159"/>
    </row>
    <row r="198" spans="1:30" x14ac:dyDescent="0.2">
      <c r="A198" s="218"/>
      <c r="B198" s="218"/>
      <c r="C198" s="234" t="s">
        <v>1103</v>
      </c>
      <c r="D198" s="235" t="s">
        <v>1104</v>
      </c>
      <c r="E198" s="236">
        <v>0</v>
      </c>
      <c r="F198" s="236">
        <v>0</v>
      </c>
      <c r="G198" s="236">
        <v>0</v>
      </c>
      <c r="H198" s="236">
        <v>0</v>
      </c>
      <c r="I198" s="236">
        <v>0</v>
      </c>
      <c r="J198" s="236">
        <v>0</v>
      </c>
      <c r="K198" s="236">
        <v>0</v>
      </c>
      <c r="L198" s="236">
        <v>0</v>
      </c>
      <c r="M198" s="236">
        <v>0</v>
      </c>
      <c r="N198" s="236">
        <v>0.77955345057885095</v>
      </c>
      <c r="O198" s="236">
        <v>0</v>
      </c>
      <c r="P198" s="236">
        <v>7.1439116241753725E-2</v>
      </c>
      <c r="Q198" s="236">
        <v>0</v>
      </c>
      <c r="R198" s="236">
        <v>0</v>
      </c>
      <c r="S198" s="236">
        <v>0.12680617709753253</v>
      </c>
      <c r="T198" s="236">
        <v>2.2201256081862731E-2</v>
      </c>
      <c r="U198" s="236">
        <v>0</v>
      </c>
      <c r="V198" s="236">
        <v>0</v>
      </c>
      <c r="W198" s="236">
        <v>0</v>
      </c>
      <c r="X198" s="237">
        <f t="shared" ref="X198:X207" si="5">SUM(E198:W198)</f>
        <v>0.99999999999999989</v>
      </c>
      <c r="Y198" s="223"/>
      <c r="Z198" s="224" t="s">
        <v>663</v>
      </c>
      <c r="AA198" s="157" t="s">
        <v>663</v>
      </c>
      <c r="AB198" s="151" t="s">
        <v>2602</v>
      </c>
      <c r="AC198" s="530" t="s">
        <v>3015</v>
      </c>
      <c r="AD198" s="159"/>
    </row>
    <row r="199" spans="1:30" x14ac:dyDescent="0.2">
      <c r="A199" s="229"/>
      <c r="B199" s="229"/>
      <c r="C199" s="238" t="s">
        <v>1652</v>
      </c>
      <c r="D199" s="239" t="s">
        <v>1653</v>
      </c>
      <c r="E199" s="240">
        <v>0</v>
      </c>
      <c r="F199" s="240">
        <v>2.7054782049168924E-3</v>
      </c>
      <c r="G199" s="240">
        <v>1.4917921092208306E-2</v>
      </c>
      <c r="H199" s="240">
        <v>0</v>
      </c>
      <c r="I199" s="240">
        <v>0</v>
      </c>
      <c r="J199" s="240">
        <v>1.0757827427542697E-2</v>
      </c>
      <c r="K199" s="240">
        <v>0</v>
      </c>
      <c r="L199" s="240">
        <v>0</v>
      </c>
      <c r="M199" s="240">
        <v>0</v>
      </c>
      <c r="N199" s="240">
        <v>0.48687528280281112</v>
      </c>
      <c r="O199" s="240">
        <v>2.4458646462356733E-2</v>
      </c>
      <c r="P199" s="240">
        <v>0.24837353668291912</v>
      </c>
      <c r="Q199" s="240">
        <v>2.3901864267225514E-2</v>
      </c>
      <c r="R199" s="240">
        <v>0</v>
      </c>
      <c r="S199" s="240">
        <v>0.18800944306001954</v>
      </c>
      <c r="T199" s="240">
        <v>0</v>
      </c>
      <c r="U199" s="240">
        <v>0</v>
      </c>
      <c r="V199" s="240">
        <v>0</v>
      </c>
      <c r="W199" s="240">
        <v>0</v>
      </c>
      <c r="X199" s="221">
        <f t="shared" si="5"/>
        <v>0.99999999999999989</v>
      </c>
      <c r="Y199" s="223"/>
      <c r="Z199" s="224" t="s">
        <v>663</v>
      </c>
      <c r="AA199" s="157" t="s">
        <v>663</v>
      </c>
      <c r="AB199" s="229"/>
      <c r="AC199" s="530" t="s">
        <v>3015</v>
      </c>
      <c r="AD199" s="159"/>
    </row>
    <row r="200" spans="1:30" x14ac:dyDescent="0.2">
      <c r="A200" s="229"/>
      <c r="B200" s="229"/>
      <c r="C200" s="219" t="s">
        <v>1328</v>
      </c>
      <c r="D200" s="220" t="s">
        <v>1329</v>
      </c>
      <c r="E200" s="221">
        <v>0</v>
      </c>
      <c r="F200" s="221">
        <v>0</v>
      </c>
      <c r="G200" s="221">
        <v>3.7037037037037035E-2</v>
      </c>
      <c r="H200" s="221">
        <v>0</v>
      </c>
      <c r="I200" s="221">
        <v>0</v>
      </c>
      <c r="J200" s="221">
        <v>0</v>
      </c>
      <c r="K200" s="221">
        <v>0</v>
      </c>
      <c r="L200" s="221">
        <v>0</v>
      </c>
      <c r="M200" s="221"/>
      <c r="N200" s="221">
        <v>0.63333333333333341</v>
      </c>
      <c r="O200" s="221">
        <v>0</v>
      </c>
      <c r="P200" s="221">
        <v>0</v>
      </c>
      <c r="Q200" s="221">
        <v>0</v>
      </c>
      <c r="R200" s="221">
        <v>0</v>
      </c>
      <c r="S200" s="221">
        <v>0.18518518518518517</v>
      </c>
      <c r="T200" s="221">
        <v>0.14444444444444443</v>
      </c>
      <c r="U200" s="221">
        <v>0</v>
      </c>
      <c r="V200" s="221"/>
      <c r="W200" s="221"/>
      <c r="X200" s="222">
        <f t="shared" si="5"/>
        <v>1</v>
      </c>
      <c r="Y200" s="223"/>
      <c r="Z200" s="224" t="s">
        <v>663</v>
      </c>
      <c r="AA200" s="157" t="s">
        <v>663</v>
      </c>
      <c r="AB200" s="229"/>
      <c r="AC200" s="530" t="s">
        <v>3015</v>
      </c>
      <c r="AD200" s="159"/>
    </row>
    <row r="201" spans="1:30" x14ac:dyDescent="0.2">
      <c r="A201" s="218"/>
      <c r="B201" s="218"/>
      <c r="C201" s="241" t="s">
        <v>1654</v>
      </c>
      <c r="D201" s="242" t="s">
        <v>1655</v>
      </c>
      <c r="E201" s="232">
        <v>0</v>
      </c>
      <c r="F201" s="232">
        <v>2.4671970640988855E-3</v>
      </c>
      <c r="G201" s="232">
        <v>2.6329082376842519E-2</v>
      </c>
      <c r="H201" s="232">
        <v>0</v>
      </c>
      <c r="I201" s="232">
        <v>0</v>
      </c>
      <c r="J201" s="232">
        <v>1.383565598425014E-2</v>
      </c>
      <c r="K201" s="232">
        <v>0</v>
      </c>
      <c r="L201" s="232">
        <v>0</v>
      </c>
      <c r="M201" s="232">
        <v>0</v>
      </c>
      <c r="N201" s="232">
        <v>0.19251708749126764</v>
      </c>
      <c r="O201" s="232">
        <v>0</v>
      </c>
      <c r="P201" s="232">
        <v>2.2513018487034936E-2</v>
      </c>
      <c r="Q201" s="232">
        <v>0</v>
      </c>
      <c r="R201" s="232">
        <v>0</v>
      </c>
      <c r="S201" s="232">
        <v>5.7670624646570315E-2</v>
      </c>
      <c r="T201" s="232">
        <v>0.68466733394993562</v>
      </c>
      <c r="U201" s="232">
        <v>0</v>
      </c>
      <c r="V201" s="232">
        <v>0</v>
      </c>
      <c r="W201" s="232">
        <v>0</v>
      </c>
      <c r="X201" s="232">
        <f t="shared" si="5"/>
        <v>1</v>
      </c>
      <c r="Y201" s="223"/>
      <c r="Z201" s="224" t="s">
        <v>663</v>
      </c>
      <c r="AA201" s="157" t="s">
        <v>663</v>
      </c>
      <c r="AB201" s="151" t="s">
        <v>2602</v>
      </c>
      <c r="AC201" s="530" t="s">
        <v>3015</v>
      </c>
      <c r="AD201" s="159"/>
    </row>
    <row r="202" spans="1:30" x14ac:dyDescent="0.2">
      <c r="A202" s="218"/>
      <c r="B202" s="218"/>
      <c r="C202" s="238" t="s">
        <v>1656</v>
      </c>
      <c r="D202" s="239" t="s">
        <v>1657</v>
      </c>
      <c r="E202" s="240">
        <v>0</v>
      </c>
      <c r="F202" s="240">
        <v>3.2134964899670029E-3</v>
      </c>
      <c r="G202" s="240">
        <v>1.1197306716915814E-2</v>
      </c>
      <c r="H202" s="240">
        <v>0</v>
      </c>
      <c r="I202" s="240">
        <v>0</v>
      </c>
      <c r="J202" s="240">
        <v>1.4434993340755455E-2</v>
      </c>
      <c r="K202" s="240">
        <v>0</v>
      </c>
      <c r="L202" s="240">
        <v>0</v>
      </c>
      <c r="M202" s="240">
        <v>0</v>
      </c>
      <c r="N202" s="240">
        <v>0.1405295142010155</v>
      </c>
      <c r="O202" s="240">
        <v>8.7187871416602985E-3</v>
      </c>
      <c r="P202" s="240">
        <v>0.16146745943355034</v>
      </c>
      <c r="Q202" s="240">
        <v>4.8110678005472765E-3</v>
      </c>
      <c r="R202" s="240">
        <v>0</v>
      </c>
      <c r="S202" s="240">
        <v>3.1192577687203252E-2</v>
      </c>
      <c r="T202" s="240">
        <v>0.62178650332156393</v>
      </c>
      <c r="U202" s="240">
        <v>2.6482938668212852E-3</v>
      </c>
      <c r="V202" s="240">
        <v>0</v>
      </c>
      <c r="W202" s="240">
        <v>0</v>
      </c>
      <c r="X202" s="221">
        <f t="shared" si="5"/>
        <v>1.0000000000000002</v>
      </c>
      <c r="Y202" s="223"/>
      <c r="Z202" s="224" t="s">
        <v>663</v>
      </c>
      <c r="AA202" s="157" t="s">
        <v>663</v>
      </c>
      <c r="AB202" s="151" t="s">
        <v>2602</v>
      </c>
      <c r="AC202" s="530" t="s">
        <v>3015</v>
      </c>
      <c r="AD202" s="159"/>
    </row>
    <row r="203" spans="1:30" ht="22.5" x14ac:dyDescent="0.2">
      <c r="A203" s="218"/>
      <c r="B203" s="218"/>
      <c r="C203" s="219" t="s">
        <v>1330</v>
      </c>
      <c r="D203" s="220" t="s">
        <v>1331</v>
      </c>
      <c r="E203" s="221">
        <v>0</v>
      </c>
      <c r="F203" s="221">
        <v>0</v>
      </c>
      <c r="G203" s="221">
        <v>2.2832787883400561E-2</v>
      </c>
      <c r="H203" s="221">
        <v>0</v>
      </c>
      <c r="I203" s="221">
        <v>0</v>
      </c>
      <c r="J203" s="221">
        <v>3.4249181825100845E-2</v>
      </c>
      <c r="K203" s="221">
        <v>0</v>
      </c>
      <c r="L203" s="221">
        <v>0</v>
      </c>
      <c r="M203" s="221"/>
      <c r="N203" s="221">
        <v>0.66321637871984163</v>
      </c>
      <c r="O203" s="221">
        <v>1.3319126265316993E-2</v>
      </c>
      <c r="P203" s="221">
        <v>0.11796940406423624</v>
      </c>
      <c r="Q203" s="221">
        <v>7.6109292944668543E-3</v>
      </c>
      <c r="R203" s="221">
        <v>0</v>
      </c>
      <c r="S203" s="221">
        <v>0.1408021919476368</v>
      </c>
      <c r="T203" s="221">
        <v>0</v>
      </c>
      <c r="U203" s="221">
        <v>0</v>
      </c>
      <c r="V203" s="221"/>
      <c r="W203" s="221"/>
      <c r="X203" s="222">
        <f t="shared" si="5"/>
        <v>0.99999999999999989</v>
      </c>
      <c r="Y203" s="223"/>
      <c r="Z203" s="224" t="s">
        <v>663</v>
      </c>
      <c r="AA203" s="157" t="s">
        <v>663</v>
      </c>
      <c r="AB203" s="151" t="s">
        <v>2602</v>
      </c>
      <c r="AC203" s="530" t="s">
        <v>3015</v>
      </c>
      <c r="AD203" s="159"/>
    </row>
    <row r="204" spans="1:30" x14ac:dyDescent="0.2">
      <c r="A204" s="218"/>
      <c r="B204" s="218"/>
      <c r="C204" s="243" t="s">
        <v>1332</v>
      </c>
      <c r="D204" s="244" t="s">
        <v>1333</v>
      </c>
      <c r="E204" s="245">
        <v>0</v>
      </c>
      <c r="F204" s="245">
        <v>0</v>
      </c>
      <c r="G204" s="245">
        <v>1</v>
      </c>
      <c r="H204" s="245">
        <v>0</v>
      </c>
      <c r="I204" s="245">
        <v>0</v>
      </c>
      <c r="J204" s="245">
        <v>0</v>
      </c>
      <c r="K204" s="245">
        <v>0</v>
      </c>
      <c r="L204" s="245">
        <v>0</v>
      </c>
      <c r="M204" s="245">
        <v>0</v>
      </c>
      <c r="N204" s="245">
        <v>0</v>
      </c>
      <c r="O204" s="245">
        <v>0</v>
      </c>
      <c r="P204" s="245">
        <v>0</v>
      </c>
      <c r="Q204" s="245">
        <v>0</v>
      </c>
      <c r="R204" s="245">
        <v>0</v>
      </c>
      <c r="S204" s="245">
        <v>0</v>
      </c>
      <c r="T204" s="245">
        <v>0</v>
      </c>
      <c r="U204" s="245">
        <v>0</v>
      </c>
      <c r="V204" s="245">
        <v>0</v>
      </c>
      <c r="W204" s="246">
        <v>0</v>
      </c>
      <c r="X204" s="247">
        <f t="shared" si="5"/>
        <v>1</v>
      </c>
      <c r="Y204" s="223"/>
      <c r="Z204" s="224" t="s">
        <v>663</v>
      </c>
      <c r="AA204" s="157" t="s">
        <v>663</v>
      </c>
      <c r="AB204" s="151" t="s">
        <v>2602</v>
      </c>
      <c r="AC204" s="530" t="s">
        <v>3015</v>
      </c>
      <c r="AD204" s="159"/>
    </row>
    <row r="205" spans="1:30" x14ac:dyDescent="0.2">
      <c r="A205" s="229"/>
      <c r="B205" s="229"/>
      <c r="C205" s="248" t="s">
        <v>1106</v>
      </c>
      <c r="D205" s="249" t="s">
        <v>1107</v>
      </c>
      <c r="E205" s="221">
        <v>0</v>
      </c>
      <c r="F205" s="221">
        <v>0</v>
      </c>
      <c r="G205" s="221">
        <v>0</v>
      </c>
      <c r="H205" s="221">
        <v>0</v>
      </c>
      <c r="I205" s="221">
        <v>0</v>
      </c>
      <c r="J205" s="221">
        <v>0</v>
      </c>
      <c r="K205" s="221">
        <v>0</v>
      </c>
      <c r="L205" s="221">
        <v>0</v>
      </c>
      <c r="M205" s="221">
        <v>0</v>
      </c>
      <c r="N205" s="221">
        <v>0.4713483146067417</v>
      </c>
      <c r="O205" s="221">
        <v>5.0561797752808994E-3</v>
      </c>
      <c r="P205" s="221">
        <v>1.0674157303370789E-2</v>
      </c>
      <c r="Q205" s="221">
        <v>1.6853932584269665E-3</v>
      </c>
      <c r="R205" s="221">
        <v>0</v>
      </c>
      <c r="S205" s="221">
        <v>0.5112359550561798</v>
      </c>
      <c r="T205" s="221">
        <v>0</v>
      </c>
      <c r="U205" s="221">
        <v>0</v>
      </c>
      <c r="V205" s="221"/>
      <c r="W205" s="221"/>
      <c r="X205" s="222">
        <f t="shared" si="5"/>
        <v>1.0000000000000002</v>
      </c>
      <c r="Y205" s="223"/>
      <c r="Z205" s="224" t="s">
        <v>663</v>
      </c>
      <c r="AA205" s="157" t="s">
        <v>663</v>
      </c>
      <c r="AB205" s="229"/>
      <c r="AC205" s="530" t="s">
        <v>3015</v>
      </c>
      <c r="AD205" s="159"/>
    </row>
    <row r="206" spans="1:30" x14ac:dyDescent="0.2">
      <c r="A206" s="218"/>
      <c r="B206" s="218"/>
      <c r="C206" s="250" t="s">
        <v>1334</v>
      </c>
      <c r="D206" s="251" t="s">
        <v>1335</v>
      </c>
      <c r="E206" s="252">
        <v>0</v>
      </c>
      <c r="F206" s="252">
        <v>0</v>
      </c>
      <c r="G206" s="252">
        <v>5.8139534883720922E-2</v>
      </c>
      <c r="H206" s="252">
        <v>0</v>
      </c>
      <c r="I206" s="252">
        <v>0</v>
      </c>
      <c r="J206" s="252">
        <v>0</v>
      </c>
      <c r="K206" s="252">
        <v>0</v>
      </c>
      <c r="L206" s="252">
        <v>0</v>
      </c>
      <c r="M206" s="252"/>
      <c r="N206" s="252">
        <v>0.62976744186046507</v>
      </c>
      <c r="O206" s="252">
        <v>0</v>
      </c>
      <c r="P206" s="252">
        <v>2.13953488372093E-2</v>
      </c>
      <c r="Q206" s="252">
        <v>0</v>
      </c>
      <c r="R206" s="252">
        <v>0</v>
      </c>
      <c r="S206" s="252">
        <v>0.2674418604651162</v>
      </c>
      <c r="T206" s="252">
        <v>2.3255813953488368E-2</v>
      </c>
      <c r="U206" s="252">
        <v>0</v>
      </c>
      <c r="V206" s="252"/>
      <c r="W206" s="252"/>
      <c r="X206" s="253">
        <f t="shared" si="5"/>
        <v>0.99999999999999989</v>
      </c>
      <c r="Y206" s="223"/>
      <c r="Z206" s="224" t="s">
        <v>663</v>
      </c>
      <c r="AA206" s="157" t="s">
        <v>663</v>
      </c>
      <c r="AB206" s="151" t="s">
        <v>2602</v>
      </c>
      <c r="AC206" s="530" t="s">
        <v>3015</v>
      </c>
      <c r="AD206" s="159"/>
    </row>
    <row r="207" spans="1:30" x14ac:dyDescent="0.2">
      <c r="A207" s="229"/>
      <c r="B207" s="229"/>
      <c r="C207" s="238" t="s">
        <v>1658</v>
      </c>
      <c r="D207" s="239" t="s">
        <v>1659</v>
      </c>
      <c r="E207" s="240">
        <v>0</v>
      </c>
      <c r="F207" s="240">
        <v>0</v>
      </c>
      <c r="G207" s="240">
        <v>6.3148630329293937E-2</v>
      </c>
      <c r="H207" s="240">
        <v>0</v>
      </c>
      <c r="I207" s="240">
        <v>0</v>
      </c>
      <c r="J207" s="240">
        <v>0.14471035088955053</v>
      </c>
      <c r="K207" s="240">
        <v>0</v>
      </c>
      <c r="L207" s="240">
        <v>0</v>
      </c>
      <c r="M207" s="240">
        <v>0</v>
      </c>
      <c r="N207" s="240">
        <v>0.36035159222101498</v>
      </c>
      <c r="O207" s="240">
        <v>8.39540967011672E-2</v>
      </c>
      <c r="P207" s="240">
        <v>0.24249976435372583</v>
      </c>
      <c r="Q207" s="240">
        <v>1.9902802022806618E-2</v>
      </c>
      <c r="R207" s="240">
        <v>0</v>
      </c>
      <c r="S207" s="240">
        <v>8.5432763482440874E-2</v>
      </c>
      <c r="T207" s="240">
        <v>0</v>
      </c>
      <c r="U207" s="240">
        <v>0</v>
      </c>
      <c r="V207" s="240">
        <v>0</v>
      </c>
      <c r="W207" s="240">
        <v>0</v>
      </c>
      <c r="X207" s="221">
        <f t="shared" si="5"/>
        <v>1</v>
      </c>
      <c r="Y207" s="223"/>
      <c r="Z207" s="224" t="s">
        <v>663</v>
      </c>
      <c r="AA207" s="157" t="s">
        <v>663</v>
      </c>
      <c r="AB207" s="229"/>
      <c r="AC207" s="530" t="s">
        <v>3015</v>
      </c>
      <c r="AD207" s="159"/>
    </row>
    <row r="208" spans="1:30" x14ac:dyDescent="0.2">
      <c r="A208" s="254" t="s">
        <v>2821</v>
      </c>
      <c r="B208" s="255"/>
      <c r="C208" s="256" t="s">
        <v>1336</v>
      </c>
      <c r="D208" s="257" t="s">
        <v>1337</v>
      </c>
      <c r="E208" s="258">
        <v>0</v>
      </c>
      <c r="F208" s="258">
        <v>4.5909214660884122E-2</v>
      </c>
      <c r="G208" s="258">
        <v>3.1340458710143203E-2</v>
      </c>
      <c r="H208" s="258">
        <v>0</v>
      </c>
      <c r="I208" s="258">
        <v>0</v>
      </c>
      <c r="J208" s="258">
        <v>6.0728303173178009E-3</v>
      </c>
      <c r="K208" s="258">
        <v>0</v>
      </c>
      <c r="L208" s="258">
        <v>0</v>
      </c>
      <c r="M208" s="258">
        <v>0</v>
      </c>
      <c r="N208" s="258">
        <v>0.55817574703242634</v>
      </c>
      <c r="O208" s="258">
        <v>2.7160788041347264E-2</v>
      </c>
      <c r="P208" s="258">
        <v>0.18527269204316513</v>
      </c>
      <c r="Q208" s="258">
        <v>2.2649759321720371E-2</v>
      </c>
      <c r="R208" s="258">
        <v>0</v>
      </c>
      <c r="S208" s="258">
        <v>8.5019624438218755E-2</v>
      </c>
      <c r="T208" s="258">
        <v>3.8398885434777243E-2</v>
      </c>
      <c r="U208" s="258">
        <v>0</v>
      </c>
      <c r="V208" s="258">
        <v>0</v>
      </c>
      <c r="W208" s="258">
        <v>0</v>
      </c>
      <c r="X208" s="258">
        <f>SUBTOTAL(9,E208:W208)</f>
        <v>1.0000000000000002</v>
      </c>
      <c r="Y208" s="223"/>
      <c r="Z208" s="224" t="s">
        <v>663</v>
      </c>
      <c r="AA208" s="157" t="s">
        <v>649</v>
      </c>
      <c r="AB208" s="259" t="s">
        <v>2821</v>
      </c>
      <c r="AC208" s="530" t="s">
        <v>3015</v>
      </c>
      <c r="AD208" s="159"/>
    </row>
    <row r="209" spans="1:30" x14ac:dyDescent="0.2">
      <c r="A209" s="229"/>
      <c r="B209" s="229"/>
      <c r="C209" s="238" t="s">
        <v>1660</v>
      </c>
      <c r="D209" s="239" t="s">
        <v>1661</v>
      </c>
      <c r="E209" s="221">
        <v>0</v>
      </c>
      <c r="F209" s="221">
        <v>1.2336582040919629E-2</v>
      </c>
      <c r="G209" s="221">
        <v>3.0319466646596238E-2</v>
      </c>
      <c r="H209" s="221">
        <v>0</v>
      </c>
      <c r="I209" s="221">
        <v>4.1116776153215465E-3</v>
      </c>
      <c r="J209" s="221">
        <v>3.6138709326094025E-2</v>
      </c>
      <c r="K209" s="221">
        <v>0</v>
      </c>
      <c r="L209" s="221">
        <v>0</v>
      </c>
      <c r="M209" s="221">
        <v>0</v>
      </c>
      <c r="N209" s="221">
        <v>0.37420103211292716</v>
      </c>
      <c r="O209" s="221">
        <v>3.8679471356690323E-2</v>
      </c>
      <c r="P209" s="221">
        <v>0.19555511687556512</v>
      </c>
      <c r="Q209" s="221">
        <v>1.188979689848284E-2</v>
      </c>
      <c r="R209" s="221">
        <v>0</v>
      </c>
      <c r="S209" s="221">
        <v>0.12868963788053348</v>
      </c>
      <c r="T209" s="221">
        <v>0.16807850924686951</v>
      </c>
      <c r="U209" s="221">
        <v>0</v>
      </c>
      <c r="V209" s="221">
        <v>0</v>
      </c>
      <c r="W209" s="221">
        <v>0</v>
      </c>
      <c r="X209" s="221">
        <f t="shared" ref="X209:X245" si="6">SUM(E209:W209)</f>
        <v>0.99999999999999978</v>
      </c>
      <c r="Y209" s="223"/>
      <c r="Z209" s="224" t="s">
        <v>663</v>
      </c>
      <c r="AA209" s="157" t="s">
        <v>663</v>
      </c>
      <c r="AB209" s="229"/>
      <c r="AC209" s="530" t="s">
        <v>3015</v>
      </c>
      <c r="AD209" s="159"/>
    </row>
    <row r="210" spans="1:30" x14ac:dyDescent="0.2">
      <c r="A210" s="218"/>
      <c r="B210" s="218"/>
      <c r="C210" s="230" t="s">
        <v>1338</v>
      </c>
      <c r="D210" s="231" t="s">
        <v>1339</v>
      </c>
      <c r="E210" s="232">
        <v>0</v>
      </c>
      <c r="F210" s="232">
        <v>0</v>
      </c>
      <c r="G210" s="232">
        <v>6.25E-2</v>
      </c>
      <c r="H210" s="232">
        <v>0</v>
      </c>
      <c r="I210" s="232">
        <v>0</v>
      </c>
      <c r="J210" s="232">
        <v>1.2500000000000001E-2</v>
      </c>
      <c r="K210" s="232">
        <v>0</v>
      </c>
      <c r="L210" s="232">
        <v>0</v>
      </c>
      <c r="M210" s="232"/>
      <c r="N210" s="232">
        <v>0.52337500000000003</v>
      </c>
      <c r="O210" s="232">
        <v>2.4750000000000001E-2</v>
      </c>
      <c r="P210" s="232">
        <v>8.5625000000000007E-2</v>
      </c>
      <c r="Q210" s="232">
        <v>3.7499999999999999E-3</v>
      </c>
      <c r="R210" s="232">
        <v>0</v>
      </c>
      <c r="S210" s="232">
        <v>0.19375000000000001</v>
      </c>
      <c r="T210" s="232">
        <v>9.375E-2</v>
      </c>
      <c r="U210" s="232">
        <v>0</v>
      </c>
      <c r="V210" s="232"/>
      <c r="W210" s="232"/>
      <c r="X210" s="233">
        <f t="shared" si="6"/>
        <v>1</v>
      </c>
      <c r="Y210" s="223"/>
      <c r="Z210" s="224" t="s">
        <v>663</v>
      </c>
      <c r="AA210" s="157" t="s">
        <v>663</v>
      </c>
      <c r="AB210" s="151" t="s">
        <v>2602</v>
      </c>
      <c r="AC210" s="530" t="s">
        <v>3015</v>
      </c>
      <c r="AD210" s="159"/>
    </row>
    <row r="211" spans="1:30" x14ac:dyDescent="0.2">
      <c r="A211" s="218"/>
      <c r="B211" s="218"/>
      <c r="C211" s="234" t="s">
        <v>1113</v>
      </c>
      <c r="D211" s="235" t="s">
        <v>1114</v>
      </c>
      <c r="E211" s="236">
        <v>0</v>
      </c>
      <c r="F211" s="236">
        <v>0</v>
      </c>
      <c r="G211" s="236">
        <v>4.5617464972303685E-2</v>
      </c>
      <c r="H211" s="236">
        <v>0</v>
      </c>
      <c r="I211" s="236">
        <v>0</v>
      </c>
      <c r="J211" s="236">
        <v>0</v>
      </c>
      <c r="K211" s="236">
        <v>0</v>
      </c>
      <c r="L211" s="236">
        <v>0</v>
      </c>
      <c r="M211" s="236">
        <v>0</v>
      </c>
      <c r="N211" s="236">
        <v>0.62995546866514618</v>
      </c>
      <c r="O211" s="236">
        <v>1.9984794178342567E-2</v>
      </c>
      <c r="P211" s="236">
        <v>5.843380036928425E-2</v>
      </c>
      <c r="Q211" s="236">
        <v>0</v>
      </c>
      <c r="R211" s="236">
        <v>0</v>
      </c>
      <c r="S211" s="236">
        <v>0.23080265015748888</v>
      </c>
      <c r="T211" s="236">
        <v>0</v>
      </c>
      <c r="U211" s="236">
        <v>1.5205821657434563E-2</v>
      </c>
      <c r="V211" s="236"/>
      <c r="W211" s="236"/>
      <c r="X211" s="237">
        <f t="shared" si="6"/>
        <v>1.0000000000000002</v>
      </c>
      <c r="Y211" s="223"/>
      <c r="Z211" s="224" t="s">
        <v>663</v>
      </c>
      <c r="AA211" s="157" t="s">
        <v>663</v>
      </c>
      <c r="AB211" s="151" t="s">
        <v>2602</v>
      </c>
      <c r="AC211" s="530" t="s">
        <v>3015</v>
      </c>
      <c r="AD211" s="159"/>
    </row>
    <row r="212" spans="1:30" x14ac:dyDescent="0.2">
      <c r="A212" s="229"/>
      <c r="B212" s="229"/>
      <c r="C212" s="238" t="s">
        <v>1662</v>
      </c>
      <c r="D212" s="239" t="s">
        <v>1663</v>
      </c>
      <c r="E212" s="221">
        <v>0</v>
      </c>
      <c r="F212" s="221">
        <v>0</v>
      </c>
      <c r="G212" s="221">
        <v>0</v>
      </c>
      <c r="H212" s="221">
        <v>0</v>
      </c>
      <c r="I212" s="221">
        <v>0</v>
      </c>
      <c r="J212" s="221">
        <v>1</v>
      </c>
      <c r="K212" s="221">
        <v>0</v>
      </c>
      <c r="L212" s="221">
        <v>0</v>
      </c>
      <c r="M212" s="221">
        <v>0</v>
      </c>
      <c r="N212" s="221">
        <v>0</v>
      </c>
      <c r="O212" s="221">
        <v>0</v>
      </c>
      <c r="P212" s="221">
        <v>0</v>
      </c>
      <c r="Q212" s="221">
        <v>0</v>
      </c>
      <c r="R212" s="221">
        <v>0</v>
      </c>
      <c r="S212" s="221">
        <v>0</v>
      </c>
      <c r="T212" s="221">
        <v>0</v>
      </c>
      <c r="U212" s="221">
        <v>0</v>
      </c>
      <c r="V212" s="221">
        <v>0</v>
      </c>
      <c r="W212" s="221">
        <v>0</v>
      </c>
      <c r="X212" s="221">
        <f t="shared" si="6"/>
        <v>1</v>
      </c>
      <c r="Y212" s="223"/>
      <c r="Z212" s="224" t="s">
        <v>663</v>
      </c>
      <c r="AA212" s="157" t="s">
        <v>663</v>
      </c>
      <c r="AB212" s="229"/>
      <c r="AC212" s="530" t="s">
        <v>3015</v>
      </c>
      <c r="AD212" s="159"/>
    </row>
    <row r="213" spans="1:30" x14ac:dyDescent="0.2">
      <c r="A213" s="218"/>
      <c r="B213" s="218"/>
      <c r="C213" s="250" t="s">
        <v>1340</v>
      </c>
      <c r="D213" s="251" t="s">
        <v>1341</v>
      </c>
      <c r="E213" s="252">
        <v>0</v>
      </c>
      <c r="F213" s="252">
        <v>0</v>
      </c>
      <c r="G213" s="252">
        <v>1</v>
      </c>
      <c r="H213" s="252">
        <v>0</v>
      </c>
      <c r="I213" s="252">
        <v>0</v>
      </c>
      <c r="J213" s="252">
        <v>0</v>
      </c>
      <c r="K213" s="252">
        <v>0</v>
      </c>
      <c r="L213" s="252">
        <v>0</v>
      </c>
      <c r="M213" s="252"/>
      <c r="N213" s="252">
        <v>0</v>
      </c>
      <c r="O213" s="252">
        <v>0</v>
      </c>
      <c r="P213" s="252">
        <v>0</v>
      </c>
      <c r="Q213" s="252">
        <v>0</v>
      </c>
      <c r="R213" s="252">
        <v>0</v>
      </c>
      <c r="S213" s="252">
        <v>0</v>
      </c>
      <c r="T213" s="252">
        <v>0</v>
      </c>
      <c r="U213" s="252">
        <v>0</v>
      </c>
      <c r="V213" s="252"/>
      <c r="W213" s="252"/>
      <c r="X213" s="253">
        <f t="shared" si="6"/>
        <v>1</v>
      </c>
      <c r="Y213" s="223"/>
      <c r="Z213" s="224" t="s">
        <v>663</v>
      </c>
      <c r="AA213" s="157" t="s">
        <v>663</v>
      </c>
      <c r="AB213" s="151" t="s">
        <v>2602</v>
      </c>
      <c r="AC213" s="530" t="s">
        <v>3015</v>
      </c>
      <c r="AD213" s="159"/>
    </row>
    <row r="214" spans="1:30" x14ac:dyDescent="0.2">
      <c r="A214" s="229"/>
      <c r="B214" s="229"/>
      <c r="C214" s="219" t="s">
        <v>1342</v>
      </c>
      <c r="D214" s="220" t="s">
        <v>1343</v>
      </c>
      <c r="E214" s="221">
        <v>0</v>
      </c>
      <c r="F214" s="221">
        <v>0</v>
      </c>
      <c r="G214" s="221">
        <v>0</v>
      </c>
      <c r="H214" s="221">
        <v>0</v>
      </c>
      <c r="I214" s="221">
        <v>0</v>
      </c>
      <c r="J214" s="221">
        <v>0</v>
      </c>
      <c r="K214" s="221">
        <v>0</v>
      </c>
      <c r="L214" s="221">
        <v>0</v>
      </c>
      <c r="M214" s="221">
        <v>1</v>
      </c>
      <c r="N214" s="221">
        <v>0</v>
      </c>
      <c r="O214" s="221">
        <v>0</v>
      </c>
      <c r="P214" s="221">
        <v>0</v>
      </c>
      <c r="Q214" s="221">
        <v>0</v>
      </c>
      <c r="R214" s="221">
        <v>0</v>
      </c>
      <c r="S214" s="221">
        <v>0</v>
      </c>
      <c r="T214" s="221">
        <v>0</v>
      </c>
      <c r="U214" s="221">
        <v>0</v>
      </c>
      <c r="V214" s="221"/>
      <c r="W214" s="221"/>
      <c r="X214" s="222">
        <f t="shared" si="6"/>
        <v>1</v>
      </c>
      <c r="Y214" s="223"/>
      <c r="Z214" s="224" t="s">
        <v>663</v>
      </c>
      <c r="AA214" s="157" t="s">
        <v>663</v>
      </c>
      <c r="AB214" s="229"/>
      <c r="AC214" s="530" t="s">
        <v>3015</v>
      </c>
      <c r="AD214" s="159"/>
    </row>
    <row r="215" spans="1:30" x14ac:dyDescent="0.2">
      <c r="A215" s="218"/>
      <c r="B215" s="218"/>
      <c r="C215" s="250" t="s">
        <v>1344</v>
      </c>
      <c r="D215" s="251" t="s">
        <v>1345</v>
      </c>
      <c r="E215" s="252">
        <v>0</v>
      </c>
      <c r="F215" s="252">
        <v>0</v>
      </c>
      <c r="G215" s="252">
        <v>0</v>
      </c>
      <c r="H215" s="252">
        <v>0</v>
      </c>
      <c r="I215" s="252">
        <v>0</v>
      </c>
      <c r="J215" s="252">
        <v>0</v>
      </c>
      <c r="K215" s="252">
        <v>0</v>
      </c>
      <c r="L215" s="252">
        <v>0</v>
      </c>
      <c r="M215" s="252">
        <v>1</v>
      </c>
      <c r="N215" s="252">
        <v>0</v>
      </c>
      <c r="O215" s="252">
        <v>0</v>
      </c>
      <c r="P215" s="252">
        <v>0</v>
      </c>
      <c r="Q215" s="252">
        <v>0</v>
      </c>
      <c r="R215" s="252">
        <v>0</v>
      </c>
      <c r="S215" s="252">
        <v>0</v>
      </c>
      <c r="T215" s="252">
        <v>0</v>
      </c>
      <c r="U215" s="252">
        <v>0</v>
      </c>
      <c r="V215" s="252"/>
      <c r="W215" s="252"/>
      <c r="X215" s="253">
        <f t="shared" si="6"/>
        <v>1</v>
      </c>
      <c r="Y215" s="223"/>
      <c r="Z215" s="224" t="s">
        <v>663</v>
      </c>
      <c r="AA215" s="157" t="s">
        <v>663</v>
      </c>
      <c r="AB215" s="151" t="s">
        <v>2602</v>
      </c>
      <c r="AC215" s="530" t="s">
        <v>3015</v>
      </c>
      <c r="AD215" s="159"/>
    </row>
    <row r="216" spans="1:30" x14ac:dyDescent="0.2">
      <c r="A216" s="229"/>
      <c r="B216" s="229"/>
      <c r="C216" s="219" t="s">
        <v>1346</v>
      </c>
      <c r="D216" s="220" t="s">
        <v>1347</v>
      </c>
      <c r="E216" s="221">
        <v>0</v>
      </c>
      <c r="F216" s="221">
        <v>0</v>
      </c>
      <c r="G216" s="221">
        <v>1</v>
      </c>
      <c r="H216" s="221">
        <v>0</v>
      </c>
      <c r="I216" s="221">
        <v>0</v>
      </c>
      <c r="J216" s="221">
        <v>0</v>
      </c>
      <c r="K216" s="221">
        <v>0</v>
      </c>
      <c r="L216" s="221">
        <v>0</v>
      </c>
      <c r="M216" s="221"/>
      <c r="N216" s="221">
        <v>0</v>
      </c>
      <c r="O216" s="221">
        <v>0</v>
      </c>
      <c r="P216" s="221">
        <v>0</v>
      </c>
      <c r="Q216" s="221">
        <v>0</v>
      </c>
      <c r="R216" s="221">
        <v>0</v>
      </c>
      <c r="S216" s="221">
        <v>0</v>
      </c>
      <c r="T216" s="221">
        <v>0</v>
      </c>
      <c r="U216" s="221">
        <v>0</v>
      </c>
      <c r="V216" s="221"/>
      <c r="W216" s="221"/>
      <c r="X216" s="222">
        <f t="shared" si="6"/>
        <v>1</v>
      </c>
      <c r="Y216" s="223"/>
      <c r="Z216" s="224" t="s">
        <v>663</v>
      </c>
      <c r="AA216" s="157" t="s">
        <v>663</v>
      </c>
      <c r="AB216" s="229"/>
      <c r="AC216" s="530" t="s">
        <v>3015</v>
      </c>
      <c r="AD216" s="159"/>
    </row>
    <row r="217" spans="1:30" x14ac:dyDescent="0.2">
      <c r="A217" s="218"/>
      <c r="B217" s="218"/>
      <c r="C217" s="230" t="s">
        <v>1348</v>
      </c>
      <c r="D217" s="231" t="s">
        <v>1349</v>
      </c>
      <c r="E217" s="232">
        <v>0</v>
      </c>
      <c r="F217" s="232">
        <v>0</v>
      </c>
      <c r="G217" s="232">
        <v>1</v>
      </c>
      <c r="H217" s="232">
        <v>0</v>
      </c>
      <c r="I217" s="232">
        <v>0</v>
      </c>
      <c r="J217" s="232">
        <v>0</v>
      </c>
      <c r="K217" s="232">
        <v>0</v>
      </c>
      <c r="L217" s="232">
        <v>0</v>
      </c>
      <c r="M217" s="232"/>
      <c r="N217" s="232">
        <v>0</v>
      </c>
      <c r="O217" s="232">
        <v>0</v>
      </c>
      <c r="P217" s="232">
        <v>0</v>
      </c>
      <c r="Q217" s="232">
        <v>0</v>
      </c>
      <c r="R217" s="232">
        <v>0</v>
      </c>
      <c r="S217" s="232">
        <v>0</v>
      </c>
      <c r="T217" s="232">
        <v>0</v>
      </c>
      <c r="U217" s="232">
        <v>0</v>
      </c>
      <c r="V217" s="232"/>
      <c r="W217" s="232"/>
      <c r="X217" s="233">
        <f t="shared" si="6"/>
        <v>1</v>
      </c>
      <c r="Y217" s="223"/>
      <c r="Z217" s="224" t="s">
        <v>663</v>
      </c>
      <c r="AA217" s="157" t="s">
        <v>663</v>
      </c>
      <c r="AB217" s="151" t="s">
        <v>2602</v>
      </c>
      <c r="AC217" s="530" t="s">
        <v>3015</v>
      </c>
      <c r="AD217" s="159"/>
    </row>
    <row r="218" spans="1:30" x14ac:dyDescent="0.2">
      <c r="A218" s="218"/>
      <c r="B218" s="218"/>
      <c r="C218" s="219" t="s">
        <v>1350</v>
      </c>
      <c r="D218" s="220" t="s">
        <v>1351</v>
      </c>
      <c r="E218" s="221">
        <v>0</v>
      </c>
      <c r="F218" s="221">
        <v>0</v>
      </c>
      <c r="G218" s="221">
        <v>0.03</v>
      </c>
      <c r="H218" s="221">
        <v>0</v>
      </c>
      <c r="I218" s="221">
        <v>0</v>
      </c>
      <c r="J218" s="221">
        <v>0</v>
      </c>
      <c r="K218" s="221">
        <v>0</v>
      </c>
      <c r="L218" s="221">
        <v>0</v>
      </c>
      <c r="M218" s="221"/>
      <c r="N218" s="221">
        <v>0.64</v>
      </c>
      <c r="O218" s="221">
        <v>0</v>
      </c>
      <c r="P218" s="221">
        <v>0.01</v>
      </c>
      <c r="Q218" s="221">
        <v>0</v>
      </c>
      <c r="R218" s="221">
        <v>0</v>
      </c>
      <c r="S218" s="221">
        <v>0.32</v>
      </c>
      <c r="T218" s="221">
        <v>0</v>
      </c>
      <c r="U218" s="221">
        <v>0</v>
      </c>
      <c r="V218" s="221"/>
      <c r="W218" s="221"/>
      <c r="X218" s="222">
        <f t="shared" si="6"/>
        <v>1</v>
      </c>
      <c r="Y218" s="223"/>
      <c r="Z218" s="224" t="s">
        <v>663</v>
      </c>
      <c r="AA218" s="157" t="s">
        <v>663</v>
      </c>
      <c r="AB218" s="151" t="s">
        <v>2602</v>
      </c>
      <c r="AC218" s="530" t="s">
        <v>3015</v>
      </c>
      <c r="AD218" s="159"/>
    </row>
    <row r="219" spans="1:30" x14ac:dyDescent="0.2">
      <c r="A219" s="218"/>
      <c r="B219" s="218"/>
      <c r="C219" s="260" t="s">
        <v>1352</v>
      </c>
      <c r="D219" s="261" t="s">
        <v>1353</v>
      </c>
      <c r="E219" s="236">
        <v>0</v>
      </c>
      <c r="F219" s="236">
        <v>0</v>
      </c>
      <c r="G219" s="236">
        <v>0</v>
      </c>
      <c r="H219" s="236">
        <v>0</v>
      </c>
      <c r="I219" s="236">
        <v>0</v>
      </c>
      <c r="J219" s="236">
        <v>0</v>
      </c>
      <c r="K219" s="236">
        <v>0</v>
      </c>
      <c r="L219" s="236">
        <v>0</v>
      </c>
      <c r="M219" s="236"/>
      <c r="N219" s="236">
        <v>1</v>
      </c>
      <c r="O219" s="236">
        <v>0</v>
      </c>
      <c r="P219" s="236">
        <v>0</v>
      </c>
      <c r="Q219" s="236">
        <v>0</v>
      </c>
      <c r="R219" s="236">
        <v>0</v>
      </c>
      <c r="S219" s="236">
        <v>0</v>
      </c>
      <c r="T219" s="236">
        <v>0</v>
      </c>
      <c r="U219" s="236">
        <v>0</v>
      </c>
      <c r="V219" s="236"/>
      <c r="W219" s="236"/>
      <c r="X219" s="237">
        <f t="shared" si="6"/>
        <v>1</v>
      </c>
      <c r="Y219" s="223"/>
      <c r="Z219" s="224" t="s">
        <v>663</v>
      </c>
      <c r="AA219" s="157" t="s">
        <v>663</v>
      </c>
      <c r="AB219" s="151" t="s">
        <v>2602</v>
      </c>
      <c r="AC219" s="530" t="s">
        <v>3015</v>
      </c>
      <c r="AD219" s="159"/>
    </row>
    <row r="220" spans="1:30" x14ac:dyDescent="0.2">
      <c r="A220" s="229"/>
      <c r="B220" s="229"/>
      <c r="C220" s="238" t="s">
        <v>2205</v>
      </c>
      <c r="D220" s="239" t="s">
        <v>2206</v>
      </c>
      <c r="E220" s="221">
        <v>0</v>
      </c>
      <c r="F220" s="221">
        <v>0</v>
      </c>
      <c r="G220" s="221">
        <v>0</v>
      </c>
      <c r="H220" s="221">
        <v>0</v>
      </c>
      <c r="I220" s="221">
        <v>0</v>
      </c>
      <c r="J220" s="221">
        <v>0</v>
      </c>
      <c r="K220" s="221">
        <v>0</v>
      </c>
      <c r="L220" s="221">
        <v>0</v>
      </c>
      <c r="M220" s="221">
        <v>0</v>
      </c>
      <c r="N220" s="221">
        <v>1</v>
      </c>
      <c r="O220" s="221">
        <v>0</v>
      </c>
      <c r="P220" s="221">
        <v>0</v>
      </c>
      <c r="Q220" s="221">
        <v>0</v>
      </c>
      <c r="R220" s="221">
        <v>0</v>
      </c>
      <c r="S220" s="221">
        <v>0</v>
      </c>
      <c r="T220" s="221">
        <v>0</v>
      </c>
      <c r="U220" s="221">
        <v>0</v>
      </c>
      <c r="V220" s="221">
        <v>0</v>
      </c>
      <c r="W220" s="221">
        <v>0</v>
      </c>
      <c r="X220" s="222">
        <f t="shared" si="6"/>
        <v>1</v>
      </c>
      <c r="Y220" s="223"/>
      <c r="Z220" s="224" t="s">
        <v>663</v>
      </c>
      <c r="AA220" s="157" t="s">
        <v>663</v>
      </c>
      <c r="AB220" s="229"/>
      <c r="AC220" s="530" t="s">
        <v>3015</v>
      </c>
      <c r="AD220" s="159"/>
    </row>
    <row r="221" spans="1:30" x14ac:dyDescent="0.2">
      <c r="A221" s="218"/>
      <c r="B221" s="218"/>
      <c r="C221" s="241" t="s">
        <v>1664</v>
      </c>
      <c r="D221" s="242" t="s">
        <v>1665</v>
      </c>
      <c r="E221" s="262">
        <v>0</v>
      </c>
      <c r="F221" s="262">
        <v>2.6056158987752733E-2</v>
      </c>
      <c r="G221" s="262">
        <v>9.1319062575419691E-2</v>
      </c>
      <c r="H221" s="262">
        <v>0</v>
      </c>
      <c r="I221" s="262">
        <v>0</v>
      </c>
      <c r="J221" s="262">
        <v>6.9881752971480568E-2</v>
      </c>
      <c r="K221" s="262">
        <v>0</v>
      </c>
      <c r="L221" s="262">
        <v>0</v>
      </c>
      <c r="M221" s="262">
        <v>0</v>
      </c>
      <c r="N221" s="262">
        <v>0.3525747905768124</v>
      </c>
      <c r="O221" s="262">
        <v>5.263277289874322E-2</v>
      </c>
      <c r="P221" s="262">
        <v>0.21048957495829559</v>
      </c>
      <c r="Q221" s="262">
        <v>1.107858723761727E-2</v>
      </c>
      <c r="R221" s="262">
        <v>0</v>
      </c>
      <c r="S221" s="262">
        <v>0.14008962428201663</v>
      </c>
      <c r="T221" s="262">
        <v>4.5877675511861844E-2</v>
      </c>
      <c r="U221" s="262">
        <v>0</v>
      </c>
      <c r="V221" s="262">
        <v>0</v>
      </c>
      <c r="W221" s="262">
        <v>0</v>
      </c>
      <c r="X221" s="232">
        <f t="shared" si="6"/>
        <v>1</v>
      </c>
      <c r="Y221" s="223"/>
      <c r="Z221" s="224" t="s">
        <v>663</v>
      </c>
      <c r="AA221" s="157" t="s">
        <v>663</v>
      </c>
      <c r="AB221" s="151" t="s">
        <v>2602</v>
      </c>
      <c r="AC221" s="530" t="s">
        <v>3015</v>
      </c>
      <c r="AD221" s="159"/>
    </row>
    <row r="222" spans="1:30" ht="22.5" x14ac:dyDescent="0.2">
      <c r="A222" s="218"/>
      <c r="B222" s="218"/>
      <c r="C222" s="219" t="s">
        <v>1356</v>
      </c>
      <c r="D222" s="220" t="s">
        <v>1357</v>
      </c>
      <c r="E222" s="221">
        <v>0</v>
      </c>
      <c r="F222" s="221">
        <v>0</v>
      </c>
      <c r="G222" s="221">
        <v>3.968253968253968E-2</v>
      </c>
      <c r="H222" s="221">
        <v>0</v>
      </c>
      <c r="I222" s="221">
        <v>0</v>
      </c>
      <c r="J222" s="221">
        <v>0</v>
      </c>
      <c r="K222" s="221">
        <v>0</v>
      </c>
      <c r="L222" s="221">
        <v>0</v>
      </c>
      <c r="M222" s="221"/>
      <c r="N222" s="221">
        <v>0.4700793650793651</v>
      </c>
      <c r="O222" s="221">
        <v>1.4047619047619047E-2</v>
      </c>
      <c r="P222" s="221">
        <v>7.9365079365079378E-3</v>
      </c>
      <c r="Q222" s="221">
        <v>0</v>
      </c>
      <c r="R222" s="221">
        <v>0</v>
      </c>
      <c r="S222" s="221">
        <v>0.46825396825396831</v>
      </c>
      <c r="T222" s="221">
        <v>0</v>
      </c>
      <c r="U222" s="221">
        <v>0</v>
      </c>
      <c r="V222" s="221"/>
      <c r="W222" s="221"/>
      <c r="X222" s="222">
        <f t="shared" si="6"/>
        <v>1</v>
      </c>
      <c r="Y222" s="223"/>
      <c r="Z222" s="224" t="s">
        <v>663</v>
      </c>
      <c r="AA222" s="157" t="s">
        <v>663</v>
      </c>
      <c r="AB222" s="151" t="s">
        <v>2602</v>
      </c>
      <c r="AC222" s="530" t="s">
        <v>3015</v>
      </c>
      <c r="AD222" s="159"/>
    </row>
    <row r="223" spans="1:30" x14ac:dyDescent="0.2">
      <c r="A223" s="218"/>
      <c r="B223" s="218"/>
      <c r="C223" s="219" t="s">
        <v>1360</v>
      </c>
      <c r="D223" s="220" t="s">
        <v>1361</v>
      </c>
      <c r="E223" s="221">
        <v>0</v>
      </c>
      <c r="F223" s="221">
        <v>0</v>
      </c>
      <c r="G223" s="221">
        <v>6.25E-2</v>
      </c>
      <c r="H223" s="221">
        <v>0</v>
      </c>
      <c r="I223" s="221">
        <v>0</v>
      </c>
      <c r="J223" s="221">
        <v>1.2500000000000001E-2</v>
      </c>
      <c r="K223" s="221">
        <v>0</v>
      </c>
      <c r="L223" s="221">
        <v>0</v>
      </c>
      <c r="M223" s="221"/>
      <c r="N223" s="221">
        <v>0.52337500000000003</v>
      </c>
      <c r="O223" s="221">
        <v>2.4750000000000001E-2</v>
      </c>
      <c r="P223" s="221">
        <v>8.5625000000000007E-2</v>
      </c>
      <c r="Q223" s="221">
        <v>3.7499999999999999E-3</v>
      </c>
      <c r="R223" s="221">
        <v>0</v>
      </c>
      <c r="S223" s="221">
        <v>0.19375000000000001</v>
      </c>
      <c r="T223" s="221">
        <v>9.375E-2</v>
      </c>
      <c r="U223" s="221">
        <v>0</v>
      </c>
      <c r="V223" s="221"/>
      <c r="W223" s="221"/>
      <c r="X223" s="222">
        <f t="shared" si="6"/>
        <v>1</v>
      </c>
      <c r="Y223" s="223"/>
      <c r="Z223" s="224" t="s">
        <v>663</v>
      </c>
      <c r="AA223" s="157" t="s">
        <v>663</v>
      </c>
      <c r="AB223" s="151" t="s">
        <v>2602</v>
      </c>
      <c r="AC223" s="530" t="s">
        <v>3015</v>
      </c>
      <c r="AD223" s="159"/>
    </row>
    <row r="224" spans="1:30" x14ac:dyDescent="0.2">
      <c r="A224" s="218"/>
      <c r="B224" s="218"/>
      <c r="C224" s="260" t="s">
        <v>1362</v>
      </c>
      <c r="D224" s="261" t="s">
        <v>1363</v>
      </c>
      <c r="E224" s="236">
        <v>0</v>
      </c>
      <c r="F224" s="236">
        <v>0</v>
      </c>
      <c r="G224" s="236">
        <v>1</v>
      </c>
      <c r="H224" s="236">
        <v>0</v>
      </c>
      <c r="I224" s="236">
        <v>0</v>
      </c>
      <c r="J224" s="236">
        <v>0</v>
      </c>
      <c r="K224" s="236">
        <v>0</v>
      </c>
      <c r="L224" s="236">
        <v>0</v>
      </c>
      <c r="M224" s="236"/>
      <c r="N224" s="236">
        <v>0</v>
      </c>
      <c r="O224" s="236">
        <v>0</v>
      </c>
      <c r="P224" s="236">
        <v>0</v>
      </c>
      <c r="Q224" s="236">
        <v>0</v>
      </c>
      <c r="R224" s="236">
        <v>0</v>
      </c>
      <c r="S224" s="236">
        <v>0</v>
      </c>
      <c r="T224" s="236">
        <v>0</v>
      </c>
      <c r="U224" s="236">
        <v>0</v>
      </c>
      <c r="V224" s="236"/>
      <c r="W224" s="236"/>
      <c r="X224" s="237">
        <f t="shared" si="6"/>
        <v>1</v>
      </c>
      <c r="Y224" s="223"/>
      <c r="Z224" s="224" t="s">
        <v>663</v>
      </c>
      <c r="AA224" s="157" t="s">
        <v>663</v>
      </c>
      <c r="AB224" s="151" t="s">
        <v>2602</v>
      </c>
      <c r="AC224" s="530" t="s">
        <v>3015</v>
      </c>
      <c r="AD224" s="159"/>
    </row>
    <row r="225" spans="1:30" x14ac:dyDescent="0.2">
      <c r="A225" s="229"/>
      <c r="B225" s="229"/>
      <c r="C225" s="263" t="s">
        <v>1632</v>
      </c>
      <c r="D225" s="264" t="s">
        <v>1633</v>
      </c>
      <c r="E225" s="265">
        <v>0</v>
      </c>
      <c r="F225" s="265">
        <v>0</v>
      </c>
      <c r="G225" s="265">
        <v>0</v>
      </c>
      <c r="H225" s="265">
        <v>0</v>
      </c>
      <c r="I225" s="265">
        <v>0</v>
      </c>
      <c r="J225" s="265">
        <v>0</v>
      </c>
      <c r="K225" s="265">
        <v>0</v>
      </c>
      <c r="L225" s="265">
        <v>0</v>
      </c>
      <c r="M225" s="265">
        <v>0</v>
      </c>
      <c r="N225" s="265">
        <v>1</v>
      </c>
      <c r="O225" s="265">
        <v>0</v>
      </c>
      <c r="P225" s="265">
        <v>0</v>
      </c>
      <c r="Q225" s="265">
        <v>0</v>
      </c>
      <c r="R225" s="265">
        <v>0</v>
      </c>
      <c r="S225" s="265">
        <v>0</v>
      </c>
      <c r="T225" s="265">
        <v>0</v>
      </c>
      <c r="U225" s="265">
        <v>0</v>
      </c>
      <c r="V225" s="265"/>
      <c r="W225" s="265">
        <v>0</v>
      </c>
      <c r="X225" s="222">
        <f t="shared" si="6"/>
        <v>1</v>
      </c>
      <c r="Y225" s="223"/>
      <c r="Z225" s="224" t="s">
        <v>663</v>
      </c>
      <c r="AA225" s="157" t="s">
        <v>663</v>
      </c>
      <c r="AB225" s="229"/>
      <c r="AC225" s="530" t="s">
        <v>3015</v>
      </c>
      <c r="AD225" s="159"/>
    </row>
    <row r="226" spans="1:30" x14ac:dyDescent="0.2">
      <c r="A226" s="229"/>
      <c r="B226" s="229"/>
      <c r="C226" s="219" t="s">
        <v>1366</v>
      </c>
      <c r="D226" s="220" t="s">
        <v>1367</v>
      </c>
      <c r="E226" s="221">
        <v>0</v>
      </c>
      <c r="F226" s="221">
        <v>0</v>
      </c>
      <c r="G226" s="221">
        <v>0</v>
      </c>
      <c r="H226" s="221">
        <v>0</v>
      </c>
      <c r="I226" s="221">
        <v>0</v>
      </c>
      <c r="J226" s="221">
        <v>0</v>
      </c>
      <c r="K226" s="221">
        <v>0</v>
      </c>
      <c r="L226" s="221">
        <v>0</v>
      </c>
      <c r="M226" s="221"/>
      <c r="N226" s="221">
        <v>0.40659340659340654</v>
      </c>
      <c r="O226" s="221">
        <v>0</v>
      </c>
      <c r="P226" s="221">
        <v>0</v>
      </c>
      <c r="Q226" s="221">
        <v>0</v>
      </c>
      <c r="R226" s="221">
        <v>0</v>
      </c>
      <c r="S226" s="221">
        <v>0.59340659340659341</v>
      </c>
      <c r="T226" s="221">
        <v>0</v>
      </c>
      <c r="U226" s="221">
        <v>0</v>
      </c>
      <c r="V226" s="221"/>
      <c r="W226" s="221"/>
      <c r="X226" s="222">
        <f t="shared" si="6"/>
        <v>1</v>
      </c>
      <c r="Y226" s="223"/>
      <c r="Z226" s="224" t="s">
        <v>663</v>
      </c>
      <c r="AA226" s="157" t="s">
        <v>663</v>
      </c>
      <c r="AB226" s="229"/>
      <c r="AC226" s="530" t="s">
        <v>3015</v>
      </c>
      <c r="AD226" s="159"/>
    </row>
    <row r="227" spans="1:30" x14ac:dyDescent="0.2">
      <c r="A227" s="229"/>
      <c r="B227" s="229"/>
      <c r="C227" s="219" t="s">
        <v>1368</v>
      </c>
      <c r="D227" s="220" t="s">
        <v>1369</v>
      </c>
      <c r="E227" s="221">
        <v>0</v>
      </c>
      <c r="F227" s="221">
        <v>0</v>
      </c>
      <c r="G227" s="221">
        <v>0</v>
      </c>
      <c r="H227" s="221">
        <v>0</v>
      </c>
      <c r="I227" s="221">
        <v>0</v>
      </c>
      <c r="J227" s="221">
        <v>0</v>
      </c>
      <c r="K227" s="221">
        <v>0</v>
      </c>
      <c r="L227" s="221">
        <v>0</v>
      </c>
      <c r="M227" s="221"/>
      <c r="N227" s="221">
        <v>0.44444444444444448</v>
      </c>
      <c r="O227" s="221">
        <v>0</v>
      </c>
      <c r="P227" s="221">
        <v>0</v>
      </c>
      <c r="Q227" s="221">
        <v>0</v>
      </c>
      <c r="R227" s="221">
        <v>0</v>
      </c>
      <c r="S227" s="221">
        <v>0.55555555555555558</v>
      </c>
      <c r="T227" s="221">
        <v>0</v>
      </c>
      <c r="U227" s="221">
        <v>0</v>
      </c>
      <c r="V227" s="221"/>
      <c r="W227" s="221"/>
      <c r="X227" s="222">
        <f t="shared" si="6"/>
        <v>1</v>
      </c>
      <c r="Y227" s="223"/>
      <c r="Z227" s="224" t="s">
        <v>663</v>
      </c>
      <c r="AA227" s="157" t="s">
        <v>663</v>
      </c>
      <c r="AB227" s="229"/>
      <c r="AC227" s="530" t="s">
        <v>3015</v>
      </c>
      <c r="AD227" s="159"/>
    </row>
    <row r="228" spans="1:30" x14ac:dyDescent="0.2">
      <c r="A228" s="229"/>
      <c r="B228" s="229"/>
      <c r="C228" s="219" t="s">
        <v>1370</v>
      </c>
      <c r="D228" s="220" t="s">
        <v>1371</v>
      </c>
      <c r="E228" s="221">
        <v>0</v>
      </c>
      <c r="F228" s="221">
        <v>0</v>
      </c>
      <c r="G228" s="221">
        <v>1</v>
      </c>
      <c r="H228" s="221">
        <v>0</v>
      </c>
      <c r="I228" s="221">
        <v>0</v>
      </c>
      <c r="J228" s="221">
        <v>0</v>
      </c>
      <c r="K228" s="221">
        <v>0</v>
      </c>
      <c r="L228" s="221">
        <v>0</v>
      </c>
      <c r="M228" s="221"/>
      <c r="N228" s="221">
        <v>0</v>
      </c>
      <c r="O228" s="221">
        <v>0</v>
      </c>
      <c r="P228" s="221">
        <v>0</v>
      </c>
      <c r="Q228" s="221">
        <v>0</v>
      </c>
      <c r="R228" s="221">
        <v>0</v>
      </c>
      <c r="S228" s="221">
        <v>0</v>
      </c>
      <c r="T228" s="221">
        <v>0</v>
      </c>
      <c r="U228" s="221">
        <v>0</v>
      </c>
      <c r="V228" s="221"/>
      <c r="W228" s="221"/>
      <c r="X228" s="222">
        <f t="shared" si="6"/>
        <v>1</v>
      </c>
      <c r="Y228" s="223"/>
      <c r="Z228" s="224" t="s">
        <v>663</v>
      </c>
      <c r="AA228" s="157" t="s">
        <v>663</v>
      </c>
      <c r="AB228" s="229"/>
      <c r="AC228" s="530" t="s">
        <v>3015</v>
      </c>
      <c r="AD228" s="159"/>
    </row>
    <row r="229" spans="1:30" x14ac:dyDescent="0.2">
      <c r="A229" s="218"/>
      <c r="B229" s="218"/>
      <c r="C229" s="230" t="s">
        <v>1372</v>
      </c>
      <c r="D229" s="231" t="s">
        <v>1373</v>
      </c>
      <c r="E229" s="232">
        <v>0</v>
      </c>
      <c r="F229" s="232">
        <v>0</v>
      </c>
      <c r="G229" s="232">
        <v>1</v>
      </c>
      <c r="H229" s="232">
        <v>0</v>
      </c>
      <c r="I229" s="232">
        <v>0</v>
      </c>
      <c r="J229" s="232">
        <v>0</v>
      </c>
      <c r="K229" s="232">
        <v>0</v>
      </c>
      <c r="L229" s="232">
        <v>0</v>
      </c>
      <c r="M229" s="232"/>
      <c r="N229" s="232">
        <v>0</v>
      </c>
      <c r="O229" s="232">
        <v>0</v>
      </c>
      <c r="P229" s="232">
        <v>0</v>
      </c>
      <c r="Q229" s="232">
        <v>0</v>
      </c>
      <c r="R229" s="232">
        <v>0</v>
      </c>
      <c r="S229" s="232">
        <v>0</v>
      </c>
      <c r="T229" s="232">
        <v>0</v>
      </c>
      <c r="U229" s="232">
        <v>0</v>
      </c>
      <c r="V229" s="232"/>
      <c r="W229" s="232"/>
      <c r="X229" s="233">
        <f t="shared" si="6"/>
        <v>1</v>
      </c>
      <c r="Y229" s="223"/>
      <c r="Z229" s="224" t="s">
        <v>663</v>
      </c>
      <c r="AA229" s="157" t="s">
        <v>663</v>
      </c>
      <c r="AB229" s="151" t="s">
        <v>2602</v>
      </c>
      <c r="AC229" s="530" t="s">
        <v>3015</v>
      </c>
      <c r="AD229" s="159"/>
    </row>
    <row r="230" spans="1:30" x14ac:dyDescent="0.2">
      <c r="A230" s="218"/>
      <c r="B230" s="218"/>
      <c r="C230" s="219" t="s">
        <v>1374</v>
      </c>
      <c r="D230" s="220" t="s">
        <v>1375</v>
      </c>
      <c r="E230" s="221">
        <v>0</v>
      </c>
      <c r="F230" s="221">
        <v>0</v>
      </c>
      <c r="G230" s="221">
        <v>0</v>
      </c>
      <c r="H230" s="221">
        <v>0</v>
      </c>
      <c r="I230" s="221">
        <v>0</v>
      </c>
      <c r="J230" s="221">
        <v>0</v>
      </c>
      <c r="K230" s="221">
        <v>0</v>
      </c>
      <c r="L230" s="221">
        <v>0</v>
      </c>
      <c r="M230" s="221"/>
      <c r="N230" s="221">
        <v>1</v>
      </c>
      <c r="O230" s="221">
        <v>0</v>
      </c>
      <c r="P230" s="221">
        <v>0</v>
      </c>
      <c r="Q230" s="221">
        <v>0</v>
      </c>
      <c r="R230" s="221">
        <v>0</v>
      </c>
      <c r="S230" s="221">
        <v>0</v>
      </c>
      <c r="T230" s="221">
        <v>0</v>
      </c>
      <c r="U230" s="221">
        <v>0</v>
      </c>
      <c r="V230" s="221"/>
      <c r="W230" s="221"/>
      <c r="X230" s="222">
        <f t="shared" si="6"/>
        <v>1</v>
      </c>
      <c r="Y230" s="223"/>
      <c r="Z230" s="224" t="s">
        <v>663</v>
      </c>
      <c r="AA230" s="157" t="s">
        <v>663</v>
      </c>
      <c r="AB230" s="151" t="s">
        <v>2602</v>
      </c>
      <c r="AC230" s="530" t="s">
        <v>3015</v>
      </c>
      <c r="AD230" s="159"/>
    </row>
    <row r="231" spans="1:30" x14ac:dyDescent="0.2">
      <c r="A231" s="218"/>
      <c r="B231" s="218"/>
      <c r="C231" s="219" t="s">
        <v>1376</v>
      </c>
      <c r="D231" s="220" t="s">
        <v>1377</v>
      </c>
      <c r="E231" s="221">
        <v>0</v>
      </c>
      <c r="F231" s="221">
        <v>0</v>
      </c>
      <c r="G231" s="221">
        <v>0</v>
      </c>
      <c r="H231" s="221">
        <v>0</v>
      </c>
      <c r="I231" s="221">
        <v>0</v>
      </c>
      <c r="J231" s="221">
        <v>0</v>
      </c>
      <c r="K231" s="221">
        <v>0</v>
      </c>
      <c r="L231" s="221">
        <v>0</v>
      </c>
      <c r="M231" s="221"/>
      <c r="N231" s="221">
        <v>1</v>
      </c>
      <c r="O231" s="221">
        <v>0</v>
      </c>
      <c r="P231" s="221">
        <v>0</v>
      </c>
      <c r="Q231" s="221">
        <v>0</v>
      </c>
      <c r="R231" s="221">
        <v>0</v>
      </c>
      <c r="S231" s="221">
        <v>0</v>
      </c>
      <c r="T231" s="221">
        <v>0</v>
      </c>
      <c r="U231" s="221">
        <v>0</v>
      </c>
      <c r="V231" s="221"/>
      <c r="W231" s="221"/>
      <c r="X231" s="222">
        <f t="shared" si="6"/>
        <v>1</v>
      </c>
      <c r="Y231" s="223"/>
      <c r="Z231" s="224" t="s">
        <v>663</v>
      </c>
      <c r="AA231" s="157" t="s">
        <v>663</v>
      </c>
      <c r="AB231" s="151" t="s">
        <v>2602</v>
      </c>
      <c r="AC231" s="530" t="s">
        <v>3015</v>
      </c>
      <c r="AD231" s="159"/>
    </row>
    <row r="232" spans="1:30" x14ac:dyDescent="0.2">
      <c r="A232" s="218"/>
      <c r="B232" s="218"/>
      <c r="C232" s="225" t="s">
        <v>1668</v>
      </c>
      <c r="D232" s="226" t="s">
        <v>1669</v>
      </c>
      <c r="E232" s="227">
        <v>0</v>
      </c>
      <c r="F232" s="227">
        <v>1.554752230423365E-2</v>
      </c>
      <c r="G232" s="227">
        <v>0.12709874246874753</v>
      </c>
      <c r="H232" s="227">
        <v>0</v>
      </c>
      <c r="I232" s="227">
        <v>0</v>
      </c>
      <c r="J232" s="227">
        <v>0</v>
      </c>
      <c r="K232" s="227">
        <v>0</v>
      </c>
      <c r="L232" s="227">
        <v>0</v>
      </c>
      <c r="M232" s="227">
        <v>0</v>
      </c>
      <c r="N232" s="227">
        <v>0.18294309989744306</v>
      </c>
      <c r="O232" s="227">
        <v>9.1744853341311661E-2</v>
      </c>
      <c r="P232" s="227">
        <v>0.127587314146862</v>
      </c>
      <c r="Q232" s="227">
        <v>0</v>
      </c>
      <c r="R232" s="227">
        <v>0</v>
      </c>
      <c r="S232" s="227">
        <v>0.37637070254572841</v>
      </c>
      <c r="T232" s="227">
        <v>7.8707765295673665E-2</v>
      </c>
      <c r="U232" s="227">
        <v>0</v>
      </c>
      <c r="V232" s="227">
        <v>0</v>
      </c>
      <c r="W232" s="227">
        <v>0</v>
      </c>
      <c r="X232" s="228">
        <f t="shared" si="6"/>
        <v>0.99999999999999989</v>
      </c>
      <c r="Y232" s="223"/>
      <c r="Z232" s="224" t="s">
        <v>663</v>
      </c>
      <c r="AA232" s="157" t="s">
        <v>663</v>
      </c>
      <c r="AB232" s="151" t="s">
        <v>2602</v>
      </c>
      <c r="AC232" s="530" t="s">
        <v>3015</v>
      </c>
      <c r="AD232" s="159"/>
    </row>
    <row r="233" spans="1:30" x14ac:dyDescent="0.2">
      <c r="A233" s="229"/>
      <c r="B233" s="229"/>
      <c r="C233" s="219" t="s">
        <v>1610</v>
      </c>
      <c r="D233" s="266" t="s">
        <v>1611</v>
      </c>
      <c r="E233" s="267">
        <v>0</v>
      </c>
      <c r="F233" s="267">
        <v>0</v>
      </c>
      <c r="G233" s="267">
        <v>0</v>
      </c>
      <c r="H233" s="267">
        <v>0</v>
      </c>
      <c r="I233" s="267">
        <v>0</v>
      </c>
      <c r="J233" s="267">
        <v>0</v>
      </c>
      <c r="K233" s="267">
        <v>0</v>
      </c>
      <c r="L233" s="267">
        <v>0</v>
      </c>
      <c r="M233" s="267">
        <v>0</v>
      </c>
      <c r="N233" s="267">
        <v>1</v>
      </c>
      <c r="O233" s="267">
        <v>0</v>
      </c>
      <c r="P233" s="267">
        <v>0</v>
      </c>
      <c r="Q233" s="267">
        <v>0</v>
      </c>
      <c r="R233" s="267">
        <v>0</v>
      </c>
      <c r="S233" s="267">
        <v>0</v>
      </c>
      <c r="T233" s="267">
        <v>0</v>
      </c>
      <c r="U233" s="267">
        <v>0</v>
      </c>
      <c r="V233" s="267"/>
      <c r="W233" s="267"/>
      <c r="X233" s="222">
        <f t="shared" si="6"/>
        <v>1</v>
      </c>
      <c r="Y233" s="223"/>
      <c r="Z233" s="224" t="s">
        <v>663</v>
      </c>
      <c r="AA233" s="157" t="s">
        <v>663</v>
      </c>
      <c r="AB233" s="229"/>
      <c r="AC233" s="530" t="s">
        <v>3015</v>
      </c>
      <c r="AD233" s="159"/>
    </row>
    <row r="234" spans="1:30" x14ac:dyDescent="0.2">
      <c r="A234" s="218"/>
      <c r="B234" s="218"/>
      <c r="C234" s="268" t="s">
        <v>1119</v>
      </c>
      <c r="D234" s="269" t="s">
        <v>301</v>
      </c>
      <c r="E234" s="232">
        <v>0</v>
      </c>
      <c r="F234" s="232">
        <v>0</v>
      </c>
      <c r="G234" s="232">
        <v>4.1172164849715615E-2</v>
      </c>
      <c r="H234" s="232">
        <v>0</v>
      </c>
      <c r="I234" s="232">
        <v>0</v>
      </c>
      <c r="J234" s="232">
        <v>2.9609763655503319E-3</v>
      </c>
      <c r="K234" s="232">
        <v>0</v>
      </c>
      <c r="L234" s="232">
        <v>0</v>
      </c>
      <c r="M234" s="232">
        <v>0</v>
      </c>
      <c r="N234" s="232">
        <v>0.57416904544016645</v>
      </c>
      <c r="O234" s="232">
        <v>1.3551641566230765E-2</v>
      </c>
      <c r="P234" s="232">
        <v>6.2685080268676655E-2</v>
      </c>
      <c r="Q234" s="232">
        <v>1.8144437504855337E-3</v>
      </c>
      <c r="R234" s="232">
        <v>0</v>
      </c>
      <c r="S234" s="232">
        <v>0.2290627297392871</v>
      </c>
      <c r="T234" s="232">
        <v>7.2137405696851564E-2</v>
      </c>
      <c r="U234" s="232">
        <v>2.4465123230358859E-3</v>
      </c>
      <c r="V234" s="232"/>
      <c r="W234" s="232"/>
      <c r="X234" s="233">
        <f t="shared" si="6"/>
        <v>0.99999999999999989</v>
      </c>
      <c r="Y234" s="223"/>
      <c r="Z234" s="224" t="s">
        <v>663</v>
      </c>
      <c r="AA234" s="157" t="s">
        <v>663</v>
      </c>
      <c r="AB234" s="151" t="s">
        <v>2602</v>
      </c>
      <c r="AC234" s="530" t="s">
        <v>3015</v>
      </c>
      <c r="AD234" s="159"/>
    </row>
    <row r="235" spans="1:30" x14ac:dyDescent="0.2">
      <c r="A235" s="218"/>
      <c r="B235" s="218"/>
      <c r="C235" s="238" t="s">
        <v>1670</v>
      </c>
      <c r="D235" s="239" t="s">
        <v>1671</v>
      </c>
      <c r="E235" s="221">
        <v>0</v>
      </c>
      <c r="F235" s="221">
        <v>7.3732826304712977E-3</v>
      </c>
      <c r="G235" s="221">
        <v>3.0397046154723738E-2</v>
      </c>
      <c r="H235" s="221">
        <v>0</v>
      </c>
      <c r="I235" s="221">
        <v>0</v>
      </c>
      <c r="J235" s="221">
        <v>3.3109952571821345E-2</v>
      </c>
      <c r="K235" s="221">
        <v>0</v>
      </c>
      <c r="L235" s="221">
        <v>0</v>
      </c>
      <c r="M235" s="221">
        <v>0</v>
      </c>
      <c r="N235" s="221">
        <v>0.34318247896727816</v>
      </c>
      <c r="O235" s="221">
        <v>3.064824720743892E-2</v>
      </c>
      <c r="P235" s="221">
        <v>0.28985579104937759</v>
      </c>
      <c r="Q235" s="221">
        <v>1.0969626661846822E-2</v>
      </c>
      <c r="R235" s="221">
        <v>0</v>
      </c>
      <c r="S235" s="221">
        <v>0.11796258629376721</v>
      </c>
      <c r="T235" s="221">
        <v>0.11013813823739833</v>
      </c>
      <c r="U235" s="221">
        <v>2.6362850225876647E-2</v>
      </c>
      <c r="V235" s="221">
        <v>0</v>
      </c>
      <c r="W235" s="221">
        <v>0</v>
      </c>
      <c r="X235" s="221">
        <f t="shared" si="6"/>
        <v>1.0000000000000002</v>
      </c>
      <c r="Y235" s="223"/>
      <c r="Z235" s="224" t="s">
        <v>663</v>
      </c>
      <c r="AA235" s="157" t="s">
        <v>663</v>
      </c>
      <c r="AB235" s="151" t="s">
        <v>2602</v>
      </c>
      <c r="AC235" s="530" t="s">
        <v>3015</v>
      </c>
      <c r="AD235" s="159"/>
    </row>
    <row r="236" spans="1:30" x14ac:dyDescent="0.2">
      <c r="A236" s="218"/>
      <c r="B236" s="218"/>
      <c r="C236" s="219" t="s">
        <v>1380</v>
      </c>
      <c r="D236" s="220" t="s">
        <v>1381</v>
      </c>
      <c r="E236" s="221">
        <v>0</v>
      </c>
      <c r="F236" s="221">
        <v>0</v>
      </c>
      <c r="G236" s="221">
        <v>0</v>
      </c>
      <c r="H236" s="221">
        <v>0</v>
      </c>
      <c r="I236" s="221">
        <v>0</v>
      </c>
      <c r="J236" s="221">
        <v>0</v>
      </c>
      <c r="K236" s="221">
        <v>0</v>
      </c>
      <c r="L236" s="221">
        <v>0</v>
      </c>
      <c r="M236" s="221"/>
      <c r="N236" s="221">
        <v>0</v>
      </c>
      <c r="O236" s="221">
        <v>0</v>
      </c>
      <c r="P236" s="221">
        <v>0</v>
      </c>
      <c r="Q236" s="221">
        <v>0</v>
      </c>
      <c r="R236" s="221">
        <v>0</v>
      </c>
      <c r="S236" s="221">
        <v>1</v>
      </c>
      <c r="T236" s="221">
        <v>0</v>
      </c>
      <c r="U236" s="221">
        <v>0</v>
      </c>
      <c r="V236" s="221"/>
      <c r="W236" s="221"/>
      <c r="X236" s="222">
        <f t="shared" si="6"/>
        <v>1</v>
      </c>
      <c r="Y236" s="223"/>
      <c r="Z236" s="224" t="s">
        <v>663</v>
      </c>
      <c r="AA236" s="157" t="s">
        <v>663</v>
      </c>
      <c r="AB236" s="151" t="s">
        <v>2602</v>
      </c>
      <c r="AC236" s="530" t="s">
        <v>3015</v>
      </c>
      <c r="AD236" s="159"/>
    </row>
    <row r="237" spans="1:30" x14ac:dyDescent="0.2">
      <c r="A237" s="218"/>
      <c r="B237" s="218"/>
      <c r="C237" s="219" t="s">
        <v>1382</v>
      </c>
      <c r="D237" s="220" t="s">
        <v>1383</v>
      </c>
      <c r="E237" s="221">
        <v>0</v>
      </c>
      <c r="F237" s="221">
        <v>0</v>
      </c>
      <c r="G237" s="221">
        <v>0</v>
      </c>
      <c r="H237" s="221">
        <v>0</v>
      </c>
      <c r="I237" s="221">
        <v>0</v>
      </c>
      <c r="J237" s="221">
        <v>0</v>
      </c>
      <c r="K237" s="221">
        <v>0</v>
      </c>
      <c r="L237" s="221">
        <v>0</v>
      </c>
      <c r="M237" s="221"/>
      <c r="N237" s="221">
        <v>0</v>
      </c>
      <c r="O237" s="221">
        <v>0</v>
      </c>
      <c r="P237" s="221">
        <v>0</v>
      </c>
      <c r="Q237" s="221">
        <v>0</v>
      </c>
      <c r="R237" s="221">
        <v>0</v>
      </c>
      <c r="S237" s="221">
        <v>0</v>
      </c>
      <c r="T237" s="221">
        <v>0</v>
      </c>
      <c r="U237" s="221">
        <v>1</v>
      </c>
      <c r="V237" s="221"/>
      <c r="W237" s="221"/>
      <c r="X237" s="222">
        <f t="shared" si="6"/>
        <v>1</v>
      </c>
      <c r="Y237" s="223"/>
      <c r="Z237" s="224" t="s">
        <v>663</v>
      </c>
      <c r="AA237" s="157" t="s">
        <v>663</v>
      </c>
      <c r="AB237" s="151" t="s">
        <v>2602</v>
      </c>
      <c r="AC237" s="530" t="s">
        <v>3015</v>
      </c>
      <c r="AD237" s="159"/>
    </row>
    <row r="238" spans="1:30" x14ac:dyDescent="0.2">
      <c r="A238" s="218"/>
      <c r="B238" s="218"/>
      <c r="C238" s="260" t="s">
        <v>1384</v>
      </c>
      <c r="D238" s="261" t="s">
        <v>1385</v>
      </c>
      <c r="E238" s="236">
        <v>0</v>
      </c>
      <c r="F238" s="236">
        <v>0</v>
      </c>
      <c r="G238" s="236">
        <v>0</v>
      </c>
      <c r="H238" s="236">
        <v>0</v>
      </c>
      <c r="I238" s="236">
        <v>1</v>
      </c>
      <c r="J238" s="236">
        <v>0</v>
      </c>
      <c r="K238" s="236">
        <v>0</v>
      </c>
      <c r="L238" s="236">
        <v>0</v>
      </c>
      <c r="M238" s="236"/>
      <c r="N238" s="236">
        <v>0</v>
      </c>
      <c r="O238" s="236">
        <v>0</v>
      </c>
      <c r="P238" s="236">
        <v>0</v>
      </c>
      <c r="Q238" s="236">
        <v>0</v>
      </c>
      <c r="R238" s="236">
        <v>0</v>
      </c>
      <c r="S238" s="236">
        <v>0</v>
      </c>
      <c r="T238" s="236">
        <v>0</v>
      </c>
      <c r="U238" s="236">
        <v>0</v>
      </c>
      <c r="V238" s="236"/>
      <c r="W238" s="236"/>
      <c r="X238" s="237">
        <f t="shared" si="6"/>
        <v>1</v>
      </c>
      <c r="Y238" s="223"/>
      <c r="Z238" s="224" t="s">
        <v>663</v>
      </c>
      <c r="AA238" s="157" t="s">
        <v>663</v>
      </c>
      <c r="AB238" s="151" t="s">
        <v>2602</v>
      </c>
      <c r="AC238" s="530" t="s">
        <v>3015</v>
      </c>
      <c r="AD238" s="159"/>
    </row>
    <row r="239" spans="1:30" x14ac:dyDescent="0.2">
      <c r="A239" s="229"/>
      <c r="B239" s="229"/>
      <c r="C239" s="219" t="s">
        <v>1386</v>
      </c>
      <c r="D239" s="220" t="s">
        <v>1387</v>
      </c>
      <c r="E239" s="221">
        <v>0</v>
      </c>
      <c r="F239" s="221">
        <v>0</v>
      </c>
      <c r="G239" s="221">
        <v>0</v>
      </c>
      <c r="H239" s="221">
        <v>0</v>
      </c>
      <c r="I239" s="221">
        <v>0</v>
      </c>
      <c r="J239" s="221">
        <v>0</v>
      </c>
      <c r="K239" s="221">
        <v>0</v>
      </c>
      <c r="L239" s="221">
        <v>0</v>
      </c>
      <c r="M239" s="221"/>
      <c r="N239" s="221">
        <v>0.11931818181818181</v>
      </c>
      <c r="O239" s="221">
        <v>0</v>
      </c>
      <c r="P239" s="221">
        <v>0</v>
      </c>
      <c r="Q239" s="221">
        <v>0</v>
      </c>
      <c r="R239" s="221">
        <v>0</v>
      </c>
      <c r="S239" s="221">
        <v>0</v>
      </c>
      <c r="T239" s="221">
        <v>0.88068181818181823</v>
      </c>
      <c r="U239" s="221">
        <v>0</v>
      </c>
      <c r="V239" s="221"/>
      <c r="W239" s="221"/>
      <c r="X239" s="222">
        <f t="shared" si="6"/>
        <v>1</v>
      </c>
      <c r="Y239" s="223"/>
      <c r="Z239" s="224" t="s">
        <v>663</v>
      </c>
      <c r="AA239" s="157" t="s">
        <v>663</v>
      </c>
      <c r="AB239" s="229"/>
      <c r="AC239" s="530" t="s">
        <v>3015</v>
      </c>
      <c r="AD239" s="159"/>
    </row>
    <row r="240" spans="1:30" x14ac:dyDescent="0.2">
      <c r="A240" s="218"/>
      <c r="B240" s="218"/>
      <c r="C240" s="230" t="s">
        <v>1388</v>
      </c>
      <c r="D240" s="231" t="s">
        <v>1389</v>
      </c>
      <c r="E240" s="232">
        <v>0</v>
      </c>
      <c r="F240" s="232">
        <v>0</v>
      </c>
      <c r="G240" s="232">
        <v>0</v>
      </c>
      <c r="H240" s="232">
        <v>1</v>
      </c>
      <c r="I240" s="232">
        <v>0</v>
      </c>
      <c r="J240" s="232">
        <v>0</v>
      </c>
      <c r="K240" s="232">
        <v>0</v>
      </c>
      <c r="L240" s="232">
        <v>0</v>
      </c>
      <c r="M240" s="232"/>
      <c r="N240" s="232">
        <v>0</v>
      </c>
      <c r="O240" s="232">
        <v>0</v>
      </c>
      <c r="P240" s="232">
        <v>0</v>
      </c>
      <c r="Q240" s="232">
        <v>0</v>
      </c>
      <c r="R240" s="232">
        <v>0</v>
      </c>
      <c r="S240" s="232">
        <v>0</v>
      </c>
      <c r="T240" s="232">
        <v>0</v>
      </c>
      <c r="U240" s="232">
        <v>0</v>
      </c>
      <c r="V240" s="232"/>
      <c r="W240" s="232"/>
      <c r="X240" s="233">
        <f t="shared" si="6"/>
        <v>1</v>
      </c>
      <c r="Y240" s="223"/>
      <c r="Z240" s="224" t="s">
        <v>663</v>
      </c>
      <c r="AA240" s="157" t="s">
        <v>663</v>
      </c>
      <c r="AB240" s="151" t="s">
        <v>2602</v>
      </c>
      <c r="AC240" s="530" t="s">
        <v>3015</v>
      </c>
      <c r="AD240" s="159"/>
    </row>
    <row r="241" spans="1:30" x14ac:dyDescent="0.2">
      <c r="A241" s="218"/>
      <c r="B241" s="218"/>
      <c r="C241" s="219" t="s">
        <v>1390</v>
      </c>
      <c r="D241" s="220" t="s">
        <v>1391</v>
      </c>
      <c r="E241" s="221">
        <v>0</v>
      </c>
      <c r="F241" s="221">
        <v>0</v>
      </c>
      <c r="G241" s="221">
        <v>1</v>
      </c>
      <c r="H241" s="221">
        <v>0</v>
      </c>
      <c r="I241" s="221">
        <v>0</v>
      </c>
      <c r="J241" s="221">
        <v>0</v>
      </c>
      <c r="K241" s="221">
        <v>0</v>
      </c>
      <c r="L241" s="221">
        <v>0</v>
      </c>
      <c r="M241" s="221"/>
      <c r="N241" s="221">
        <v>0</v>
      </c>
      <c r="O241" s="221">
        <v>0</v>
      </c>
      <c r="P241" s="221">
        <v>0</v>
      </c>
      <c r="Q241" s="221">
        <v>0</v>
      </c>
      <c r="R241" s="221">
        <v>0</v>
      </c>
      <c r="S241" s="221">
        <v>0</v>
      </c>
      <c r="T241" s="221">
        <v>0</v>
      </c>
      <c r="U241" s="221">
        <v>0</v>
      </c>
      <c r="V241" s="221"/>
      <c r="W241" s="221"/>
      <c r="X241" s="222">
        <f t="shared" si="6"/>
        <v>1</v>
      </c>
      <c r="Y241" s="223"/>
      <c r="Z241" s="224" t="s">
        <v>663</v>
      </c>
      <c r="AA241" s="157" t="s">
        <v>663</v>
      </c>
      <c r="AB241" s="151" t="s">
        <v>2602</v>
      </c>
      <c r="AC241" s="530" t="s">
        <v>3015</v>
      </c>
      <c r="AD241" s="159"/>
    </row>
    <row r="242" spans="1:30" x14ac:dyDescent="0.2">
      <c r="A242" s="218"/>
      <c r="B242" s="218"/>
      <c r="C242" s="260" t="s">
        <v>1392</v>
      </c>
      <c r="D242" s="261" t="s">
        <v>1393</v>
      </c>
      <c r="E242" s="236">
        <v>0</v>
      </c>
      <c r="F242" s="236">
        <v>0</v>
      </c>
      <c r="G242" s="236">
        <v>1</v>
      </c>
      <c r="H242" s="236">
        <v>0</v>
      </c>
      <c r="I242" s="236">
        <v>0</v>
      </c>
      <c r="J242" s="236">
        <v>0</v>
      </c>
      <c r="K242" s="236">
        <v>0</v>
      </c>
      <c r="L242" s="236">
        <v>0</v>
      </c>
      <c r="M242" s="236"/>
      <c r="N242" s="236">
        <v>0</v>
      </c>
      <c r="O242" s="236">
        <v>0</v>
      </c>
      <c r="P242" s="236">
        <v>0</v>
      </c>
      <c r="Q242" s="236">
        <v>0</v>
      </c>
      <c r="R242" s="236">
        <v>0</v>
      </c>
      <c r="S242" s="236">
        <v>0</v>
      </c>
      <c r="T242" s="236">
        <v>0</v>
      </c>
      <c r="U242" s="236">
        <v>0</v>
      </c>
      <c r="V242" s="236"/>
      <c r="W242" s="236"/>
      <c r="X242" s="237">
        <f t="shared" si="6"/>
        <v>1</v>
      </c>
      <c r="Y242" s="223"/>
      <c r="Z242" s="224" t="s">
        <v>663</v>
      </c>
      <c r="AA242" s="157" t="s">
        <v>663</v>
      </c>
      <c r="AB242" s="151" t="s">
        <v>2602</v>
      </c>
      <c r="AC242" s="530" t="s">
        <v>3015</v>
      </c>
      <c r="AD242" s="159"/>
    </row>
    <row r="243" spans="1:30" x14ac:dyDescent="0.2">
      <c r="A243" s="229"/>
      <c r="B243" s="229"/>
      <c r="C243" s="219" t="s">
        <v>1394</v>
      </c>
      <c r="D243" s="220" t="s">
        <v>1395</v>
      </c>
      <c r="E243" s="221">
        <v>0</v>
      </c>
      <c r="F243" s="221">
        <v>0</v>
      </c>
      <c r="G243" s="221">
        <v>1</v>
      </c>
      <c r="H243" s="221">
        <v>0</v>
      </c>
      <c r="I243" s="221">
        <v>0</v>
      </c>
      <c r="J243" s="221">
        <v>0</v>
      </c>
      <c r="K243" s="221">
        <v>0</v>
      </c>
      <c r="L243" s="221">
        <v>0</v>
      </c>
      <c r="M243" s="221"/>
      <c r="N243" s="221">
        <v>0</v>
      </c>
      <c r="O243" s="221">
        <v>0</v>
      </c>
      <c r="P243" s="221">
        <v>0</v>
      </c>
      <c r="Q243" s="221">
        <v>0</v>
      </c>
      <c r="R243" s="221">
        <v>0</v>
      </c>
      <c r="S243" s="221">
        <v>0</v>
      </c>
      <c r="T243" s="221">
        <v>0</v>
      </c>
      <c r="U243" s="221">
        <v>0</v>
      </c>
      <c r="V243" s="221"/>
      <c r="W243" s="221"/>
      <c r="X243" s="222">
        <f t="shared" si="6"/>
        <v>1</v>
      </c>
      <c r="Y243" s="223"/>
      <c r="Z243" s="224" t="s">
        <v>663</v>
      </c>
      <c r="AA243" s="157" t="s">
        <v>663</v>
      </c>
      <c r="AB243" s="229"/>
      <c r="AC243" s="530" t="s">
        <v>3015</v>
      </c>
      <c r="AD243" s="159"/>
    </row>
    <row r="244" spans="1:30" x14ac:dyDescent="0.2">
      <c r="A244" s="218"/>
      <c r="B244" s="218"/>
      <c r="C244" s="250" t="s">
        <v>1396</v>
      </c>
      <c r="D244" s="251" t="s">
        <v>1397</v>
      </c>
      <c r="E244" s="252">
        <v>0</v>
      </c>
      <c r="F244" s="252">
        <v>0</v>
      </c>
      <c r="G244" s="252">
        <v>0</v>
      </c>
      <c r="H244" s="252">
        <v>0</v>
      </c>
      <c r="I244" s="252">
        <v>0</v>
      </c>
      <c r="J244" s="252">
        <v>0</v>
      </c>
      <c r="K244" s="252">
        <v>0</v>
      </c>
      <c r="L244" s="252">
        <v>0</v>
      </c>
      <c r="M244" s="252"/>
      <c r="N244" s="252">
        <v>0.89</v>
      </c>
      <c r="O244" s="252">
        <v>0</v>
      </c>
      <c r="P244" s="252">
        <v>0</v>
      </c>
      <c r="Q244" s="252">
        <v>0</v>
      </c>
      <c r="R244" s="252">
        <v>0</v>
      </c>
      <c r="S244" s="252">
        <v>0.11</v>
      </c>
      <c r="T244" s="252">
        <v>0</v>
      </c>
      <c r="U244" s="252">
        <v>0</v>
      </c>
      <c r="V244" s="252"/>
      <c r="W244" s="252"/>
      <c r="X244" s="253">
        <f t="shared" si="6"/>
        <v>1</v>
      </c>
      <c r="Y244" s="223"/>
      <c r="Z244" s="224" t="s">
        <v>663</v>
      </c>
      <c r="AA244" s="157" t="s">
        <v>663</v>
      </c>
      <c r="AB244" s="151" t="s">
        <v>2602</v>
      </c>
      <c r="AC244" s="530" t="s">
        <v>3015</v>
      </c>
      <c r="AD244" s="159"/>
    </row>
    <row r="245" spans="1:30" x14ac:dyDescent="0.2">
      <c r="A245" s="229"/>
      <c r="B245" s="229"/>
      <c r="C245" s="219" t="s">
        <v>1398</v>
      </c>
      <c r="D245" s="220" t="s">
        <v>1399</v>
      </c>
      <c r="E245" s="221">
        <v>0</v>
      </c>
      <c r="F245" s="221">
        <v>0</v>
      </c>
      <c r="G245" s="221">
        <v>0</v>
      </c>
      <c r="H245" s="221">
        <v>0</v>
      </c>
      <c r="I245" s="221">
        <v>0</v>
      </c>
      <c r="J245" s="221">
        <v>0</v>
      </c>
      <c r="K245" s="221">
        <v>0</v>
      </c>
      <c r="L245" s="221">
        <v>0</v>
      </c>
      <c r="M245" s="221"/>
      <c r="N245" s="221">
        <v>1</v>
      </c>
      <c r="O245" s="221">
        <v>0</v>
      </c>
      <c r="P245" s="221">
        <v>0</v>
      </c>
      <c r="Q245" s="221">
        <v>0</v>
      </c>
      <c r="R245" s="221">
        <v>0</v>
      </c>
      <c r="S245" s="221">
        <v>0</v>
      </c>
      <c r="T245" s="221">
        <v>0</v>
      </c>
      <c r="U245" s="221">
        <v>0</v>
      </c>
      <c r="V245" s="221"/>
      <c r="W245" s="221"/>
      <c r="X245" s="222">
        <f t="shared" si="6"/>
        <v>1</v>
      </c>
      <c r="Y245" s="223"/>
      <c r="Z245" s="224" t="s">
        <v>663</v>
      </c>
      <c r="AA245" s="157" t="s">
        <v>663</v>
      </c>
      <c r="AB245" s="229"/>
      <c r="AC245" s="530" t="s">
        <v>3015</v>
      </c>
      <c r="AD245" s="159"/>
    </row>
    <row r="246" spans="1:30" x14ac:dyDescent="0.2">
      <c r="A246" s="270" t="s">
        <v>2821</v>
      </c>
      <c r="B246" s="271"/>
      <c r="C246" s="272" t="s">
        <v>1672</v>
      </c>
      <c r="D246" s="273" t="s">
        <v>1673</v>
      </c>
      <c r="E246" s="274">
        <v>0</v>
      </c>
      <c r="F246" s="274">
        <v>0</v>
      </c>
      <c r="G246" s="274">
        <v>0</v>
      </c>
      <c r="H246" s="274">
        <v>0</v>
      </c>
      <c r="I246" s="274">
        <v>0</v>
      </c>
      <c r="J246" s="274">
        <v>0</v>
      </c>
      <c r="K246" s="274">
        <v>0</v>
      </c>
      <c r="L246" s="274">
        <v>0</v>
      </c>
      <c r="M246" s="274">
        <v>0</v>
      </c>
      <c r="N246" s="274">
        <v>0</v>
      </c>
      <c r="O246" s="274">
        <v>0</v>
      </c>
      <c r="P246" s="274">
        <v>2.3735232542450389E-2</v>
      </c>
      <c r="Q246" s="274">
        <v>0</v>
      </c>
      <c r="R246" s="274">
        <v>0</v>
      </c>
      <c r="S246" s="274">
        <v>0.97626476745754964</v>
      </c>
      <c r="T246" s="274">
        <v>0</v>
      </c>
      <c r="U246" s="274">
        <v>0</v>
      </c>
      <c r="V246" s="274">
        <v>0</v>
      </c>
      <c r="W246" s="274">
        <v>0</v>
      </c>
      <c r="X246" s="274">
        <f>SUBTOTAL(9,E246:W246)</f>
        <v>1</v>
      </c>
      <c r="Y246" s="223"/>
      <c r="Z246" s="224" t="s">
        <v>663</v>
      </c>
      <c r="AA246" s="157" t="s">
        <v>649</v>
      </c>
      <c r="AB246" s="259" t="s">
        <v>2821</v>
      </c>
      <c r="AC246" s="530" t="s">
        <v>3015</v>
      </c>
      <c r="AD246" s="159"/>
    </row>
    <row r="247" spans="1:30" x14ac:dyDescent="0.2">
      <c r="A247" s="229"/>
      <c r="B247" s="229"/>
      <c r="C247" s="219" t="s">
        <v>1400</v>
      </c>
      <c r="D247" s="220" t="s">
        <v>1401</v>
      </c>
      <c r="E247" s="221">
        <v>0</v>
      </c>
      <c r="F247" s="221">
        <v>0</v>
      </c>
      <c r="G247" s="221">
        <v>0</v>
      </c>
      <c r="H247" s="221">
        <v>1</v>
      </c>
      <c r="I247" s="221">
        <v>0</v>
      </c>
      <c r="J247" s="221">
        <v>0</v>
      </c>
      <c r="K247" s="221">
        <v>0</v>
      </c>
      <c r="L247" s="221">
        <v>0</v>
      </c>
      <c r="M247" s="221"/>
      <c r="N247" s="221">
        <v>0</v>
      </c>
      <c r="O247" s="221">
        <v>0</v>
      </c>
      <c r="P247" s="221">
        <v>0</v>
      </c>
      <c r="Q247" s="221">
        <v>0</v>
      </c>
      <c r="R247" s="221">
        <v>0</v>
      </c>
      <c r="S247" s="221">
        <v>0</v>
      </c>
      <c r="T247" s="221">
        <v>0</v>
      </c>
      <c r="U247" s="221">
        <v>0</v>
      </c>
      <c r="V247" s="221"/>
      <c r="W247" s="221"/>
      <c r="X247" s="222">
        <f t="shared" ref="X247:X278" si="7">SUM(E247:W247)</f>
        <v>1</v>
      </c>
      <c r="Y247" s="223"/>
      <c r="Z247" s="224" t="s">
        <v>663</v>
      </c>
      <c r="AA247" s="157" t="s">
        <v>663</v>
      </c>
      <c r="AB247" s="229"/>
      <c r="AC247" s="530" t="s">
        <v>3015</v>
      </c>
      <c r="AD247" s="159"/>
    </row>
    <row r="248" spans="1:30" x14ac:dyDescent="0.2">
      <c r="A248" s="229"/>
      <c r="B248" s="229"/>
      <c r="C248" s="219" t="s">
        <v>1402</v>
      </c>
      <c r="D248" s="220" t="s">
        <v>1403</v>
      </c>
      <c r="E248" s="221">
        <v>0</v>
      </c>
      <c r="F248" s="221">
        <v>0</v>
      </c>
      <c r="G248" s="221">
        <v>0</v>
      </c>
      <c r="H248" s="221">
        <v>1</v>
      </c>
      <c r="I248" s="221">
        <v>0</v>
      </c>
      <c r="J248" s="221">
        <v>0</v>
      </c>
      <c r="K248" s="221">
        <v>0</v>
      </c>
      <c r="L248" s="221">
        <v>0</v>
      </c>
      <c r="M248" s="221"/>
      <c r="N248" s="221">
        <v>0</v>
      </c>
      <c r="O248" s="221">
        <v>0</v>
      </c>
      <c r="P248" s="221">
        <v>0</v>
      </c>
      <c r="Q248" s="221">
        <v>0</v>
      </c>
      <c r="R248" s="221">
        <v>0</v>
      </c>
      <c r="S248" s="221">
        <v>0</v>
      </c>
      <c r="T248" s="221">
        <v>0</v>
      </c>
      <c r="U248" s="221">
        <v>0</v>
      </c>
      <c r="V248" s="221"/>
      <c r="W248" s="221"/>
      <c r="X248" s="222">
        <f t="shared" si="7"/>
        <v>1</v>
      </c>
      <c r="Y248" s="223"/>
      <c r="Z248" s="224" t="s">
        <v>663</v>
      </c>
      <c r="AA248" s="157" t="s">
        <v>663</v>
      </c>
      <c r="AB248" s="229"/>
      <c r="AC248" s="530" t="s">
        <v>3015</v>
      </c>
      <c r="AD248" s="159"/>
    </row>
    <row r="249" spans="1:30" x14ac:dyDescent="0.2">
      <c r="A249" s="229"/>
      <c r="B249" s="229"/>
      <c r="C249" s="219" t="s">
        <v>1404</v>
      </c>
      <c r="D249" s="220" t="s">
        <v>1405</v>
      </c>
      <c r="E249" s="221">
        <v>0</v>
      </c>
      <c r="F249" s="221">
        <v>0</v>
      </c>
      <c r="G249" s="221">
        <v>0</v>
      </c>
      <c r="H249" s="221">
        <v>0</v>
      </c>
      <c r="I249" s="221">
        <v>0</v>
      </c>
      <c r="J249" s="221">
        <v>0</v>
      </c>
      <c r="K249" s="221">
        <v>0</v>
      </c>
      <c r="L249" s="221">
        <v>1</v>
      </c>
      <c r="M249" s="221"/>
      <c r="N249" s="221">
        <v>0</v>
      </c>
      <c r="O249" s="221">
        <v>0</v>
      </c>
      <c r="P249" s="221">
        <v>0</v>
      </c>
      <c r="Q249" s="221">
        <v>0</v>
      </c>
      <c r="R249" s="221">
        <v>0</v>
      </c>
      <c r="S249" s="221">
        <v>0</v>
      </c>
      <c r="T249" s="221">
        <v>0</v>
      </c>
      <c r="U249" s="221">
        <v>0</v>
      </c>
      <c r="V249" s="221"/>
      <c r="W249" s="221"/>
      <c r="X249" s="222">
        <f t="shared" si="7"/>
        <v>1</v>
      </c>
      <c r="Y249" s="223"/>
      <c r="Z249" s="224" t="s">
        <v>663</v>
      </c>
      <c r="AA249" s="157" t="s">
        <v>663</v>
      </c>
      <c r="AB249" s="229"/>
      <c r="AC249" s="530" t="s">
        <v>3015</v>
      </c>
      <c r="AD249" s="159"/>
    </row>
    <row r="250" spans="1:30" x14ac:dyDescent="0.2">
      <c r="A250" s="229"/>
      <c r="B250" s="229"/>
      <c r="C250" s="219" t="s">
        <v>1406</v>
      </c>
      <c r="D250" s="220" t="s">
        <v>1407</v>
      </c>
      <c r="E250" s="221">
        <v>1</v>
      </c>
      <c r="F250" s="221">
        <v>0</v>
      </c>
      <c r="G250" s="221">
        <v>0</v>
      </c>
      <c r="H250" s="221">
        <v>0</v>
      </c>
      <c r="I250" s="221">
        <v>0</v>
      </c>
      <c r="J250" s="221">
        <v>0</v>
      </c>
      <c r="K250" s="221">
        <v>0</v>
      </c>
      <c r="L250" s="221">
        <v>0</v>
      </c>
      <c r="M250" s="221"/>
      <c r="N250" s="221">
        <v>0</v>
      </c>
      <c r="O250" s="221">
        <v>0</v>
      </c>
      <c r="P250" s="221">
        <v>0</v>
      </c>
      <c r="Q250" s="221">
        <v>0</v>
      </c>
      <c r="R250" s="221">
        <v>0</v>
      </c>
      <c r="S250" s="221">
        <v>0</v>
      </c>
      <c r="T250" s="221">
        <v>0</v>
      </c>
      <c r="U250" s="221">
        <v>0</v>
      </c>
      <c r="V250" s="221"/>
      <c r="W250" s="221"/>
      <c r="X250" s="222">
        <f t="shared" si="7"/>
        <v>1</v>
      </c>
      <c r="Y250" s="223"/>
      <c r="Z250" s="224" t="s">
        <v>663</v>
      </c>
      <c r="AA250" s="157" t="s">
        <v>663</v>
      </c>
      <c r="AB250" s="229"/>
      <c r="AC250" s="530" t="s">
        <v>3015</v>
      </c>
      <c r="AD250" s="159"/>
    </row>
    <row r="251" spans="1:30" x14ac:dyDescent="0.2">
      <c r="A251" s="229"/>
      <c r="B251" s="229"/>
      <c r="C251" s="219" t="s">
        <v>1408</v>
      </c>
      <c r="D251" s="220" t="s">
        <v>1409</v>
      </c>
      <c r="E251" s="221">
        <v>1</v>
      </c>
      <c r="F251" s="221">
        <v>0</v>
      </c>
      <c r="G251" s="221">
        <v>0</v>
      </c>
      <c r="H251" s="221">
        <v>0</v>
      </c>
      <c r="I251" s="221">
        <v>0</v>
      </c>
      <c r="J251" s="221">
        <v>0</v>
      </c>
      <c r="K251" s="221">
        <v>0</v>
      </c>
      <c r="L251" s="221">
        <v>0</v>
      </c>
      <c r="M251" s="221"/>
      <c r="N251" s="221">
        <v>0</v>
      </c>
      <c r="O251" s="221">
        <v>0</v>
      </c>
      <c r="P251" s="221">
        <v>0</v>
      </c>
      <c r="Q251" s="221">
        <v>0</v>
      </c>
      <c r="R251" s="221">
        <v>0</v>
      </c>
      <c r="S251" s="221">
        <v>0</v>
      </c>
      <c r="T251" s="221">
        <v>0</v>
      </c>
      <c r="U251" s="221">
        <v>0</v>
      </c>
      <c r="V251" s="221"/>
      <c r="W251" s="221"/>
      <c r="X251" s="222">
        <f t="shared" si="7"/>
        <v>1</v>
      </c>
      <c r="Y251" s="223"/>
      <c r="Z251" s="224" t="s">
        <v>663</v>
      </c>
      <c r="AA251" s="157" t="s">
        <v>663</v>
      </c>
      <c r="AB251" s="229"/>
      <c r="AC251" s="530" t="s">
        <v>3015</v>
      </c>
      <c r="AD251" s="159"/>
    </row>
    <row r="252" spans="1:30" x14ac:dyDescent="0.2">
      <c r="A252" s="275"/>
      <c r="B252" s="218"/>
      <c r="C252" s="250" t="s">
        <v>1412</v>
      </c>
      <c r="D252" s="251" t="s">
        <v>1413</v>
      </c>
      <c r="E252" s="232">
        <v>0</v>
      </c>
      <c r="F252" s="232">
        <v>0</v>
      </c>
      <c r="G252" s="232">
        <v>0</v>
      </c>
      <c r="H252" s="232">
        <v>1</v>
      </c>
      <c r="I252" s="232">
        <v>0</v>
      </c>
      <c r="J252" s="232">
        <v>0</v>
      </c>
      <c r="K252" s="232">
        <v>0</v>
      </c>
      <c r="L252" s="232">
        <v>0</v>
      </c>
      <c r="M252" s="232"/>
      <c r="N252" s="232">
        <v>0</v>
      </c>
      <c r="O252" s="232">
        <v>0</v>
      </c>
      <c r="P252" s="232">
        <v>0</v>
      </c>
      <c r="Q252" s="232">
        <v>0</v>
      </c>
      <c r="R252" s="232">
        <v>0</v>
      </c>
      <c r="S252" s="232">
        <v>0</v>
      </c>
      <c r="T252" s="232">
        <v>0</v>
      </c>
      <c r="U252" s="232">
        <v>0</v>
      </c>
      <c r="V252" s="232"/>
      <c r="W252" s="232"/>
      <c r="X252" s="233">
        <f t="shared" si="7"/>
        <v>1</v>
      </c>
      <c r="Y252" s="223"/>
      <c r="Z252" s="224" t="s">
        <v>663</v>
      </c>
      <c r="AA252" s="157" t="s">
        <v>663</v>
      </c>
      <c r="AB252" s="276" t="s">
        <v>2821</v>
      </c>
      <c r="AC252" s="530" t="s">
        <v>3015</v>
      </c>
      <c r="AD252" s="159"/>
    </row>
    <row r="253" spans="1:30" x14ac:dyDescent="0.2">
      <c r="A253" s="229"/>
      <c r="B253" s="229"/>
      <c r="C253" s="219" t="s">
        <v>1414</v>
      </c>
      <c r="D253" s="220" t="s">
        <v>1415</v>
      </c>
      <c r="E253" s="221">
        <v>0</v>
      </c>
      <c r="F253" s="221">
        <v>0</v>
      </c>
      <c r="G253" s="221">
        <v>0</v>
      </c>
      <c r="H253" s="221">
        <v>0</v>
      </c>
      <c r="I253" s="221">
        <v>0</v>
      </c>
      <c r="J253" s="221">
        <v>0</v>
      </c>
      <c r="K253" s="221">
        <v>0</v>
      </c>
      <c r="L253" s="221">
        <v>0</v>
      </c>
      <c r="M253" s="221"/>
      <c r="N253" s="221">
        <v>1</v>
      </c>
      <c r="O253" s="221">
        <v>0</v>
      </c>
      <c r="P253" s="221">
        <v>0</v>
      </c>
      <c r="Q253" s="221">
        <v>0</v>
      </c>
      <c r="R253" s="221">
        <v>0</v>
      </c>
      <c r="S253" s="221">
        <v>0</v>
      </c>
      <c r="T253" s="221">
        <v>0</v>
      </c>
      <c r="U253" s="221">
        <v>0</v>
      </c>
      <c r="V253" s="221"/>
      <c r="W253" s="221"/>
      <c r="X253" s="222">
        <f t="shared" si="7"/>
        <v>1</v>
      </c>
      <c r="Y253" s="223"/>
      <c r="Z253" s="224" t="s">
        <v>663</v>
      </c>
      <c r="AA253" s="157" t="s">
        <v>663</v>
      </c>
      <c r="AB253" s="229"/>
      <c r="AC253" s="530" t="s">
        <v>3015</v>
      </c>
      <c r="AD253" s="159"/>
    </row>
    <row r="254" spans="1:30" x14ac:dyDescent="0.2">
      <c r="A254" s="229"/>
      <c r="B254" s="229"/>
      <c r="C254" s="219" t="s">
        <v>1416</v>
      </c>
      <c r="D254" s="220" t="s">
        <v>1417</v>
      </c>
      <c r="E254" s="221">
        <v>0</v>
      </c>
      <c r="F254" s="221">
        <v>0</v>
      </c>
      <c r="G254" s="221">
        <v>0</v>
      </c>
      <c r="H254" s="221">
        <v>1</v>
      </c>
      <c r="I254" s="221">
        <v>0</v>
      </c>
      <c r="J254" s="221">
        <v>0</v>
      </c>
      <c r="K254" s="221">
        <v>0</v>
      </c>
      <c r="L254" s="221">
        <v>0</v>
      </c>
      <c r="M254" s="221"/>
      <c r="N254" s="221">
        <v>0</v>
      </c>
      <c r="O254" s="221">
        <v>0</v>
      </c>
      <c r="P254" s="221">
        <v>0</v>
      </c>
      <c r="Q254" s="221">
        <v>0</v>
      </c>
      <c r="R254" s="221">
        <v>0</v>
      </c>
      <c r="S254" s="221">
        <v>0</v>
      </c>
      <c r="T254" s="221">
        <v>0</v>
      </c>
      <c r="U254" s="221">
        <v>0</v>
      </c>
      <c r="V254" s="221"/>
      <c r="W254" s="221"/>
      <c r="X254" s="222">
        <f t="shared" si="7"/>
        <v>1</v>
      </c>
      <c r="Y254" s="223"/>
      <c r="Z254" s="224" t="s">
        <v>663</v>
      </c>
      <c r="AA254" s="157" t="s">
        <v>663</v>
      </c>
      <c r="AB254" s="229"/>
      <c r="AC254" s="530" t="s">
        <v>3015</v>
      </c>
      <c r="AD254" s="159"/>
    </row>
    <row r="255" spans="1:30" x14ac:dyDescent="0.2">
      <c r="A255" s="229"/>
      <c r="B255" s="229"/>
      <c r="C255" s="219" t="s">
        <v>1418</v>
      </c>
      <c r="D255" s="220" t="s">
        <v>1419</v>
      </c>
      <c r="E255" s="221">
        <v>0</v>
      </c>
      <c r="F255" s="221">
        <v>0</v>
      </c>
      <c r="G255" s="221">
        <v>0</v>
      </c>
      <c r="H255" s="221">
        <v>1</v>
      </c>
      <c r="I255" s="221">
        <v>0</v>
      </c>
      <c r="J255" s="221">
        <v>0</v>
      </c>
      <c r="K255" s="221">
        <v>0</v>
      </c>
      <c r="L255" s="221">
        <v>0</v>
      </c>
      <c r="M255" s="221"/>
      <c r="N255" s="221">
        <v>0</v>
      </c>
      <c r="O255" s="221">
        <v>0</v>
      </c>
      <c r="P255" s="221">
        <v>0</v>
      </c>
      <c r="Q255" s="221">
        <v>0</v>
      </c>
      <c r="R255" s="221">
        <v>0</v>
      </c>
      <c r="S255" s="221">
        <v>0</v>
      </c>
      <c r="T255" s="221">
        <v>0</v>
      </c>
      <c r="U255" s="221">
        <v>0</v>
      </c>
      <c r="V255" s="221"/>
      <c r="W255" s="221"/>
      <c r="X255" s="222">
        <f t="shared" si="7"/>
        <v>1</v>
      </c>
      <c r="Y255" s="223"/>
      <c r="Z255" s="224" t="s">
        <v>663</v>
      </c>
      <c r="AA255" s="157" t="s">
        <v>663</v>
      </c>
      <c r="AB255" s="229"/>
      <c r="AC255" s="530" t="s">
        <v>3015</v>
      </c>
      <c r="AD255" s="159"/>
    </row>
    <row r="256" spans="1:30" x14ac:dyDescent="0.2">
      <c r="A256" s="218"/>
      <c r="B256" s="218"/>
      <c r="C256" s="230" t="s">
        <v>1420</v>
      </c>
      <c r="D256" s="231" t="s">
        <v>1421</v>
      </c>
      <c r="E256" s="232">
        <v>0</v>
      </c>
      <c r="F256" s="232">
        <v>0</v>
      </c>
      <c r="G256" s="232">
        <v>0</v>
      </c>
      <c r="H256" s="232">
        <v>0</v>
      </c>
      <c r="I256" s="232">
        <v>0</v>
      </c>
      <c r="J256" s="232">
        <v>0</v>
      </c>
      <c r="K256" s="232">
        <v>0</v>
      </c>
      <c r="L256" s="232">
        <v>0</v>
      </c>
      <c r="M256" s="232"/>
      <c r="N256" s="232">
        <v>0.2</v>
      </c>
      <c r="O256" s="232">
        <v>0</v>
      </c>
      <c r="P256" s="232">
        <v>0</v>
      </c>
      <c r="Q256" s="232">
        <v>0</v>
      </c>
      <c r="R256" s="232">
        <v>0</v>
      </c>
      <c r="S256" s="232">
        <v>0</v>
      </c>
      <c r="T256" s="232">
        <v>0.8</v>
      </c>
      <c r="U256" s="232">
        <v>0</v>
      </c>
      <c r="V256" s="232"/>
      <c r="W256" s="232"/>
      <c r="X256" s="233">
        <f t="shared" si="7"/>
        <v>1</v>
      </c>
      <c r="Y256" s="223"/>
      <c r="Z256" s="224" t="s">
        <v>663</v>
      </c>
      <c r="AA256" s="157" t="s">
        <v>663</v>
      </c>
      <c r="AB256" s="151" t="s">
        <v>2602</v>
      </c>
      <c r="AC256" s="530" t="s">
        <v>3015</v>
      </c>
      <c r="AD256" s="159"/>
    </row>
    <row r="257" spans="1:30" x14ac:dyDescent="0.2">
      <c r="A257" s="218"/>
      <c r="B257" s="218"/>
      <c r="C257" s="260" t="s">
        <v>1422</v>
      </c>
      <c r="D257" s="261" t="s">
        <v>1423</v>
      </c>
      <c r="E257" s="236">
        <v>0</v>
      </c>
      <c r="F257" s="236">
        <v>0</v>
      </c>
      <c r="G257" s="236">
        <v>0</v>
      </c>
      <c r="H257" s="236">
        <v>0</v>
      </c>
      <c r="I257" s="236">
        <v>0</v>
      </c>
      <c r="J257" s="236">
        <v>0</v>
      </c>
      <c r="K257" s="236">
        <v>0</v>
      </c>
      <c r="L257" s="236">
        <v>0</v>
      </c>
      <c r="M257" s="236"/>
      <c r="N257" s="236">
        <v>0</v>
      </c>
      <c r="O257" s="236">
        <v>0</v>
      </c>
      <c r="P257" s="236">
        <v>1</v>
      </c>
      <c r="Q257" s="236">
        <v>0</v>
      </c>
      <c r="R257" s="236">
        <v>0</v>
      </c>
      <c r="S257" s="236">
        <v>0</v>
      </c>
      <c r="T257" s="236">
        <v>0</v>
      </c>
      <c r="U257" s="236">
        <v>0</v>
      </c>
      <c r="V257" s="236"/>
      <c r="W257" s="236"/>
      <c r="X257" s="237">
        <f t="shared" si="7"/>
        <v>1</v>
      </c>
      <c r="Y257" s="223"/>
      <c r="Z257" s="224" t="s">
        <v>663</v>
      </c>
      <c r="AA257" s="157" t="s">
        <v>663</v>
      </c>
      <c r="AB257" s="151" t="s">
        <v>2602</v>
      </c>
      <c r="AC257" s="530" t="s">
        <v>3015</v>
      </c>
      <c r="AD257" s="159"/>
    </row>
    <row r="258" spans="1:30" x14ac:dyDescent="0.2">
      <c r="A258" s="229"/>
      <c r="B258" s="229"/>
      <c r="C258" s="219" t="s">
        <v>1424</v>
      </c>
      <c r="D258" s="220" t="s">
        <v>1425</v>
      </c>
      <c r="E258" s="221">
        <v>0</v>
      </c>
      <c r="F258" s="221">
        <v>0</v>
      </c>
      <c r="G258" s="221">
        <v>0</v>
      </c>
      <c r="H258" s="221">
        <v>0</v>
      </c>
      <c r="I258" s="221">
        <v>0</v>
      </c>
      <c r="J258" s="221">
        <v>0</v>
      </c>
      <c r="K258" s="221">
        <v>0</v>
      </c>
      <c r="L258" s="221">
        <v>0</v>
      </c>
      <c r="M258" s="221"/>
      <c r="N258" s="221">
        <v>0</v>
      </c>
      <c r="O258" s="221">
        <v>0</v>
      </c>
      <c r="P258" s="221">
        <v>1</v>
      </c>
      <c r="Q258" s="221">
        <v>0</v>
      </c>
      <c r="R258" s="221">
        <v>0</v>
      </c>
      <c r="S258" s="221">
        <v>0</v>
      </c>
      <c r="T258" s="221">
        <v>0</v>
      </c>
      <c r="U258" s="221">
        <v>0</v>
      </c>
      <c r="V258" s="221"/>
      <c r="W258" s="221"/>
      <c r="X258" s="222">
        <f t="shared" si="7"/>
        <v>1</v>
      </c>
      <c r="Y258" s="223"/>
      <c r="Z258" s="224" t="s">
        <v>663</v>
      </c>
      <c r="AA258" s="157" t="s">
        <v>663</v>
      </c>
      <c r="AB258" s="229"/>
      <c r="AC258" s="530" t="s">
        <v>3015</v>
      </c>
      <c r="AD258" s="159"/>
    </row>
    <row r="259" spans="1:30" x14ac:dyDescent="0.2">
      <c r="A259" s="229"/>
      <c r="B259" s="229"/>
      <c r="C259" s="219" t="s">
        <v>1426</v>
      </c>
      <c r="D259" s="220" t="s">
        <v>1427</v>
      </c>
      <c r="E259" s="221">
        <v>0</v>
      </c>
      <c r="F259" s="221">
        <v>0</v>
      </c>
      <c r="G259" s="221">
        <v>0</v>
      </c>
      <c r="H259" s="221">
        <v>0</v>
      </c>
      <c r="I259" s="221">
        <v>0</v>
      </c>
      <c r="J259" s="221">
        <v>0</v>
      </c>
      <c r="K259" s="221">
        <v>0</v>
      </c>
      <c r="L259" s="221">
        <v>0</v>
      </c>
      <c r="M259" s="221"/>
      <c r="N259" s="221">
        <v>1</v>
      </c>
      <c r="O259" s="221">
        <v>0</v>
      </c>
      <c r="P259" s="221">
        <v>0</v>
      </c>
      <c r="Q259" s="221">
        <v>0</v>
      </c>
      <c r="R259" s="221">
        <v>0</v>
      </c>
      <c r="S259" s="221">
        <v>0</v>
      </c>
      <c r="T259" s="221">
        <v>0</v>
      </c>
      <c r="U259" s="221">
        <v>0</v>
      </c>
      <c r="V259" s="221"/>
      <c r="W259" s="221"/>
      <c r="X259" s="222">
        <f t="shared" si="7"/>
        <v>1</v>
      </c>
      <c r="Y259" s="223"/>
      <c r="Z259" s="224" t="s">
        <v>663</v>
      </c>
      <c r="AA259" s="157" t="s">
        <v>663</v>
      </c>
      <c r="AB259" s="229"/>
      <c r="AC259" s="530" t="s">
        <v>3015</v>
      </c>
      <c r="AD259" s="159"/>
    </row>
    <row r="260" spans="1:30" x14ac:dyDescent="0.2">
      <c r="A260" s="229"/>
      <c r="B260" s="229"/>
      <c r="C260" s="248" t="s">
        <v>1125</v>
      </c>
      <c r="D260" s="249" t="s">
        <v>1126</v>
      </c>
      <c r="E260" s="221">
        <v>0</v>
      </c>
      <c r="F260" s="221">
        <v>0</v>
      </c>
      <c r="G260" s="221">
        <v>0</v>
      </c>
      <c r="H260" s="221">
        <v>1</v>
      </c>
      <c r="I260" s="221">
        <v>0</v>
      </c>
      <c r="J260" s="221">
        <v>0</v>
      </c>
      <c r="K260" s="221">
        <v>0</v>
      </c>
      <c r="L260" s="221">
        <v>0</v>
      </c>
      <c r="M260" s="221">
        <v>0</v>
      </c>
      <c r="N260" s="221">
        <v>0</v>
      </c>
      <c r="O260" s="221">
        <v>0</v>
      </c>
      <c r="P260" s="221">
        <v>0</v>
      </c>
      <c r="Q260" s="221">
        <v>0</v>
      </c>
      <c r="R260" s="221">
        <v>0</v>
      </c>
      <c r="S260" s="221">
        <v>0</v>
      </c>
      <c r="T260" s="221">
        <v>0</v>
      </c>
      <c r="U260" s="221">
        <v>0</v>
      </c>
      <c r="V260" s="221"/>
      <c r="W260" s="221"/>
      <c r="X260" s="222">
        <f t="shared" si="7"/>
        <v>1</v>
      </c>
      <c r="Y260" s="223"/>
      <c r="Z260" s="224" t="s">
        <v>663</v>
      </c>
      <c r="AA260" s="157" t="s">
        <v>663</v>
      </c>
      <c r="AB260" s="229"/>
      <c r="AC260" s="530" t="s">
        <v>3015</v>
      </c>
      <c r="AD260" s="159"/>
    </row>
    <row r="261" spans="1:30" x14ac:dyDescent="0.2">
      <c r="A261" s="229"/>
      <c r="B261" s="229"/>
      <c r="C261" s="219" t="s">
        <v>1428</v>
      </c>
      <c r="D261" s="220" t="s">
        <v>2827</v>
      </c>
      <c r="E261" s="221">
        <v>0</v>
      </c>
      <c r="F261" s="221">
        <v>0</v>
      </c>
      <c r="G261" s="221">
        <v>0</v>
      </c>
      <c r="H261" s="221">
        <v>1</v>
      </c>
      <c r="I261" s="221">
        <v>0</v>
      </c>
      <c r="J261" s="221">
        <v>0</v>
      </c>
      <c r="K261" s="221">
        <v>0</v>
      </c>
      <c r="L261" s="221">
        <v>0</v>
      </c>
      <c r="M261" s="221"/>
      <c r="N261" s="221">
        <v>0</v>
      </c>
      <c r="O261" s="221">
        <v>0</v>
      </c>
      <c r="P261" s="221">
        <v>0</v>
      </c>
      <c r="Q261" s="221">
        <v>0</v>
      </c>
      <c r="R261" s="221">
        <v>0</v>
      </c>
      <c r="S261" s="221">
        <v>0</v>
      </c>
      <c r="T261" s="221">
        <v>0</v>
      </c>
      <c r="U261" s="221">
        <v>0</v>
      </c>
      <c r="V261" s="221"/>
      <c r="W261" s="221"/>
      <c r="X261" s="222">
        <f t="shared" si="7"/>
        <v>1</v>
      </c>
      <c r="Y261" s="223"/>
      <c r="Z261" s="224" t="s">
        <v>663</v>
      </c>
      <c r="AA261" s="157" t="s">
        <v>663</v>
      </c>
      <c r="AB261" s="229"/>
      <c r="AC261" s="530" t="s">
        <v>3015</v>
      </c>
      <c r="AD261" s="159"/>
    </row>
    <row r="262" spans="1:30" x14ac:dyDescent="0.2">
      <c r="A262" s="229"/>
      <c r="B262" s="229"/>
      <c r="C262" s="219" t="s">
        <v>1429</v>
      </c>
      <c r="D262" s="220" t="s">
        <v>1430</v>
      </c>
      <c r="E262" s="221">
        <v>0</v>
      </c>
      <c r="F262" s="221">
        <v>0</v>
      </c>
      <c r="G262" s="221">
        <v>0</v>
      </c>
      <c r="H262" s="221">
        <v>1</v>
      </c>
      <c r="I262" s="221">
        <v>0</v>
      </c>
      <c r="J262" s="221">
        <v>0</v>
      </c>
      <c r="K262" s="221">
        <v>0</v>
      </c>
      <c r="L262" s="221">
        <v>0</v>
      </c>
      <c r="M262" s="221"/>
      <c r="N262" s="221">
        <v>0</v>
      </c>
      <c r="O262" s="221">
        <v>0</v>
      </c>
      <c r="P262" s="221">
        <v>0</v>
      </c>
      <c r="Q262" s="221">
        <v>0</v>
      </c>
      <c r="R262" s="221">
        <v>0</v>
      </c>
      <c r="S262" s="221">
        <v>0</v>
      </c>
      <c r="T262" s="221">
        <v>0</v>
      </c>
      <c r="U262" s="221">
        <v>0</v>
      </c>
      <c r="V262" s="221"/>
      <c r="W262" s="221"/>
      <c r="X262" s="222">
        <f t="shared" si="7"/>
        <v>1</v>
      </c>
      <c r="Y262" s="223"/>
      <c r="Z262" s="224" t="s">
        <v>663</v>
      </c>
      <c r="AA262" s="157" t="s">
        <v>663</v>
      </c>
      <c r="AB262" s="229"/>
      <c r="AC262" s="530" t="s">
        <v>3015</v>
      </c>
      <c r="AD262" s="159"/>
    </row>
    <row r="263" spans="1:30" x14ac:dyDescent="0.2">
      <c r="A263" s="229"/>
      <c r="B263" s="229"/>
      <c r="C263" s="219" t="s">
        <v>1431</v>
      </c>
      <c r="D263" s="220" t="s">
        <v>1432</v>
      </c>
      <c r="E263" s="221">
        <v>0</v>
      </c>
      <c r="F263" s="221">
        <v>0</v>
      </c>
      <c r="G263" s="221">
        <v>0</v>
      </c>
      <c r="H263" s="221">
        <v>1</v>
      </c>
      <c r="I263" s="221">
        <v>0</v>
      </c>
      <c r="J263" s="221">
        <v>0</v>
      </c>
      <c r="K263" s="221">
        <v>0</v>
      </c>
      <c r="L263" s="221">
        <v>0</v>
      </c>
      <c r="M263" s="221"/>
      <c r="N263" s="221">
        <v>0</v>
      </c>
      <c r="O263" s="221">
        <v>0</v>
      </c>
      <c r="P263" s="221">
        <v>0</v>
      </c>
      <c r="Q263" s="221">
        <v>0</v>
      </c>
      <c r="R263" s="221">
        <v>0</v>
      </c>
      <c r="S263" s="221">
        <v>0</v>
      </c>
      <c r="T263" s="221">
        <v>0</v>
      </c>
      <c r="U263" s="221">
        <v>0</v>
      </c>
      <c r="V263" s="221"/>
      <c r="W263" s="221"/>
      <c r="X263" s="222">
        <f t="shared" si="7"/>
        <v>1</v>
      </c>
      <c r="Y263" s="223"/>
      <c r="Z263" s="224" t="s">
        <v>663</v>
      </c>
      <c r="AA263" s="157" t="s">
        <v>663</v>
      </c>
      <c r="AB263" s="229"/>
      <c r="AC263" s="530" t="s">
        <v>3015</v>
      </c>
      <c r="AD263" s="159"/>
    </row>
    <row r="264" spans="1:30" x14ac:dyDescent="0.2">
      <c r="A264" s="229"/>
      <c r="B264" s="229"/>
      <c r="C264" s="219" t="s">
        <v>1433</v>
      </c>
      <c r="D264" s="220" t="s">
        <v>1434</v>
      </c>
      <c r="E264" s="221">
        <v>1</v>
      </c>
      <c r="F264" s="221">
        <v>0</v>
      </c>
      <c r="G264" s="221">
        <v>0</v>
      </c>
      <c r="H264" s="221">
        <v>0</v>
      </c>
      <c r="I264" s="221">
        <v>0</v>
      </c>
      <c r="J264" s="221">
        <v>0</v>
      </c>
      <c r="K264" s="221">
        <v>0</v>
      </c>
      <c r="L264" s="221">
        <v>0</v>
      </c>
      <c r="M264" s="221"/>
      <c r="N264" s="221">
        <v>0</v>
      </c>
      <c r="O264" s="221">
        <v>0</v>
      </c>
      <c r="P264" s="221">
        <v>0</v>
      </c>
      <c r="Q264" s="221">
        <v>0</v>
      </c>
      <c r="R264" s="221">
        <v>0</v>
      </c>
      <c r="S264" s="221">
        <v>0</v>
      </c>
      <c r="T264" s="221">
        <v>0</v>
      </c>
      <c r="U264" s="221">
        <v>0</v>
      </c>
      <c r="V264" s="221"/>
      <c r="W264" s="221"/>
      <c r="X264" s="222">
        <f t="shared" si="7"/>
        <v>1</v>
      </c>
      <c r="Y264" s="223"/>
      <c r="Z264" s="224" t="s">
        <v>663</v>
      </c>
      <c r="AA264" s="157" t="s">
        <v>663</v>
      </c>
      <c r="AB264" s="229"/>
      <c r="AC264" s="530" t="s">
        <v>3015</v>
      </c>
      <c r="AD264" s="159"/>
    </row>
    <row r="265" spans="1:30" x14ac:dyDescent="0.2">
      <c r="A265" s="229"/>
      <c r="B265" s="229"/>
      <c r="C265" s="219" t="s">
        <v>1437</v>
      </c>
      <c r="D265" s="220" t="s">
        <v>1438</v>
      </c>
      <c r="E265" s="221">
        <v>0</v>
      </c>
      <c r="F265" s="221">
        <v>0</v>
      </c>
      <c r="G265" s="221">
        <v>0</v>
      </c>
      <c r="H265" s="221">
        <v>1</v>
      </c>
      <c r="I265" s="221">
        <v>0</v>
      </c>
      <c r="J265" s="221">
        <v>0</v>
      </c>
      <c r="K265" s="221">
        <v>0</v>
      </c>
      <c r="L265" s="221">
        <v>0</v>
      </c>
      <c r="M265" s="221"/>
      <c r="N265" s="221">
        <v>0</v>
      </c>
      <c r="O265" s="221">
        <v>0</v>
      </c>
      <c r="P265" s="221">
        <v>0</v>
      </c>
      <c r="Q265" s="221">
        <v>0</v>
      </c>
      <c r="R265" s="221">
        <v>0</v>
      </c>
      <c r="S265" s="221">
        <v>0</v>
      </c>
      <c r="T265" s="221">
        <v>0</v>
      </c>
      <c r="U265" s="221">
        <v>0</v>
      </c>
      <c r="V265" s="221"/>
      <c r="W265" s="221"/>
      <c r="X265" s="222">
        <f t="shared" si="7"/>
        <v>1</v>
      </c>
      <c r="Y265" s="223"/>
      <c r="Z265" s="224" t="s">
        <v>663</v>
      </c>
      <c r="AA265" s="157" t="s">
        <v>663</v>
      </c>
      <c r="AB265" s="229"/>
      <c r="AC265" s="530" t="s">
        <v>3015</v>
      </c>
      <c r="AD265" s="159"/>
    </row>
    <row r="266" spans="1:30" x14ac:dyDescent="0.2">
      <c r="A266" s="229"/>
      <c r="B266" s="229"/>
      <c r="C266" s="219" t="s">
        <v>1439</v>
      </c>
      <c r="D266" s="220" t="s">
        <v>1440</v>
      </c>
      <c r="E266" s="221">
        <v>0</v>
      </c>
      <c r="F266" s="221">
        <v>0</v>
      </c>
      <c r="G266" s="221">
        <v>0</v>
      </c>
      <c r="H266" s="221">
        <v>0.16</v>
      </c>
      <c r="I266" s="221">
        <v>0</v>
      </c>
      <c r="J266" s="221">
        <v>0</v>
      </c>
      <c r="K266" s="221">
        <v>0</v>
      </c>
      <c r="L266" s="221">
        <v>0</v>
      </c>
      <c r="M266" s="221"/>
      <c r="N266" s="221">
        <v>0</v>
      </c>
      <c r="O266" s="221">
        <v>0</v>
      </c>
      <c r="P266" s="221">
        <v>0</v>
      </c>
      <c r="Q266" s="221">
        <v>0</v>
      </c>
      <c r="R266" s="221">
        <v>0</v>
      </c>
      <c r="S266" s="221">
        <v>0.84</v>
      </c>
      <c r="T266" s="221">
        <v>0</v>
      </c>
      <c r="U266" s="221">
        <v>0</v>
      </c>
      <c r="V266" s="221"/>
      <c r="W266" s="221"/>
      <c r="X266" s="222">
        <f t="shared" si="7"/>
        <v>1</v>
      </c>
      <c r="Y266" s="223"/>
      <c r="Z266" s="224" t="s">
        <v>663</v>
      </c>
      <c r="AA266" s="157" t="s">
        <v>663</v>
      </c>
      <c r="AB266" s="229"/>
      <c r="AC266" s="530" t="s">
        <v>3015</v>
      </c>
      <c r="AD266" s="159"/>
    </row>
    <row r="267" spans="1:30" x14ac:dyDescent="0.2">
      <c r="A267" s="229"/>
      <c r="B267" s="229"/>
      <c r="C267" s="219" t="s">
        <v>1441</v>
      </c>
      <c r="D267" s="220" t="s">
        <v>1442</v>
      </c>
      <c r="E267" s="221">
        <v>0</v>
      </c>
      <c r="F267" s="221">
        <v>0</v>
      </c>
      <c r="G267" s="221">
        <v>0</v>
      </c>
      <c r="H267" s="221">
        <v>0</v>
      </c>
      <c r="I267" s="221">
        <v>0</v>
      </c>
      <c r="J267" s="221">
        <v>0</v>
      </c>
      <c r="K267" s="221">
        <v>0</v>
      </c>
      <c r="L267" s="221">
        <v>0</v>
      </c>
      <c r="M267" s="221"/>
      <c r="N267" s="221">
        <v>1</v>
      </c>
      <c r="O267" s="221">
        <v>0</v>
      </c>
      <c r="P267" s="221">
        <v>0</v>
      </c>
      <c r="Q267" s="221">
        <v>0</v>
      </c>
      <c r="R267" s="221">
        <v>0</v>
      </c>
      <c r="S267" s="221">
        <v>0</v>
      </c>
      <c r="T267" s="221">
        <v>0</v>
      </c>
      <c r="U267" s="221">
        <v>0</v>
      </c>
      <c r="V267" s="221"/>
      <c r="W267" s="221"/>
      <c r="X267" s="222">
        <f t="shared" si="7"/>
        <v>1</v>
      </c>
      <c r="Y267" s="223"/>
      <c r="Z267" s="224" t="s">
        <v>663</v>
      </c>
      <c r="AA267" s="157" t="s">
        <v>663</v>
      </c>
      <c r="AB267" s="229"/>
      <c r="AC267" s="530" t="s">
        <v>3015</v>
      </c>
      <c r="AD267" s="159"/>
    </row>
    <row r="268" spans="1:30" x14ac:dyDescent="0.2">
      <c r="A268" s="229"/>
      <c r="B268" s="229"/>
      <c r="C268" s="219" t="s">
        <v>1443</v>
      </c>
      <c r="D268" s="220" t="s">
        <v>1444</v>
      </c>
      <c r="E268" s="221">
        <v>0</v>
      </c>
      <c r="F268" s="221">
        <v>0</v>
      </c>
      <c r="G268" s="221">
        <v>3.6086956521739127E-2</v>
      </c>
      <c r="H268" s="221">
        <v>0</v>
      </c>
      <c r="I268" s="221">
        <v>0</v>
      </c>
      <c r="J268" s="221">
        <v>0</v>
      </c>
      <c r="K268" s="221">
        <v>0</v>
      </c>
      <c r="L268" s="221">
        <v>0</v>
      </c>
      <c r="M268" s="221"/>
      <c r="N268" s="221">
        <v>0.58173913043478265</v>
      </c>
      <c r="O268" s="221">
        <v>1.4347826086956523E-2</v>
      </c>
      <c r="P268" s="221">
        <v>6.6956521739130442E-2</v>
      </c>
      <c r="Q268" s="221">
        <v>7.3913043478260878E-3</v>
      </c>
      <c r="R268" s="221">
        <v>0</v>
      </c>
      <c r="S268" s="221">
        <v>0.14869565217391303</v>
      </c>
      <c r="T268" s="221">
        <v>0.14478260869565218</v>
      </c>
      <c r="U268" s="221">
        <v>0</v>
      </c>
      <c r="V268" s="221"/>
      <c r="W268" s="221"/>
      <c r="X268" s="222">
        <f t="shared" si="7"/>
        <v>1</v>
      </c>
      <c r="Y268" s="223"/>
      <c r="Z268" s="224" t="s">
        <v>663</v>
      </c>
      <c r="AA268" s="157" t="s">
        <v>663</v>
      </c>
      <c r="AB268" s="229"/>
      <c r="AC268" s="530" t="s">
        <v>3015</v>
      </c>
      <c r="AD268" s="159"/>
    </row>
    <row r="269" spans="1:30" x14ac:dyDescent="0.2">
      <c r="A269" s="229"/>
      <c r="B269" s="229"/>
      <c r="C269" s="219" t="s">
        <v>1445</v>
      </c>
      <c r="D269" s="220" t="s">
        <v>1446</v>
      </c>
      <c r="E269" s="221">
        <v>0</v>
      </c>
      <c r="F269" s="221">
        <v>0</v>
      </c>
      <c r="G269" s="221">
        <v>0</v>
      </c>
      <c r="H269" s="221">
        <v>0</v>
      </c>
      <c r="I269" s="221">
        <v>0</v>
      </c>
      <c r="J269" s="221">
        <v>0</v>
      </c>
      <c r="K269" s="221">
        <v>0</v>
      </c>
      <c r="L269" s="221">
        <v>0</v>
      </c>
      <c r="M269" s="221"/>
      <c r="N269" s="221">
        <v>0.6875</v>
      </c>
      <c r="O269" s="221">
        <v>0</v>
      </c>
      <c r="P269" s="221">
        <v>0</v>
      </c>
      <c r="Q269" s="221">
        <v>0</v>
      </c>
      <c r="R269" s="221">
        <v>0</v>
      </c>
      <c r="S269" s="221">
        <v>0.3125</v>
      </c>
      <c r="T269" s="221">
        <v>0</v>
      </c>
      <c r="U269" s="221">
        <v>0</v>
      </c>
      <c r="V269" s="221"/>
      <c r="W269" s="221"/>
      <c r="X269" s="222">
        <f t="shared" si="7"/>
        <v>1</v>
      </c>
      <c r="Y269" s="223"/>
      <c r="Z269" s="224" t="s">
        <v>663</v>
      </c>
      <c r="AA269" s="157" t="s">
        <v>663</v>
      </c>
      <c r="AB269" s="229"/>
      <c r="AC269" s="530" t="s">
        <v>3015</v>
      </c>
      <c r="AD269" s="159"/>
    </row>
    <row r="270" spans="1:30" x14ac:dyDescent="0.2">
      <c r="A270" s="218"/>
      <c r="B270" s="218"/>
      <c r="C270" s="250" t="s">
        <v>1447</v>
      </c>
      <c r="D270" s="251" t="s">
        <v>1448</v>
      </c>
      <c r="E270" s="252">
        <v>0</v>
      </c>
      <c r="F270" s="252">
        <v>0</v>
      </c>
      <c r="G270" s="252">
        <v>1</v>
      </c>
      <c r="H270" s="252">
        <v>0</v>
      </c>
      <c r="I270" s="252">
        <v>0</v>
      </c>
      <c r="J270" s="252">
        <v>0</v>
      </c>
      <c r="K270" s="252">
        <v>0</v>
      </c>
      <c r="L270" s="252">
        <v>0</v>
      </c>
      <c r="M270" s="252"/>
      <c r="N270" s="252">
        <v>0</v>
      </c>
      <c r="O270" s="252">
        <v>0</v>
      </c>
      <c r="P270" s="252">
        <v>0</v>
      </c>
      <c r="Q270" s="252">
        <v>0</v>
      </c>
      <c r="R270" s="252">
        <v>0</v>
      </c>
      <c r="S270" s="252">
        <v>0</v>
      </c>
      <c r="T270" s="252">
        <v>0</v>
      </c>
      <c r="U270" s="252">
        <v>0</v>
      </c>
      <c r="V270" s="252"/>
      <c r="W270" s="252"/>
      <c r="X270" s="253">
        <f t="shared" si="7"/>
        <v>1</v>
      </c>
      <c r="Y270" s="223"/>
      <c r="Z270" s="224" t="s">
        <v>663</v>
      </c>
      <c r="AA270" s="157" t="s">
        <v>663</v>
      </c>
      <c r="AB270" s="151" t="s">
        <v>2602</v>
      </c>
      <c r="AC270" s="530" t="s">
        <v>3015</v>
      </c>
      <c r="AD270" s="159"/>
    </row>
    <row r="271" spans="1:30" x14ac:dyDescent="0.2">
      <c r="A271" s="229"/>
      <c r="B271" s="229"/>
      <c r="C271" s="219" t="s">
        <v>1449</v>
      </c>
      <c r="D271" s="220" t="s">
        <v>1450</v>
      </c>
      <c r="E271" s="221">
        <v>0</v>
      </c>
      <c r="F271" s="221">
        <v>0</v>
      </c>
      <c r="G271" s="221">
        <v>0</v>
      </c>
      <c r="H271" s="221">
        <v>0</v>
      </c>
      <c r="I271" s="221">
        <v>0</v>
      </c>
      <c r="J271" s="221">
        <v>1</v>
      </c>
      <c r="K271" s="221">
        <v>0</v>
      </c>
      <c r="L271" s="221">
        <v>0</v>
      </c>
      <c r="M271" s="221"/>
      <c r="N271" s="221">
        <v>0</v>
      </c>
      <c r="O271" s="221">
        <v>0</v>
      </c>
      <c r="P271" s="221">
        <v>0</v>
      </c>
      <c r="Q271" s="221">
        <v>0</v>
      </c>
      <c r="R271" s="221">
        <v>0</v>
      </c>
      <c r="S271" s="221">
        <v>0</v>
      </c>
      <c r="T271" s="221">
        <v>0</v>
      </c>
      <c r="U271" s="221">
        <v>0</v>
      </c>
      <c r="V271" s="221"/>
      <c r="W271" s="221"/>
      <c r="X271" s="222">
        <f t="shared" si="7"/>
        <v>1</v>
      </c>
      <c r="Y271" s="223"/>
      <c r="Z271" s="224" t="s">
        <v>663</v>
      </c>
      <c r="AA271" s="157" t="s">
        <v>663</v>
      </c>
      <c r="AB271" s="229"/>
      <c r="AC271" s="530" t="s">
        <v>3015</v>
      </c>
      <c r="AD271" s="159"/>
    </row>
    <row r="272" spans="1:30" x14ac:dyDescent="0.2">
      <c r="A272" s="229"/>
      <c r="B272" s="229"/>
      <c r="C272" s="219" t="s">
        <v>1451</v>
      </c>
      <c r="D272" s="220" t="s">
        <v>1452</v>
      </c>
      <c r="E272" s="221">
        <v>0</v>
      </c>
      <c r="F272" s="221">
        <v>0</v>
      </c>
      <c r="G272" s="221">
        <v>0</v>
      </c>
      <c r="H272" s="221">
        <v>0</v>
      </c>
      <c r="I272" s="221">
        <v>0</v>
      </c>
      <c r="J272" s="221">
        <v>1</v>
      </c>
      <c r="K272" s="221">
        <v>0</v>
      </c>
      <c r="L272" s="221">
        <v>0</v>
      </c>
      <c r="M272" s="221"/>
      <c r="N272" s="221">
        <v>0</v>
      </c>
      <c r="O272" s="221">
        <v>0</v>
      </c>
      <c r="P272" s="221">
        <v>0</v>
      </c>
      <c r="Q272" s="221">
        <v>0</v>
      </c>
      <c r="R272" s="221">
        <v>0</v>
      </c>
      <c r="S272" s="221">
        <v>0</v>
      </c>
      <c r="T272" s="221">
        <v>0</v>
      </c>
      <c r="U272" s="221">
        <v>0</v>
      </c>
      <c r="V272" s="221"/>
      <c r="W272" s="221"/>
      <c r="X272" s="222">
        <f t="shared" si="7"/>
        <v>1</v>
      </c>
      <c r="Y272" s="223"/>
      <c r="Z272" s="224" t="s">
        <v>663</v>
      </c>
      <c r="AA272" s="157" t="s">
        <v>663</v>
      </c>
      <c r="AB272" s="229"/>
      <c r="AC272" s="530" t="s">
        <v>3015</v>
      </c>
      <c r="AD272" s="159"/>
    </row>
    <row r="273" spans="1:30" x14ac:dyDescent="0.2">
      <c r="A273" s="229"/>
      <c r="B273" s="229"/>
      <c r="C273" s="219" t="s">
        <v>1453</v>
      </c>
      <c r="D273" s="220" t="s">
        <v>1454</v>
      </c>
      <c r="E273" s="221">
        <v>0</v>
      </c>
      <c r="F273" s="221">
        <v>0</v>
      </c>
      <c r="G273" s="221">
        <v>0</v>
      </c>
      <c r="H273" s="221">
        <v>0</v>
      </c>
      <c r="I273" s="221">
        <v>0.58823529411764708</v>
      </c>
      <c r="J273" s="221">
        <v>0.41176470588235298</v>
      </c>
      <c r="K273" s="221">
        <v>0</v>
      </c>
      <c r="L273" s="221">
        <v>0</v>
      </c>
      <c r="M273" s="221"/>
      <c r="N273" s="221">
        <v>0</v>
      </c>
      <c r="O273" s="221">
        <v>0</v>
      </c>
      <c r="P273" s="221">
        <v>0</v>
      </c>
      <c r="Q273" s="221">
        <v>0</v>
      </c>
      <c r="R273" s="221">
        <v>0</v>
      </c>
      <c r="S273" s="221">
        <v>0</v>
      </c>
      <c r="T273" s="221">
        <v>0</v>
      </c>
      <c r="U273" s="221">
        <v>0</v>
      </c>
      <c r="V273" s="221"/>
      <c r="W273" s="221"/>
      <c r="X273" s="222">
        <f t="shared" si="7"/>
        <v>1</v>
      </c>
      <c r="Y273" s="223"/>
      <c r="Z273" s="224" t="s">
        <v>663</v>
      </c>
      <c r="AA273" s="157" t="s">
        <v>663</v>
      </c>
      <c r="AB273" s="229"/>
      <c r="AC273" s="530" t="s">
        <v>3015</v>
      </c>
      <c r="AD273" s="159"/>
    </row>
    <row r="274" spans="1:30" x14ac:dyDescent="0.2">
      <c r="A274" s="229"/>
      <c r="B274" s="229"/>
      <c r="C274" s="238" t="s">
        <v>2207</v>
      </c>
      <c r="D274" s="239" t="s">
        <v>2208</v>
      </c>
      <c r="E274" s="221">
        <v>0</v>
      </c>
      <c r="F274" s="221">
        <v>0</v>
      </c>
      <c r="G274" s="221">
        <v>0</v>
      </c>
      <c r="H274" s="221">
        <v>0</v>
      </c>
      <c r="I274" s="221">
        <v>0</v>
      </c>
      <c r="J274" s="221">
        <v>0</v>
      </c>
      <c r="K274" s="221">
        <v>0</v>
      </c>
      <c r="L274" s="221">
        <v>1</v>
      </c>
      <c r="M274" s="221">
        <v>0</v>
      </c>
      <c r="N274" s="221">
        <v>0</v>
      </c>
      <c r="O274" s="221">
        <v>0</v>
      </c>
      <c r="P274" s="221">
        <v>0</v>
      </c>
      <c r="Q274" s="221">
        <v>0</v>
      </c>
      <c r="R274" s="221">
        <v>0</v>
      </c>
      <c r="S274" s="221">
        <v>0</v>
      </c>
      <c r="T274" s="221">
        <v>0</v>
      </c>
      <c r="U274" s="221">
        <v>0</v>
      </c>
      <c r="V274" s="221">
        <v>0</v>
      </c>
      <c r="W274" s="221">
        <v>0</v>
      </c>
      <c r="X274" s="222">
        <f t="shared" si="7"/>
        <v>1</v>
      </c>
      <c r="Y274" s="223"/>
      <c r="Z274" s="224" t="s">
        <v>663</v>
      </c>
      <c r="AA274" s="157" t="s">
        <v>663</v>
      </c>
      <c r="AB274" s="229"/>
      <c r="AC274" s="530" t="s">
        <v>3015</v>
      </c>
      <c r="AD274" s="159"/>
    </row>
    <row r="275" spans="1:30" x14ac:dyDescent="0.2">
      <c r="A275" s="229"/>
      <c r="B275" s="229"/>
      <c r="C275" s="219" t="s">
        <v>1455</v>
      </c>
      <c r="D275" s="220" t="s">
        <v>1456</v>
      </c>
      <c r="E275" s="221">
        <v>0</v>
      </c>
      <c r="F275" s="221">
        <v>0</v>
      </c>
      <c r="G275" s="221">
        <v>1</v>
      </c>
      <c r="H275" s="221">
        <v>0</v>
      </c>
      <c r="I275" s="221">
        <v>0</v>
      </c>
      <c r="J275" s="221">
        <v>0</v>
      </c>
      <c r="K275" s="221">
        <v>0</v>
      </c>
      <c r="L275" s="221">
        <v>0</v>
      </c>
      <c r="M275" s="221"/>
      <c r="N275" s="221">
        <v>0</v>
      </c>
      <c r="O275" s="221">
        <v>0</v>
      </c>
      <c r="P275" s="221">
        <v>0</v>
      </c>
      <c r="Q275" s="221">
        <v>0</v>
      </c>
      <c r="R275" s="221">
        <v>0</v>
      </c>
      <c r="S275" s="221">
        <v>0</v>
      </c>
      <c r="T275" s="221">
        <v>0</v>
      </c>
      <c r="U275" s="221">
        <v>0</v>
      </c>
      <c r="V275" s="221"/>
      <c r="W275" s="221"/>
      <c r="X275" s="222">
        <f t="shared" si="7"/>
        <v>1</v>
      </c>
      <c r="Y275" s="223"/>
      <c r="Z275" s="224" t="s">
        <v>663</v>
      </c>
      <c r="AA275" s="157" t="s">
        <v>663</v>
      </c>
      <c r="AB275" s="229"/>
      <c r="AC275" s="530" t="s">
        <v>3015</v>
      </c>
      <c r="AD275" s="159"/>
    </row>
    <row r="276" spans="1:30" x14ac:dyDescent="0.2">
      <c r="A276" s="229"/>
      <c r="B276" s="229"/>
      <c r="C276" s="219" t="s">
        <v>1457</v>
      </c>
      <c r="D276" s="220" t="s">
        <v>1458</v>
      </c>
      <c r="E276" s="221">
        <v>0</v>
      </c>
      <c r="F276" s="221">
        <v>0</v>
      </c>
      <c r="G276" s="221">
        <v>1</v>
      </c>
      <c r="H276" s="221">
        <v>0</v>
      </c>
      <c r="I276" s="221">
        <v>0</v>
      </c>
      <c r="J276" s="221">
        <v>0</v>
      </c>
      <c r="K276" s="221">
        <v>0</v>
      </c>
      <c r="L276" s="221">
        <v>0</v>
      </c>
      <c r="M276" s="221"/>
      <c r="N276" s="221">
        <v>0</v>
      </c>
      <c r="O276" s="221">
        <v>0</v>
      </c>
      <c r="P276" s="221">
        <v>0</v>
      </c>
      <c r="Q276" s="221">
        <v>0</v>
      </c>
      <c r="R276" s="221">
        <v>0</v>
      </c>
      <c r="S276" s="221">
        <v>0</v>
      </c>
      <c r="T276" s="221">
        <v>0</v>
      </c>
      <c r="U276" s="221">
        <v>0</v>
      </c>
      <c r="V276" s="221"/>
      <c r="W276" s="221"/>
      <c r="X276" s="222">
        <f t="shared" si="7"/>
        <v>1</v>
      </c>
      <c r="Y276" s="223"/>
      <c r="Z276" s="224" t="s">
        <v>663</v>
      </c>
      <c r="AA276" s="157" t="s">
        <v>663</v>
      </c>
      <c r="AB276" s="229"/>
      <c r="AC276" s="530" t="s">
        <v>3015</v>
      </c>
      <c r="AD276" s="159"/>
    </row>
    <row r="277" spans="1:30" x14ac:dyDescent="0.2">
      <c r="A277" s="218"/>
      <c r="B277" s="218"/>
      <c r="C277" s="230" t="s">
        <v>1459</v>
      </c>
      <c r="D277" s="231" t="s">
        <v>1460</v>
      </c>
      <c r="E277" s="232">
        <v>0</v>
      </c>
      <c r="F277" s="232">
        <v>0</v>
      </c>
      <c r="G277" s="232">
        <v>0</v>
      </c>
      <c r="H277" s="232">
        <v>0</v>
      </c>
      <c r="I277" s="232">
        <v>0</v>
      </c>
      <c r="J277" s="232">
        <v>0</v>
      </c>
      <c r="K277" s="232">
        <v>1</v>
      </c>
      <c r="L277" s="232">
        <v>0</v>
      </c>
      <c r="M277" s="232"/>
      <c r="N277" s="232">
        <v>0</v>
      </c>
      <c r="O277" s="232">
        <v>0</v>
      </c>
      <c r="P277" s="232">
        <v>0</v>
      </c>
      <c r="Q277" s="232">
        <v>0</v>
      </c>
      <c r="R277" s="232">
        <v>0</v>
      </c>
      <c r="S277" s="232">
        <v>0</v>
      </c>
      <c r="T277" s="232">
        <v>0</v>
      </c>
      <c r="U277" s="232">
        <v>0</v>
      </c>
      <c r="V277" s="232"/>
      <c r="W277" s="232"/>
      <c r="X277" s="233">
        <f t="shared" si="7"/>
        <v>1</v>
      </c>
      <c r="Y277" s="223"/>
      <c r="Z277" s="224" t="s">
        <v>663</v>
      </c>
      <c r="AA277" s="157" t="s">
        <v>663</v>
      </c>
      <c r="AB277" s="151" t="s">
        <v>2602</v>
      </c>
      <c r="AC277" s="530" t="s">
        <v>3015</v>
      </c>
      <c r="AD277" s="159"/>
    </row>
    <row r="278" spans="1:30" x14ac:dyDescent="0.2">
      <c r="A278" s="218"/>
      <c r="B278" s="218"/>
      <c r="C278" s="219" t="s">
        <v>1461</v>
      </c>
      <c r="D278" s="220" t="s">
        <v>1462</v>
      </c>
      <c r="E278" s="221">
        <v>1</v>
      </c>
      <c r="F278" s="221">
        <v>0</v>
      </c>
      <c r="G278" s="221">
        <v>0</v>
      </c>
      <c r="H278" s="221">
        <v>0</v>
      </c>
      <c r="I278" s="221">
        <v>0</v>
      </c>
      <c r="J278" s="221">
        <v>0</v>
      </c>
      <c r="K278" s="221">
        <v>0</v>
      </c>
      <c r="L278" s="221">
        <v>0</v>
      </c>
      <c r="M278" s="221"/>
      <c r="N278" s="221">
        <v>0</v>
      </c>
      <c r="O278" s="221">
        <v>0</v>
      </c>
      <c r="P278" s="221">
        <v>0</v>
      </c>
      <c r="Q278" s="221">
        <v>0</v>
      </c>
      <c r="R278" s="221">
        <v>0</v>
      </c>
      <c r="S278" s="221">
        <v>0</v>
      </c>
      <c r="T278" s="221">
        <v>0</v>
      </c>
      <c r="U278" s="221">
        <v>0</v>
      </c>
      <c r="V278" s="221"/>
      <c r="W278" s="221"/>
      <c r="X278" s="222">
        <f t="shared" si="7"/>
        <v>1</v>
      </c>
      <c r="Y278" s="223"/>
      <c r="Z278" s="224" t="s">
        <v>663</v>
      </c>
      <c r="AA278" s="157" t="s">
        <v>663</v>
      </c>
      <c r="AB278" s="151" t="s">
        <v>2602</v>
      </c>
      <c r="AC278" s="530" t="s">
        <v>3015</v>
      </c>
      <c r="AD278" s="159"/>
    </row>
    <row r="279" spans="1:30" x14ac:dyDescent="0.2">
      <c r="A279" s="218"/>
      <c r="B279" s="218"/>
      <c r="C279" s="219" t="s">
        <v>1463</v>
      </c>
      <c r="D279" s="220" t="s">
        <v>1464</v>
      </c>
      <c r="E279" s="221">
        <v>0</v>
      </c>
      <c r="F279" s="221">
        <v>0</v>
      </c>
      <c r="G279" s="221">
        <v>0</v>
      </c>
      <c r="H279" s="221">
        <v>1</v>
      </c>
      <c r="I279" s="221">
        <v>0</v>
      </c>
      <c r="J279" s="221">
        <v>0</v>
      </c>
      <c r="K279" s="221">
        <v>0</v>
      </c>
      <c r="L279" s="221">
        <v>0</v>
      </c>
      <c r="M279" s="221"/>
      <c r="N279" s="221">
        <v>0</v>
      </c>
      <c r="O279" s="221">
        <v>0</v>
      </c>
      <c r="P279" s="221">
        <v>0</v>
      </c>
      <c r="Q279" s="221">
        <v>0</v>
      </c>
      <c r="R279" s="221">
        <v>0</v>
      </c>
      <c r="S279" s="221">
        <v>0</v>
      </c>
      <c r="T279" s="221">
        <v>0</v>
      </c>
      <c r="U279" s="221">
        <v>0</v>
      </c>
      <c r="V279" s="221"/>
      <c r="W279" s="221"/>
      <c r="X279" s="222">
        <f t="shared" ref="X279:X310" si="8">SUM(E279:W279)</f>
        <v>1</v>
      </c>
      <c r="Y279" s="223"/>
      <c r="Z279" s="224" t="s">
        <v>663</v>
      </c>
      <c r="AA279" s="157" t="s">
        <v>663</v>
      </c>
      <c r="AB279" s="151" t="s">
        <v>2602</v>
      </c>
      <c r="AC279" s="530" t="s">
        <v>3015</v>
      </c>
      <c r="AD279" s="159"/>
    </row>
    <row r="280" spans="1:30" x14ac:dyDescent="0.2">
      <c r="A280" s="218"/>
      <c r="B280" s="218"/>
      <c r="C280" s="260" t="s">
        <v>1465</v>
      </c>
      <c r="D280" s="261" t="s">
        <v>1466</v>
      </c>
      <c r="E280" s="236">
        <v>1</v>
      </c>
      <c r="F280" s="236">
        <v>0</v>
      </c>
      <c r="G280" s="236">
        <v>0</v>
      </c>
      <c r="H280" s="236">
        <v>0</v>
      </c>
      <c r="I280" s="236">
        <v>0</v>
      </c>
      <c r="J280" s="236">
        <v>0</v>
      </c>
      <c r="K280" s="236">
        <v>0</v>
      </c>
      <c r="L280" s="236">
        <v>0</v>
      </c>
      <c r="M280" s="236"/>
      <c r="N280" s="236">
        <v>0</v>
      </c>
      <c r="O280" s="236">
        <v>0</v>
      </c>
      <c r="P280" s="236">
        <v>0</v>
      </c>
      <c r="Q280" s="236">
        <v>0</v>
      </c>
      <c r="R280" s="236">
        <v>0</v>
      </c>
      <c r="S280" s="236">
        <v>0</v>
      </c>
      <c r="T280" s="236">
        <v>0</v>
      </c>
      <c r="U280" s="236">
        <v>0</v>
      </c>
      <c r="V280" s="236"/>
      <c r="W280" s="236"/>
      <c r="X280" s="237">
        <f t="shared" si="8"/>
        <v>1</v>
      </c>
      <c r="Y280" s="223"/>
      <c r="Z280" s="224" t="s">
        <v>663</v>
      </c>
      <c r="AA280" s="157" t="s">
        <v>663</v>
      </c>
      <c r="AB280" s="151" t="s">
        <v>2602</v>
      </c>
      <c r="AC280" s="530" t="s">
        <v>3015</v>
      </c>
      <c r="AD280" s="159"/>
    </row>
    <row r="281" spans="1:30" x14ac:dyDescent="0.2">
      <c r="A281" s="229"/>
      <c r="B281" s="229"/>
      <c r="C281" s="219" t="s">
        <v>1467</v>
      </c>
      <c r="D281" s="220" t="s">
        <v>1468</v>
      </c>
      <c r="E281" s="221">
        <v>0</v>
      </c>
      <c r="F281" s="221">
        <v>0</v>
      </c>
      <c r="G281" s="221">
        <v>0</v>
      </c>
      <c r="H281" s="221">
        <v>0</v>
      </c>
      <c r="I281" s="221">
        <v>0</v>
      </c>
      <c r="J281" s="221">
        <v>0</v>
      </c>
      <c r="K281" s="221">
        <v>0</v>
      </c>
      <c r="L281" s="221">
        <v>0</v>
      </c>
      <c r="M281" s="221"/>
      <c r="N281" s="221">
        <v>1</v>
      </c>
      <c r="O281" s="221">
        <v>0</v>
      </c>
      <c r="P281" s="221">
        <v>0</v>
      </c>
      <c r="Q281" s="221">
        <v>0</v>
      </c>
      <c r="R281" s="221">
        <v>0</v>
      </c>
      <c r="S281" s="221">
        <v>0</v>
      </c>
      <c r="T281" s="221">
        <v>0</v>
      </c>
      <c r="U281" s="221">
        <v>0</v>
      </c>
      <c r="V281" s="221"/>
      <c r="W281" s="221"/>
      <c r="X281" s="222">
        <f t="shared" si="8"/>
        <v>1</v>
      </c>
      <c r="Y281" s="223"/>
      <c r="Z281" s="224" t="s">
        <v>663</v>
      </c>
      <c r="AA281" s="157" t="s">
        <v>663</v>
      </c>
      <c r="AB281" s="229"/>
      <c r="AC281" s="530" t="s">
        <v>3015</v>
      </c>
      <c r="AD281" s="159"/>
    </row>
    <row r="282" spans="1:30" x14ac:dyDescent="0.2">
      <c r="A282" s="218"/>
      <c r="B282" s="218"/>
      <c r="C282" s="250" t="s">
        <v>1471</v>
      </c>
      <c r="D282" s="251" t="s">
        <v>1472</v>
      </c>
      <c r="E282" s="252">
        <v>0</v>
      </c>
      <c r="F282" s="252">
        <v>0</v>
      </c>
      <c r="G282" s="252">
        <v>0</v>
      </c>
      <c r="H282" s="252">
        <v>0</v>
      </c>
      <c r="I282" s="252">
        <v>0</v>
      </c>
      <c r="J282" s="252">
        <v>1</v>
      </c>
      <c r="K282" s="252">
        <v>0</v>
      </c>
      <c r="L282" s="252">
        <v>0</v>
      </c>
      <c r="M282" s="252"/>
      <c r="N282" s="252">
        <v>0</v>
      </c>
      <c r="O282" s="252">
        <v>0</v>
      </c>
      <c r="P282" s="252">
        <v>0</v>
      </c>
      <c r="Q282" s="252">
        <v>0</v>
      </c>
      <c r="R282" s="252">
        <v>0</v>
      </c>
      <c r="S282" s="252">
        <v>0</v>
      </c>
      <c r="T282" s="252">
        <v>0</v>
      </c>
      <c r="U282" s="252">
        <v>0</v>
      </c>
      <c r="V282" s="252"/>
      <c r="W282" s="252"/>
      <c r="X282" s="253">
        <f t="shared" si="8"/>
        <v>1</v>
      </c>
      <c r="Y282" s="223"/>
      <c r="Z282" s="224" t="s">
        <v>663</v>
      </c>
      <c r="AA282" s="157" t="s">
        <v>663</v>
      </c>
      <c r="AB282" s="151" t="s">
        <v>2602</v>
      </c>
      <c r="AC282" s="530" t="s">
        <v>3015</v>
      </c>
      <c r="AD282" s="159"/>
    </row>
    <row r="283" spans="1:30" x14ac:dyDescent="0.2">
      <c r="A283" s="229"/>
      <c r="B283" s="229"/>
      <c r="C283" s="277" t="s">
        <v>1606</v>
      </c>
      <c r="D283" s="266" t="s">
        <v>1607</v>
      </c>
      <c r="E283" s="267">
        <v>0</v>
      </c>
      <c r="F283" s="267">
        <v>0</v>
      </c>
      <c r="G283" s="267">
        <v>0</v>
      </c>
      <c r="H283" s="267">
        <v>0</v>
      </c>
      <c r="I283" s="267">
        <v>0</v>
      </c>
      <c r="J283" s="267">
        <v>0</v>
      </c>
      <c r="K283" s="267">
        <v>0</v>
      </c>
      <c r="L283" s="267">
        <v>0</v>
      </c>
      <c r="M283" s="267">
        <v>0</v>
      </c>
      <c r="N283" s="267">
        <v>1</v>
      </c>
      <c r="O283" s="267">
        <v>0</v>
      </c>
      <c r="P283" s="267">
        <v>0</v>
      </c>
      <c r="Q283" s="267">
        <v>0</v>
      </c>
      <c r="R283" s="267">
        <v>0</v>
      </c>
      <c r="S283" s="267">
        <v>0</v>
      </c>
      <c r="T283" s="267">
        <v>0</v>
      </c>
      <c r="U283" s="267">
        <v>0</v>
      </c>
      <c r="V283" s="267"/>
      <c r="W283" s="267"/>
      <c r="X283" s="222">
        <f t="shared" si="8"/>
        <v>1</v>
      </c>
      <c r="Y283" s="223"/>
      <c r="Z283" s="224" t="s">
        <v>663</v>
      </c>
      <c r="AA283" s="157" t="s">
        <v>663</v>
      </c>
      <c r="AB283" s="229"/>
      <c r="AC283" s="530" t="s">
        <v>3015</v>
      </c>
      <c r="AD283" s="159"/>
    </row>
    <row r="284" spans="1:30" x14ac:dyDescent="0.2">
      <c r="A284" s="218"/>
      <c r="B284" s="218"/>
      <c r="C284" s="250" t="s">
        <v>1473</v>
      </c>
      <c r="D284" s="251" t="s">
        <v>1474</v>
      </c>
      <c r="E284" s="252">
        <v>0</v>
      </c>
      <c r="F284" s="252">
        <v>0</v>
      </c>
      <c r="G284" s="252">
        <v>0</v>
      </c>
      <c r="H284" s="252">
        <v>0</v>
      </c>
      <c r="I284" s="252">
        <v>0</v>
      </c>
      <c r="J284" s="252">
        <v>0</v>
      </c>
      <c r="K284" s="252">
        <v>0</v>
      </c>
      <c r="L284" s="252">
        <v>1</v>
      </c>
      <c r="M284" s="252"/>
      <c r="N284" s="252">
        <v>0</v>
      </c>
      <c r="O284" s="252">
        <v>0</v>
      </c>
      <c r="P284" s="252">
        <v>0</v>
      </c>
      <c r="Q284" s="252">
        <v>0</v>
      </c>
      <c r="R284" s="252">
        <v>0</v>
      </c>
      <c r="S284" s="252">
        <v>0</v>
      </c>
      <c r="T284" s="252">
        <v>0</v>
      </c>
      <c r="U284" s="252">
        <v>0</v>
      </c>
      <c r="V284" s="252"/>
      <c r="W284" s="252"/>
      <c r="X284" s="253">
        <f t="shared" si="8"/>
        <v>1</v>
      </c>
      <c r="Y284" s="223"/>
      <c r="Z284" s="224" t="s">
        <v>663</v>
      </c>
      <c r="AA284" s="157" t="s">
        <v>663</v>
      </c>
      <c r="AB284" s="151" t="s">
        <v>2602</v>
      </c>
      <c r="AC284" s="530" t="s">
        <v>3015</v>
      </c>
      <c r="AD284" s="159"/>
    </row>
    <row r="285" spans="1:30" x14ac:dyDescent="0.2">
      <c r="A285" s="229"/>
      <c r="B285" s="229"/>
      <c r="C285" s="219" t="s">
        <v>1475</v>
      </c>
      <c r="D285" s="220" t="s">
        <v>1476</v>
      </c>
      <c r="E285" s="221">
        <v>0</v>
      </c>
      <c r="F285" s="221">
        <v>0</v>
      </c>
      <c r="G285" s="221">
        <v>0</v>
      </c>
      <c r="H285" s="221">
        <v>1</v>
      </c>
      <c r="I285" s="221">
        <v>0</v>
      </c>
      <c r="J285" s="221">
        <v>0</v>
      </c>
      <c r="K285" s="221">
        <v>0</v>
      </c>
      <c r="L285" s="221">
        <v>0</v>
      </c>
      <c r="M285" s="221"/>
      <c r="N285" s="221">
        <v>0</v>
      </c>
      <c r="O285" s="221">
        <v>0</v>
      </c>
      <c r="P285" s="221">
        <v>0</v>
      </c>
      <c r="Q285" s="221">
        <v>0</v>
      </c>
      <c r="R285" s="221">
        <v>0</v>
      </c>
      <c r="S285" s="221">
        <v>0</v>
      </c>
      <c r="T285" s="221">
        <v>0</v>
      </c>
      <c r="U285" s="221">
        <v>0</v>
      </c>
      <c r="V285" s="221"/>
      <c r="W285" s="221"/>
      <c r="X285" s="222">
        <f t="shared" si="8"/>
        <v>1</v>
      </c>
      <c r="Y285" s="223"/>
      <c r="Z285" s="224" t="s">
        <v>663</v>
      </c>
      <c r="AA285" s="157" t="s">
        <v>663</v>
      </c>
      <c r="AB285" s="229"/>
      <c r="AC285" s="530" t="s">
        <v>3015</v>
      </c>
      <c r="AD285" s="159"/>
    </row>
    <row r="286" spans="1:30" x14ac:dyDescent="0.2">
      <c r="A286" s="218"/>
      <c r="B286" s="218"/>
      <c r="C286" s="230" t="s">
        <v>1477</v>
      </c>
      <c r="D286" s="231" t="s">
        <v>1478</v>
      </c>
      <c r="E286" s="232">
        <v>0</v>
      </c>
      <c r="F286" s="232">
        <v>0</v>
      </c>
      <c r="G286" s="232">
        <v>0</v>
      </c>
      <c r="H286" s="232">
        <v>1</v>
      </c>
      <c r="I286" s="232">
        <v>0</v>
      </c>
      <c r="J286" s="232">
        <v>0</v>
      </c>
      <c r="K286" s="232">
        <v>0</v>
      </c>
      <c r="L286" s="232">
        <v>0</v>
      </c>
      <c r="M286" s="232"/>
      <c r="N286" s="232">
        <v>0</v>
      </c>
      <c r="O286" s="232">
        <v>0</v>
      </c>
      <c r="P286" s="232">
        <v>0</v>
      </c>
      <c r="Q286" s="232">
        <v>0</v>
      </c>
      <c r="R286" s="232">
        <v>0</v>
      </c>
      <c r="S286" s="232">
        <v>0</v>
      </c>
      <c r="T286" s="232">
        <v>0</v>
      </c>
      <c r="U286" s="232">
        <v>0</v>
      </c>
      <c r="V286" s="232"/>
      <c r="W286" s="232"/>
      <c r="X286" s="233">
        <f t="shared" si="8"/>
        <v>1</v>
      </c>
      <c r="Y286" s="223"/>
      <c r="Z286" s="224" t="s">
        <v>663</v>
      </c>
      <c r="AA286" s="157" t="s">
        <v>663</v>
      </c>
      <c r="AB286" s="151" t="s">
        <v>2602</v>
      </c>
      <c r="AC286" s="530" t="s">
        <v>3015</v>
      </c>
      <c r="AD286" s="159"/>
    </row>
    <row r="287" spans="1:30" x14ac:dyDescent="0.2">
      <c r="A287" s="218"/>
      <c r="B287" s="218"/>
      <c r="C287" s="219" t="s">
        <v>1479</v>
      </c>
      <c r="D287" s="220" t="s">
        <v>1480</v>
      </c>
      <c r="E287" s="221">
        <v>0</v>
      </c>
      <c r="F287" s="221">
        <v>0</v>
      </c>
      <c r="G287" s="221">
        <v>0</v>
      </c>
      <c r="H287" s="221">
        <v>0</v>
      </c>
      <c r="I287" s="221">
        <v>0</v>
      </c>
      <c r="J287" s="221">
        <v>0</v>
      </c>
      <c r="K287" s="221">
        <v>0</v>
      </c>
      <c r="L287" s="221">
        <v>0</v>
      </c>
      <c r="M287" s="221"/>
      <c r="N287" s="221">
        <v>1</v>
      </c>
      <c r="O287" s="221">
        <v>0</v>
      </c>
      <c r="P287" s="221">
        <v>0</v>
      </c>
      <c r="Q287" s="221">
        <v>0</v>
      </c>
      <c r="R287" s="221">
        <v>0</v>
      </c>
      <c r="S287" s="221">
        <v>0</v>
      </c>
      <c r="T287" s="221">
        <v>0</v>
      </c>
      <c r="U287" s="221">
        <v>0</v>
      </c>
      <c r="V287" s="221"/>
      <c r="W287" s="221"/>
      <c r="X287" s="222">
        <f t="shared" si="8"/>
        <v>1</v>
      </c>
      <c r="Y287" s="223"/>
      <c r="Z287" s="224" t="s">
        <v>663</v>
      </c>
      <c r="AA287" s="157" t="s">
        <v>663</v>
      </c>
      <c r="AB287" s="151" t="s">
        <v>2602</v>
      </c>
      <c r="AC287" s="530" t="s">
        <v>3015</v>
      </c>
      <c r="AD287" s="159"/>
    </row>
    <row r="288" spans="1:30" x14ac:dyDescent="0.2">
      <c r="A288" s="218"/>
      <c r="B288" s="218"/>
      <c r="C288" s="219" t="s">
        <v>1481</v>
      </c>
      <c r="D288" s="220" t="s">
        <v>1482</v>
      </c>
      <c r="E288" s="221">
        <v>0</v>
      </c>
      <c r="F288" s="221">
        <v>0</v>
      </c>
      <c r="G288" s="221">
        <v>0</v>
      </c>
      <c r="H288" s="221">
        <v>1</v>
      </c>
      <c r="I288" s="221">
        <v>0</v>
      </c>
      <c r="J288" s="221">
        <v>0</v>
      </c>
      <c r="K288" s="221">
        <v>0</v>
      </c>
      <c r="L288" s="221">
        <v>0</v>
      </c>
      <c r="M288" s="221"/>
      <c r="N288" s="221">
        <v>0</v>
      </c>
      <c r="O288" s="221">
        <v>0</v>
      </c>
      <c r="P288" s="221">
        <v>0</v>
      </c>
      <c r="Q288" s="221">
        <v>0</v>
      </c>
      <c r="R288" s="221">
        <v>0</v>
      </c>
      <c r="S288" s="221">
        <v>0</v>
      </c>
      <c r="T288" s="221">
        <v>0</v>
      </c>
      <c r="U288" s="221">
        <v>0</v>
      </c>
      <c r="V288" s="221"/>
      <c r="W288" s="221"/>
      <c r="X288" s="222">
        <f t="shared" si="8"/>
        <v>1</v>
      </c>
      <c r="Y288" s="223"/>
      <c r="Z288" s="224" t="s">
        <v>663</v>
      </c>
      <c r="AA288" s="157" t="s">
        <v>663</v>
      </c>
      <c r="AB288" s="151" t="s">
        <v>2602</v>
      </c>
      <c r="AC288" s="530" t="s">
        <v>3015</v>
      </c>
      <c r="AD288" s="159"/>
    </row>
    <row r="289" spans="1:30" x14ac:dyDescent="0.2">
      <c r="A289" s="218"/>
      <c r="B289" s="218"/>
      <c r="C289" s="219" t="s">
        <v>1483</v>
      </c>
      <c r="D289" s="220" t="s">
        <v>1484</v>
      </c>
      <c r="E289" s="221">
        <v>0</v>
      </c>
      <c r="F289" s="221">
        <v>0</v>
      </c>
      <c r="G289" s="221">
        <v>0</v>
      </c>
      <c r="H289" s="221">
        <v>1</v>
      </c>
      <c r="I289" s="221">
        <v>0</v>
      </c>
      <c r="J289" s="221">
        <v>0</v>
      </c>
      <c r="K289" s="221">
        <v>0</v>
      </c>
      <c r="L289" s="221">
        <v>0</v>
      </c>
      <c r="M289" s="221"/>
      <c r="N289" s="221">
        <v>0</v>
      </c>
      <c r="O289" s="221">
        <v>0</v>
      </c>
      <c r="P289" s="221">
        <v>0</v>
      </c>
      <c r="Q289" s="221">
        <v>0</v>
      </c>
      <c r="R289" s="221">
        <v>0</v>
      </c>
      <c r="S289" s="221">
        <v>0</v>
      </c>
      <c r="T289" s="221">
        <v>0</v>
      </c>
      <c r="U289" s="221">
        <v>0</v>
      </c>
      <c r="V289" s="221"/>
      <c r="W289" s="221"/>
      <c r="X289" s="222">
        <f t="shared" si="8"/>
        <v>1</v>
      </c>
      <c r="Y289" s="223"/>
      <c r="Z289" s="224" t="s">
        <v>663</v>
      </c>
      <c r="AA289" s="157" t="s">
        <v>663</v>
      </c>
      <c r="AB289" s="151" t="s">
        <v>2602</v>
      </c>
      <c r="AC289" s="530" t="s">
        <v>3015</v>
      </c>
      <c r="AD289" s="159"/>
    </row>
    <row r="290" spans="1:30" x14ac:dyDescent="0.2">
      <c r="A290" s="218"/>
      <c r="B290" s="218"/>
      <c r="C290" s="219" t="s">
        <v>1485</v>
      </c>
      <c r="D290" s="220" t="s">
        <v>1486</v>
      </c>
      <c r="E290" s="221">
        <v>0.27</v>
      </c>
      <c r="F290" s="221">
        <v>0</v>
      </c>
      <c r="G290" s="221">
        <v>0</v>
      </c>
      <c r="H290" s="221">
        <v>0.49</v>
      </c>
      <c r="I290" s="221">
        <v>0</v>
      </c>
      <c r="J290" s="221">
        <v>0</v>
      </c>
      <c r="K290" s="221">
        <v>0</v>
      </c>
      <c r="L290" s="221">
        <v>0.24</v>
      </c>
      <c r="M290" s="221"/>
      <c r="N290" s="221">
        <v>0</v>
      </c>
      <c r="O290" s="221">
        <v>0</v>
      </c>
      <c r="P290" s="221">
        <v>0</v>
      </c>
      <c r="Q290" s="221">
        <v>0</v>
      </c>
      <c r="R290" s="221">
        <v>0</v>
      </c>
      <c r="S290" s="221">
        <v>0</v>
      </c>
      <c r="T290" s="221">
        <v>0</v>
      </c>
      <c r="U290" s="221">
        <v>0</v>
      </c>
      <c r="V290" s="221"/>
      <c r="W290" s="221"/>
      <c r="X290" s="222">
        <f t="shared" si="8"/>
        <v>1</v>
      </c>
      <c r="Y290" s="223"/>
      <c r="Z290" s="224" t="s">
        <v>663</v>
      </c>
      <c r="AA290" s="157" t="s">
        <v>663</v>
      </c>
      <c r="AB290" s="151" t="s">
        <v>2602</v>
      </c>
      <c r="AC290" s="530" t="s">
        <v>3015</v>
      </c>
      <c r="AD290" s="159"/>
    </row>
    <row r="291" spans="1:30" x14ac:dyDescent="0.2">
      <c r="A291" s="218"/>
      <c r="B291" s="218"/>
      <c r="C291" s="260" t="s">
        <v>1487</v>
      </c>
      <c r="D291" s="261" t="s">
        <v>1488</v>
      </c>
      <c r="E291" s="236">
        <v>0</v>
      </c>
      <c r="F291" s="236">
        <v>0</v>
      </c>
      <c r="G291" s="236">
        <v>0.05</v>
      </c>
      <c r="H291" s="236">
        <v>0</v>
      </c>
      <c r="I291" s="236">
        <v>0</v>
      </c>
      <c r="J291" s="236">
        <v>0</v>
      </c>
      <c r="K291" s="236">
        <v>0</v>
      </c>
      <c r="L291" s="236">
        <v>0</v>
      </c>
      <c r="M291" s="236"/>
      <c r="N291" s="236">
        <v>0.8</v>
      </c>
      <c r="O291" s="236">
        <v>0</v>
      </c>
      <c r="P291" s="236">
        <v>0</v>
      </c>
      <c r="Q291" s="236">
        <v>0</v>
      </c>
      <c r="R291" s="236">
        <v>0</v>
      </c>
      <c r="S291" s="236">
        <v>0.15</v>
      </c>
      <c r="T291" s="236">
        <v>0</v>
      </c>
      <c r="U291" s="236">
        <v>0</v>
      </c>
      <c r="V291" s="236"/>
      <c r="W291" s="236"/>
      <c r="X291" s="237">
        <f t="shared" si="8"/>
        <v>1</v>
      </c>
      <c r="Y291" s="223"/>
      <c r="Z291" s="224" t="s">
        <v>663</v>
      </c>
      <c r="AA291" s="157" t="s">
        <v>663</v>
      </c>
      <c r="AB291" s="151" t="s">
        <v>2602</v>
      </c>
      <c r="AC291" s="530" t="s">
        <v>3015</v>
      </c>
      <c r="AD291" s="159"/>
    </row>
    <row r="292" spans="1:30" x14ac:dyDescent="0.2">
      <c r="A292" s="271" t="s">
        <v>2821</v>
      </c>
      <c r="B292" s="271"/>
      <c r="C292" s="272" t="s">
        <v>1674</v>
      </c>
      <c r="D292" s="273" t="s">
        <v>1675</v>
      </c>
      <c r="E292" s="278">
        <v>0</v>
      </c>
      <c r="F292" s="278">
        <v>1.0729279585162762E-2</v>
      </c>
      <c r="G292" s="278">
        <v>4.2917440839127213E-2</v>
      </c>
      <c r="H292" s="278">
        <v>0</v>
      </c>
      <c r="I292" s="278">
        <v>0</v>
      </c>
      <c r="J292" s="278">
        <v>8.9410711640491806E-3</v>
      </c>
      <c r="K292" s="278">
        <v>0</v>
      </c>
      <c r="L292" s="278">
        <v>0</v>
      </c>
      <c r="M292" s="278">
        <v>0</v>
      </c>
      <c r="N292" s="278">
        <v>0.71829933536434554</v>
      </c>
      <c r="O292" s="278">
        <v>0</v>
      </c>
      <c r="P292" s="278">
        <v>4.8219195062463041E-2</v>
      </c>
      <c r="Q292" s="278">
        <v>0</v>
      </c>
      <c r="R292" s="278">
        <v>0</v>
      </c>
      <c r="S292" s="278">
        <v>0.17089367798485228</v>
      </c>
      <c r="T292" s="278">
        <v>0</v>
      </c>
      <c r="U292" s="278">
        <v>0</v>
      </c>
      <c r="V292" s="278">
        <v>0</v>
      </c>
      <c r="W292" s="278">
        <v>0</v>
      </c>
      <c r="X292" s="274">
        <f t="shared" si="8"/>
        <v>1</v>
      </c>
      <c r="Y292" s="223"/>
      <c r="Z292" s="224" t="s">
        <v>663</v>
      </c>
      <c r="AA292" s="157" t="s">
        <v>649</v>
      </c>
      <c r="AB292" s="271" t="s">
        <v>2821</v>
      </c>
      <c r="AC292" s="530" t="s">
        <v>3015</v>
      </c>
      <c r="AD292" s="159"/>
    </row>
    <row r="293" spans="1:30" x14ac:dyDescent="0.2">
      <c r="A293" s="218"/>
      <c r="B293" s="218"/>
      <c r="C293" s="279" t="s">
        <v>1676</v>
      </c>
      <c r="D293" s="280" t="s">
        <v>1677</v>
      </c>
      <c r="E293" s="252">
        <v>0</v>
      </c>
      <c r="F293" s="252">
        <v>1.1193754708453485E-2</v>
      </c>
      <c r="G293" s="252">
        <v>4.4775355293387706E-2</v>
      </c>
      <c r="H293" s="252">
        <v>0</v>
      </c>
      <c r="I293" s="252">
        <v>0</v>
      </c>
      <c r="J293" s="252">
        <v>9.3281339764504766E-3</v>
      </c>
      <c r="K293" s="252">
        <v>0</v>
      </c>
      <c r="L293" s="252">
        <v>0</v>
      </c>
      <c r="M293" s="252">
        <v>0</v>
      </c>
      <c r="N293" s="252">
        <v>0.74351020995628259</v>
      </c>
      <c r="O293" s="252">
        <v>0</v>
      </c>
      <c r="P293" s="252">
        <v>5.8080071112941556E-2</v>
      </c>
      <c r="Q293" s="252">
        <v>0</v>
      </c>
      <c r="R293" s="252">
        <v>0</v>
      </c>
      <c r="S293" s="252">
        <v>0.13311247495248424</v>
      </c>
      <c r="T293" s="252">
        <v>0</v>
      </c>
      <c r="U293" s="252">
        <v>0</v>
      </c>
      <c r="V293" s="252">
        <v>0</v>
      </c>
      <c r="W293" s="252">
        <v>0</v>
      </c>
      <c r="X293" s="252">
        <f t="shared" si="8"/>
        <v>1</v>
      </c>
      <c r="Y293" s="223"/>
      <c r="Z293" s="224" t="s">
        <v>663</v>
      </c>
      <c r="AA293" s="157" t="s">
        <v>663</v>
      </c>
      <c r="AB293" s="151" t="s">
        <v>2602</v>
      </c>
      <c r="AC293" s="530" t="s">
        <v>3015</v>
      </c>
      <c r="AD293" s="159"/>
    </row>
    <row r="294" spans="1:30" x14ac:dyDescent="0.2">
      <c r="A294" s="229"/>
      <c r="B294" s="229"/>
      <c r="C294" s="238" t="s">
        <v>1678</v>
      </c>
      <c r="D294" s="239" t="s">
        <v>1679</v>
      </c>
      <c r="E294" s="221">
        <v>0</v>
      </c>
      <c r="F294" s="221">
        <v>1.9276530626669428E-2</v>
      </c>
      <c r="G294" s="221">
        <v>6.1168879098128577E-2</v>
      </c>
      <c r="H294" s="221">
        <v>0</v>
      </c>
      <c r="I294" s="221">
        <v>0</v>
      </c>
      <c r="J294" s="221">
        <v>0</v>
      </c>
      <c r="K294" s="221">
        <v>0</v>
      </c>
      <c r="L294" s="221">
        <v>0</v>
      </c>
      <c r="M294" s="221">
        <v>0</v>
      </c>
      <c r="N294" s="221">
        <v>0.39055922553246691</v>
      </c>
      <c r="O294" s="221">
        <v>4.9552228910105113E-2</v>
      </c>
      <c r="P294" s="221">
        <v>0.22549561440275509</v>
      </c>
      <c r="Q294" s="221">
        <v>1.9494961115374486E-2</v>
      </c>
      <c r="R294" s="221">
        <v>0</v>
      </c>
      <c r="S294" s="221">
        <v>0.18957169425736267</v>
      </c>
      <c r="T294" s="221">
        <v>4.4880866057137814E-2</v>
      </c>
      <c r="U294" s="221">
        <v>0</v>
      </c>
      <c r="V294" s="221">
        <v>0</v>
      </c>
      <c r="W294" s="221">
        <v>0</v>
      </c>
      <c r="X294" s="221">
        <f t="shared" si="8"/>
        <v>1</v>
      </c>
      <c r="Y294" s="223"/>
      <c r="Z294" s="224" t="s">
        <v>663</v>
      </c>
      <c r="AA294" s="157" t="s">
        <v>663</v>
      </c>
      <c r="AB294" s="229"/>
      <c r="AC294" s="530" t="s">
        <v>3015</v>
      </c>
      <c r="AD294" s="159"/>
    </row>
    <row r="295" spans="1:30" x14ac:dyDescent="0.2">
      <c r="A295" s="218"/>
      <c r="B295" s="218"/>
      <c r="C295" s="230" t="s">
        <v>1491</v>
      </c>
      <c r="D295" s="231" t="s">
        <v>1492</v>
      </c>
      <c r="E295" s="232">
        <v>0</v>
      </c>
      <c r="F295" s="232">
        <v>0</v>
      </c>
      <c r="G295" s="232">
        <v>0</v>
      </c>
      <c r="H295" s="232">
        <v>0</v>
      </c>
      <c r="I295" s="232">
        <v>0</v>
      </c>
      <c r="J295" s="232">
        <v>0</v>
      </c>
      <c r="K295" s="232">
        <v>0</v>
      </c>
      <c r="L295" s="232">
        <v>0</v>
      </c>
      <c r="M295" s="232"/>
      <c r="N295" s="232">
        <v>1</v>
      </c>
      <c r="O295" s="232">
        <v>0</v>
      </c>
      <c r="P295" s="232">
        <v>0</v>
      </c>
      <c r="Q295" s="232">
        <v>0</v>
      </c>
      <c r="R295" s="232">
        <v>0</v>
      </c>
      <c r="S295" s="232">
        <v>0</v>
      </c>
      <c r="T295" s="232">
        <v>0</v>
      </c>
      <c r="U295" s="232">
        <v>0</v>
      </c>
      <c r="V295" s="232"/>
      <c r="W295" s="232"/>
      <c r="X295" s="233">
        <f t="shared" si="8"/>
        <v>1</v>
      </c>
      <c r="Y295" s="223"/>
      <c r="Z295" s="224" t="s">
        <v>663</v>
      </c>
      <c r="AA295" s="157" t="s">
        <v>663</v>
      </c>
      <c r="AB295" s="151" t="s">
        <v>2602</v>
      </c>
      <c r="AC295" s="530" t="s">
        <v>3015</v>
      </c>
      <c r="AD295" s="159"/>
    </row>
    <row r="296" spans="1:30" x14ac:dyDescent="0.2">
      <c r="A296" s="281"/>
      <c r="B296" s="218"/>
      <c r="C296" s="248" t="s">
        <v>1134</v>
      </c>
      <c r="D296" s="249" t="s">
        <v>65</v>
      </c>
      <c r="E296" s="232">
        <v>0</v>
      </c>
      <c r="F296" s="232">
        <v>0</v>
      </c>
      <c r="G296" s="232">
        <v>0</v>
      </c>
      <c r="H296" s="232">
        <v>0</v>
      </c>
      <c r="I296" s="232">
        <v>0</v>
      </c>
      <c r="J296" s="232">
        <v>0</v>
      </c>
      <c r="K296" s="232">
        <v>0</v>
      </c>
      <c r="L296" s="232">
        <v>0</v>
      </c>
      <c r="M296" s="232">
        <v>0</v>
      </c>
      <c r="N296" s="232">
        <v>0</v>
      </c>
      <c r="O296" s="232">
        <v>0</v>
      </c>
      <c r="P296" s="232">
        <v>0</v>
      </c>
      <c r="Q296" s="232">
        <v>0</v>
      </c>
      <c r="R296" s="232">
        <v>0</v>
      </c>
      <c r="S296" s="232">
        <v>1</v>
      </c>
      <c r="T296" s="232">
        <v>0</v>
      </c>
      <c r="U296" s="232">
        <v>0</v>
      </c>
      <c r="V296" s="232"/>
      <c r="W296" s="232"/>
      <c r="X296" s="233">
        <f t="shared" si="8"/>
        <v>1</v>
      </c>
      <c r="Y296" s="223"/>
      <c r="Z296" s="224" t="s">
        <v>663</v>
      </c>
      <c r="AA296" s="157" t="s">
        <v>663</v>
      </c>
      <c r="AB296" s="259" t="s">
        <v>2821</v>
      </c>
      <c r="AC296" s="530" t="s">
        <v>3015</v>
      </c>
      <c r="AD296" s="159"/>
    </row>
    <row r="297" spans="1:30" x14ac:dyDescent="0.2">
      <c r="A297" s="218"/>
      <c r="B297" s="218"/>
      <c r="C297" s="260" t="s">
        <v>1493</v>
      </c>
      <c r="D297" s="261" t="s">
        <v>1494</v>
      </c>
      <c r="E297" s="236">
        <v>0</v>
      </c>
      <c r="F297" s="236">
        <v>0</v>
      </c>
      <c r="G297" s="236">
        <v>0</v>
      </c>
      <c r="H297" s="236">
        <v>0</v>
      </c>
      <c r="I297" s="236">
        <v>0</v>
      </c>
      <c r="J297" s="236">
        <v>0</v>
      </c>
      <c r="K297" s="236">
        <v>0</v>
      </c>
      <c r="L297" s="236">
        <v>0</v>
      </c>
      <c r="M297" s="236"/>
      <c r="N297" s="236">
        <v>0</v>
      </c>
      <c r="O297" s="236">
        <v>0</v>
      </c>
      <c r="P297" s="236">
        <v>0</v>
      </c>
      <c r="Q297" s="236">
        <v>0</v>
      </c>
      <c r="R297" s="236">
        <v>0</v>
      </c>
      <c r="S297" s="236">
        <v>1</v>
      </c>
      <c r="T297" s="236">
        <v>0</v>
      </c>
      <c r="U297" s="236">
        <v>0</v>
      </c>
      <c r="V297" s="236"/>
      <c r="W297" s="236"/>
      <c r="X297" s="237">
        <f t="shared" si="8"/>
        <v>1</v>
      </c>
      <c r="Y297" s="223"/>
      <c r="Z297" s="224" t="s">
        <v>663</v>
      </c>
      <c r="AA297" s="157" t="s">
        <v>663</v>
      </c>
      <c r="AB297" s="151" t="s">
        <v>2602</v>
      </c>
      <c r="AC297" s="530" t="s">
        <v>3015</v>
      </c>
      <c r="AD297" s="159"/>
    </row>
    <row r="298" spans="1:30" x14ac:dyDescent="0.2">
      <c r="A298" s="229"/>
      <c r="B298" s="229"/>
      <c r="C298" s="219" t="s">
        <v>1495</v>
      </c>
      <c r="D298" s="220" t="s">
        <v>1496</v>
      </c>
      <c r="E298" s="221">
        <v>0</v>
      </c>
      <c r="F298" s="221">
        <v>0</v>
      </c>
      <c r="G298" s="221">
        <v>0</v>
      </c>
      <c r="H298" s="221">
        <v>0</v>
      </c>
      <c r="I298" s="221">
        <v>0</v>
      </c>
      <c r="J298" s="221">
        <v>0</v>
      </c>
      <c r="K298" s="221">
        <v>0</v>
      </c>
      <c r="L298" s="221">
        <v>1</v>
      </c>
      <c r="M298" s="221"/>
      <c r="N298" s="221">
        <v>0</v>
      </c>
      <c r="O298" s="221">
        <v>0</v>
      </c>
      <c r="P298" s="221">
        <v>0</v>
      </c>
      <c r="Q298" s="221">
        <v>0</v>
      </c>
      <c r="R298" s="221">
        <v>0</v>
      </c>
      <c r="S298" s="221">
        <v>0</v>
      </c>
      <c r="T298" s="221">
        <v>0</v>
      </c>
      <c r="U298" s="221">
        <v>0</v>
      </c>
      <c r="V298" s="221"/>
      <c r="W298" s="221"/>
      <c r="X298" s="222">
        <f t="shared" si="8"/>
        <v>1</v>
      </c>
      <c r="Y298" s="223"/>
      <c r="Z298" s="224" t="s">
        <v>663</v>
      </c>
      <c r="AA298" s="157" t="s">
        <v>663</v>
      </c>
      <c r="AB298" s="229"/>
      <c r="AC298" s="530" t="s">
        <v>3015</v>
      </c>
      <c r="AD298" s="159"/>
    </row>
    <row r="299" spans="1:30" x14ac:dyDescent="0.2">
      <c r="A299" s="229"/>
      <c r="B299" s="229"/>
      <c r="C299" s="238" t="s">
        <v>1680</v>
      </c>
      <c r="D299" s="239" t="s">
        <v>1681</v>
      </c>
      <c r="E299" s="221">
        <v>0</v>
      </c>
      <c r="F299" s="221">
        <v>3.2763053101135574E-3</v>
      </c>
      <c r="G299" s="221">
        <v>1.1649183600874236E-2</v>
      </c>
      <c r="H299" s="221">
        <v>0</v>
      </c>
      <c r="I299" s="221">
        <v>0</v>
      </c>
      <c r="J299" s="221">
        <v>1.8201706026554968E-2</v>
      </c>
      <c r="K299" s="221">
        <v>0</v>
      </c>
      <c r="L299" s="221">
        <v>0</v>
      </c>
      <c r="M299" s="221">
        <v>4.4881864281423552E-2</v>
      </c>
      <c r="N299" s="221">
        <v>0.20989105682978293</v>
      </c>
      <c r="O299" s="221">
        <v>0</v>
      </c>
      <c r="P299" s="221">
        <v>3.6862094917594485E-2</v>
      </c>
      <c r="Q299" s="221">
        <v>0</v>
      </c>
      <c r="R299" s="221">
        <v>0</v>
      </c>
      <c r="S299" s="221">
        <v>4.3538482180642324E-2</v>
      </c>
      <c r="T299" s="221">
        <v>0.63169930685301379</v>
      </c>
      <c r="U299" s="221">
        <v>0</v>
      </c>
      <c r="V299" s="221">
        <v>0</v>
      </c>
      <c r="W299" s="221">
        <v>0</v>
      </c>
      <c r="X299" s="221">
        <f t="shared" si="8"/>
        <v>0.99999999999999978</v>
      </c>
      <c r="Y299" s="223"/>
      <c r="Z299" s="224" t="s">
        <v>663</v>
      </c>
      <c r="AA299" s="157" t="s">
        <v>663</v>
      </c>
      <c r="AB299" s="229"/>
      <c r="AC299" s="530" t="s">
        <v>3015</v>
      </c>
      <c r="AD299" s="159"/>
    </row>
    <row r="300" spans="1:30" x14ac:dyDescent="0.2">
      <c r="A300" s="218"/>
      <c r="B300" s="218"/>
      <c r="C300" s="230" t="s">
        <v>1497</v>
      </c>
      <c r="D300" s="231" t="s">
        <v>1498</v>
      </c>
      <c r="E300" s="232">
        <v>0</v>
      </c>
      <c r="F300" s="232">
        <v>0</v>
      </c>
      <c r="G300" s="232">
        <v>1</v>
      </c>
      <c r="H300" s="232">
        <v>0</v>
      </c>
      <c r="I300" s="232">
        <v>0</v>
      </c>
      <c r="J300" s="232">
        <v>0</v>
      </c>
      <c r="K300" s="232">
        <v>0</v>
      </c>
      <c r="L300" s="232">
        <v>0</v>
      </c>
      <c r="M300" s="232"/>
      <c r="N300" s="232">
        <v>0</v>
      </c>
      <c r="O300" s="232">
        <v>0</v>
      </c>
      <c r="P300" s="232">
        <v>0</v>
      </c>
      <c r="Q300" s="232">
        <v>0</v>
      </c>
      <c r="R300" s="232">
        <v>0</v>
      </c>
      <c r="S300" s="232">
        <v>0</v>
      </c>
      <c r="T300" s="232">
        <v>0</v>
      </c>
      <c r="U300" s="232">
        <v>0</v>
      </c>
      <c r="V300" s="232"/>
      <c r="W300" s="232"/>
      <c r="X300" s="233">
        <f t="shared" si="8"/>
        <v>1</v>
      </c>
      <c r="Y300" s="223"/>
      <c r="Z300" s="224" t="s">
        <v>663</v>
      </c>
      <c r="AA300" s="157" t="s">
        <v>663</v>
      </c>
      <c r="AB300" s="151" t="s">
        <v>2602</v>
      </c>
      <c r="AC300" s="530" t="s">
        <v>3015</v>
      </c>
      <c r="AD300" s="159"/>
    </row>
    <row r="301" spans="1:30" x14ac:dyDescent="0.2">
      <c r="A301" s="218"/>
      <c r="B301" s="218"/>
      <c r="C301" s="219" t="s">
        <v>1499</v>
      </c>
      <c r="D301" s="220" t="s">
        <v>1500</v>
      </c>
      <c r="E301" s="221">
        <v>0</v>
      </c>
      <c r="F301" s="221">
        <v>0</v>
      </c>
      <c r="G301" s="221">
        <v>1</v>
      </c>
      <c r="H301" s="221">
        <v>0</v>
      </c>
      <c r="I301" s="221">
        <v>0</v>
      </c>
      <c r="J301" s="221">
        <v>0</v>
      </c>
      <c r="K301" s="221">
        <v>0</v>
      </c>
      <c r="L301" s="221">
        <v>0</v>
      </c>
      <c r="M301" s="221"/>
      <c r="N301" s="221">
        <v>0</v>
      </c>
      <c r="O301" s="221">
        <v>0</v>
      </c>
      <c r="P301" s="221">
        <v>0</v>
      </c>
      <c r="Q301" s="221">
        <v>0</v>
      </c>
      <c r="R301" s="221">
        <v>0</v>
      </c>
      <c r="S301" s="221">
        <v>0</v>
      </c>
      <c r="T301" s="221">
        <v>0</v>
      </c>
      <c r="U301" s="221">
        <v>0</v>
      </c>
      <c r="V301" s="221"/>
      <c r="W301" s="221"/>
      <c r="X301" s="222">
        <f t="shared" si="8"/>
        <v>1</v>
      </c>
      <c r="Y301" s="223"/>
      <c r="Z301" s="224" t="s">
        <v>663</v>
      </c>
      <c r="AA301" s="157" t="s">
        <v>663</v>
      </c>
      <c r="AB301" s="151" t="s">
        <v>2602</v>
      </c>
      <c r="AC301" s="530" t="s">
        <v>3015</v>
      </c>
      <c r="AD301" s="159"/>
    </row>
    <row r="302" spans="1:30" x14ac:dyDescent="0.2">
      <c r="A302" s="218"/>
      <c r="B302" s="218"/>
      <c r="C302" s="238" t="s">
        <v>1682</v>
      </c>
      <c r="D302" s="239" t="s">
        <v>1683</v>
      </c>
      <c r="E302" s="240">
        <v>0</v>
      </c>
      <c r="F302" s="240">
        <v>0.43137903679280726</v>
      </c>
      <c r="G302" s="240">
        <v>0.49499481829534525</v>
      </c>
      <c r="H302" s="240">
        <v>0</v>
      </c>
      <c r="I302" s="240">
        <v>0</v>
      </c>
      <c r="J302" s="240">
        <v>0</v>
      </c>
      <c r="K302" s="240">
        <v>0</v>
      </c>
      <c r="L302" s="240">
        <v>0</v>
      </c>
      <c r="M302" s="240">
        <v>0</v>
      </c>
      <c r="N302" s="240">
        <v>0</v>
      </c>
      <c r="O302" s="240">
        <v>7.362614491184756E-2</v>
      </c>
      <c r="P302" s="240">
        <v>0</v>
      </c>
      <c r="Q302" s="240">
        <v>0</v>
      </c>
      <c r="R302" s="240">
        <v>0</v>
      </c>
      <c r="S302" s="240">
        <v>0</v>
      </c>
      <c r="T302" s="240">
        <v>0</v>
      </c>
      <c r="U302" s="240">
        <v>0</v>
      </c>
      <c r="V302" s="240">
        <v>0</v>
      </c>
      <c r="W302" s="240">
        <v>0</v>
      </c>
      <c r="X302" s="221">
        <f t="shared" si="8"/>
        <v>1</v>
      </c>
      <c r="Y302" s="223"/>
      <c r="Z302" s="224" t="s">
        <v>663</v>
      </c>
      <c r="AA302" s="157" t="s">
        <v>663</v>
      </c>
      <c r="AB302" s="151" t="s">
        <v>2602</v>
      </c>
      <c r="AC302" s="530" t="s">
        <v>3015</v>
      </c>
      <c r="AD302" s="159"/>
    </row>
    <row r="303" spans="1:30" x14ac:dyDescent="0.2">
      <c r="A303" s="218"/>
      <c r="B303" s="218"/>
      <c r="C303" s="260" t="s">
        <v>1501</v>
      </c>
      <c r="D303" s="261" t="s">
        <v>1502</v>
      </c>
      <c r="E303" s="236">
        <v>0</v>
      </c>
      <c r="F303" s="236">
        <v>0</v>
      </c>
      <c r="G303" s="236">
        <v>1</v>
      </c>
      <c r="H303" s="236">
        <v>0</v>
      </c>
      <c r="I303" s="236">
        <v>0</v>
      </c>
      <c r="J303" s="236">
        <v>0</v>
      </c>
      <c r="K303" s="236">
        <v>0</v>
      </c>
      <c r="L303" s="236">
        <v>0</v>
      </c>
      <c r="M303" s="236"/>
      <c r="N303" s="236">
        <v>0</v>
      </c>
      <c r="O303" s="236">
        <v>0</v>
      </c>
      <c r="P303" s="236">
        <v>0</v>
      </c>
      <c r="Q303" s="236">
        <v>0</v>
      </c>
      <c r="R303" s="236">
        <v>0</v>
      </c>
      <c r="S303" s="236">
        <v>0</v>
      </c>
      <c r="T303" s="236">
        <v>0</v>
      </c>
      <c r="U303" s="236">
        <v>0</v>
      </c>
      <c r="V303" s="236"/>
      <c r="W303" s="236"/>
      <c r="X303" s="237">
        <f t="shared" si="8"/>
        <v>1</v>
      </c>
      <c r="Y303" s="223"/>
      <c r="Z303" s="224" t="s">
        <v>663</v>
      </c>
      <c r="AA303" s="157" t="s">
        <v>663</v>
      </c>
      <c r="AB303" s="151" t="s">
        <v>2602</v>
      </c>
      <c r="AC303" s="530" t="s">
        <v>3015</v>
      </c>
      <c r="AD303" s="159"/>
    </row>
    <row r="304" spans="1:30" x14ac:dyDescent="0.2">
      <c r="A304" s="229"/>
      <c r="B304" s="229"/>
      <c r="C304" s="219" t="s">
        <v>1503</v>
      </c>
      <c r="D304" s="220" t="s">
        <v>1504</v>
      </c>
      <c r="E304" s="221">
        <v>0</v>
      </c>
      <c r="F304" s="221">
        <v>0</v>
      </c>
      <c r="G304" s="221">
        <v>1</v>
      </c>
      <c r="H304" s="221">
        <v>0</v>
      </c>
      <c r="I304" s="221">
        <v>0</v>
      </c>
      <c r="J304" s="221">
        <v>0</v>
      </c>
      <c r="K304" s="221">
        <v>0</v>
      </c>
      <c r="L304" s="221">
        <v>0</v>
      </c>
      <c r="M304" s="221"/>
      <c r="N304" s="221">
        <v>0</v>
      </c>
      <c r="O304" s="221">
        <v>0</v>
      </c>
      <c r="P304" s="221">
        <v>0</v>
      </c>
      <c r="Q304" s="221">
        <v>0</v>
      </c>
      <c r="R304" s="221">
        <v>0</v>
      </c>
      <c r="S304" s="221">
        <v>0</v>
      </c>
      <c r="T304" s="221">
        <v>0</v>
      </c>
      <c r="U304" s="221">
        <v>0</v>
      </c>
      <c r="V304" s="221"/>
      <c r="W304" s="221"/>
      <c r="X304" s="222">
        <f t="shared" si="8"/>
        <v>1</v>
      </c>
      <c r="Y304" s="223"/>
      <c r="Z304" s="224" t="s">
        <v>663</v>
      </c>
      <c r="AA304" s="157" t="s">
        <v>663</v>
      </c>
      <c r="AB304" s="229"/>
      <c r="AC304" s="530" t="s">
        <v>3015</v>
      </c>
      <c r="AD304" s="159"/>
    </row>
    <row r="305" spans="1:30" x14ac:dyDescent="0.2">
      <c r="A305" s="282" t="s">
        <v>1101</v>
      </c>
      <c r="B305" s="283">
        <v>42247</v>
      </c>
      <c r="C305" s="219" t="s">
        <v>1505</v>
      </c>
      <c r="D305" s="220" t="s">
        <v>1506</v>
      </c>
      <c r="E305" s="221">
        <v>0</v>
      </c>
      <c r="F305" s="221">
        <v>0</v>
      </c>
      <c r="G305" s="221">
        <v>0</v>
      </c>
      <c r="H305" s="221">
        <v>1</v>
      </c>
      <c r="I305" s="221">
        <v>0</v>
      </c>
      <c r="J305" s="221">
        <v>0</v>
      </c>
      <c r="K305" s="221">
        <v>0</v>
      </c>
      <c r="L305" s="221">
        <v>0</v>
      </c>
      <c r="M305" s="221"/>
      <c r="N305" s="221">
        <v>0</v>
      </c>
      <c r="O305" s="221">
        <v>0</v>
      </c>
      <c r="P305" s="221">
        <v>0</v>
      </c>
      <c r="Q305" s="221">
        <v>0</v>
      </c>
      <c r="R305" s="221">
        <v>0</v>
      </c>
      <c r="S305" s="221">
        <v>0</v>
      </c>
      <c r="T305" s="221">
        <v>0</v>
      </c>
      <c r="U305" s="221">
        <v>0</v>
      </c>
      <c r="V305" s="221"/>
      <c r="W305" s="221"/>
      <c r="X305" s="222">
        <f t="shared" si="8"/>
        <v>1</v>
      </c>
      <c r="Y305" s="223"/>
      <c r="Z305" s="224" t="s">
        <v>663</v>
      </c>
      <c r="AA305" s="157" t="s">
        <v>663</v>
      </c>
      <c r="AB305" s="282" t="s">
        <v>1101</v>
      </c>
      <c r="AC305" s="530" t="s">
        <v>3015</v>
      </c>
      <c r="AD305" s="159"/>
    </row>
    <row r="306" spans="1:30" x14ac:dyDescent="0.2">
      <c r="A306" s="218"/>
      <c r="B306" s="218"/>
      <c r="C306" s="230" t="s">
        <v>1507</v>
      </c>
      <c r="D306" s="231" t="s">
        <v>140</v>
      </c>
      <c r="E306" s="232">
        <v>0</v>
      </c>
      <c r="F306" s="232">
        <v>0</v>
      </c>
      <c r="G306" s="232">
        <v>0</v>
      </c>
      <c r="H306" s="232">
        <v>0</v>
      </c>
      <c r="I306" s="232">
        <v>0</v>
      </c>
      <c r="J306" s="232">
        <v>0</v>
      </c>
      <c r="K306" s="232">
        <v>1</v>
      </c>
      <c r="L306" s="232">
        <v>0</v>
      </c>
      <c r="M306" s="232"/>
      <c r="N306" s="232">
        <v>0</v>
      </c>
      <c r="O306" s="232">
        <v>0</v>
      </c>
      <c r="P306" s="232">
        <v>0</v>
      </c>
      <c r="Q306" s="232">
        <v>0</v>
      </c>
      <c r="R306" s="232">
        <v>0</v>
      </c>
      <c r="S306" s="232">
        <v>0</v>
      </c>
      <c r="T306" s="232">
        <v>0</v>
      </c>
      <c r="U306" s="232">
        <v>0</v>
      </c>
      <c r="V306" s="232"/>
      <c r="W306" s="232"/>
      <c r="X306" s="233">
        <f t="shared" si="8"/>
        <v>1</v>
      </c>
      <c r="Y306" s="223"/>
      <c r="Z306" s="224" t="s">
        <v>663</v>
      </c>
      <c r="AA306" s="157" t="s">
        <v>663</v>
      </c>
      <c r="AB306" s="151" t="s">
        <v>2602</v>
      </c>
      <c r="AC306" s="530" t="s">
        <v>3015</v>
      </c>
      <c r="AD306" s="159"/>
    </row>
    <row r="307" spans="1:30" x14ac:dyDescent="0.2">
      <c r="A307" s="218"/>
      <c r="B307" s="218"/>
      <c r="C307" s="219" t="s">
        <v>1508</v>
      </c>
      <c r="D307" s="220" t="s">
        <v>1509</v>
      </c>
      <c r="E307" s="221">
        <v>0</v>
      </c>
      <c r="F307" s="221">
        <v>0</v>
      </c>
      <c r="G307" s="221">
        <v>0</v>
      </c>
      <c r="H307" s="221">
        <v>0</v>
      </c>
      <c r="I307" s="221">
        <v>0</v>
      </c>
      <c r="J307" s="221">
        <v>0</v>
      </c>
      <c r="K307" s="221">
        <v>1</v>
      </c>
      <c r="L307" s="221">
        <v>0</v>
      </c>
      <c r="M307" s="221"/>
      <c r="N307" s="221">
        <v>0</v>
      </c>
      <c r="O307" s="221">
        <v>0</v>
      </c>
      <c r="P307" s="221">
        <v>0</v>
      </c>
      <c r="Q307" s="221">
        <v>0</v>
      </c>
      <c r="R307" s="221">
        <v>0</v>
      </c>
      <c r="S307" s="221">
        <v>0</v>
      </c>
      <c r="T307" s="221">
        <v>0</v>
      </c>
      <c r="U307" s="221">
        <v>0</v>
      </c>
      <c r="V307" s="221"/>
      <c r="W307" s="221"/>
      <c r="X307" s="222">
        <f t="shared" si="8"/>
        <v>1</v>
      </c>
      <c r="Y307" s="223"/>
      <c r="Z307" s="224" t="s">
        <v>663</v>
      </c>
      <c r="AA307" s="157" t="s">
        <v>663</v>
      </c>
      <c r="AB307" s="151" t="s">
        <v>2602</v>
      </c>
      <c r="AC307" s="530" t="s">
        <v>3015</v>
      </c>
      <c r="AD307" s="159"/>
    </row>
    <row r="308" spans="1:30" x14ac:dyDescent="0.2">
      <c r="A308" s="218"/>
      <c r="B308" s="218"/>
      <c r="C308" s="234" t="s">
        <v>1141</v>
      </c>
      <c r="D308" s="235" t="s">
        <v>66</v>
      </c>
      <c r="E308" s="236">
        <v>0</v>
      </c>
      <c r="F308" s="236">
        <v>0</v>
      </c>
      <c r="G308" s="236">
        <v>0</v>
      </c>
      <c r="H308" s="236">
        <v>0</v>
      </c>
      <c r="I308" s="236">
        <v>0</v>
      </c>
      <c r="J308" s="236">
        <v>0</v>
      </c>
      <c r="K308" s="236">
        <v>0</v>
      </c>
      <c r="L308" s="236">
        <v>0</v>
      </c>
      <c r="M308" s="236">
        <v>0</v>
      </c>
      <c r="N308" s="236">
        <v>0</v>
      </c>
      <c r="O308" s="236">
        <v>0</v>
      </c>
      <c r="P308" s="236">
        <v>0</v>
      </c>
      <c r="Q308" s="236">
        <v>0</v>
      </c>
      <c r="R308" s="236">
        <v>0</v>
      </c>
      <c r="S308" s="236">
        <v>1</v>
      </c>
      <c r="T308" s="236">
        <v>0</v>
      </c>
      <c r="U308" s="236">
        <v>0</v>
      </c>
      <c r="V308" s="236"/>
      <c r="W308" s="236"/>
      <c r="X308" s="237">
        <f t="shared" si="8"/>
        <v>1</v>
      </c>
      <c r="Y308" s="223"/>
      <c r="Z308" s="224" t="s">
        <v>663</v>
      </c>
      <c r="AA308" s="157" t="s">
        <v>663</v>
      </c>
      <c r="AB308" s="151" t="s">
        <v>2602</v>
      </c>
      <c r="AC308" s="530" t="s">
        <v>3015</v>
      </c>
      <c r="AD308" s="159"/>
    </row>
    <row r="309" spans="1:30" x14ac:dyDescent="0.2">
      <c r="A309" s="229"/>
      <c r="B309" s="229"/>
      <c r="C309" s="219" t="s">
        <v>1510</v>
      </c>
      <c r="D309" s="220" t="s">
        <v>1511</v>
      </c>
      <c r="E309" s="221">
        <v>1</v>
      </c>
      <c r="F309" s="221">
        <v>0</v>
      </c>
      <c r="G309" s="221">
        <v>0</v>
      </c>
      <c r="H309" s="221">
        <v>0</v>
      </c>
      <c r="I309" s="221">
        <v>0</v>
      </c>
      <c r="J309" s="221">
        <v>0</v>
      </c>
      <c r="K309" s="221">
        <v>0</v>
      </c>
      <c r="L309" s="221">
        <v>0</v>
      </c>
      <c r="M309" s="221"/>
      <c r="N309" s="221">
        <v>0</v>
      </c>
      <c r="O309" s="221">
        <v>0</v>
      </c>
      <c r="P309" s="221">
        <v>0</v>
      </c>
      <c r="Q309" s="221">
        <v>0</v>
      </c>
      <c r="R309" s="221">
        <v>0</v>
      </c>
      <c r="S309" s="221">
        <v>0</v>
      </c>
      <c r="T309" s="221">
        <v>0</v>
      </c>
      <c r="U309" s="221">
        <v>0</v>
      </c>
      <c r="V309" s="221"/>
      <c r="W309" s="221"/>
      <c r="X309" s="222">
        <f t="shared" si="8"/>
        <v>1</v>
      </c>
      <c r="Y309" s="223"/>
      <c r="Z309" s="224" t="s">
        <v>663</v>
      </c>
      <c r="AA309" s="157" t="s">
        <v>663</v>
      </c>
      <c r="AB309" s="229"/>
      <c r="AC309" s="530" t="s">
        <v>3015</v>
      </c>
      <c r="AD309" s="159"/>
    </row>
    <row r="310" spans="1:30" x14ac:dyDescent="0.2">
      <c r="A310" s="218"/>
      <c r="B310" s="218"/>
      <c r="C310" s="230" t="s">
        <v>1514</v>
      </c>
      <c r="D310" s="231" t="s">
        <v>1515</v>
      </c>
      <c r="E310" s="232">
        <v>0</v>
      </c>
      <c r="F310" s="232">
        <v>0</v>
      </c>
      <c r="G310" s="232">
        <v>0</v>
      </c>
      <c r="H310" s="232">
        <v>1</v>
      </c>
      <c r="I310" s="232">
        <v>0</v>
      </c>
      <c r="J310" s="232">
        <v>0</v>
      </c>
      <c r="K310" s="232">
        <v>0</v>
      </c>
      <c r="L310" s="232">
        <v>0</v>
      </c>
      <c r="M310" s="232"/>
      <c r="N310" s="232">
        <v>0</v>
      </c>
      <c r="O310" s="232">
        <v>0</v>
      </c>
      <c r="P310" s="232">
        <v>0</v>
      </c>
      <c r="Q310" s="232">
        <v>0</v>
      </c>
      <c r="R310" s="232">
        <v>0</v>
      </c>
      <c r="S310" s="232">
        <v>0</v>
      </c>
      <c r="T310" s="232">
        <v>0</v>
      </c>
      <c r="U310" s="232">
        <v>0</v>
      </c>
      <c r="V310" s="232"/>
      <c r="W310" s="232"/>
      <c r="X310" s="233">
        <f t="shared" si="8"/>
        <v>1</v>
      </c>
      <c r="Y310" s="223"/>
      <c r="Z310" s="224" t="s">
        <v>663</v>
      </c>
      <c r="AA310" s="157" t="s">
        <v>663</v>
      </c>
      <c r="AB310" s="151" t="s">
        <v>2602</v>
      </c>
      <c r="AC310" s="530" t="s">
        <v>3015</v>
      </c>
      <c r="AD310" s="159"/>
    </row>
    <row r="311" spans="1:30" x14ac:dyDescent="0.2">
      <c r="A311" s="218"/>
      <c r="B311" s="218"/>
      <c r="C311" s="248" t="s">
        <v>1144</v>
      </c>
      <c r="D311" s="249" t="s">
        <v>1145</v>
      </c>
      <c r="E311" s="221">
        <v>0</v>
      </c>
      <c r="F311" s="221">
        <v>0</v>
      </c>
      <c r="G311" s="221">
        <v>0</v>
      </c>
      <c r="H311" s="221">
        <v>0</v>
      </c>
      <c r="I311" s="221">
        <v>0</v>
      </c>
      <c r="J311" s="221">
        <v>0</v>
      </c>
      <c r="K311" s="221">
        <v>0</v>
      </c>
      <c r="L311" s="221">
        <v>0</v>
      </c>
      <c r="M311" s="221">
        <v>0</v>
      </c>
      <c r="N311" s="221">
        <v>1</v>
      </c>
      <c r="O311" s="221">
        <v>0</v>
      </c>
      <c r="P311" s="221">
        <v>0</v>
      </c>
      <c r="Q311" s="221">
        <v>0</v>
      </c>
      <c r="R311" s="221">
        <v>0</v>
      </c>
      <c r="S311" s="221">
        <v>0</v>
      </c>
      <c r="T311" s="221">
        <v>0</v>
      </c>
      <c r="U311" s="221">
        <v>0</v>
      </c>
      <c r="V311" s="221"/>
      <c r="W311" s="221"/>
      <c r="X311" s="222">
        <f t="shared" ref="X311:X324" si="9">SUM(E311:W311)</f>
        <v>1</v>
      </c>
      <c r="Y311" s="223"/>
      <c r="Z311" s="224" t="s">
        <v>663</v>
      </c>
      <c r="AA311" s="157" t="s">
        <v>663</v>
      </c>
      <c r="AB311" s="151" t="s">
        <v>2602</v>
      </c>
      <c r="AC311" s="530" t="s">
        <v>3015</v>
      </c>
      <c r="AD311" s="159"/>
    </row>
    <row r="312" spans="1:30" x14ac:dyDescent="0.2">
      <c r="A312" s="218"/>
      <c r="B312" s="218"/>
      <c r="C312" s="219" t="s">
        <v>1520</v>
      </c>
      <c r="D312" s="220" t="s">
        <v>1521</v>
      </c>
      <c r="E312" s="221">
        <v>0</v>
      </c>
      <c r="F312" s="221">
        <v>0</v>
      </c>
      <c r="G312" s="221">
        <v>0</v>
      </c>
      <c r="H312" s="221">
        <v>0</v>
      </c>
      <c r="I312" s="221">
        <v>0</v>
      </c>
      <c r="J312" s="221">
        <v>0</v>
      </c>
      <c r="K312" s="221">
        <v>0</v>
      </c>
      <c r="L312" s="221">
        <v>0</v>
      </c>
      <c r="M312" s="221"/>
      <c r="N312" s="221">
        <v>1</v>
      </c>
      <c r="O312" s="221">
        <v>0</v>
      </c>
      <c r="P312" s="221">
        <v>0</v>
      </c>
      <c r="Q312" s="221">
        <v>0</v>
      </c>
      <c r="R312" s="221">
        <v>0</v>
      </c>
      <c r="S312" s="221">
        <v>0</v>
      </c>
      <c r="T312" s="221">
        <v>0</v>
      </c>
      <c r="U312" s="221">
        <v>0</v>
      </c>
      <c r="V312" s="221"/>
      <c r="W312" s="221"/>
      <c r="X312" s="222">
        <f t="shared" si="9"/>
        <v>1</v>
      </c>
      <c r="Y312" s="223"/>
      <c r="Z312" s="224" t="s">
        <v>663</v>
      </c>
      <c r="AA312" s="157" t="s">
        <v>663</v>
      </c>
      <c r="AB312" s="151" t="s">
        <v>2602</v>
      </c>
      <c r="AC312" s="530" t="s">
        <v>3015</v>
      </c>
      <c r="AD312" s="159"/>
    </row>
    <row r="313" spans="1:30" x14ac:dyDescent="0.2">
      <c r="A313" s="218"/>
      <c r="B313" s="218"/>
      <c r="C313" s="248" t="s">
        <v>1148</v>
      </c>
      <c r="D313" s="249" t="s">
        <v>2828</v>
      </c>
      <c r="E313" s="221">
        <v>0</v>
      </c>
      <c r="F313" s="221">
        <v>0</v>
      </c>
      <c r="G313" s="221">
        <v>0</v>
      </c>
      <c r="H313" s="221">
        <v>0</v>
      </c>
      <c r="I313" s="221">
        <v>0</v>
      </c>
      <c r="J313" s="221">
        <v>0</v>
      </c>
      <c r="K313" s="221">
        <v>0</v>
      </c>
      <c r="L313" s="221">
        <v>0</v>
      </c>
      <c r="M313" s="221">
        <v>0</v>
      </c>
      <c r="N313" s="221">
        <v>0.8</v>
      </c>
      <c r="O313" s="221">
        <v>0</v>
      </c>
      <c r="P313" s="221">
        <v>0</v>
      </c>
      <c r="Q313" s="221">
        <v>0</v>
      </c>
      <c r="R313" s="221">
        <v>0</v>
      </c>
      <c r="S313" s="221">
        <v>0.2</v>
      </c>
      <c r="T313" s="221">
        <v>0</v>
      </c>
      <c r="U313" s="221">
        <v>0</v>
      </c>
      <c r="V313" s="221"/>
      <c r="W313" s="221"/>
      <c r="X313" s="222">
        <f t="shared" si="9"/>
        <v>1</v>
      </c>
      <c r="Y313" s="223"/>
      <c r="Z313" s="224" t="s">
        <v>663</v>
      </c>
      <c r="AA313" s="157" t="s">
        <v>663</v>
      </c>
      <c r="AB313" s="151" t="s">
        <v>2602</v>
      </c>
      <c r="AC313" s="530" t="s">
        <v>3015</v>
      </c>
      <c r="AD313" s="159"/>
    </row>
    <row r="314" spans="1:30" x14ac:dyDescent="0.2">
      <c r="A314" s="218"/>
      <c r="B314" s="281"/>
      <c r="C314" s="219" t="s">
        <v>1528</v>
      </c>
      <c r="D314" s="220" t="s">
        <v>2829</v>
      </c>
      <c r="E314" s="221">
        <v>0</v>
      </c>
      <c r="F314" s="221">
        <v>0</v>
      </c>
      <c r="G314" s="221">
        <v>0</v>
      </c>
      <c r="H314" s="221">
        <v>0</v>
      </c>
      <c r="I314" s="221">
        <v>0</v>
      </c>
      <c r="J314" s="221">
        <v>0</v>
      </c>
      <c r="K314" s="221">
        <v>0</v>
      </c>
      <c r="L314" s="221">
        <v>1</v>
      </c>
      <c r="M314" s="221"/>
      <c r="N314" s="221">
        <v>0</v>
      </c>
      <c r="O314" s="221">
        <v>0</v>
      </c>
      <c r="P314" s="221">
        <v>0</v>
      </c>
      <c r="Q314" s="221">
        <v>0</v>
      </c>
      <c r="R314" s="221">
        <v>0</v>
      </c>
      <c r="S314" s="221">
        <v>0</v>
      </c>
      <c r="T314" s="221">
        <v>0</v>
      </c>
      <c r="U314" s="221">
        <v>0</v>
      </c>
      <c r="V314" s="221"/>
      <c r="W314" s="221"/>
      <c r="X314" s="222">
        <f t="shared" si="9"/>
        <v>1</v>
      </c>
      <c r="Y314" s="223"/>
      <c r="Z314" s="224" t="s">
        <v>663</v>
      </c>
      <c r="AA314" s="157" t="s">
        <v>663</v>
      </c>
      <c r="AB314" s="151" t="s">
        <v>2602</v>
      </c>
      <c r="AC314" s="530" t="s">
        <v>3015</v>
      </c>
      <c r="AD314" s="159"/>
    </row>
    <row r="315" spans="1:30" x14ac:dyDescent="0.2">
      <c r="A315" s="218"/>
      <c r="B315" s="284"/>
      <c r="C315" s="260" t="s">
        <v>1529</v>
      </c>
      <c r="D315" s="261" t="s">
        <v>2830</v>
      </c>
      <c r="E315" s="236">
        <v>0</v>
      </c>
      <c r="F315" s="236">
        <v>0</v>
      </c>
      <c r="G315" s="236">
        <v>0.05</v>
      </c>
      <c r="H315" s="236">
        <v>0</v>
      </c>
      <c r="I315" s="236">
        <v>0</v>
      </c>
      <c r="J315" s="236">
        <v>0</v>
      </c>
      <c r="K315" s="236">
        <v>0</v>
      </c>
      <c r="L315" s="236">
        <v>0</v>
      </c>
      <c r="M315" s="236"/>
      <c r="N315" s="236">
        <v>0.8</v>
      </c>
      <c r="O315" s="236">
        <v>0</v>
      </c>
      <c r="P315" s="236">
        <v>0</v>
      </c>
      <c r="Q315" s="236">
        <v>0</v>
      </c>
      <c r="R315" s="236">
        <v>0</v>
      </c>
      <c r="S315" s="236">
        <v>0.15</v>
      </c>
      <c r="T315" s="236">
        <v>0</v>
      </c>
      <c r="U315" s="236">
        <v>0</v>
      </c>
      <c r="V315" s="236"/>
      <c r="W315" s="236"/>
      <c r="X315" s="237">
        <f t="shared" si="9"/>
        <v>1</v>
      </c>
      <c r="Y315" s="223"/>
      <c r="Z315" s="224" t="s">
        <v>663</v>
      </c>
      <c r="AA315" s="157" t="s">
        <v>663</v>
      </c>
      <c r="AB315" s="151" t="s">
        <v>2602</v>
      </c>
      <c r="AC315" s="530" t="s">
        <v>3015</v>
      </c>
      <c r="AD315" s="159"/>
    </row>
    <row r="316" spans="1:30" x14ac:dyDescent="0.2">
      <c r="A316" s="229"/>
      <c r="B316" s="229"/>
      <c r="C316" s="238" t="s">
        <v>1684</v>
      </c>
      <c r="D316" s="239" t="s">
        <v>1685</v>
      </c>
      <c r="E316" s="240">
        <v>0</v>
      </c>
      <c r="F316" s="240">
        <v>0</v>
      </c>
      <c r="G316" s="240">
        <v>0</v>
      </c>
      <c r="H316" s="240">
        <v>0</v>
      </c>
      <c r="I316" s="240">
        <v>0</v>
      </c>
      <c r="J316" s="240">
        <v>0</v>
      </c>
      <c r="K316" s="240">
        <v>0</v>
      </c>
      <c r="L316" s="240">
        <v>0</v>
      </c>
      <c r="M316" s="240">
        <v>0</v>
      </c>
      <c r="N316" s="240">
        <v>0.66770014258563126</v>
      </c>
      <c r="O316" s="240">
        <v>0</v>
      </c>
      <c r="P316" s="240">
        <v>0.16411197105840231</v>
      </c>
      <c r="Q316" s="240">
        <v>7.9254824578778704E-3</v>
      </c>
      <c r="R316" s="240">
        <v>0</v>
      </c>
      <c r="S316" s="240">
        <v>0.14121076337434355</v>
      </c>
      <c r="T316" s="240">
        <v>0</v>
      </c>
      <c r="U316" s="240">
        <v>1.9051640523744879E-2</v>
      </c>
      <c r="V316" s="240">
        <v>0</v>
      </c>
      <c r="W316" s="240">
        <v>0</v>
      </c>
      <c r="X316" s="221">
        <f t="shared" si="9"/>
        <v>0.99999999999999978</v>
      </c>
      <c r="Y316" s="223"/>
      <c r="Z316" s="224" t="s">
        <v>663</v>
      </c>
      <c r="AA316" s="157" t="s">
        <v>663</v>
      </c>
      <c r="AB316" s="282" t="s">
        <v>1101</v>
      </c>
      <c r="AC316" s="530" t="s">
        <v>3015</v>
      </c>
      <c r="AD316" s="159"/>
    </row>
    <row r="317" spans="1:30" x14ac:dyDescent="0.2">
      <c r="A317" s="271" t="s">
        <v>2821</v>
      </c>
      <c r="B317" s="271"/>
      <c r="C317" s="272" t="s">
        <v>1686</v>
      </c>
      <c r="D317" s="273" t="s">
        <v>1687</v>
      </c>
      <c r="E317" s="278">
        <v>0</v>
      </c>
      <c r="F317" s="278">
        <v>0</v>
      </c>
      <c r="G317" s="278">
        <v>0</v>
      </c>
      <c r="H317" s="278">
        <v>0</v>
      </c>
      <c r="I317" s="278">
        <v>0</v>
      </c>
      <c r="J317" s="278">
        <v>0</v>
      </c>
      <c r="K317" s="278">
        <v>0</v>
      </c>
      <c r="L317" s="278">
        <v>0</v>
      </c>
      <c r="M317" s="278">
        <v>0</v>
      </c>
      <c r="N317" s="278">
        <v>0.76608834589304087</v>
      </c>
      <c r="O317" s="278">
        <v>0</v>
      </c>
      <c r="P317" s="278">
        <v>0.1319034972694752</v>
      </c>
      <c r="Q317" s="278">
        <v>1.9257458221303685E-2</v>
      </c>
      <c r="R317" s="278">
        <v>0</v>
      </c>
      <c r="S317" s="278">
        <v>8.275069861618034E-2</v>
      </c>
      <c r="T317" s="278">
        <v>0</v>
      </c>
      <c r="U317" s="278">
        <v>0</v>
      </c>
      <c r="V317" s="278">
        <v>0</v>
      </c>
      <c r="W317" s="278">
        <v>0</v>
      </c>
      <c r="X317" s="274">
        <f t="shared" si="9"/>
        <v>1</v>
      </c>
      <c r="Y317" s="223"/>
      <c r="Z317" s="224" t="s">
        <v>663</v>
      </c>
      <c r="AA317" s="157" t="s">
        <v>649</v>
      </c>
      <c r="AB317" s="271" t="s">
        <v>2821</v>
      </c>
      <c r="AC317" s="530" t="s">
        <v>3015</v>
      </c>
      <c r="AD317" s="159"/>
    </row>
    <row r="318" spans="1:30" x14ac:dyDescent="0.2">
      <c r="A318" s="229"/>
      <c r="B318" s="229"/>
      <c r="C318" s="248" t="s">
        <v>1155</v>
      </c>
      <c r="D318" s="249" t="s">
        <v>71</v>
      </c>
      <c r="E318" s="221">
        <v>0</v>
      </c>
      <c r="F318" s="221">
        <v>0</v>
      </c>
      <c r="G318" s="221">
        <v>2.1739130434782608E-2</v>
      </c>
      <c r="H318" s="221">
        <v>0</v>
      </c>
      <c r="I318" s="221">
        <v>0</v>
      </c>
      <c r="J318" s="221">
        <v>0</v>
      </c>
      <c r="K318" s="221">
        <v>0</v>
      </c>
      <c r="L318" s="221">
        <v>0</v>
      </c>
      <c r="M318" s="221">
        <v>0</v>
      </c>
      <c r="N318" s="221">
        <v>0.60869565217391308</v>
      </c>
      <c r="O318" s="221">
        <v>0</v>
      </c>
      <c r="P318" s="221">
        <v>0</v>
      </c>
      <c r="Q318" s="221">
        <v>0</v>
      </c>
      <c r="R318" s="221">
        <v>0</v>
      </c>
      <c r="S318" s="221">
        <v>0.10869565217391304</v>
      </c>
      <c r="T318" s="221">
        <v>0</v>
      </c>
      <c r="U318" s="221">
        <v>0.2608695652173913</v>
      </c>
      <c r="V318" s="221"/>
      <c r="W318" s="221"/>
      <c r="X318" s="222">
        <f t="shared" si="9"/>
        <v>1</v>
      </c>
      <c r="Y318" s="223"/>
      <c r="Z318" s="224" t="s">
        <v>663</v>
      </c>
      <c r="AA318" s="157" t="s">
        <v>663</v>
      </c>
      <c r="AB318" s="282" t="s">
        <v>1101</v>
      </c>
      <c r="AC318" s="530" t="s">
        <v>3015</v>
      </c>
      <c r="AD318" s="159"/>
    </row>
    <row r="319" spans="1:30" x14ac:dyDescent="0.2">
      <c r="A319" s="229"/>
      <c r="B319" s="229"/>
      <c r="C319" s="248" t="s">
        <v>1159</v>
      </c>
      <c r="D319" s="249" t="s">
        <v>1160</v>
      </c>
      <c r="E319" s="221">
        <v>0</v>
      </c>
      <c r="F319" s="221">
        <v>0</v>
      </c>
      <c r="G319" s="221">
        <v>0</v>
      </c>
      <c r="H319" s="221">
        <v>0</v>
      </c>
      <c r="I319" s="221">
        <v>1</v>
      </c>
      <c r="J319" s="221">
        <v>0</v>
      </c>
      <c r="K319" s="221">
        <v>0</v>
      </c>
      <c r="L319" s="221">
        <v>0</v>
      </c>
      <c r="M319" s="221">
        <v>0</v>
      </c>
      <c r="N319" s="221">
        <v>0</v>
      </c>
      <c r="O319" s="221">
        <v>0</v>
      </c>
      <c r="P319" s="221">
        <v>0</v>
      </c>
      <c r="Q319" s="221">
        <v>0</v>
      </c>
      <c r="R319" s="221">
        <v>0</v>
      </c>
      <c r="S319" s="221">
        <v>0</v>
      </c>
      <c r="T319" s="221">
        <v>0</v>
      </c>
      <c r="U319" s="221">
        <v>0</v>
      </c>
      <c r="V319" s="221"/>
      <c r="W319" s="221"/>
      <c r="X319" s="222">
        <f t="shared" si="9"/>
        <v>1</v>
      </c>
      <c r="Y319" s="223"/>
      <c r="Z319" s="224" t="s">
        <v>663</v>
      </c>
      <c r="AA319" s="157" t="s">
        <v>663</v>
      </c>
      <c r="AB319" s="282" t="s">
        <v>1101</v>
      </c>
      <c r="AC319" s="530" t="s">
        <v>3015</v>
      </c>
      <c r="AD319" s="159"/>
    </row>
    <row r="320" spans="1:30" x14ac:dyDescent="0.2">
      <c r="A320" s="229"/>
      <c r="B320" s="229"/>
      <c r="C320" s="219" t="s">
        <v>1530</v>
      </c>
      <c r="D320" s="220" t="s">
        <v>1531</v>
      </c>
      <c r="E320" s="221">
        <v>0</v>
      </c>
      <c r="F320" s="221">
        <v>0</v>
      </c>
      <c r="G320" s="221">
        <v>1</v>
      </c>
      <c r="H320" s="221">
        <v>0</v>
      </c>
      <c r="I320" s="221">
        <v>0</v>
      </c>
      <c r="J320" s="221">
        <v>0</v>
      </c>
      <c r="K320" s="221">
        <v>0</v>
      </c>
      <c r="L320" s="221">
        <v>0</v>
      </c>
      <c r="M320" s="221"/>
      <c r="N320" s="221">
        <v>0</v>
      </c>
      <c r="O320" s="221">
        <v>0</v>
      </c>
      <c r="P320" s="221">
        <v>0</v>
      </c>
      <c r="Q320" s="221">
        <v>0</v>
      </c>
      <c r="R320" s="221">
        <v>0</v>
      </c>
      <c r="S320" s="221">
        <v>0</v>
      </c>
      <c r="T320" s="221">
        <v>0</v>
      </c>
      <c r="U320" s="221">
        <v>0</v>
      </c>
      <c r="V320" s="221"/>
      <c r="W320" s="221"/>
      <c r="X320" s="222">
        <f t="shared" si="9"/>
        <v>1</v>
      </c>
      <c r="Y320" s="223"/>
      <c r="Z320" s="224" t="s">
        <v>663</v>
      </c>
      <c r="AA320" s="157" t="s">
        <v>663</v>
      </c>
      <c r="AB320" s="282" t="s">
        <v>1101</v>
      </c>
      <c r="AC320" s="530" t="s">
        <v>3015</v>
      </c>
      <c r="AD320" s="159"/>
    </row>
    <row r="321" spans="1:30" x14ac:dyDescent="0.2">
      <c r="A321" s="229"/>
      <c r="B321" s="229"/>
      <c r="C321" s="219" t="s">
        <v>1532</v>
      </c>
      <c r="D321" s="220" t="s">
        <v>1533</v>
      </c>
      <c r="E321" s="221">
        <v>0</v>
      </c>
      <c r="F321" s="221">
        <v>0</v>
      </c>
      <c r="G321" s="221">
        <v>1</v>
      </c>
      <c r="H321" s="221">
        <v>0</v>
      </c>
      <c r="I321" s="221">
        <v>0</v>
      </c>
      <c r="J321" s="221">
        <v>0</v>
      </c>
      <c r="K321" s="221">
        <v>0</v>
      </c>
      <c r="L321" s="221">
        <v>0</v>
      </c>
      <c r="M321" s="221"/>
      <c r="N321" s="221">
        <v>0</v>
      </c>
      <c r="O321" s="221">
        <v>0</v>
      </c>
      <c r="P321" s="221">
        <v>0</v>
      </c>
      <c r="Q321" s="221">
        <v>0</v>
      </c>
      <c r="R321" s="221">
        <v>0</v>
      </c>
      <c r="S321" s="221">
        <v>0</v>
      </c>
      <c r="T321" s="221">
        <v>0</v>
      </c>
      <c r="U321" s="221">
        <v>0</v>
      </c>
      <c r="V321" s="221"/>
      <c r="W321" s="221"/>
      <c r="X321" s="222">
        <f t="shared" si="9"/>
        <v>1</v>
      </c>
      <c r="Y321" s="223"/>
      <c r="Z321" s="224" t="s">
        <v>663</v>
      </c>
      <c r="AA321" s="157" t="s">
        <v>663</v>
      </c>
      <c r="AB321" s="282" t="s">
        <v>1101</v>
      </c>
      <c r="AC321" s="530" t="s">
        <v>3015</v>
      </c>
      <c r="AD321" s="159"/>
    </row>
    <row r="322" spans="1:30" x14ac:dyDescent="0.2">
      <c r="A322" s="218"/>
      <c r="B322" s="218"/>
      <c r="C322" s="250" t="s">
        <v>1534</v>
      </c>
      <c r="D322" s="251" t="s">
        <v>1535</v>
      </c>
      <c r="E322" s="252">
        <v>0</v>
      </c>
      <c r="F322" s="252">
        <v>0</v>
      </c>
      <c r="G322" s="252">
        <v>0</v>
      </c>
      <c r="H322" s="252">
        <v>1</v>
      </c>
      <c r="I322" s="252">
        <v>0</v>
      </c>
      <c r="J322" s="252">
        <v>0</v>
      </c>
      <c r="K322" s="252">
        <v>0</v>
      </c>
      <c r="L322" s="252">
        <v>0</v>
      </c>
      <c r="M322" s="252"/>
      <c r="N322" s="252">
        <v>0</v>
      </c>
      <c r="O322" s="252">
        <v>0</v>
      </c>
      <c r="P322" s="252">
        <v>0</v>
      </c>
      <c r="Q322" s="252">
        <v>0</v>
      </c>
      <c r="R322" s="252">
        <v>0</v>
      </c>
      <c r="S322" s="252">
        <v>0</v>
      </c>
      <c r="T322" s="252">
        <v>0</v>
      </c>
      <c r="U322" s="252">
        <v>0</v>
      </c>
      <c r="V322" s="252"/>
      <c r="W322" s="252"/>
      <c r="X322" s="253">
        <f t="shared" si="9"/>
        <v>1</v>
      </c>
      <c r="Y322" s="223"/>
      <c r="Z322" s="224" t="s">
        <v>663</v>
      </c>
      <c r="AA322" s="157" t="s">
        <v>663</v>
      </c>
      <c r="AB322" s="151" t="s">
        <v>2602</v>
      </c>
      <c r="AC322" s="530" t="s">
        <v>3015</v>
      </c>
      <c r="AD322" s="159"/>
    </row>
    <row r="323" spans="1:30" x14ac:dyDescent="0.2">
      <c r="A323" s="229"/>
      <c r="B323" s="229"/>
      <c r="C323" s="219" t="s">
        <v>1537</v>
      </c>
      <c r="D323" s="220" t="s">
        <v>1538</v>
      </c>
      <c r="E323" s="221">
        <v>0</v>
      </c>
      <c r="F323" s="221">
        <v>0</v>
      </c>
      <c r="G323" s="221">
        <v>0</v>
      </c>
      <c r="H323" s="221">
        <v>1</v>
      </c>
      <c r="I323" s="221">
        <v>0</v>
      </c>
      <c r="J323" s="221">
        <v>0</v>
      </c>
      <c r="K323" s="221">
        <v>0</v>
      </c>
      <c r="L323" s="221">
        <v>0</v>
      </c>
      <c r="M323" s="221"/>
      <c r="N323" s="221">
        <v>0</v>
      </c>
      <c r="O323" s="221">
        <v>0</v>
      </c>
      <c r="P323" s="221">
        <v>0</v>
      </c>
      <c r="Q323" s="221">
        <v>0</v>
      </c>
      <c r="R323" s="221">
        <v>0</v>
      </c>
      <c r="S323" s="221">
        <v>0</v>
      </c>
      <c r="T323" s="221">
        <v>0</v>
      </c>
      <c r="U323" s="221">
        <v>0</v>
      </c>
      <c r="V323" s="221"/>
      <c r="W323" s="221"/>
      <c r="X323" s="222">
        <f t="shared" si="9"/>
        <v>1</v>
      </c>
      <c r="Y323" s="223"/>
      <c r="Z323" s="224" t="s">
        <v>663</v>
      </c>
      <c r="AA323" s="157" t="s">
        <v>663</v>
      </c>
      <c r="AB323" s="282" t="s">
        <v>1101</v>
      </c>
      <c r="AC323" s="530" t="s">
        <v>3015</v>
      </c>
      <c r="AD323" s="159"/>
    </row>
    <row r="324" spans="1:30" x14ac:dyDescent="0.2">
      <c r="A324" s="229"/>
      <c r="B324" s="229"/>
      <c r="C324" s="248" t="s">
        <v>1177</v>
      </c>
      <c r="D324" s="249" t="s">
        <v>1178</v>
      </c>
      <c r="E324" s="221">
        <v>0</v>
      </c>
      <c r="F324" s="221">
        <v>0</v>
      </c>
      <c r="G324" s="221">
        <v>0</v>
      </c>
      <c r="H324" s="221">
        <v>0</v>
      </c>
      <c r="I324" s="221">
        <v>0.95</v>
      </c>
      <c r="J324" s="221">
        <v>0.05</v>
      </c>
      <c r="K324" s="221">
        <v>0</v>
      </c>
      <c r="L324" s="221">
        <v>0</v>
      </c>
      <c r="M324" s="221">
        <v>0</v>
      </c>
      <c r="N324" s="221">
        <v>0</v>
      </c>
      <c r="O324" s="221">
        <v>0</v>
      </c>
      <c r="P324" s="221">
        <v>0</v>
      </c>
      <c r="Q324" s="221">
        <v>0</v>
      </c>
      <c r="R324" s="221">
        <v>0</v>
      </c>
      <c r="S324" s="221">
        <v>0</v>
      </c>
      <c r="T324" s="221">
        <v>0</v>
      </c>
      <c r="U324" s="221">
        <v>0</v>
      </c>
      <c r="V324" s="221"/>
      <c r="W324" s="221"/>
      <c r="X324" s="222">
        <f t="shared" si="9"/>
        <v>1</v>
      </c>
      <c r="Y324" s="223"/>
      <c r="Z324" s="224" t="s">
        <v>663</v>
      </c>
      <c r="AA324" s="157" t="s">
        <v>663</v>
      </c>
      <c r="AB324" s="282" t="s">
        <v>1101</v>
      </c>
      <c r="AC324" s="530" t="s">
        <v>3015</v>
      </c>
      <c r="AD324" s="159"/>
    </row>
    <row r="325" spans="1:30" x14ac:dyDescent="0.2">
      <c r="A325" s="254" t="s">
        <v>2821</v>
      </c>
      <c r="B325" s="285"/>
      <c r="C325" s="286" t="s">
        <v>1179</v>
      </c>
      <c r="D325" s="287" t="s">
        <v>1180</v>
      </c>
      <c r="E325" s="258">
        <v>0</v>
      </c>
      <c r="F325" s="258">
        <v>0</v>
      </c>
      <c r="G325" s="258">
        <v>0</v>
      </c>
      <c r="H325" s="258">
        <v>1</v>
      </c>
      <c r="I325" s="258">
        <v>0</v>
      </c>
      <c r="J325" s="258">
        <v>0</v>
      </c>
      <c r="K325" s="258">
        <v>0</v>
      </c>
      <c r="L325" s="258">
        <v>0</v>
      </c>
      <c r="M325" s="258">
        <v>0</v>
      </c>
      <c r="N325" s="258">
        <v>0</v>
      </c>
      <c r="O325" s="258">
        <v>0</v>
      </c>
      <c r="P325" s="258">
        <v>0</v>
      </c>
      <c r="Q325" s="258">
        <v>0</v>
      </c>
      <c r="R325" s="258">
        <v>0</v>
      </c>
      <c r="S325" s="258">
        <v>0</v>
      </c>
      <c r="T325" s="258">
        <v>0</v>
      </c>
      <c r="U325" s="258">
        <v>0</v>
      </c>
      <c r="V325" s="258">
        <v>0</v>
      </c>
      <c r="W325" s="258">
        <v>0</v>
      </c>
      <c r="X325" s="258">
        <f>SUBTOTAL(9,E325:W325)</f>
        <v>1</v>
      </c>
      <c r="Y325" s="223"/>
      <c r="Z325" s="224" t="s">
        <v>663</v>
      </c>
      <c r="AA325" s="157" t="s">
        <v>649</v>
      </c>
      <c r="AB325" s="259" t="s">
        <v>2821</v>
      </c>
      <c r="AC325" s="530" t="s">
        <v>3015</v>
      </c>
      <c r="AD325" s="159"/>
    </row>
    <row r="326" spans="1:30" x14ac:dyDescent="0.2">
      <c r="A326" s="229"/>
      <c r="B326" s="229"/>
      <c r="C326" s="288" t="s">
        <v>2593</v>
      </c>
      <c r="D326" s="289" t="s">
        <v>2269</v>
      </c>
      <c r="E326" s="221">
        <v>0</v>
      </c>
      <c r="F326" s="221">
        <v>0</v>
      </c>
      <c r="G326" s="221">
        <v>0</v>
      </c>
      <c r="H326" s="221">
        <v>1</v>
      </c>
      <c r="I326" s="221">
        <v>0</v>
      </c>
      <c r="J326" s="221">
        <v>0</v>
      </c>
      <c r="K326" s="221">
        <v>0</v>
      </c>
      <c r="L326" s="221">
        <v>0</v>
      </c>
      <c r="M326" s="221">
        <v>0</v>
      </c>
      <c r="N326" s="221">
        <v>0</v>
      </c>
      <c r="O326" s="221">
        <v>0</v>
      </c>
      <c r="P326" s="221">
        <v>0</v>
      </c>
      <c r="Q326" s="221">
        <v>0</v>
      </c>
      <c r="R326" s="221">
        <v>0</v>
      </c>
      <c r="S326" s="221">
        <v>0</v>
      </c>
      <c r="T326" s="221">
        <v>0</v>
      </c>
      <c r="U326" s="221">
        <v>0</v>
      </c>
      <c r="V326" s="221">
        <v>0</v>
      </c>
      <c r="W326" s="221">
        <v>0</v>
      </c>
      <c r="X326" s="222">
        <f t="shared" ref="X326:X349" si="10">SUM(E326:W326)</f>
        <v>1</v>
      </c>
      <c r="Y326" s="223"/>
      <c r="Z326" s="224" t="s">
        <v>663</v>
      </c>
      <c r="AA326" s="157" t="s">
        <v>663</v>
      </c>
      <c r="AB326" s="282" t="s">
        <v>1101</v>
      </c>
      <c r="AC326" s="530" t="s">
        <v>3015</v>
      </c>
      <c r="AD326" s="159"/>
    </row>
    <row r="327" spans="1:30" x14ac:dyDescent="0.2">
      <c r="A327" s="290" t="s">
        <v>1101</v>
      </c>
      <c r="B327" s="229"/>
      <c r="C327" s="238" t="s">
        <v>1690</v>
      </c>
      <c r="D327" s="239" t="s">
        <v>1691</v>
      </c>
      <c r="E327" s="240">
        <v>0</v>
      </c>
      <c r="F327" s="240">
        <v>8.4897030931944104E-4</v>
      </c>
      <c r="G327" s="240">
        <v>3.425283513470974E-3</v>
      </c>
      <c r="H327" s="240">
        <v>0</v>
      </c>
      <c r="I327" s="240">
        <v>0</v>
      </c>
      <c r="J327" s="240">
        <v>9.8933283246155444E-4</v>
      </c>
      <c r="K327" s="240">
        <v>0</v>
      </c>
      <c r="L327" s="240">
        <v>0</v>
      </c>
      <c r="M327" s="240">
        <v>0</v>
      </c>
      <c r="N327" s="240">
        <v>0.11145871112366139</v>
      </c>
      <c r="O327" s="240">
        <v>3.2212957180222388E-3</v>
      </c>
      <c r="P327" s="240">
        <v>3.3295346485484864E-2</v>
      </c>
      <c r="Q327" s="240">
        <v>1.6907698106837219E-3</v>
      </c>
      <c r="R327" s="240">
        <v>0</v>
      </c>
      <c r="S327" s="240">
        <v>1.976345725093211E-2</v>
      </c>
      <c r="T327" s="240">
        <v>0.82530683295596374</v>
      </c>
      <c r="U327" s="240">
        <v>0</v>
      </c>
      <c r="V327" s="240">
        <v>0</v>
      </c>
      <c r="W327" s="240">
        <v>0</v>
      </c>
      <c r="X327" s="221">
        <f t="shared" si="10"/>
        <v>1</v>
      </c>
      <c r="Y327" s="223"/>
      <c r="Z327" s="224" t="s">
        <v>663</v>
      </c>
      <c r="AA327" s="157" t="s">
        <v>663</v>
      </c>
      <c r="AB327" s="282" t="s">
        <v>1101</v>
      </c>
      <c r="AC327" s="530" t="s">
        <v>3015</v>
      </c>
      <c r="AD327" s="159"/>
    </row>
    <row r="328" spans="1:30" x14ac:dyDescent="0.2">
      <c r="A328" s="291"/>
      <c r="B328" s="291"/>
      <c r="C328" s="230" t="s">
        <v>1545</v>
      </c>
      <c r="D328" s="231" t="s">
        <v>1546</v>
      </c>
      <c r="E328" s="232">
        <v>0</v>
      </c>
      <c r="F328" s="232">
        <v>0</v>
      </c>
      <c r="G328" s="232">
        <v>2.865329512893983E-2</v>
      </c>
      <c r="H328" s="232">
        <v>0</v>
      </c>
      <c r="I328" s="232">
        <v>5.730659025787966E-2</v>
      </c>
      <c r="J328" s="232">
        <v>0</v>
      </c>
      <c r="K328" s="232">
        <v>0</v>
      </c>
      <c r="L328" s="232">
        <v>0</v>
      </c>
      <c r="M328" s="232"/>
      <c r="N328" s="232">
        <v>0.15873925501432665</v>
      </c>
      <c r="O328" s="232">
        <v>1.7191977077363897E-3</v>
      </c>
      <c r="P328" s="232">
        <v>0</v>
      </c>
      <c r="Q328" s="232">
        <v>0</v>
      </c>
      <c r="R328" s="232">
        <v>0</v>
      </c>
      <c r="S328" s="232">
        <v>8.5959885386819493E-2</v>
      </c>
      <c r="T328" s="232">
        <v>0.66762177650429799</v>
      </c>
      <c r="U328" s="232">
        <v>0</v>
      </c>
      <c r="V328" s="232"/>
      <c r="W328" s="232"/>
      <c r="X328" s="233">
        <f t="shared" si="10"/>
        <v>1</v>
      </c>
      <c r="Y328" s="223"/>
      <c r="Z328" s="224" t="s">
        <v>663</v>
      </c>
      <c r="AA328" s="157" t="s">
        <v>663</v>
      </c>
      <c r="AB328" s="292" t="s">
        <v>2821</v>
      </c>
      <c r="AC328" s="530" t="s">
        <v>3015</v>
      </c>
      <c r="AD328" s="159"/>
    </row>
    <row r="329" spans="1:30" x14ac:dyDescent="0.2">
      <c r="A329" s="218"/>
      <c r="B329" s="284"/>
      <c r="C329" s="225" t="s">
        <v>1694</v>
      </c>
      <c r="D329" s="226" t="s">
        <v>1695</v>
      </c>
      <c r="E329" s="245">
        <v>0</v>
      </c>
      <c r="F329" s="245">
        <v>0</v>
      </c>
      <c r="G329" s="245">
        <v>6.6766658466398607E-3</v>
      </c>
      <c r="H329" s="245">
        <v>0</v>
      </c>
      <c r="I329" s="245">
        <v>0</v>
      </c>
      <c r="J329" s="245">
        <v>0</v>
      </c>
      <c r="K329" s="245">
        <v>0</v>
      </c>
      <c r="L329" s="245">
        <v>0</v>
      </c>
      <c r="M329" s="245">
        <v>0</v>
      </c>
      <c r="N329" s="245">
        <v>0.79407065176230185</v>
      </c>
      <c r="O329" s="245">
        <v>0</v>
      </c>
      <c r="P329" s="245">
        <v>5.5967158166864026E-2</v>
      </c>
      <c r="Q329" s="245">
        <v>0</v>
      </c>
      <c r="R329" s="245">
        <v>0</v>
      </c>
      <c r="S329" s="245">
        <v>0.10551135244056845</v>
      </c>
      <c r="T329" s="245">
        <v>3.004499632820682E-2</v>
      </c>
      <c r="U329" s="245">
        <v>7.7291754554189651E-3</v>
      </c>
      <c r="V329" s="245">
        <v>0</v>
      </c>
      <c r="W329" s="245">
        <v>0</v>
      </c>
      <c r="X329" s="236">
        <f t="shared" si="10"/>
        <v>0.99999999999999989</v>
      </c>
      <c r="Y329" s="223"/>
      <c r="Z329" s="224" t="s">
        <v>663</v>
      </c>
      <c r="AA329" s="157" t="s">
        <v>663</v>
      </c>
      <c r="AB329" s="151" t="s">
        <v>2602</v>
      </c>
      <c r="AC329" s="530" t="s">
        <v>3015</v>
      </c>
      <c r="AD329" s="159"/>
    </row>
    <row r="330" spans="1:30" x14ac:dyDescent="0.2">
      <c r="A330" s="229"/>
      <c r="B330" s="229"/>
      <c r="C330" s="219" t="s">
        <v>1547</v>
      </c>
      <c r="D330" s="220" t="s">
        <v>1069</v>
      </c>
      <c r="E330" s="221">
        <v>0</v>
      </c>
      <c r="F330" s="221">
        <v>0</v>
      </c>
      <c r="G330" s="221">
        <v>1</v>
      </c>
      <c r="H330" s="221">
        <v>0</v>
      </c>
      <c r="I330" s="221">
        <v>0</v>
      </c>
      <c r="J330" s="221">
        <v>0</v>
      </c>
      <c r="K330" s="221">
        <v>0</v>
      </c>
      <c r="L330" s="221">
        <v>0</v>
      </c>
      <c r="M330" s="221"/>
      <c r="N330" s="221">
        <v>0</v>
      </c>
      <c r="O330" s="221">
        <v>0</v>
      </c>
      <c r="P330" s="221">
        <v>0</v>
      </c>
      <c r="Q330" s="221">
        <v>0</v>
      </c>
      <c r="R330" s="221">
        <v>0</v>
      </c>
      <c r="S330" s="221">
        <v>0</v>
      </c>
      <c r="T330" s="221">
        <v>0</v>
      </c>
      <c r="U330" s="221">
        <v>0</v>
      </c>
      <c r="V330" s="221"/>
      <c r="W330" s="221"/>
      <c r="X330" s="222">
        <f t="shared" si="10"/>
        <v>1</v>
      </c>
      <c r="Y330" s="223"/>
      <c r="Z330" s="224" t="s">
        <v>663</v>
      </c>
      <c r="AA330" s="157" t="s">
        <v>663</v>
      </c>
      <c r="AB330" s="282" t="s">
        <v>1101</v>
      </c>
      <c r="AC330" s="530" t="s">
        <v>3015</v>
      </c>
      <c r="AD330" s="159"/>
    </row>
    <row r="331" spans="1:30" x14ac:dyDescent="0.2">
      <c r="A331" s="229"/>
      <c r="B331" s="229"/>
      <c r="C331" s="219" t="s">
        <v>1548</v>
      </c>
      <c r="D331" s="220" t="s">
        <v>1549</v>
      </c>
      <c r="E331" s="221">
        <v>0</v>
      </c>
      <c r="F331" s="221">
        <v>0</v>
      </c>
      <c r="G331" s="221">
        <v>1</v>
      </c>
      <c r="H331" s="221">
        <v>0</v>
      </c>
      <c r="I331" s="221">
        <v>0</v>
      </c>
      <c r="J331" s="221">
        <v>0</v>
      </c>
      <c r="K331" s="221">
        <v>0</v>
      </c>
      <c r="L331" s="221">
        <v>0</v>
      </c>
      <c r="M331" s="221"/>
      <c r="N331" s="221">
        <v>0</v>
      </c>
      <c r="O331" s="221">
        <v>0</v>
      </c>
      <c r="P331" s="221">
        <v>0</v>
      </c>
      <c r="Q331" s="221">
        <v>0</v>
      </c>
      <c r="R331" s="221">
        <v>0</v>
      </c>
      <c r="S331" s="221">
        <v>0</v>
      </c>
      <c r="T331" s="221">
        <v>0</v>
      </c>
      <c r="U331" s="221">
        <v>0</v>
      </c>
      <c r="V331" s="221"/>
      <c r="W331" s="221"/>
      <c r="X331" s="222">
        <f t="shared" si="10"/>
        <v>1</v>
      </c>
      <c r="Y331" s="223"/>
      <c r="Z331" s="224" t="s">
        <v>663</v>
      </c>
      <c r="AA331" s="157" t="s">
        <v>663</v>
      </c>
      <c r="AB331" s="282" t="s">
        <v>1101</v>
      </c>
      <c r="AC331" s="530" t="s">
        <v>3015</v>
      </c>
      <c r="AD331" s="159"/>
    </row>
    <row r="332" spans="1:30" x14ac:dyDescent="0.2">
      <c r="A332" s="293" t="s">
        <v>2597</v>
      </c>
      <c r="B332" s="294"/>
      <c r="C332" s="295" t="s">
        <v>1196</v>
      </c>
      <c r="D332" s="296" t="s">
        <v>1197</v>
      </c>
      <c r="E332" s="297"/>
      <c r="F332" s="297"/>
      <c r="G332" s="297"/>
      <c r="H332" s="297"/>
      <c r="I332" s="297"/>
      <c r="J332" s="297"/>
      <c r="K332" s="297"/>
      <c r="L332" s="297"/>
      <c r="M332" s="297"/>
      <c r="N332" s="297"/>
      <c r="O332" s="297"/>
      <c r="P332" s="297"/>
      <c r="Q332" s="297"/>
      <c r="R332" s="297"/>
      <c r="S332" s="297">
        <v>1</v>
      </c>
      <c r="T332" s="297"/>
      <c r="U332" s="297"/>
      <c r="V332" s="297"/>
      <c r="W332" s="297"/>
      <c r="X332" s="298">
        <f t="shared" si="10"/>
        <v>1</v>
      </c>
      <c r="Y332" s="223"/>
      <c r="Z332" s="224" t="s">
        <v>663</v>
      </c>
      <c r="AA332" s="157" t="s">
        <v>663</v>
      </c>
      <c r="AB332" s="293" t="s">
        <v>2597</v>
      </c>
      <c r="AC332" s="530" t="s">
        <v>3015</v>
      </c>
      <c r="AD332" s="159"/>
    </row>
    <row r="333" spans="1:30" x14ac:dyDescent="0.2">
      <c r="A333" s="218"/>
      <c r="B333" s="281"/>
      <c r="C333" s="248" t="s">
        <v>1200</v>
      </c>
      <c r="D333" s="249" t="s">
        <v>96</v>
      </c>
      <c r="E333" s="221">
        <v>0</v>
      </c>
      <c r="F333" s="221">
        <v>0</v>
      </c>
      <c r="G333" s="221">
        <v>0</v>
      </c>
      <c r="H333" s="221">
        <v>0</v>
      </c>
      <c r="I333" s="221">
        <v>0</v>
      </c>
      <c r="J333" s="221">
        <v>0</v>
      </c>
      <c r="K333" s="221">
        <v>1</v>
      </c>
      <c r="L333" s="221">
        <v>0</v>
      </c>
      <c r="M333" s="221">
        <v>0</v>
      </c>
      <c r="N333" s="221">
        <v>0</v>
      </c>
      <c r="O333" s="221">
        <v>0</v>
      </c>
      <c r="P333" s="221">
        <v>0</v>
      </c>
      <c r="Q333" s="221">
        <v>0</v>
      </c>
      <c r="R333" s="221">
        <v>0</v>
      </c>
      <c r="S333" s="221">
        <v>0</v>
      </c>
      <c r="T333" s="221">
        <v>0</v>
      </c>
      <c r="U333" s="221">
        <v>0</v>
      </c>
      <c r="V333" s="221"/>
      <c r="W333" s="221"/>
      <c r="X333" s="222">
        <f t="shared" si="10"/>
        <v>1</v>
      </c>
      <c r="Y333" s="223"/>
      <c r="Z333" s="224" t="s">
        <v>663</v>
      </c>
      <c r="AA333" s="157" t="s">
        <v>663</v>
      </c>
      <c r="AB333" s="151" t="s">
        <v>2602</v>
      </c>
      <c r="AC333" s="530" t="s">
        <v>3015</v>
      </c>
      <c r="AD333" s="159"/>
    </row>
    <row r="334" spans="1:30" x14ac:dyDescent="0.2">
      <c r="A334" s="218"/>
      <c r="B334" s="281"/>
      <c r="C334" s="219" t="s">
        <v>1550</v>
      </c>
      <c r="D334" s="220" t="s">
        <v>1551</v>
      </c>
      <c r="E334" s="221">
        <v>0</v>
      </c>
      <c r="F334" s="221">
        <v>0</v>
      </c>
      <c r="G334" s="221">
        <v>0</v>
      </c>
      <c r="H334" s="221">
        <v>1</v>
      </c>
      <c r="I334" s="221">
        <v>0</v>
      </c>
      <c r="J334" s="221">
        <v>0</v>
      </c>
      <c r="K334" s="221">
        <v>0</v>
      </c>
      <c r="L334" s="221">
        <v>0</v>
      </c>
      <c r="M334" s="221"/>
      <c r="N334" s="221">
        <v>0</v>
      </c>
      <c r="O334" s="221">
        <v>0</v>
      </c>
      <c r="P334" s="221">
        <v>0</v>
      </c>
      <c r="Q334" s="221">
        <v>0</v>
      </c>
      <c r="R334" s="221">
        <v>0</v>
      </c>
      <c r="S334" s="221">
        <v>0</v>
      </c>
      <c r="T334" s="221">
        <v>0</v>
      </c>
      <c r="U334" s="221">
        <v>0</v>
      </c>
      <c r="V334" s="221"/>
      <c r="W334" s="221"/>
      <c r="X334" s="222">
        <f t="shared" si="10"/>
        <v>1</v>
      </c>
      <c r="Y334" s="223"/>
      <c r="Z334" s="224" t="s">
        <v>663</v>
      </c>
      <c r="AA334" s="157" t="s">
        <v>663</v>
      </c>
      <c r="AB334" s="151" t="s">
        <v>2602</v>
      </c>
      <c r="AC334" s="530" t="s">
        <v>3015</v>
      </c>
      <c r="AD334" s="159"/>
    </row>
    <row r="335" spans="1:30" x14ac:dyDescent="0.2">
      <c r="A335" s="218"/>
      <c r="B335" s="281"/>
      <c r="C335" s="219" t="s">
        <v>1554</v>
      </c>
      <c r="D335" s="220" t="s">
        <v>1070</v>
      </c>
      <c r="E335" s="221">
        <v>0</v>
      </c>
      <c r="F335" s="221">
        <v>0</v>
      </c>
      <c r="G335" s="221">
        <v>0</v>
      </c>
      <c r="H335" s="221">
        <v>1</v>
      </c>
      <c r="I335" s="221">
        <v>0</v>
      </c>
      <c r="J335" s="221">
        <v>0</v>
      </c>
      <c r="K335" s="221">
        <v>0</v>
      </c>
      <c r="L335" s="221">
        <v>0</v>
      </c>
      <c r="M335" s="221"/>
      <c r="N335" s="221">
        <v>0</v>
      </c>
      <c r="O335" s="221">
        <v>0</v>
      </c>
      <c r="P335" s="221">
        <v>0</v>
      </c>
      <c r="Q335" s="221">
        <v>0</v>
      </c>
      <c r="R335" s="221">
        <v>0</v>
      </c>
      <c r="S335" s="221">
        <v>0</v>
      </c>
      <c r="T335" s="221">
        <v>0</v>
      </c>
      <c r="U335" s="221">
        <v>0</v>
      </c>
      <c r="V335" s="221"/>
      <c r="W335" s="221"/>
      <c r="X335" s="222">
        <f t="shared" si="10"/>
        <v>1</v>
      </c>
      <c r="Y335" s="223"/>
      <c r="Z335" s="224" t="s">
        <v>663</v>
      </c>
      <c r="AA335" s="157" t="s">
        <v>663</v>
      </c>
      <c r="AB335" s="151" t="s">
        <v>2602</v>
      </c>
      <c r="AC335" s="530" t="s">
        <v>3015</v>
      </c>
      <c r="AD335" s="159"/>
    </row>
    <row r="336" spans="1:30" x14ac:dyDescent="0.2">
      <c r="A336" s="281"/>
      <c r="B336" s="218"/>
      <c r="C336" s="248" t="s">
        <v>1213</v>
      </c>
      <c r="D336" s="249" t="s">
        <v>1214</v>
      </c>
      <c r="E336" s="232">
        <v>0</v>
      </c>
      <c r="F336" s="232">
        <v>0</v>
      </c>
      <c r="G336" s="232">
        <v>0</v>
      </c>
      <c r="H336" s="232">
        <v>1</v>
      </c>
      <c r="I336" s="232">
        <v>0</v>
      </c>
      <c r="J336" s="232">
        <v>0</v>
      </c>
      <c r="K336" s="232">
        <v>0</v>
      </c>
      <c r="L336" s="232">
        <v>0</v>
      </c>
      <c r="M336" s="232">
        <v>0</v>
      </c>
      <c r="N336" s="232">
        <v>0</v>
      </c>
      <c r="O336" s="232">
        <v>0</v>
      </c>
      <c r="P336" s="232">
        <v>0</v>
      </c>
      <c r="Q336" s="232">
        <v>0</v>
      </c>
      <c r="R336" s="232">
        <v>0</v>
      </c>
      <c r="S336" s="232">
        <v>0</v>
      </c>
      <c r="T336" s="232">
        <v>0</v>
      </c>
      <c r="U336" s="232">
        <v>0</v>
      </c>
      <c r="V336" s="232"/>
      <c r="W336" s="232"/>
      <c r="X336" s="233">
        <f t="shared" si="10"/>
        <v>1</v>
      </c>
      <c r="Y336" s="223"/>
      <c r="Z336" s="224" t="s">
        <v>663</v>
      </c>
      <c r="AA336" s="157" t="s">
        <v>663</v>
      </c>
      <c r="AB336" s="259" t="s">
        <v>2821</v>
      </c>
      <c r="AC336" s="530" t="s">
        <v>3015</v>
      </c>
      <c r="AD336" s="159"/>
    </row>
    <row r="337" spans="1:30" x14ac:dyDescent="0.2">
      <c r="A337" s="281"/>
      <c r="B337" s="281"/>
      <c r="C337" s="248" t="s">
        <v>1215</v>
      </c>
      <c r="D337" s="249" t="s">
        <v>101</v>
      </c>
      <c r="E337" s="232">
        <v>0</v>
      </c>
      <c r="F337" s="232">
        <v>0</v>
      </c>
      <c r="G337" s="232">
        <v>0</v>
      </c>
      <c r="H337" s="232">
        <v>1</v>
      </c>
      <c r="I337" s="232">
        <v>0</v>
      </c>
      <c r="J337" s="232">
        <v>0</v>
      </c>
      <c r="K337" s="232">
        <v>0</v>
      </c>
      <c r="L337" s="232">
        <v>0</v>
      </c>
      <c r="M337" s="232">
        <v>0</v>
      </c>
      <c r="N337" s="232">
        <v>0</v>
      </c>
      <c r="O337" s="232">
        <v>0</v>
      </c>
      <c r="P337" s="232">
        <v>0</v>
      </c>
      <c r="Q337" s="232">
        <v>0</v>
      </c>
      <c r="R337" s="232">
        <v>0</v>
      </c>
      <c r="S337" s="232">
        <v>0</v>
      </c>
      <c r="T337" s="232">
        <v>0</v>
      </c>
      <c r="U337" s="232">
        <v>0</v>
      </c>
      <c r="V337" s="232"/>
      <c r="W337" s="232"/>
      <c r="X337" s="233">
        <f t="shared" si="10"/>
        <v>1</v>
      </c>
      <c r="Y337" s="223"/>
      <c r="Z337" s="224" t="s">
        <v>663</v>
      </c>
      <c r="AA337" s="157" t="s">
        <v>663</v>
      </c>
      <c r="AB337" s="259" t="s">
        <v>2821</v>
      </c>
      <c r="AC337" s="530" t="s">
        <v>3015</v>
      </c>
      <c r="AD337" s="159"/>
    </row>
    <row r="338" spans="1:30" x14ac:dyDescent="0.2">
      <c r="A338" s="281"/>
      <c r="B338" s="281"/>
      <c r="C338" s="248" t="s">
        <v>1216</v>
      </c>
      <c r="D338" s="249" t="s">
        <v>1217</v>
      </c>
      <c r="E338" s="232">
        <v>2.2136929460580913E-2</v>
      </c>
      <c r="F338" s="232">
        <v>5.3813816325222377E-2</v>
      </c>
      <c r="G338" s="232">
        <v>0.11134319172125574</v>
      </c>
      <c r="H338" s="232">
        <v>9.0968890737851332E-2</v>
      </c>
      <c r="I338" s="232">
        <v>7.4541536858258553E-2</v>
      </c>
      <c r="J338" s="232">
        <v>1.1751232220950061E-2</v>
      </c>
      <c r="K338" s="232">
        <v>0</v>
      </c>
      <c r="L338" s="232">
        <v>6.8464730290456431E-4</v>
      </c>
      <c r="M338" s="232">
        <v>0</v>
      </c>
      <c r="N338" s="232">
        <v>0.17341498239445721</v>
      </c>
      <c r="O338" s="232">
        <v>1.7950403456968127E-2</v>
      </c>
      <c r="P338" s="232">
        <v>6.5339859349486357E-2</v>
      </c>
      <c r="Q338" s="232">
        <v>5.6745630269864544E-3</v>
      </c>
      <c r="R338" s="232">
        <v>0</v>
      </c>
      <c r="S338" s="232">
        <v>0.18794046685627466</v>
      </c>
      <c r="T338" s="232">
        <v>4.4902024194389448E-2</v>
      </c>
      <c r="U338" s="232">
        <v>1.1915879815256323E-2</v>
      </c>
      <c r="V338" s="232">
        <v>0</v>
      </c>
      <c r="W338" s="232">
        <v>0.12762157627915785</v>
      </c>
      <c r="X338" s="233">
        <f t="shared" si="10"/>
        <v>0.99999999999999989</v>
      </c>
      <c r="Y338" s="223"/>
      <c r="Z338" s="224" t="s">
        <v>663</v>
      </c>
      <c r="AA338" s="157" t="s">
        <v>663</v>
      </c>
      <c r="AB338" s="259" t="s">
        <v>2821</v>
      </c>
      <c r="AC338" s="530" t="s">
        <v>3015</v>
      </c>
      <c r="AD338" s="159"/>
    </row>
    <row r="339" spans="1:30" x14ac:dyDescent="0.2">
      <c r="A339" s="293" t="s">
        <v>2597</v>
      </c>
      <c r="B339" s="299"/>
      <c r="C339" s="300" t="s">
        <v>1218</v>
      </c>
      <c r="D339" s="301" t="s">
        <v>1219</v>
      </c>
      <c r="E339" s="302"/>
      <c r="F339" s="302"/>
      <c r="G339" s="302"/>
      <c r="H339" s="302"/>
      <c r="I339" s="302"/>
      <c r="J339" s="302"/>
      <c r="K339" s="302"/>
      <c r="L339" s="302">
        <v>1</v>
      </c>
      <c r="M339" s="302"/>
      <c r="N339" s="302"/>
      <c r="O339" s="302"/>
      <c r="P339" s="302"/>
      <c r="Q339" s="302"/>
      <c r="R339" s="302"/>
      <c r="S339" s="302"/>
      <c r="T339" s="302"/>
      <c r="U339" s="302"/>
      <c r="V339" s="302"/>
      <c r="W339" s="302"/>
      <c r="X339" s="303">
        <f t="shared" si="10"/>
        <v>1</v>
      </c>
      <c r="Y339" s="223"/>
      <c r="Z339" s="224" t="s">
        <v>663</v>
      </c>
      <c r="AA339" s="157" t="s">
        <v>663</v>
      </c>
      <c r="AB339" s="293" t="s">
        <v>2597</v>
      </c>
      <c r="AC339" s="530" t="s">
        <v>3015</v>
      </c>
      <c r="AD339" s="159"/>
    </row>
    <row r="340" spans="1:30" x14ac:dyDescent="0.2">
      <c r="A340" s="281"/>
      <c r="B340" s="281"/>
      <c r="C340" s="304" t="s">
        <v>1634</v>
      </c>
      <c r="D340" s="305" t="s">
        <v>2831</v>
      </c>
      <c r="E340" s="262">
        <v>0</v>
      </c>
      <c r="F340" s="262">
        <v>0</v>
      </c>
      <c r="G340" s="262">
        <v>0</v>
      </c>
      <c r="H340" s="262">
        <v>0</v>
      </c>
      <c r="I340" s="262">
        <v>0</v>
      </c>
      <c r="J340" s="262">
        <v>0</v>
      </c>
      <c r="K340" s="262">
        <v>0</v>
      </c>
      <c r="L340" s="262">
        <v>1</v>
      </c>
      <c r="M340" s="262">
        <v>0</v>
      </c>
      <c r="N340" s="262">
        <v>0</v>
      </c>
      <c r="O340" s="262">
        <v>0</v>
      </c>
      <c r="P340" s="262">
        <v>0</v>
      </c>
      <c r="Q340" s="262">
        <v>0</v>
      </c>
      <c r="R340" s="262">
        <v>0</v>
      </c>
      <c r="S340" s="262">
        <v>0</v>
      </c>
      <c r="T340" s="262">
        <v>0</v>
      </c>
      <c r="U340" s="262">
        <v>0</v>
      </c>
      <c r="V340" s="262">
        <v>0</v>
      </c>
      <c r="W340" s="306">
        <v>0</v>
      </c>
      <c r="X340" s="307">
        <f t="shared" si="10"/>
        <v>1</v>
      </c>
      <c r="Y340" s="223"/>
      <c r="Z340" s="224" t="s">
        <v>663</v>
      </c>
      <c r="AA340" s="157" t="s">
        <v>663</v>
      </c>
      <c r="AB340" s="259" t="s">
        <v>2821</v>
      </c>
      <c r="AC340" s="530" t="s">
        <v>3015</v>
      </c>
      <c r="AD340" s="159"/>
    </row>
    <row r="341" spans="1:30" x14ac:dyDescent="0.2">
      <c r="A341" s="218"/>
      <c r="B341" s="281"/>
      <c r="C341" s="263" t="s">
        <v>1635</v>
      </c>
      <c r="D341" s="264" t="s">
        <v>109</v>
      </c>
      <c r="E341" s="265">
        <v>0</v>
      </c>
      <c r="F341" s="265">
        <v>0</v>
      </c>
      <c r="G341" s="265">
        <v>0</v>
      </c>
      <c r="H341" s="265">
        <v>0</v>
      </c>
      <c r="I341" s="265">
        <v>0</v>
      </c>
      <c r="J341" s="265">
        <v>0</v>
      </c>
      <c r="K341" s="265">
        <v>0</v>
      </c>
      <c r="L341" s="265">
        <v>0</v>
      </c>
      <c r="M341" s="265">
        <v>0</v>
      </c>
      <c r="N341" s="265">
        <v>1</v>
      </c>
      <c r="O341" s="265">
        <v>0</v>
      </c>
      <c r="P341" s="265">
        <v>0</v>
      </c>
      <c r="Q341" s="265">
        <v>0</v>
      </c>
      <c r="R341" s="265">
        <v>0</v>
      </c>
      <c r="S341" s="265">
        <v>0</v>
      </c>
      <c r="T341" s="265">
        <v>0</v>
      </c>
      <c r="U341" s="265">
        <v>0</v>
      </c>
      <c r="V341" s="265"/>
      <c r="W341" s="265">
        <v>0</v>
      </c>
      <c r="X341" s="222">
        <f t="shared" si="10"/>
        <v>1</v>
      </c>
      <c r="Y341" s="223"/>
      <c r="Z341" s="224" t="s">
        <v>663</v>
      </c>
      <c r="AA341" s="157" t="s">
        <v>663</v>
      </c>
      <c r="AB341" s="151" t="s">
        <v>2602</v>
      </c>
      <c r="AC341" s="530" t="s">
        <v>3015</v>
      </c>
      <c r="AD341" s="159"/>
    </row>
    <row r="342" spans="1:30" x14ac:dyDescent="0.2">
      <c r="A342" s="218"/>
      <c r="B342" s="281"/>
      <c r="C342" s="238" t="s">
        <v>1696</v>
      </c>
      <c r="D342" s="239" t="s">
        <v>1697</v>
      </c>
      <c r="E342" s="308">
        <v>0</v>
      </c>
      <c r="F342" s="308">
        <v>9.9683830629455333E-3</v>
      </c>
      <c r="G342" s="308">
        <v>4.9942538232427849E-2</v>
      </c>
      <c r="H342" s="308">
        <v>0</v>
      </c>
      <c r="I342" s="308">
        <v>0</v>
      </c>
      <c r="J342" s="308">
        <v>2.4146604711283267E-2</v>
      </c>
      <c r="K342" s="308">
        <v>0</v>
      </c>
      <c r="L342" s="308">
        <v>0</v>
      </c>
      <c r="M342" s="308">
        <v>0</v>
      </c>
      <c r="N342" s="308">
        <v>0.30116366436574848</v>
      </c>
      <c r="O342" s="308">
        <v>3.4642876534645366E-2</v>
      </c>
      <c r="P342" s="308">
        <v>0.2131726793894691</v>
      </c>
      <c r="Q342" s="308">
        <v>2.6206390261278949E-2</v>
      </c>
      <c r="R342" s="308">
        <v>0</v>
      </c>
      <c r="S342" s="308">
        <v>0.1896933457324706</v>
      </c>
      <c r="T342" s="308">
        <v>0.12593266498787981</v>
      </c>
      <c r="U342" s="308">
        <v>2.5130852721850956E-2</v>
      </c>
      <c r="V342" s="308">
        <v>0</v>
      </c>
      <c r="W342" s="308">
        <v>0</v>
      </c>
      <c r="X342" s="309">
        <f t="shared" si="10"/>
        <v>1</v>
      </c>
      <c r="Y342" s="223"/>
      <c r="Z342" s="224" t="s">
        <v>663</v>
      </c>
      <c r="AA342" s="157" t="s">
        <v>663</v>
      </c>
      <c r="AB342" s="151" t="s">
        <v>2602</v>
      </c>
      <c r="AC342" s="530" t="s">
        <v>3015</v>
      </c>
      <c r="AD342" s="159"/>
    </row>
    <row r="343" spans="1:30" x14ac:dyDescent="0.2">
      <c r="A343" s="281"/>
      <c r="B343" s="218"/>
      <c r="C343" s="219" t="s">
        <v>1555</v>
      </c>
      <c r="D343" s="220" t="s">
        <v>1556</v>
      </c>
      <c r="E343" s="232">
        <v>0</v>
      </c>
      <c r="F343" s="232">
        <v>0</v>
      </c>
      <c r="G343" s="232">
        <v>0</v>
      </c>
      <c r="H343" s="232">
        <v>0</v>
      </c>
      <c r="I343" s="232">
        <v>0</v>
      </c>
      <c r="J343" s="232">
        <v>0</v>
      </c>
      <c r="K343" s="232">
        <v>0</v>
      </c>
      <c r="L343" s="232">
        <v>0</v>
      </c>
      <c r="M343" s="232"/>
      <c r="N343" s="232">
        <v>0.73770491803278693</v>
      </c>
      <c r="O343" s="232">
        <v>0</v>
      </c>
      <c r="P343" s="232">
        <v>0</v>
      </c>
      <c r="Q343" s="232">
        <v>0</v>
      </c>
      <c r="R343" s="232">
        <v>0</v>
      </c>
      <c r="S343" s="232">
        <v>0.26229508196721313</v>
      </c>
      <c r="T343" s="232">
        <v>0</v>
      </c>
      <c r="U343" s="232">
        <v>0</v>
      </c>
      <c r="V343" s="232"/>
      <c r="W343" s="232"/>
      <c r="X343" s="233">
        <f t="shared" si="10"/>
        <v>1</v>
      </c>
      <c r="Y343" s="223"/>
      <c r="Z343" s="224" t="s">
        <v>663</v>
      </c>
      <c r="AA343" s="157" t="s">
        <v>663</v>
      </c>
      <c r="AB343" s="259" t="s">
        <v>2821</v>
      </c>
      <c r="AC343" s="530" t="s">
        <v>3015</v>
      </c>
      <c r="AD343" s="159"/>
    </row>
    <row r="344" spans="1:30" x14ac:dyDescent="0.2">
      <c r="A344" s="218"/>
      <c r="B344" s="284"/>
      <c r="C344" s="225" t="s">
        <v>1698</v>
      </c>
      <c r="D344" s="226" t="s">
        <v>1699</v>
      </c>
      <c r="E344" s="236">
        <v>0</v>
      </c>
      <c r="F344" s="236">
        <v>0</v>
      </c>
      <c r="G344" s="236">
        <v>5.4513452229346469E-2</v>
      </c>
      <c r="H344" s="236">
        <v>0</v>
      </c>
      <c r="I344" s="236">
        <v>0</v>
      </c>
      <c r="J344" s="236">
        <v>0</v>
      </c>
      <c r="K344" s="236">
        <v>0</v>
      </c>
      <c r="L344" s="236">
        <v>0</v>
      </c>
      <c r="M344" s="236">
        <v>0</v>
      </c>
      <c r="N344" s="236">
        <v>0.61130976003767989</v>
      </c>
      <c r="O344" s="236">
        <v>0</v>
      </c>
      <c r="P344" s="236">
        <v>0.122010427439805</v>
      </c>
      <c r="Q344" s="236">
        <v>0</v>
      </c>
      <c r="R344" s="236">
        <v>0</v>
      </c>
      <c r="S344" s="236">
        <v>0.21216636029316854</v>
      </c>
      <c r="T344" s="236">
        <v>0</v>
      </c>
      <c r="U344" s="236">
        <v>0</v>
      </c>
      <c r="V344" s="236">
        <v>0</v>
      </c>
      <c r="W344" s="236">
        <v>0</v>
      </c>
      <c r="X344" s="236">
        <f t="shared" si="10"/>
        <v>0.99999999999999978</v>
      </c>
      <c r="Y344" s="223"/>
      <c r="Z344" s="224" t="s">
        <v>663</v>
      </c>
      <c r="AA344" s="157" t="s">
        <v>663</v>
      </c>
      <c r="AB344" s="151" t="s">
        <v>2602</v>
      </c>
      <c r="AC344" s="530" t="s">
        <v>3015</v>
      </c>
      <c r="AD344" s="159"/>
    </row>
    <row r="345" spans="1:30" x14ac:dyDescent="0.2">
      <c r="A345" s="229"/>
      <c r="B345" s="229"/>
      <c r="C345" s="238" t="s">
        <v>1700</v>
      </c>
      <c r="D345" s="239" t="s">
        <v>1701</v>
      </c>
      <c r="E345" s="221">
        <v>0</v>
      </c>
      <c r="F345" s="221">
        <v>0</v>
      </c>
      <c r="G345" s="221">
        <v>5.4329826432567105E-2</v>
      </c>
      <c r="H345" s="221">
        <v>0</v>
      </c>
      <c r="I345" s="221">
        <v>0</v>
      </c>
      <c r="J345" s="221">
        <v>0</v>
      </c>
      <c r="K345" s="221">
        <v>0</v>
      </c>
      <c r="L345" s="221">
        <v>0</v>
      </c>
      <c r="M345" s="221">
        <v>0</v>
      </c>
      <c r="N345" s="221">
        <v>0.61261904338141615</v>
      </c>
      <c r="O345" s="221">
        <v>0</v>
      </c>
      <c r="P345" s="221">
        <v>0.12159944150811666</v>
      </c>
      <c r="Q345" s="221">
        <v>0</v>
      </c>
      <c r="R345" s="221">
        <v>0</v>
      </c>
      <c r="S345" s="221">
        <v>0.21145168867790001</v>
      </c>
      <c r="T345" s="221">
        <v>0</v>
      </c>
      <c r="U345" s="221">
        <v>0</v>
      </c>
      <c r="V345" s="221">
        <v>0</v>
      </c>
      <c r="W345" s="221">
        <v>0</v>
      </c>
      <c r="X345" s="221">
        <f t="shared" si="10"/>
        <v>0.99999999999999989</v>
      </c>
      <c r="Y345" s="223"/>
      <c r="Z345" s="224" t="s">
        <v>663</v>
      </c>
      <c r="AA345" s="157" t="s">
        <v>663</v>
      </c>
      <c r="AB345" s="282" t="s">
        <v>1101</v>
      </c>
      <c r="AC345" s="530" t="s">
        <v>3015</v>
      </c>
      <c r="AD345" s="159"/>
    </row>
    <row r="346" spans="1:30" x14ac:dyDescent="0.2">
      <c r="A346" s="218"/>
      <c r="B346" s="291"/>
      <c r="C346" s="241" t="s">
        <v>1702</v>
      </c>
      <c r="D346" s="242" t="s">
        <v>1703</v>
      </c>
      <c r="E346" s="232">
        <v>0</v>
      </c>
      <c r="F346" s="232">
        <v>0</v>
      </c>
      <c r="G346" s="232">
        <v>0</v>
      </c>
      <c r="H346" s="232">
        <v>0</v>
      </c>
      <c r="I346" s="232">
        <v>0</v>
      </c>
      <c r="J346" s="232">
        <v>1.3359509428691005E-2</v>
      </c>
      <c r="K346" s="232">
        <v>0</v>
      </c>
      <c r="L346" s="232">
        <v>0</v>
      </c>
      <c r="M346" s="232">
        <v>0</v>
      </c>
      <c r="N346" s="232">
        <v>0.73473282796518991</v>
      </c>
      <c r="O346" s="232">
        <v>0</v>
      </c>
      <c r="P346" s="232">
        <v>0.12129013578014138</v>
      </c>
      <c r="Q346" s="232">
        <v>1.0687607543487186E-2</v>
      </c>
      <c r="R346" s="232">
        <v>0</v>
      </c>
      <c r="S346" s="232">
        <v>1.264700225916082E-2</v>
      </c>
      <c r="T346" s="232">
        <v>0</v>
      </c>
      <c r="U346" s="232">
        <v>0.10728291702332979</v>
      </c>
      <c r="V346" s="232">
        <v>0</v>
      </c>
      <c r="W346" s="232">
        <v>0</v>
      </c>
      <c r="X346" s="232">
        <f t="shared" si="10"/>
        <v>1</v>
      </c>
      <c r="Y346" s="223"/>
      <c r="Z346" s="224" t="s">
        <v>663</v>
      </c>
      <c r="AA346" s="157" t="s">
        <v>663</v>
      </c>
      <c r="AB346" s="151" t="s">
        <v>2602</v>
      </c>
      <c r="AC346" s="530" t="s">
        <v>3015</v>
      </c>
      <c r="AD346" s="159"/>
    </row>
    <row r="347" spans="1:30" x14ac:dyDescent="0.2">
      <c r="A347" s="218"/>
      <c r="B347" s="281"/>
      <c r="C347" s="238" t="s">
        <v>1704</v>
      </c>
      <c r="D347" s="239" t="s">
        <v>1705</v>
      </c>
      <c r="E347" s="240">
        <v>0</v>
      </c>
      <c r="F347" s="240">
        <v>6.9203446682999201E-2</v>
      </c>
      <c r="G347" s="240">
        <v>0.19477009306659837</v>
      </c>
      <c r="H347" s="240">
        <v>0</v>
      </c>
      <c r="I347" s="240">
        <v>0</v>
      </c>
      <c r="J347" s="240">
        <v>4.5840159806984346E-2</v>
      </c>
      <c r="K347" s="240">
        <v>0</v>
      </c>
      <c r="L347" s="240">
        <v>0</v>
      </c>
      <c r="M347" s="240">
        <v>0</v>
      </c>
      <c r="N347" s="240">
        <v>0.26773999942595578</v>
      </c>
      <c r="O347" s="240">
        <v>3.9457587680766119E-2</v>
      </c>
      <c r="P347" s="240">
        <v>0.13509624896791425</v>
      </c>
      <c r="Q347" s="240">
        <v>8.3053638110284333E-3</v>
      </c>
      <c r="R347" s="240">
        <v>0</v>
      </c>
      <c r="S347" s="240">
        <v>0.20519365509780024</v>
      </c>
      <c r="T347" s="240">
        <v>3.4393445459953154E-2</v>
      </c>
      <c r="U347" s="240">
        <v>0</v>
      </c>
      <c r="V347" s="240">
        <v>0</v>
      </c>
      <c r="W347" s="240">
        <v>0</v>
      </c>
      <c r="X347" s="221">
        <f t="shared" si="10"/>
        <v>0.99999999999999989</v>
      </c>
      <c r="Y347" s="223"/>
      <c r="Z347" s="224" t="s">
        <v>663</v>
      </c>
      <c r="AA347" s="157" t="s">
        <v>663</v>
      </c>
      <c r="AB347" s="151" t="s">
        <v>2602</v>
      </c>
      <c r="AC347" s="530" t="s">
        <v>3015</v>
      </c>
      <c r="AD347" s="159"/>
    </row>
    <row r="348" spans="1:30" x14ac:dyDescent="0.2">
      <c r="A348" s="218"/>
      <c r="B348" s="281"/>
      <c r="C348" s="238" t="s">
        <v>1706</v>
      </c>
      <c r="D348" s="239" t="s">
        <v>1707</v>
      </c>
      <c r="E348" s="240">
        <v>0</v>
      </c>
      <c r="F348" s="240">
        <v>0</v>
      </c>
      <c r="G348" s="240">
        <v>0</v>
      </c>
      <c r="H348" s="240">
        <v>0</v>
      </c>
      <c r="I348" s="240">
        <v>0</v>
      </c>
      <c r="J348" s="240">
        <v>5.6402244723873451E-2</v>
      </c>
      <c r="K348" s="240">
        <v>0</v>
      </c>
      <c r="L348" s="240">
        <v>0</v>
      </c>
      <c r="M348" s="240">
        <v>0</v>
      </c>
      <c r="N348" s="240">
        <v>0.46424096347842336</v>
      </c>
      <c r="O348" s="240">
        <v>3.3277324387698939E-2</v>
      </c>
      <c r="P348" s="240">
        <v>0.22992932871168764</v>
      </c>
      <c r="Q348" s="240">
        <v>1.3950838858497639E-2</v>
      </c>
      <c r="R348" s="240">
        <v>0</v>
      </c>
      <c r="S348" s="240">
        <v>0.1395289020804063</v>
      </c>
      <c r="T348" s="240">
        <v>6.2670397759412494E-2</v>
      </c>
      <c r="U348" s="240">
        <v>0</v>
      </c>
      <c r="V348" s="240">
        <v>0</v>
      </c>
      <c r="W348" s="240">
        <v>0</v>
      </c>
      <c r="X348" s="221">
        <f t="shared" si="10"/>
        <v>0.99999999999999978</v>
      </c>
      <c r="Y348" s="223"/>
      <c r="Z348" s="224" t="s">
        <v>663</v>
      </c>
      <c r="AA348" s="157" t="s">
        <v>663</v>
      </c>
      <c r="AB348" s="151" t="s">
        <v>2602</v>
      </c>
      <c r="AC348" s="530" t="s">
        <v>3015</v>
      </c>
      <c r="AD348" s="159"/>
    </row>
    <row r="349" spans="1:30" x14ac:dyDescent="0.2">
      <c r="A349" s="218"/>
      <c r="B349" s="281"/>
      <c r="C349" s="238" t="s">
        <v>1708</v>
      </c>
      <c r="D349" s="239" t="s">
        <v>1709</v>
      </c>
      <c r="E349" s="240">
        <v>0</v>
      </c>
      <c r="F349" s="240">
        <v>0</v>
      </c>
      <c r="G349" s="240">
        <v>0</v>
      </c>
      <c r="H349" s="240">
        <v>0</v>
      </c>
      <c r="I349" s="240">
        <v>0</v>
      </c>
      <c r="J349" s="240">
        <v>8.0528749958959339E-2</v>
      </c>
      <c r="K349" s="240">
        <v>0</v>
      </c>
      <c r="L349" s="240">
        <v>0</v>
      </c>
      <c r="M349" s="240">
        <v>0</v>
      </c>
      <c r="N349" s="240">
        <v>0.40629214272543784</v>
      </c>
      <c r="O349" s="240">
        <v>4.3552632270273575E-2</v>
      </c>
      <c r="P349" s="240">
        <v>0.24255920365509243</v>
      </c>
      <c r="Q349" s="240">
        <v>1.2766491160012718E-2</v>
      </c>
      <c r="R349" s="240">
        <v>0</v>
      </c>
      <c r="S349" s="240">
        <v>0.1614333047749254</v>
      </c>
      <c r="T349" s="240">
        <v>5.2867475455298671E-2</v>
      </c>
      <c r="U349" s="240">
        <v>0</v>
      </c>
      <c r="V349" s="240">
        <v>0</v>
      </c>
      <c r="W349" s="240">
        <v>0</v>
      </c>
      <c r="X349" s="221">
        <f t="shared" si="10"/>
        <v>1</v>
      </c>
      <c r="Y349" s="223"/>
      <c r="Z349" s="224" t="s">
        <v>663</v>
      </c>
      <c r="AA349" s="157" t="s">
        <v>663</v>
      </c>
      <c r="AB349" s="151" t="s">
        <v>2602</v>
      </c>
      <c r="AC349" s="530" t="s">
        <v>3015</v>
      </c>
      <c r="AD349" s="159"/>
    </row>
    <row r="350" spans="1:30" x14ac:dyDescent="0.2">
      <c r="A350" s="254" t="s">
        <v>2821</v>
      </c>
      <c r="B350" s="310"/>
      <c r="C350" s="311" t="s">
        <v>1710</v>
      </c>
      <c r="D350" s="312" t="s">
        <v>1711</v>
      </c>
      <c r="E350" s="274">
        <v>0</v>
      </c>
      <c r="F350" s="274">
        <v>2.0736493800065814E-2</v>
      </c>
      <c r="G350" s="274">
        <v>0.14009851116809655</v>
      </c>
      <c r="H350" s="274">
        <v>0</v>
      </c>
      <c r="I350" s="274">
        <v>1.1730045324340205E-3</v>
      </c>
      <c r="J350" s="274">
        <v>0</v>
      </c>
      <c r="K350" s="274">
        <v>0</v>
      </c>
      <c r="L350" s="274">
        <v>0</v>
      </c>
      <c r="M350" s="274">
        <v>0</v>
      </c>
      <c r="N350" s="274">
        <v>0.32336100731679684</v>
      </c>
      <c r="O350" s="274">
        <v>3.9093173208885737E-2</v>
      </c>
      <c r="P350" s="274">
        <v>0.15870496759294167</v>
      </c>
      <c r="Q350" s="274">
        <v>1.1525852303274063E-2</v>
      </c>
      <c r="R350" s="274">
        <v>0</v>
      </c>
      <c r="S350" s="274">
        <v>0.21744896686091472</v>
      </c>
      <c r="T350" s="274">
        <v>4.6810083070830268E-2</v>
      </c>
      <c r="U350" s="274">
        <v>4.104794014576036E-2</v>
      </c>
      <c r="V350" s="274">
        <v>0</v>
      </c>
      <c r="W350" s="274">
        <v>0</v>
      </c>
      <c r="X350" s="274">
        <f>SUBTOTAL(9,E350:W350)</f>
        <v>1</v>
      </c>
      <c r="Y350" s="223"/>
      <c r="Z350" s="224" t="s">
        <v>663</v>
      </c>
      <c r="AA350" s="157" t="s">
        <v>649</v>
      </c>
      <c r="AB350" s="259" t="s">
        <v>2821</v>
      </c>
      <c r="AC350" s="530" t="s">
        <v>3015</v>
      </c>
      <c r="AD350" s="159"/>
    </row>
    <row r="351" spans="1:30" x14ac:dyDescent="0.2">
      <c r="A351" s="218"/>
      <c r="B351" s="284"/>
      <c r="C351" s="225" t="s">
        <v>1712</v>
      </c>
      <c r="D351" s="226" t="s">
        <v>1713</v>
      </c>
      <c r="E351" s="245">
        <v>0</v>
      </c>
      <c r="F351" s="245">
        <v>0</v>
      </c>
      <c r="G351" s="245">
        <v>0</v>
      </c>
      <c r="H351" s="245">
        <v>0</v>
      </c>
      <c r="I351" s="245">
        <v>0</v>
      </c>
      <c r="J351" s="245">
        <v>5.6989963682958299E-2</v>
      </c>
      <c r="K351" s="245">
        <v>0</v>
      </c>
      <c r="L351" s="245">
        <v>0</v>
      </c>
      <c r="M351" s="245">
        <v>0</v>
      </c>
      <c r="N351" s="245">
        <v>0.43035208014790061</v>
      </c>
      <c r="O351" s="245">
        <v>3.188490209562235E-2</v>
      </c>
      <c r="P351" s="245">
        <v>0.21776772974847031</v>
      </c>
      <c r="Q351" s="245">
        <v>1.3367094240287859E-2</v>
      </c>
      <c r="R351" s="245">
        <v>0</v>
      </c>
      <c r="S351" s="245">
        <v>0.13369059755260759</v>
      </c>
      <c r="T351" s="245">
        <v>0.1159476325321529</v>
      </c>
      <c r="U351" s="245">
        <v>0</v>
      </c>
      <c r="V351" s="245">
        <v>0</v>
      </c>
      <c r="W351" s="245">
        <v>0</v>
      </c>
      <c r="X351" s="236">
        <f t="shared" ref="X351:X376" si="11">SUM(E351:W351)</f>
        <v>0.99999999999999978</v>
      </c>
      <c r="Y351" s="223"/>
      <c r="Z351" s="224" t="s">
        <v>663</v>
      </c>
      <c r="AA351" s="157" t="s">
        <v>663</v>
      </c>
      <c r="AB351" s="151" t="s">
        <v>2602</v>
      </c>
      <c r="AC351" s="530" t="s">
        <v>3015</v>
      </c>
      <c r="AD351" s="159"/>
    </row>
    <row r="352" spans="1:30" x14ac:dyDescent="0.2">
      <c r="A352" s="229"/>
      <c r="B352" s="229"/>
      <c r="C352" s="238" t="s">
        <v>1714</v>
      </c>
      <c r="D352" s="239" t="s">
        <v>1715</v>
      </c>
      <c r="E352" s="240">
        <v>0</v>
      </c>
      <c r="F352" s="240">
        <v>0</v>
      </c>
      <c r="G352" s="240">
        <v>0</v>
      </c>
      <c r="H352" s="240">
        <v>0</v>
      </c>
      <c r="I352" s="240">
        <v>0</v>
      </c>
      <c r="J352" s="240">
        <v>7.5037714995641477E-2</v>
      </c>
      <c r="K352" s="240">
        <v>0</v>
      </c>
      <c r="L352" s="240">
        <v>0</v>
      </c>
      <c r="M352" s="240">
        <v>0</v>
      </c>
      <c r="N352" s="240">
        <v>0.40462010234379442</v>
      </c>
      <c r="O352" s="240">
        <v>4.058289752755774E-2</v>
      </c>
      <c r="P352" s="240">
        <v>0.19656128814337034</v>
      </c>
      <c r="Q352" s="240">
        <v>1.2361212916811104E-2</v>
      </c>
      <c r="R352" s="240">
        <v>0</v>
      </c>
      <c r="S352" s="240">
        <v>0.15042560974408459</v>
      </c>
      <c r="T352" s="240">
        <v>0.12041117432874018</v>
      </c>
      <c r="U352" s="240">
        <v>0</v>
      </c>
      <c r="V352" s="240">
        <v>0</v>
      </c>
      <c r="W352" s="240">
        <v>0</v>
      </c>
      <c r="X352" s="221">
        <f t="shared" si="11"/>
        <v>0.99999999999999989</v>
      </c>
      <c r="Y352" s="223"/>
      <c r="Z352" s="224" t="s">
        <v>663</v>
      </c>
      <c r="AA352" s="157" t="s">
        <v>663</v>
      </c>
      <c r="AB352" s="282" t="s">
        <v>1101</v>
      </c>
      <c r="AC352" s="530" t="s">
        <v>3015</v>
      </c>
      <c r="AD352" s="159"/>
    </row>
    <row r="353" spans="1:30" x14ac:dyDescent="0.2">
      <c r="A353" s="218"/>
      <c r="B353" s="291"/>
      <c r="C353" s="241" t="s">
        <v>1716</v>
      </c>
      <c r="D353" s="242" t="s">
        <v>1717</v>
      </c>
      <c r="E353" s="262">
        <v>0</v>
      </c>
      <c r="F353" s="262">
        <v>0</v>
      </c>
      <c r="G353" s="262">
        <v>0</v>
      </c>
      <c r="H353" s="262">
        <v>0</v>
      </c>
      <c r="I353" s="262">
        <v>0</v>
      </c>
      <c r="J353" s="262">
        <v>7.2706124972228905E-2</v>
      </c>
      <c r="K353" s="262">
        <v>0</v>
      </c>
      <c r="L353" s="262">
        <v>0</v>
      </c>
      <c r="M353" s="262">
        <v>0</v>
      </c>
      <c r="N353" s="262">
        <v>0.39679778219048273</v>
      </c>
      <c r="O353" s="262">
        <v>3.9321895923205522E-2</v>
      </c>
      <c r="P353" s="262">
        <v>0.19045368827241435</v>
      </c>
      <c r="Q353" s="262">
        <v>1.1977122320291881E-2</v>
      </c>
      <c r="R353" s="262">
        <v>0</v>
      </c>
      <c r="S353" s="262">
        <v>0.14575154882731184</v>
      </c>
      <c r="T353" s="262">
        <v>0.14299183749406472</v>
      </c>
      <c r="U353" s="262">
        <v>0</v>
      </c>
      <c r="V353" s="262">
        <v>0</v>
      </c>
      <c r="W353" s="262">
        <v>0</v>
      </c>
      <c r="X353" s="232">
        <f t="shared" si="11"/>
        <v>1</v>
      </c>
      <c r="Y353" s="223"/>
      <c r="Z353" s="224" t="s">
        <v>663</v>
      </c>
      <c r="AA353" s="157" t="s">
        <v>663</v>
      </c>
      <c r="AB353" s="151" t="s">
        <v>2602</v>
      </c>
      <c r="AC353" s="530" t="s">
        <v>3015</v>
      </c>
      <c r="AD353" s="159"/>
    </row>
    <row r="354" spans="1:30" x14ac:dyDescent="0.2">
      <c r="A354" s="218"/>
      <c r="B354" s="281"/>
      <c r="C354" s="219" t="s">
        <v>1557</v>
      </c>
      <c r="D354" s="220" t="s">
        <v>1558</v>
      </c>
      <c r="E354" s="221">
        <v>0</v>
      </c>
      <c r="F354" s="221">
        <v>0</v>
      </c>
      <c r="G354" s="221">
        <v>1</v>
      </c>
      <c r="H354" s="221">
        <v>0</v>
      </c>
      <c r="I354" s="221">
        <v>0</v>
      </c>
      <c r="J354" s="221">
        <v>0</v>
      </c>
      <c r="K354" s="221">
        <v>0</v>
      </c>
      <c r="L354" s="221">
        <v>0</v>
      </c>
      <c r="M354" s="221"/>
      <c r="N354" s="221">
        <v>0</v>
      </c>
      <c r="O354" s="221">
        <v>0</v>
      </c>
      <c r="P354" s="221">
        <v>0</v>
      </c>
      <c r="Q354" s="221">
        <v>0</v>
      </c>
      <c r="R354" s="221">
        <v>0</v>
      </c>
      <c r="S354" s="221">
        <v>0</v>
      </c>
      <c r="T354" s="221">
        <v>0</v>
      </c>
      <c r="U354" s="221">
        <v>0</v>
      </c>
      <c r="V354" s="221"/>
      <c r="W354" s="221"/>
      <c r="X354" s="222">
        <f t="shared" si="11"/>
        <v>1</v>
      </c>
      <c r="Y354" s="223"/>
      <c r="Z354" s="224" t="s">
        <v>663</v>
      </c>
      <c r="AA354" s="157" t="s">
        <v>663</v>
      </c>
      <c r="AB354" s="151" t="s">
        <v>2602</v>
      </c>
      <c r="AC354" s="530" t="s">
        <v>3015</v>
      </c>
      <c r="AD354" s="159"/>
    </row>
    <row r="355" spans="1:30" x14ac:dyDescent="0.2">
      <c r="A355" s="218"/>
      <c r="B355" s="281"/>
      <c r="C355" s="219" t="s">
        <v>1559</v>
      </c>
      <c r="D355" s="220" t="s">
        <v>1560</v>
      </c>
      <c r="E355" s="221">
        <v>0</v>
      </c>
      <c r="F355" s="221">
        <v>0</v>
      </c>
      <c r="G355" s="221">
        <v>1</v>
      </c>
      <c r="H355" s="221">
        <v>0</v>
      </c>
      <c r="I355" s="221">
        <v>0</v>
      </c>
      <c r="J355" s="221">
        <v>0</v>
      </c>
      <c r="K355" s="221">
        <v>0</v>
      </c>
      <c r="L355" s="221">
        <v>0</v>
      </c>
      <c r="M355" s="221"/>
      <c r="N355" s="221">
        <v>0</v>
      </c>
      <c r="O355" s="221">
        <v>0</v>
      </c>
      <c r="P355" s="221">
        <v>0</v>
      </c>
      <c r="Q355" s="221">
        <v>0</v>
      </c>
      <c r="R355" s="221">
        <v>0</v>
      </c>
      <c r="S355" s="221">
        <v>0</v>
      </c>
      <c r="T355" s="221">
        <v>0</v>
      </c>
      <c r="U355" s="221">
        <v>0</v>
      </c>
      <c r="V355" s="221"/>
      <c r="W355" s="221"/>
      <c r="X355" s="222">
        <f t="shared" si="11"/>
        <v>1</v>
      </c>
      <c r="Y355" s="223"/>
      <c r="Z355" s="224" t="s">
        <v>663</v>
      </c>
      <c r="AA355" s="157" t="s">
        <v>663</v>
      </c>
      <c r="AB355" s="151" t="s">
        <v>2602</v>
      </c>
      <c r="AC355" s="530" t="s">
        <v>3015</v>
      </c>
      <c r="AD355" s="159"/>
    </row>
    <row r="356" spans="1:30" x14ac:dyDescent="0.2">
      <c r="A356" s="218"/>
      <c r="B356" s="281"/>
      <c r="C356" s="219" t="s">
        <v>1561</v>
      </c>
      <c r="D356" s="220" t="s">
        <v>1562</v>
      </c>
      <c r="E356" s="221">
        <v>0</v>
      </c>
      <c r="F356" s="221">
        <v>0</v>
      </c>
      <c r="G356" s="221">
        <v>1</v>
      </c>
      <c r="H356" s="221">
        <v>0</v>
      </c>
      <c r="I356" s="221">
        <v>0</v>
      </c>
      <c r="J356" s="221">
        <v>0</v>
      </c>
      <c r="K356" s="221">
        <v>0</v>
      </c>
      <c r="L356" s="221">
        <v>0</v>
      </c>
      <c r="M356" s="221"/>
      <c r="N356" s="221">
        <v>0</v>
      </c>
      <c r="O356" s="221">
        <v>0</v>
      </c>
      <c r="P356" s="221">
        <v>0</v>
      </c>
      <c r="Q356" s="221">
        <v>0</v>
      </c>
      <c r="R356" s="221">
        <v>0</v>
      </c>
      <c r="S356" s="221">
        <v>0</v>
      </c>
      <c r="T356" s="221">
        <v>0</v>
      </c>
      <c r="U356" s="221">
        <v>0</v>
      </c>
      <c r="V356" s="221"/>
      <c r="W356" s="221"/>
      <c r="X356" s="222">
        <f t="shared" si="11"/>
        <v>1</v>
      </c>
      <c r="Y356" s="223"/>
      <c r="Z356" s="224" t="s">
        <v>663</v>
      </c>
      <c r="AA356" s="157" t="s">
        <v>663</v>
      </c>
      <c r="AB356" s="151" t="s">
        <v>2602</v>
      </c>
      <c r="AC356" s="530" t="s">
        <v>3015</v>
      </c>
      <c r="AD356" s="159"/>
    </row>
    <row r="357" spans="1:30" x14ac:dyDescent="0.2">
      <c r="A357" s="218"/>
      <c r="B357" s="281"/>
      <c r="C357" s="219" t="s">
        <v>1563</v>
      </c>
      <c r="D357" s="220" t="s">
        <v>1564</v>
      </c>
      <c r="E357" s="221">
        <v>0</v>
      </c>
      <c r="F357" s="221">
        <v>0</v>
      </c>
      <c r="G357" s="221">
        <v>1</v>
      </c>
      <c r="H357" s="221">
        <v>0</v>
      </c>
      <c r="I357" s="221">
        <v>0</v>
      </c>
      <c r="J357" s="221">
        <v>0</v>
      </c>
      <c r="K357" s="221">
        <v>0</v>
      </c>
      <c r="L357" s="221">
        <v>0</v>
      </c>
      <c r="M357" s="221"/>
      <c r="N357" s="221">
        <v>0</v>
      </c>
      <c r="O357" s="221">
        <v>0</v>
      </c>
      <c r="P357" s="221">
        <v>0</v>
      </c>
      <c r="Q357" s="221">
        <v>0</v>
      </c>
      <c r="R357" s="221">
        <v>0</v>
      </c>
      <c r="S357" s="221">
        <v>0</v>
      </c>
      <c r="T357" s="221">
        <v>0</v>
      </c>
      <c r="U357" s="221">
        <v>0</v>
      </c>
      <c r="V357" s="221"/>
      <c r="W357" s="221"/>
      <c r="X357" s="222">
        <f t="shared" si="11"/>
        <v>1</v>
      </c>
      <c r="Y357" s="223"/>
      <c r="Z357" s="224" t="s">
        <v>663</v>
      </c>
      <c r="AA357" s="157" t="s">
        <v>663</v>
      </c>
      <c r="AB357" s="151" t="s">
        <v>2602</v>
      </c>
      <c r="AC357" s="530" t="s">
        <v>3015</v>
      </c>
      <c r="AD357" s="159"/>
    </row>
    <row r="358" spans="1:30" x14ac:dyDescent="0.2">
      <c r="A358" s="218"/>
      <c r="B358" s="281"/>
      <c r="C358" s="219" t="s">
        <v>1565</v>
      </c>
      <c r="D358" s="220" t="s">
        <v>1566</v>
      </c>
      <c r="E358" s="221">
        <v>0</v>
      </c>
      <c r="F358" s="221">
        <v>0</v>
      </c>
      <c r="G358" s="221">
        <v>1</v>
      </c>
      <c r="H358" s="221">
        <v>0</v>
      </c>
      <c r="I358" s="221">
        <v>0</v>
      </c>
      <c r="J358" s="221">
        <v>0</v>
      </c>
      <c r="K358" s="221">
        <v>0</v>
      </c>
      <c r="L358" s="221">
        <v>0</v>
      </c>
      <c r="M358" s="221"/>
      <c r="N358" s="221">
        <v>0</v>
      </c>
      <c r="O358" s="221">
        <v>0</v>
      </c>
      <c r="P358" s="221">
        <v>0</v>
      </c>
      <c r="Q358" s="221">
        <v>0</v>
      </c>
      <c r="R358" s="221">
        <v>0</v>
      </c>
      <c r="S358" s="221">
        <v>0</v>
      </c>
      <c r="T358" s="221">
        <v>0</v>
      </c>
      <c r="U358" s="221">
        <v>0</v>
      </c>
      <c r="V358" s="221"/>
      <c r="W358" s="221"/>
      <c r="X358" s="222">
        <f t="shared" si="11"/>
        <v>1</v>
      </c>
      <c r="Y358" s="223"/>
      <c r="Z358" s="224" t="s">
        <v>663</v>
      </c>
      <c r="AA358" s="157" t="s">
        <v>663</v>
      </c>
      <c r="AB358" s="151" t="s">
        <v>2602</v>
      </c>
      <c r="AC358" s="530" t="s">
        <v>3015</v>
      </c>
      <c r="AD358" s="159"/>
    </row>
    <row r="359" spans="1:30" x14ac:dyDescent="0.2">
      <c r="A359" s="218"/>
      <c r="B359" s="281"/>
      <c r="C359" s="219" t="s">
        <v>1567</v>
      </c>
      <c r="D359" s="220" t="s">
        <v>1568</v>
      </c>
      <c r="E359" s="221">
        <v>0</v>
      </c>
      <c r="F359" s="221">
        <v>0</v>
      </c>
      <c r="G359" s="221">
        <v>1</v>
      </c>
      <c r="H359" s="221">
        <v>0</v>
      </c>
      <c r="I359" s="221">
        <v>0</v>
      </c>
      <c r="J359" s="221">
        <v>0</v>
      </c>
      <c r="K359" s="221">
        <v>0</v>
      </c>
      <c r="L359" s="221">
        <v>0</v>
      </c>
      <c r="M359" s="221"/>
      <c r="N359" s="221">
        <v>0</v>
      </c>
      <c r="O359" s="221">
        <v>0</v>
      </c>
      <c r="P359" s="221">
        <v>0</v>
      </c>
      <c r="Q359" s="221">
        <v>0</v>
      </c>
      <c r="R359" s="221">
        <v>0</v>
      </c>
      <c r="S359" s="221">
        <v>0</v>
      </c>
      <c r="T359" s="221">
        <v>0</v>
      </c>
      <c r="U359" s="221">
        <v>0</v>
      </c>
      <c r="V359" s="221"/>
      <c r="W359" s="221"/>
      <c r="X359" s="222">
        <f t="shared" si="11"/>
        <v>1</v>
      </c>
      <c r="Y359" s="223"/>
      <c r="Z359" s="224" t="s">
        <v>663</v>
      </c>
      <c r="AA359" s="157" t="s">
        <v>663</v>
      </c>
      <c r="AB359" s="151" t="s">
        <v>2602</v>
      </c>
      <c r="AC359" s="530" t="s">
        <v>3015</v>
      </c>
      <c r="AD359" s="159"/>
    </row>
    <row r="360" spans="1:30" x14ac:dyDescent="0.2">
      <c r="A360" s="293" t="s">
        <v>2597</v>
      </c>
      <c r="B360" s="299"/>
      <c r="C360" s="313" t="s">
        <v>1718</v>
      </c>
      <c r="D360" s="314" t="s">
        <v>1719</v>
      </c>
      <c r="E360" s="315"/>
      <c r="F360" s="315"/>
      <c r="G360" s="315"/>
      <c r="H360" s="444">
        <f>100%*0</f>
        <v>0</v>
      </c>
      <c r="I360" s="315"/>
      <c r="J360" s="315"/>
      <c r="K360" s="444">
        <v>1</v>
      </c>
      <c r="L360" s="315"/>
      <c r="M360" s="315"/>
      <c r="N360" s="315"/>
      <c r="O360" s="315"/>
      <c r="P360" s="315"/>
      <c r="Q360" s="315"/>
      <c r="R360" s="315"/>
      <c r="S360" s="315"/>
      <c r="T360" s="315"/>
      <c r="U360" s="315"/>
      <c r="V360" s="315"/>
      <c r="W360" s="315"/>
      <c r="X360" s="302">
        <f t="shared" si="11"/>
        <v>1</v>
      </c>
      <c r="Y360" s="223"/>
      <c r="Z360" s="224" t="s">
        <v>663</v>
      </c>
      <c r="AA360" s="157" t="s">
        <v>663</v>
      </c>
      <c r="AB360" s="293" t="s">
        <v>2597</v>
      </c>
      <c r="AC360" s="530" t="s">
        <v>3015</v>
      </c>
      <c r="AD360" s="159"/>
    </row>
    <row r="361" spans="1:30" x14ac:dyDescent="0.2">
      <c r="A361" s="218"/>
      <c r="B361" s="281"/>
      <c r="C361" s="219" t="s">
        <v>1569</v>
      </c>
      <c r="D361" s="220" t="s">
        <v>1570</v>
      </c>
      <c r="E361" s="221">
        <v>0</v>
      </c>
      <c r="F361" s="221">
        <v>0</v>
      </c>
      <c r="G361" s="221">
        <v>0</v>
      </c>
      <c r="H361" s="221">
        <v>0</v>
      </c>
      <c r="I361" s="221">
        <v>0</v>
      </c>
      <c r="J361" s="221">
        <v>0</v>
      </c>
      <c r="K361" s="221">
        <v>0</v>
      </c>
      <c r="L361" s="221">
        <v>0</v>
      </c>
      <c r="M361" s="221"/>
      <c r="N361" s="221">
        <v>0</v>
      </c>
      <c r="O361" s="221">
        <v>0</v>
      </c>
      <c r="P361" s="221">
        <v>0</v>
      </c>
      <c r="Q361" s="221">
        <v>0</v>
      </c>
      <c r="R361" s="221">
        <v>0</v>
      </c>
      <c r="S361" s="221">
        <v>1</v>
      </c>
      <c r="T361" s="221">
        <v>0</v>
      </c>
      <c r="U361" s="221">
        <v>0</v>
      </c>
      <c r="V361" s="221"/>
      <c r="W361" s="221"/>
      <c r="X361" s="222">
        <f t="shared" si="11"/>
        <v>1</v>
      </c>
      <c r="Y361" s="223"/>
      <c r="Z361" s="224" t="s">
        <v>663</v>
      </c>
      <c r="AA361" s="157" t="s">
        <v>663</v>
      </c>
      <c r="AB361" s="151" t="s">
        <v>2602</v>
      </c>
      <c r="AC361" s="530" t="s">
        <v>3015</v>
      </c>
      <c r="AD361" s="159"/>
    </row>
    <row r="362" spans="1:30" x14ac:dyDescent="0.2">
      <c r="A362" s="218"/>
      <c r="B362" s="281"/>
      <c r="C362" s="219" t="s">
        <v>1571</v>
      </c>
      <c r="D362" s="220" t="s">
        <v>1572</v>
      </c>
      <c r="E362" s="221">
        <v>0</v>
      </c>
      <c r="F362" s="221">
        <v>0</v>
      </c>
      <c r="G362" s="221">
        <v>0</v>
      </c>
      <c r="H362" s="221">
        <v>0</v>
      </c>
      <c r="I362" s="221">
        <v>0</v>
      </c>
      <c r="J362" s="221">
        <v>0</v>
      </c>
      <c r="K362" s="221">
        <v>0</v>
      </c>
      <c r="L362" s="221">
        <v>0</v>
      </c>
      <c r="M362" s="221"/>
      <c r="N362" s="221">
        <v>0</v>
      </c>
      <c r="O362" s="221">
        <v>0</v>
      </c>
      <c r="P362" s="221">
        <v>0</v>
      </c>
      <c r="Q362" s="221">
        <v>0</v>
      </c>
      <c r="R362" s="221">
        <v>0</v>
      </c>
      <c r="S362" s="221">
        <v>1</v>
      </c>
      <c r="T362" s="221">
        <v>0</v>
      </c>
      <c r="U362" s="221">
        <v>0</v>
      </c>
      <c r="V362" s="221"/>
      <c r="W362" s="221"/>
      <c r="X362" s="222">
        <f t="shared" si="11"/>
        <v>1</v>
      </c>
      <c r="Y362" s="223"/>
      <c r="Z362" s="224" t="s">
        <v>663</v>
      </c>
      <c r="AA362" s="157" t="s">
        <v>663</v>
      </c>
      <c r="AB362" s="151" t="s">
        <v>2602</v>
      </c>
      <c r="AC362" s="530" t="s">
        <v>3015</v>
      </c>
      <c r="AD362" s="159"/>
    </row>
    <row r="363" spans="1:30" x14ac:dyDescent="0.2">
      <c r="A363" s="218"/>
      <c r="B363" s="284"/>
      <c r="C363" s="260" t="s">
        <v>1573</v>
      </c>
      <c r="D363" s="261" t="s">
        <v>1574</v>
      </c>
      <c r="E363" s="236">
        <v>0</v>
      </c>
      <c r="F363" s="236">
        <v>0</v>
      </c>
      <c r="G363" s="236">
        <v>0</v>
      </c>
      <c r="H363" s="236">
        <v>1</v>
      </c>
      <c r="I363" s="236">
        <v>0</v>
      </c>
      <c r="J363" s="236">
        <v>0</v>
      </c>
      <c r="K363" s="236">
        <v>0</v>
      </c>
      <c r="L363" s="236">
        <v>0</v>
      </c>
      <c r="M363" s="236"/>
      <c r="N363" s="236">
        <v>0</v>
      </c>
      <c r="O363" s="236">
        <v>0</v>
      </c>
      <c r="P363" s="236">
        <v>0</v>
      </c>
      <c r="Q363" s="236">
        <v>0</v>
      </c>
      <c r="R363" s="236">
        <v>0</v>
      </c>
      <c r="S363" s="236">
        <v>0</v>
      </c>
      <c r="T363" s="236">
        <v>0</v>
      </c>
      <c r="U363" s="236">
        <v>0</v>
      </c>
      <c r="V363" s="236"/>
      <c r="W363" s="236"/>
      <c r="X363" s="237">
        <f t="shared" si="11"/>
        <v>1</v>
      </c>
      <c r="Y363" s="223"/>
      <c r="Z363" s="224" t="s">
        <v>663</v>
      </c>
      <c r="AA363" s="157" t="s">
        <v>663</v>
      </c>
      <c r="AB363" s="151" t="s">
        <v>2602</v>
      </c>
      <c r="AC363" s="530" t="s">
        <v>3015</v>
      </c>
      <c r="AD363" s="159"/>
    </row>
    <row r="364" spans="1:30" x14ac:dyDescent="0.2">
      <c r="A364" s="229"/>
      <c r="B364" s="229"/>
      <c r="C364" s="219" t="s">
        <v>1575</v>
      </c>
      <c r="D364" s="220" t="s">
        <v>1576</v>
      </c>
      <c r="E364" s="221">
        <v>0</v>
      </c>
      <c r="F364" s="221">
        <v>0</v>
      </c>
      <c r="G364" s="221">
        <v>0</v>
      </c>
      <c r="H364" s="221">
        <v>0</v>
      </c>
      <c r="I364" s="221">
        <v>0</v>
      </c>
      <c r="J364" s="221">
        <v>0</v>
      </c>
      <c r="K364" s="221">
        <v>1</v>
      </c>
      <c r="L364" s="221">
        <v>0</v>
      </c>
      <c r="M364" s="221"/>
      <c r="N364" s="221">
        <v>0</v>
      </c>
      <c r="O364" s="221">
        <v>0</v>
      </c>
      <c r="P364" s="221">
        <v>0</v>
      </c>
      <c r="Q364" s="221">
        <v>0</v>
      </c>
      <c r="R364" s="221">
        <v>0</v>
      </c>
      <c r="S364" s="221">
        <v>0</v>
      </c>
      <c r="T364" s="221">
        <v>0</v>
      </c>
      <c r="U364" s="221">
        <v>0</v>
      </c>
      <c r="V364" s="221"/>
      <c r="W364" s="221"/>
      <c r="X364" s="222">
        <f t="shared" si="11"/>
        <v>1</v>
      </c>
      <c r="Y364" s="223"/>
      <c r="Z364" s="224" t="s">
        <v>663</v>
      </c>
      <c r="AA364" s="157" t="s">
        <v>663</v>
      </c>
      <c r="AB364" s="282" t="s">
        <v>1101</v>
      </c>
      <c r="AC364" s="530" t="s">
        <v>3015</v>
      </c>
      <c r="AD364" s="159"/>
    </row>
    <row r="365" spans="1:30" x14ac:dyDescent="0.2">
      <c r="A365" s="229"/>
      <c r="B365" s="229"/>
      <c r="C365" s="219" t="s">
        <v>1577</v>
      </c>
      <c r="D365" s="220" t="s">
        <v>1578</v>
      </c>
      <c r="E365" s="221">
        <v>0</v>
      </c>
      <c r="F365" s="221">
        <v>0</v>
      </c>
      <c r="G365" s="221">
        <v>0</v>
      </c>
      <c r="H365" s="221">
        <v>0</v>
      </c>
      <c r="I365" s="221">
        <v>0</v>
      </c>
      <c r="J365" s="221">
        <v>0</v>
      </c>
      <c r="K365" s="221">
        <v>1</v>
      </c>
      <c r="L365" s="221">
        <v>0</v>
      </c>
      <c r="M365" s="221"/>
      <c r="N365" s="221">
        <v>0</v>
      </c>
      <c r="O365" s="221">
        <v>0</v>
      </c>
      <c r="P365" s="221">
        <v>0</v>
      </c>
      <c r="Q365" s="221">
        <v>0</v>
      </c>
      <c r="R365" s="221">
        <v>0</v>
      </c>
      <c r="S365" s="221">
        <v>0</v>
      </c>
      <c r="T365" s="221">
        <v>0</v>
      </c>
      <c r="U365" s="221">
        <v>0</v>
      </c>
      <c r="V365" s="221"/>
      <c r="W365" s="221"/>
      <c r="X365" s="222">
        <f t="shared" si="11"/>
        <v>1</v>
      </c>
      <c r="Y365" s="223"/>
      <c r="Z365" s="224" t="s">
        <v>663</v>
      </c>
      <c r="AA365" s="157" t="s">
        <v>663</v>
      </c>
      <c r="AB365" s="282" t="s">
        <v>1101</v>
      </c>
      <c r="AC365" s="530" t="s">
        <v>3015</v>
      </c>
      <c r="AD365" s="159"/>
    </row>
    <row r="366" spans="1:30" x14ac:dyDescent="0.2">
      <c r="A366" s="218"/>
      <c r="B366" s="218"/>
      <c r="C366" s="230" t="s">
        <v>1579</v>
      </c>
      <c r="D366" s="231" t="s">
        <v>1580</v>
      </c>
      <c r="E366" s="232">
        <v>0</v>
      </c>
      <c r="F366" s="232">
        <v>0</v>
      </c>
      <c r="G366" s="232">
        <v>0</v>
      </c>
      <c r="H366" s="232">
        <v>1</v>
      </c>
      <c r="I366" s="232">
        <v>0</v>
      </c>
      <c r="J366" s="232">
        <v>0</v>
      </c>
      <c r="K366" s="232">
        <v>0</v>
      </c>
      <c r="L366" s="232">
        <v>0</v>
      </c>
      <c r="M366" s="232"/>
      <c r="N366" s="232">
        <v>0</v>
      </c>
      <c r="O366" s="232">
        <v>0</v>
      </c>
      <c r="P366" s="232">
        <v>0</v>
      </c>
      <c r="Q366" s="232">
        <v>0</v>
      </c>
      <c r="R366" s="232">
        <v>0</v>
      </c>
      <c r="S366" s="232">
        <v>0</v>
      </c>
      <c r="T366" s="232">
        <v>0</v>
      </c>
      <c r="U366" s="232">
        <v>0</v>
      </c>
      <c r="V366" s="232"/>
      <c r="W366" s="232"/>
      <c r="X366" s="233">
        <f t="shared" si="11"/>
        <v>1</v>
      </c>
      <c r="Y366" s="223"/>
      <c r="Z366" s="224" t="s">
        <v>663</v>
      </c>
      <c r="AA366" s="157" t="s">
        <v>663</v>
      </c>
      <c r="AB366" s="151" t="s">
        <v>2602</v>
      </c>
      <c r="AC366" s="530" t="s">
        <v>3015</v>
      </c>
      <c r="AD366" s="159"/>
    </row>
    <row r="367" spans="1:30" x14ac:dyDescent="0.2">
      <c r="A367" s="218"/>
      <c r="B367" s="218"/>
      <c r="C367" s="260" t="s">
        <v>1581</v>
      </c>
      <c r="D367" s="261" t="s">
        <v>1582</v>
      </c>
      <c r="E367" s="236">
        <v>0</v>
      </c>
      <c r="F367" s="236">
        <v>0</v>
      </c>
      <c r="G367" s="236">
        <v>0</v>
      </c>
      <c r="H367" s="236">
        <v>1</v>
      </c>
      <c r="I367" s="236">
        <v>0</v>
      </c>
      <c r="J367" s="236">
        <v>0</v>
      </c>
      <c r="K367" s="236">
        <v>0</v>
      </c>
      <c r="L367" s="236">
        <v>0</v>
      </c>
      <c r="M367" s="236"/>
      <c r="N367" s="236">
        <v>0</v>
      </c>
      <c r="O367" s="236">
        <v>0</v>
      </c>
      <c r="P367" s="236">
        <v>0</v>
      </c>
      <c r="Q367" s="236">
        <v>0</v>
      </c>
      <c r="R367" s="236">
        <v>0</v>
      </c>
      <c r="S367" s="236">
        <v>0</v>
      </c>
      <c r="T367" s="236">
        <v>0</v>
      </c>
      <c r="U367" s="236">
        <v>0</v>
      </c>
      <c r="V367" s="236"/>
      <c r="W367" s="236"/>
      <c r="X367" s="237">
        <f t="shared" si="11"/>
        <v>1</v>
      </c>
      <c r="Y367" s="223"/>
      <c r="Z367" s="224" t="s">
        <v>663</v>
      </c>
      <c r="AA367" s="157" t="s">
        <v>663</v>
      </c>
      <c r="AB367" s="151" t="s">
        <v>2602</v>
      </c>
      <c r="AC367" s="530" t="s">
        <v>3015</v>
      </c>
      <c r="AD367" s="159"/>
    </row>
    <row r="368" spans="1:30" x14ac:dyDescent="0.2">
      <c r="A368" s="229"/>
      <c r="B368" s="229"/>
      <c r="C368" s="219" t="s">
        <v>1583</v>
      </c>
      <c r="D368" s="220" t="s">
        <v>1071</v>
      </c>
      <c r="E368" s="221">
        <v>0</v>
      </c>
      <c r="F368" s="221">
        <v>0</v>
      </c>
      <c r="G368" s="221">
        <v>0</v>
      </c>
      <c r="H368" s="221">
        <v>1</v>
      </c>
      <c r="I368" s="221">
        <v>0</v>
      </c>
      <c r="J368" s="221">
        <v>0</v>
      </c>
      <c r="K368" s="221">
        <v>0</v>
      </c>
      <c r="L368" s="221">
        <v>0</v>
      </c>
      <c r="M368" s="221"/>
      <c r="N368" s="221">
        <v>0</v>
      </c>
      <c r="O368" s="221">
        <v>0</v>
      </c>
      <c r="P368" s="221">
        <v>0</v>
      </c>
      <c r="Q368" s="221">
        <v>0</v>
      </c>
      <c r="R368" s="221">
        <v>0</v>
      </c>
      <c r="S368" s="221">
        <v>0</v>
      </c>
      <c r="T368" s="221">
        <v>0</v>
      </c>
      <c r="U368" s="221">
        <v>0</v>
      </c>
      <c r="V368" s="221"/>
      <c r="W368" s="221"/>
      <c r="X368" s="222">
        <f t="shared" si="11"/>
        <v>1</v>
      </c>
      <c r="Y368" s="223"/>
      <c r="Z368" s="224" t="s">
        <v>663</v>
      </c>
      <c r="AA368" s="157" t="s">
        <v>663</v>
      </c>
      <c r="AB368" s="282" t="s">
        <v>1101</v>
      </c>
      <c r="AC368" s="530" t="s">
        <v>3015</v>
      </c>
      <c r="AD368" s="159"/>
    </row>
    <row r="369" spans="1:30" x14ac:dyDescent="0.2">
      <c r="A369" s="291"/>
      <c r="B369" s="218"/>
      <c r="C369" s="230" t="s">
        <v>1584</v>
      </c>
      <c r="D369" s="231" t="s">
        <v>1585</v>
      </c>
      <c r="E369" s="232">
        <v>0</v>
      </c>
      <c r="F369" s="232">
        <v>0</v>
      </c>
      <c r="G369" s="232">
        <v>0</v>
      </c>
      <c r="H369" s="232">
        <v>0</v>
      </c>
      <c r="I369" s="232">
        <v>0</v>
      </c>
      <c r="J369" s="232">
        <v>0</v>
      </c>
      <c r="K369" s="232">
        <v>1</v>
      </c>
      <c r="L369" s="232">
        <v>0</v>
      </c>
      <c r="M369" s="232"/>
      <c r="N369" s="232">
        <v>0</v>
      </c>
      <c r="O369" s="232">
        <v>0</v>
      </c>
      <c r="P369" s="232">
        <v>0</v>
      </c>
      <c r="Q369" s="232">
        <v>0</v>
      </c>
      <c r="R369" s="232">
        <v>0</v>
      </c>
      <c r="S369" s="232">
        <v>0</v>
      </c>
      <c r="T369" s="232">
        <v>0</v>
      </c>
      <c r="U369" s="232">
        <v>0</v>
      </c>
      <c r="V369" s="232"/>
      <c r="W369" s="232"/>
      <c r="X369" s="233">
        <f t="shared" si="11"/>
        <v>1</v>
      </c>
      <c r="Y369" s="223"/>
      <c r="Z369" s="224" t="s">
        <v>663</v>
      </c>
      <c r="AA369" s="157" t="s">
        <v>663</v>
      </c>
      <c r="AB369" s="292" t="s">
        <v>2821</v>
      </c>
      <c r="AC369" s="530" t="s">
        <v>3015</v>
      </c>
      <c r="AD369" s="159"/>
    </row>
    <row r="370" spans="1:30" x14ac:dyDescent="0.2">
      <c r="A370" s="281"/>
      <c r="B370" s="218"/>
      <c r="C370" s="219" t="s">
        <v>1586</v>
      </c>
      <c r="D370" s="220" t="s">
        <v>1072</v>
      </c>
      <c r="E370" s="232">
        <v>0</v>
      </c>
      <c r="F370" s="232">
        <v>0</v>
      </c>
      <c r="G370" s="232">
        <v>0</v>
      </c>
      <c r="H370" s="232">
        <v>1</v>
      </c>
      <c r="I370" s="232">
        <v>0</v>
      </c>
      <c r="J370" s="232">
        <v>0</v>
      </c>
      <c r="K370" s="232">
        <v>0</v>
      </c>
      <c r="L370" s="232">
        <v>0</v>
      </c>
      <c r="M370" s="232"/>
      <c r="N370" s="232">
        <v>0</v>
      </c>
      <c r="O370" s="232">
        <v>0</v>
      </c>
      <c r="P370" s="232">
        <v>0</v>
      </c>
      <c r="Q370" s="232">
        <v>0</v>
      </c>
      <c r="R370" s="232">
        <v>0</v>
      </c>
      <c r="S370" s="232">
        <v>0</v>
      </c>
      <c r="T370" s="232">
        <v>0</v>
      </c>
      <c r="U370" s="232">
        <v>0</v>
      </c>
      <c r="V370" s="232"/>
      <c r="W370" s="232"/>
      <c r="X370" s="233">
        <f t="shared" si="11"/>
        <v>1</v>
      </c>
      <c r="Y370" s="223"/>
      <c r="Z370" s="224" t="s">
        <v>663</v>
      </c>
      <c r="AA370" s="157" t="s">
        <v>663</v>
      </c>
      <c r="AB370" s="259" t="s">
        <v>2821</v>
      </c>
      <c r="AC370" s="530" t="s">
        <v>3015</v>
      </c>
      <c r="AD370" s="159"/>
    </row>
    <row r="371" spans="1:30" x14ac:dyDescent="0.2">
      <c r="A371" s="284"/>
      <c r="B371" s="284"/>
      <c r="C371" s="260" t="s">
        <v>1587</v>
      </c>
      <c r="D371" s="261" t="s">
        <v>1073</v>
      </c>
      <c r="E371" s="232">
        <v>0</v>
      </c>
      <c r="F371" s="232">
        <v>0</v>
      </c>
      <c r="G371" s="232">
        <v>0</v>
      </c>
      <c r="H371" s="232">
        <v>1</v>
      </c>
      <c r="I371" s="232">
        <v>0</v>
      </c>
      <c r="J371" s="232">
        <v>0</v>
      </c>
      <c r="K371" s="232">
        <v>0</v>
      </c>
      <c r="L371" s="232">
        <v>0</v>
      </c>
      <c r="M371" s="232"/>
      <c r="N371" s="232">
        <v>0</v>
      </c>
      <c r="O371" s="232">
        <v>0</v>
      </c>
      <c r="P371" s="232">
        <v>0</v>
      </c>
      <c r="Q371" s="232">
        <v>0</v>
      </c>
      <c r="R371" s="232">
        <v>0</v>
      </c>
      <c r="S371" s="232">
        <v>0</v>
      </c>
      <c r="T371" s="232">
        <v>0</v>
      </c>
      <c r="U371" s="232">
        <v>0</v>
      </c>
      <c r="V371" s="232"/>
      <c r="W371" s="232"/>
      <c r="X371" s="233">
        <f t="shared" si="11"/>
        <v>1</v>
      </c>
      <c r="Y371" s="223"/>
      <c r="Z371" s="224" t="s">
        <v>663</v>
      </c>
      <c r="AA371" s="157" t="s">
        <v>663</v>
      </c>
      <c r="AB371" s="316" t="s">
        <v>2821</v>
      </c>
      <c r="AC371" s="530" t="s">
        <v>3015</v>
      </c>
      <c r="AD371" s="159"/>
    </row>
    <row r="372" spans="1:30" x14ac:dyDescent="0.2">
      <c r="A372" s="229"/>
      <c r="B372" s="229"/>
      <c r="C372" s="248" t="s">
        <v>1248</v>
      </c>
      <c r="D372" s="249" t="s">
        <v>1249</v>
      </c>
      <c r="E372" s="221">
        <v>0</v>
      </c>
      <c r="F372" s="221">
        <v>0</v>
      </c>
      <c r="G372" s="221">
        <v>0</v>
      </c>
      <c r="H372" s="221">
        <v>0</v>
      </c>
      <c r="I372" s="221">
        <v>0</v>
      </c>
      <c r="J372" s="221">
        <v>0</v>
      </c>
      <c r="K372" s="221">
        <v>0</v>
      </c>
      <c r="L372" s="221">
        <v>0</v>
      </c>
      <c r="M372" s="221">
        <v>0</v>
      </c>
      <c r="N372" s="221">
        <v>1</v>
      </c>
      <c r="O372" s="221">
        <v>0</v>
      </c>
      <c r="P372" s="221">
        <v>0</v>
      </c>
      <c r="Q372" s="221">
        <v>0</v>
      </c>
      <c r="R372" s="221">
        <v>0</v>
      </c>
      <c r="S372" s="221">
        <v>0</v>
      </c>
      <c r="T372" s="221">
        <v>0</v>
      </c>
      <c r="U372" s="221">
        <v>0</v>
      </c>
      <c r="V372" s="221"/>
      <c r="W372" s="221"/>
      <c r="X372" s="222">
        <f t="shared" si="11"/>
        <v>1</v>
      </c>
      <c r="Y372" s="223"/>
      <c r="Z372" s="224" t="s">
        <v>663</v>
      </c>
      <c r="AA372" s="157" t="s">
        <v>663</v>
      </c>
      <c r="AB372" s="282" t="s">
        <v>1101</v>
      </c>
      <c r="AC372" s="530" t="s">
        <v>3015</v>
      </c>
      <c r="AD372" s="159"/>
    </row>
    <row r="373" spans="1:30" x14ac:dyDescent="0.2">
      <c r="A373" s="218"/>
      <c r="B373" s="291"/>
      <c r="C373" s="268" t="s">
        <v>1252</v>
      </c>
      <c r="D373" s="269" t="s">
        <v>119</v>
      </c>
      <c r="E373" s="232">
        <v>0</v>
      </c>
      <c r="F373" s="232">
        <v>0</v>
      </c>
      <c r="G373" s="232">
        <v>0</v>
      </c>
      <c r="H373" s="232">
        <v>0</v>
      </c>
      <c r="I373" s="232">
        <v>0</v>
      </c>
      <c r="J373" s="232">
        <v>0</v>
      </c>
      <c r="K373" s="232">
        <v>0</v>
      </c>
      <c r="L373" s="232">
        <v>0</v>
      </c>
      <c r="M373" s="232">
        <v>0</v>
      </c>
      <c r="N373" s="232">
        <v>0</v>
      </c>
      <c r="O373" s="232">
        <v>0</v>
      </c>
      <c r="P373" s="232">
        <v>0</v>
      </c>
      <c r="Q373" s="232">
        <v>0</v>
      </c>
      <c r="R373" s="232">
        <v>0</v>
      </c>
      <c r="S373" s="232">
        <v>1</v>
      </c>
      <c r="T373" s="232">
        <v>0</v>
      </c>
      <c r="U373" s="232">
        <v>0</v>
      </c>
      <c r="V373" s="232"/>
      <c r="W373" s="232"/>
      <c r="X373" s="233">
        <f t="shared" si="11"/>
        <v>1</v>
      </c>
      <c r="Y373" s="223"/>
      <c r="Z373" s="224" t="s">
        <v>663</v>
      </c>
      <c r="AA373" s="157" t="s">
        <v>663</v>
      </c>
      <c r="AB373" s="151" t="s">
        <v>2602</v>
      </c>
      <c r="AC373" s="530" t="s">
        <v>3015</v>
      </c>
      <c r="AD373" s="159"/>
    </row>
    <row r="374" spans="1:30" x14ac:dyDescent="0.2">
      <c r="A374" s="281"/>
      <c r="B374" s="281"/>
      <c r="C374" s="219" t="s">
        <v>1590</v>
      </c>
      <c r="D374" s="220" t="s">
        <v>1591</v>
      </c>
      <c r="E374" s="232">
        <v>0</v>
      </c>
      <c r="F374" s="232">
        <v>0</v>
      </c>
      <c r="G374" s="232">
        <v>0</v>
      </c>
      <c r="H374" s="232">
        <v>0</v>
      </c>
      <c r="I374" s="232">
        <v>0</v>
      </c>
      <c r="J374" s="232">
        <v>0</v>
      </c>
      <c r="K374" s="232">
        <v>0</v>
      </c>
      <c r="L374" s="232">
        <v>0</v>
      </c>
      <c r="M374" s="232"/>
      <c r="N374" s="232">
        <v>1</v>
      </c>
      <c r="O374" s="232">
        <v>0</v>
      </c>
      <c r="P374" s="232">
        <v>0</v>
      </c>
      <c r="Q374" s="232">
        <v>0</v>
      </c>
      <c r="R374" s="232">
        <v>0</v>
      </c>
      <c r="S374" s="232">
        <v>0</v>
      </c>
      <c r="T374" s="232">
        <v>0</v>
      </c>
      <c r="U374" s="232">
        <v>0</v>
      </c>
      <c r="V374" s="232"/>
      <c r="W374" s="232"/>
      <c r="X374" s="233">
        <f t="shared" si="11"/>
        <v>1</v>
      </c>
      <c r="Y374" s="223"/>
      <c r="Z374" s="224" t="s">
        <v>663</v>
      </c>
      <c r="AA374" s="157" t="s">
        <v>663</v>
      </c>
      <c r="AB374" s="259" t="s">
        <v>2821</v>
      </c>
      <c r="AC374" s="530" t="s">
        <v>3015</v>
      </c>
      <c r="AD374" s="159"/>
    </row>
    <row r="375" spans="1:30" x14ac:dyDescent="0.2">
      <c r="A375" s="218"/>
      <c r="B375" s="284"/>
      <c r="C375" s="234" t="s">
        <v>1263</v>
      </c>
      <c r="D375" s="235" t="s">
        <v>1074</v>
      </c>
      <c r="E375" s="236">
        <v>1</v>
      </c>
      <c r="F375" s="236">
        <v>0</v>
      </c>
      <c r="G375" s="236">
        <v>0</v>
      </c>
      <c r="H375" s="236">
        <v>0</v>
      </c>
      <c r="I375" s="236">
        <v>0</v>
      </c>
      <c r="J375" s="236">
        <v>0</v>
      </c>
      <c r="K375" s="236">
        <v>0</v>
      </c>
      <c r="L375" s="236">
        <v>0</v>
      </c>
      <c r="M375" s="236">
        <v>0</v>
      </c>
      <c r="N375" s="236">
        <v>0</v>
      </c>
      <c r="O375" s="236">
        <v>0</v>
      </c>
      <c r="P375" s="236">
        <v>0</v>
      </c>
      <c r="Q375" s="236">
        <v>0</v>
      </c>
      <c r="R375" s="236">
        <v>0</v>
      </c>
      <c r="S375" s="236">
        <v>0</v>
      </c>
      <c r="T375" s="236">
        <v>0</v>
      </c>
      <c r="U375" s="236">
        <v>0</v>
      </c>
      <c r="V375" s="236"/>
      <c r="W375" s="236"/>
      <c r="X375" s="237">
        <f t="shared" si="11"/>
        <v>1</v>
      </c>
      <c r="Y375" s="223"/>
      <c r="Z375" s="224" t="s">
        <v>663</v>
      </c>
      <c r="AA375" s="157" t="s">
        <v>663</v>
      </c>
      <c r="AB375" s="151" t="s">
        <v>2602</v>
      </c>
      <c r="AC375" s="530" t="s">
        <v>3015</v>
      </c>
      <c r="AD375" s="159"/>
    </row>
    <row r="376" spans="1:30" x14ac:dyDescent="0.2">
      <c r="A376" s="229"/>
      <c r="B376" s="229"/>
      <c r="C376" s="248" t="s">
        <v>1266</v>
      </c>
      <c r="D376" s="249" t="s">
        <v>1075</v>
      </c>
      <c r="E376" s="221">
        <v>1</v>
      </c>
      <c r="F376" s="221">
        <v>0</v>
      </c>
      <c r="G376" s="221">
        <v>0</v>
      </c>
      <c r="H376" s="221">
        <v>0</v>
      </c>
      <c r="I376" s="221">
        <v>0</v>
      </c>
      <c r="J376" s="221">
        <v>0</v>
      </c>
      <c r="K376" s="221">
        <v>0</v>
      </c>
      <c r="L376" s="221">
        <v>0</v>
      </c>
      <c r="M376" s="221">
        <v>0</v>
      </c>
      <c r="N376" s="221">
        <v>0</v>
      </c>
      <c r="O376" s="221">
        <v>0</v>
      </c>
      <c r="P376" s="221">
        <v>0</v>
      </c>
      <c r="Q376" s="221">
        <v>0</v>
      </c>
      <c r="R376" s="221">
        <v>0</v>
      </c>
      <c r="S376" s="221">
        <v>0</v>
      </c>
      <c r="T376" s="221">
        <v>0</v>
      </c>
      <c r="U376" s="221">
        <v>0</v>
      </c>
      <c r="V376" s="221"/>
      <c r="W376" s="221"/>
      <c r="X376" s="222">
        <f t="shared" si="11"/>
        <v>1</v>
      </c>
      <c r="Y376" s="223"/>
      <c r="Z376" s="224" t="s">
        <v>663</v>
      </c>
      <c r="AA376" s="157" t="s">
        <v>663</v>
      </c>
      <c r="AB376" s="282" t="s">
        <v>1101</v>
      </c>
      <c r="AC376" s="530" t="s">
        <v>3015</v>
      </c>
      <c r="AD376" s="159"/>
    </row>
    <row r="377" spans="1:30" x14ac:dyDescent="0.2">
      <c r="A377" s="254" t="s">
        <v>2821</v>
      </c>
      <c r="B377" s="317"/>
      <c r="C377" s="318" t="s">
        <v>2234</v>
      </c>
      <c r="D377" s="319" t="s">
        <v>125</v>
      </c>
      <c r="E377" s="278">
        <v>0</v>
      </c>
      <c r="F377" s="278">
        <v>0</v>
      </c>
      <c r="G377" s="278">
        <v>0</v>
      </c>
      <c r="H377" s="278">
        <v>1</v>
      </c>
      <c r="I377" s="278">
        <v>0</v>
      </c>
      <c r="J377" s="278">
        <v>0</v>
      </c>
      <c r="K377" s="278">
        <v>0</v>
      </c>
      <c r="L377" s="278">
        <v>0</v>
      </c>
      <c r="M377" s="278">
        <v>0</v>
      </c>
      <c r="N377" s="278">
        <v>0</v>
      </c>
      <c r="O377" s="278">
        <v>0</v>
      </c>
      <c r="P377" s="278">
        <v>0</v>
      </c>
      <c r="Q377" s="278">
        <v>0</v>
      </c>
      <c r="R377" s="278">
        <v>0</v>
      </c>
      <c r="S377" s="278">
        <v>0</v>
      </c>
      <c r="T377" s="278">
        <v>0</v>
      </c>
      <c r="U377" s="278">
        <v>0</v>
      </c>
      <c r="V377" s="278">
        <v>0</v>
      </c>
      <c r="W377" s="278">
        <v>0</v>
      </c>
      <c r="X377" s="278">
        <f>SUBTOTAL(9,E377:W377)</f>
        <v>1</v>
      </c>
      <c r="Y377" s="223"/>
      <c r="Z377" s="224" t="s">
        <v>663</v>
      </c>
      <c r="AA377" s="157" t="s">
        <v>649</v>
      </c>
      <c r="AB377" s="259" t="s">
        <v>2821</v>
      </c>
      <c r="AC377" s="530" t="s">
        <v>3015</v>
      </c>
      <c r="AD377" s="159"/>
    </row>
    <row r="378" spans="1:30" x14ac:dyDescent="0.2">
      <c r="A378" s="293" t="s">
        <v>2597</v>
      </c>
      <c r="B378" s="299"/>
      <c r="C378" s="320" t="s">
        <v>1309</v>
      </c>
      <c r="D378" s="321" t="s">
        <v>1310</v>
      </c>
      <c r="E378" s="322"/>
      <c r="F378" s="322"/>
      <c r="G378" s="322"/>
      <c r="H378" s="322"/>
      <c r="I378" s="322">
        <v>1</v>
      </c>
      <c r="J378" s="322"/>
      <c r="K378" s="322"/>
      <c r="L378" s="322"/>
      <c r="M378" s="322"/>
      <c r="N378" s="322"/>
      <c r="O378" s="322"/>
      <c r="P378" s="322"/>
      <c r="Q378" s="322"/>
      <c r="R378" s="322"/>
      <c r="S378" s="322"/>
      <c r="T378" s="322"/>
      <c r="U378" s="322"/>
      <c r="V378" s="322"/>
      <c r="W378" s="322"/>
      <c r="X378" s="298">
        <f t="shared" ref="X378:X392" si="12">SUM(E378:W378)</f>
        <v>1</v>
      </c>
      <c r="Y378" s="223"/>
      <c r="Z378" s="224" t="s">
        <v>663</v>
      </c>
      <c r="AA378" s="157" t="s">
        <v>663</v>
      </c>
      <c r="AB378" s="293" t="s">
        <v>2597</v>
      </c>
      <c r="AC378" s="530" t="s">
        <v>3015</v>
      </c>
      <c r="AD378" s="159"/>
    </row>
    <row r="379" spans="1:30" x14ac:dyDescent="0.2">
      <c r="A379" s="293" t="s">
        <v>2597</v>
      </c>
      <c r="B379" s="323"/>
      <c r="C379" s="313" t="s">
        <v>1722</v>
      </c>
      <c r="D379" s="314" t="s">
        <v>1723</v>
      </c>
      <c r="E379" s="324"/>
      <c r="F379" s="324"/>
      <c r="G379" s="324"/>
      <c r="H379" s="324">
        <v>1</v>
      </c>
      <c r="I379" s="324"/>
      <c r="J379" s="324"/>
      <c r="K379" s="324"/>
      <c r="L379" s="324"/>
      <c r="M379" s="324"/>
      <c r="N379" s="324"/>
      <c r="O379" s="324"/>
      <c r="P379" s="324"/>
      <c r="Q379" s="324"/>
      <c r="R379" s="324"/>
      <c r="S379" s="324"/>
      <c r="T379" s="324"/>
      <c r="U379" s="324"/>
      <c r="V379" s="324"/>
      <c r="W379" s="324"/>
      <c r="X379" s="297">
        <f t="shared" si="12"/>
        <v>1</v>
      </c>
      <c r="Y379" s="223"/>
      <c r="Z379" s="224" t="s">
        <v>663</v>
      </c>
      <c r="AA379" s="157" t="s">
        <v>663</v>
      </c>
      <c r="AB379" s="293" t="s">
        <v>2597</v>
      </c>
      <c r="AC379" s="530" t="s">
        <v>3015</v>
      </c>
      <c r="AD379" s="159"/>
    </row>
    <row r="380" spans="1:30" x14ac:dyDescent="0.2">
      <c r="A380" s="281"/>
      <c r="B380" s="281"/>
      <c r="C380" s="238" t="s">
        <v>1724</v>
      </c>
      <c r="D380" s="239" t="s">
        <v>1725</v>
      </c>
      <c r="E380" s="232">
        <v>0</v>
      </c>
      <c r="F380" s="232">
        <v>0</v>
      </c>
      <c r="G380" s="232">
        <v>0</v>
      </c>
      <c r="H380" s="232">
        <v>0</v>
      </c>
      <c r="I380" s="232">
        <v>0</v>
      </c>
      <c r="J380" s="232">
        <v>0</v>
      </c>
      <c r="K380" s="232">
        <v>0</v>
      </c>
      <c r="L380" s="232">
        <v>0</v>
      </c>
      <c r="M380" s="232">
        <v>0</v>
      </c>
      <c r="N380" s="232">
        <v>0.99249812453113273</v>
      </c>
      <c r="O380" s="232">
        <v>0</v>
      </c>
      <c r="P380" s="232">
        <v>7.5018754688672175E-3</v>
      </c>
      <c r="Q380" s="232">
        <v>0</v>
      </c>
      <c r="R380" s="232">
        <v>0</v>
      </c>
      <c r="S380" s="232">
        <v>0</v>
      </c>
      <c r="T380" s="232">
        <v>0</v>
      </c>
      <c r="U380" s="232">
        <v>0</v>
      </c>
      <c r="V380" s="232">
        <v>0</v>
      </c>
      <c r="W380" s="232">
        <v>0</v>
      </c>
      <c r="X380" s="232">
        <f t="shared" si="12"/>
        <v>1</v>
      </c>
      <c r="Y380" s="223"/>
      <c r="Z380" s="224" t="s">
        <v>663</v>
      </c>
      <c r="AA380" s="157" t="s">
        <v>663</v>
      </c>
      <c r="AB380" s="259" t="s">
        <v>2821</v>
      </c>
      <c r="AC380" s="530" t="s">
        <v>3015</v>
      </c>
      <c r="AD380" s="159"/>
    </row>
    <row r="381" spans="1:30" x14ac:dyDescent="0.2">
      <c r="A381" s="218"/>
      <c r="B381" s="284"/>
      <c r="C381" s="234" t="s">
        <v>1275</v>
      </c>
      <c r="D381" s="235" t="s">
        <v>1276</v>
      </c>
      <c r="E381" s="236">
        <v>0</v>
      </c>
      <c r="F381" s="236">
        <v>0</v>
      </c>
      <c r="G381" s="236">
        <v>0</v>
      </c>
      <c r="H381" s="236">
        <v>0</v>
      </c>
      <c r="I381" s="236">
        <v>0</v>
      </c>
      <c r="J381" s="236">
        <v>0</v>
      </c>
      <c r="K381" s="236">
        <v>0</v>
      </c>
      <c r="L381" s="236">
        <v>0</v>
      </c>
      <c r="M381" s="236">
        <v>0</v>
      </c>
      <c r="N381" s="236">
        <v>0.59118170190655106</v>
      </c>
      <c r="O381" s="236">
        <v>0</v>
      </c>
      <c r="P381" s="236">
        <v>2.538071065989848E-2</v>
      </c>
      <c r="Q381" s="236">
        <v>0</v>
      </c>
      <c r="R381" s="236">
        <v>0</v>
      </c>
      <c r="S381" s="236">
        <v>0.3834375874335505</v>
      </c>
      <c r="T381" s="236">
        <v>0</v>
      </c>
      <c r="U381" s="236">
        <v>0</v>
      </c>
      <c r="V381" s="236"/>
      <c r="W381" s="236"/>
      <c r="X381" s="237">
        <f t="shared" si="12"/>
        <v>1</v>
      </c>
      <c r="Y381" s="223"/>
      <c r="Z381" s="224" t="s">
        <v>663</v>
      </c>
      <c r="AA381" s="157" t="s">
        <v>663</v>
      </c>
      <c r="AB381" s="151" t="s">
        <v>2602</v>
      </c>
      <c r="AC381" s="530" t="s">
        <v>3015</v>
      </c>
      <c r="AD381" s="159"/>
    </row>
    <row r="382" spans="1:30" x14ac:dyDescent="0.2">
      <c r="A382" s="229"/>
      <c r="B382" s="229"/>
      <c r="C382" s="248" t="s">
        <v>1277</v>
      </c>
      <c r="D382" s="249" t="s">
        <v>136</v>
      </c>
      <c r="E382" s="221">
        <v>0</v>
      </c>
      <c r="F382" s="221">
        <v>0</v>
      </c>
      <c r="G382" s="221">
        <v>4.1172164849715615E-2</v>
      </c>
      <c r="H382" s="221">
        <v>0</v>
      </c>
      <c r="I382" s="221">
        <v>0</v>
      </c>
      <c r="J382" s="221">
        <v>2.9609763655503319E-3</v>
      </c>
      <c r="K382" s="221">
        <v>0</v>
      </c>
      <c r="L382" s="221">
        <v>0</v>
      </c>
      <c r="M382" s="221">
        <v>0</v>
      </c>
      <c r="N382" s="221">
        <v>0.57416904544016645</v>
      </c>
      <c r="O382" s="221">
        <v>1.3551641566230765E-2</v>
      </c>
      <c r="P382" s="221">
        <v>6.2685080268676655E-2</v>
      </c>
      <c r="Q382" s="221">
        <v>1.8144437504855337E-3</v>
      </c>
      <c r="R382" s="221">
        <v>0</v>
      </c>
      <c r="S382" s="221">
        <v>0.2290627297392871</v>
      </c>
      <c r="T382" s="221">
        <v>7.2137405696851564E-2</v>
      </c>
      <c r="U382" s="221">
        <v>2.4465123230358859E-3</v>
      </c>
      <c r="V382" s="221"/>
      <c r="W382" s="221"/>
      <c r="X382" s="222">
        <f t="shared" si="12"/>
        <v>0.99999999999999989</v>
      </c>
      <c r="Y382" s="223"/>
      <c r="Z382" s="224" t="s">
        <v>663</v>
      </c>
      <c r="AA382" s="157" t="s">
        <v>663</v>
      </c>
      <c r="AB382" s="282" t="s">
        <v>1101</v>
      </c>
      <c r="AC382" s="530" t="s">
        <v>3015</v>
      </c>
      <c r="AD382" s="159"/>
    </row>
    <row r="383" spans="1:30" x14ac:dyDescent="0.2">
      <c r="A383" s="325" t="s">
        <v>1101</v>
      </c>
      <c r="B383" s="326"/>
      <c r="C383" s="241" t="s">
        <v>1734</v>
      </c>
      <c r="D383" s="242" t="s">
        <v>1735</v>
      </c>
      <c r="E383" s="262">
        <v>0</v>
      </c>
      <c r="F383" s="262">
        <v>0</v>
      </c>
      <c r="G383" s="262">
        <v>0</v>
      </c>
      <c r="H383" s="262">
        <v>0</v>
      </c>
      <c r="I383" s="262">
        <v>0</v>
      </c>
      <c r="J383" s="262">
        <v>0</v>
      </c>
      <c r="K383" s="262">
        <v>0</v>
      </c>
      <c r="L383" s="262">
        <v>0</v>
      </c>
      <c r="M383" s="262">
        <v>0</v>
      </c>
      <c r="N383" s="262">
        <v>0.37277847689320553</v>
      </c>
      <c r="O383" s="262">
        <v>0</v>
      </c>
      <c r="P383" s="262">
        <v>7.7112472157981601E-2</v>
      </c>
      <c r="Q383" s="262">
        <v>2.5016687160223537E-3</v>
      </c>
      <c r="R383" s="262">
        <v>0</v>
      </c>
      <c r="S383" s="262">
        <v>9.3077291615405247E-2</v>
      </c>
      <c r="T383" s="262">
        <v>0.45453009061738525</v>
      </c>
      <c r="U383" s="262">
        <v>0</v>
      </c>
      <c r="V383" s="262">
        <v>0</v>
      </c>
      <c r="W383" s="262">
        <v>0</v>
      </c>
      <c r="X383" s="232">
        <f t="shared" si="12"/>
        <v>1</v>
      </c>
      <c r="Y383" s="223"/>
      <c r="Z383" s="224" t="s">
        <v>663</v>
      </c>
      <c r="AA383" s="157" t="s">
        <v>663</v>
      </c>
      <c r="AB383" s="282" t="s">
        <v>1101</v>
      </c>
      <c r="AC383" s="530" t="s">
        <v>3015</v>
      </c>
      <c r="AD383" s="159"/>
    </row>
    <row r="384" spans="1:30" ht="22.5" x14ac:dyDescent="0.2">
      <c r="A384" s="325" t="s">
        <v>1101</v>
      </c>
      <c r="B384" s="327"/>
      <c r="C384" s="260" t="s">
        <v>1592</v>
      </c>
      <c r="D384" s="261" t="s">
        <v>1593</v>
      </c>
      <c r="E384" s="236">
        <v>0</v>
      </c>
      <c r="F384" s="236">
        <v>0</v>
      </c>
      <c r="G384" s="236">
        <v>3.4364261168384883E-2</v>
      </c>
      <c r="H384" s="236">
        <v>0</v>
      </c>
      <c r="I384" s="236">
        <v>0</v>
      </c>
      <c r="J384" s="236">
        <v>0</v>
      </c>
      <c r="K384" s="236">
        <v>0</v>
      </c>
      <c r="L384" s="236">
        <v>0</v>
      </c>
      <c r="M384" s="236"/>
      <c r="N384" s="236">
        <v>0.60824742268041243</v>
      </c>
      <c r="O384" s="236">
        <v>0</v>
      </c>
      <c r="P384" s="236">
        <v>0</v>
      </c>
      <c r="Q384" s="236">
        <v>0</v>
      </c>
      <c r="R384" s="236">
        <v>0</v>
      </c>
      <c r="S384" s="236">
        <v>0.10996563573883163</v>
      </c>
      <c r="T384" s="236">
        <v>0.24742268041237117</v>
      </c>
      <c r="U384" s="236">
        <v>0</v>
      </c>
      <c r="V384" s="236"/>
      <c r="W384" s="236"/>
      <c r="X384" s="237">
        <f t="shared" si="12"/>
        <v>1.0000000000000002</v>
      </c>
      <c r="Y384" s="223"/>
      <c r="Z384" s="224" t="s">
        <v>663</v>
      </c>
      <c r="AA384" s="157" t="s">
        <v>663</v>
      </c>
      <c r="AB384" s="282" t="s">
        <v>1101</v>
      </c>
      <c r="AC384" s="530" t="s">
        <v>3015</v>
      </c>
      <c r="AD384" s="159"/>
    </row>
    <row r="385" spans="1:30" x14ac:dyDescent="0.2">
      <c r="A385" s="282" t="s">
        <v>1101</v>
      </c>
      <c r="B385" s="282"/>
      <c r="C385" s="219" t="s">
        <v>1594</v>
      </c>
      <c r="D385" s="220" t="s">
        <v>1595</v>
      </c>
      <c r="E385" s="221">
        <v>0</v>
      </c>
      <c r="F385" s="221">
        <v>0</v>
      </c>
      <c r="G385" s="221">
        <v>6.0353672520972894E-2</v>
      </c>
      <c r="H385" s="221">
        <v>0</v>
      </c>
      <c r="I385" s="221">
        <v>0</v>
      </c>
      <c r="J385" s="221">
        <v>0</v>
      </c>
      <c r="K385" s="221">
        <v>0</v>
      </c>
      <c r="L385" s="221">
        <v>0</v>
      </c>
      <c r="M385" s="221"/>
      <c r="N385" s="221">
        <v>0.55012372502866791</v>
      </c>
      <c r="O385" s="221">
        <v>2.0037419276963002E-2</v>
      </c>
      <c r="P385" s="221">
        <v>0.11998310097169411</v>
      </c>
      <c r="Q385" s="221">
        <v>3.6212203512583732E-3</v>
      </c>
      <c r="R385" s="221">
        <v>0</v>
      </c>
      <c r="S385" s="221">
        <v>0.24588086185044356</v>
      </c>
      <c r="T385" s="221">
        <v>0</v>
      </c>
      <c r="U385" s="221">
        <v>0</v>
      </c>
      <c r="V385" s="221"/>
      <c r="W385" s="221"/>
      <c r="X385" s="222">
        <f t="shared" si="12"/>
        <v>0.99999999999999978</v>
      </c>
      <c r="Y385" s="223"/>
      <c r="Z385" s="224" t="s">
        <v>663</v>
      </c>
      <c r="AA385" s="157" t="s">
        <v>663</v>
      </c>
      <c r="AB385" s="282" t="s">
        <v>1101</v>
      </c>
      <c r="AC385" s="530" t="s">
        <v>3015</v>
      </c>
      <c r="AD385" s="159"/>
    </row>
    <row r="386" spans="1:30" x14ac:dyDescent="0.2">
      <c r="A386" s="326" t="s">
        <v>1101</v>
      </c>
      <c r="B386" s="326"/>
      <c r="C386" s="230" t="s">
        <v>1596</v>
      </c>
      <c r="D386" s="231" t="s">
        <v>1597</v>
      </c>
      <c r="E386" s="232">
        <v>0</v>
      </c>
      <c r="F386" s="232">
        <v>0</v>
      </c>
      <c r="G386" s="232">
        <v>3.4722222222222224E-2</v>
      </c>
      <c r="H386" s="232">
        <v>0</v>
      </c>
      <c r="I386" s="232">
        <v>0</v>
      </c>
      <c r="J386" s="232">
        <v>0</v>
      </c>
      <c r="K386" s="232">
        <v>0</v>
      </c>
      <c r="L386" s="232">
        <v>0</v>
      </c>
      <c r="M386" s="232"/>
      <c r="N386" s="232">
        <v>0.57065972222222228</v>
      </c>
      <c r="O386" s="232">
        <v>0</v>
      </c>
      <c r="P386" s="232">
        <v>0</v>
      </c>
      <c r="Q386" s="232">
        <v>5.7291666666666671E-3</v>
      </c>
      <c r="R386" s="232">
        <v>0</v>
      </c>
      <c r="S386" s="232">
        <v>0.21180555555555555</v>
      </c>
      <c r="T386" s="232">
        <v>0.17708333333333334</v>
      </c>
      <c r="U386" s="232">
        <v>0</v>
      </c>
      <c r="V386" s="232"/>
      <c r="W386" s="232"/>
      <c r="X386" s="233">
        <f t="shared" si="12"/>
        <v>1</v>
      </c>
      <c r="Y386" s="223"/>
      <c r="Z386" s="224" t="s">
        <v>663</v>
      </c>
      <c r="AA386" s="157" t="s">
        <v>663</v>
      </c>
      <c r="AB386" s="282" t="s">
        <v>1101</v>
      </c>
      <c r="AC386" s="530" t="s">
        <v>3015</v>
      </c>
      <c r="AD386" s="159"/>
    </row>
    <row r="387" spans="1:30" x14ac:dyDescent="0.2">
      <c r="A387" s="327" t="s">
        <v>1101</v>
      </c>
      <c r="B387" s="327"/>
      <c r="C387" s="260" t="s">
        <v>1598</v>
      </c>
      <c r="D387" s="261" t="s">
        <v>1599</v>
      </c>
      <c r="E387" s="232">
        <v>0</v>
      </c>
      <c r="F387" s="232">
        <v>0</v>
      </c>
      <c r="G387" s="232">
        <v>1.8740629685157426E-2</v>
      </c>
      <c r="H387" s="232">
        <v>0</v>
      </c>
      <c r="I387" s="232">
        <v>0</v>
      </c>
      <c r="J387" s="232">
        <v>5.6221889055472268E-3</v>
      </c>
      <c r="K387" s="232">
        <v>0</v>
      </c>
      <c r="L387" s="232">
        <v>0</v>
      </c>
      <c r="M387" s="232"/>
      <c r="N387" s="232">
        <v>0.95389805097451286</v>
      </c>
      <c r="O387" s="232">
        <v>0</v>
      </c>
      <c r="P387" s="232">
        <v>0</v>
      </c>
      <c r="Q387" s="232">
        <v>0</v>
      </c>
      <c r="R387" s="232">
        <v>0</v>
      </c>
      <c r="S387" s="232">
        <v>2.1739130434782612E-2</v>
      </c>
      <c r="T387" s="232">
        <v>0</v>
      </c>
      <c r="U387" s="232">
        <v>0</v>
      </c>
      <c r="V387" s="232"/>
      <c r="W387" s="232"/>
      <c r="X387" s="233">
        <f t="shared" si="12"/>
        <v>1.0000000000000002</v>
      </c>
      <c r="Y387" s="223"/>
      <c r="Z387" s="224" t="s">
        <v>663</v>
      </c>
      <c r="AA387" s="157" t="s">
        <v>663</v>
      </c>
      <c r="AB387" s="282" t="s">
        <v>1101</v>
      </c>
      <c r="AC387" s="530" t="s">
        <v>3015</v>
      </c>
      <c r="AD387" s="159"/>
    </row>
    <row r="388" spans="1:30" x14ac:dyDescent="0.2">
      <c r="A388" s="282" t="s">
        <v>1101</v>
      </c>
      <c r="B388" s="282"/>
      <c r="C388" s="238" t="s">
        <v>1736</v>
      </c>
      <c r="D388" s="239" t="s">
        <v>1737</v>
      </c>
      <c r="E388" s="240">
        <v>0</v>
      </c>
      <c r="F388" s="240">
        <v>0</v>
      </c>
      <c r="G388" s="240">
        <v>2.0726626362263254E-3</v>
      </c>
      <c r="H388" s="240">
        <v>0</v>
      </c>
      <c r="I388" s="240">
        <v>0</v>
      </c>
      <c r="J388" s="240">
        <v>0</v>
      </c>
      <c r="K388" s="240">
        <v>0</v>
      </c>
      <c r="L388" s="240">
        <v>0</v>
      </c>
      <c r="M388" s="240">
        <v>0</v>
      </c>
      <c r="N388" s="240">
        <v>4.833676102637751E-2</v>
      </c>
      <c r="O388" s="240">
        <v>0</v>
      </c>
      <c r="P388" s="240">
        <v>1.990825963053923E-2</v>
      </c>
      <c r="Q388" s="240">
        <v>2.680864760177779E-3</v>
      </c>
      <c r="R388" s="240">
        <v>0</v>
      </c>
      <c r="S388" s="240">
        <v>2.0285149635416156E-2</v>
      </c>
      <c r="T388" s="240">
        <v>0.90671630231126299</v>
      </c>
      <c r="U388" s="240">
        <v>0</v>
      </c>
      <c r="V388" s="240">
        <v>0</v>
      </c>
      <c r="W388" s="240">
        <v>0</v>
      </c>
      <c r="X388" s="221">
        <f t="shared" si="12"/>
        <v>1</v>
      </c>
      <c r="Y388" s="223"/>
      <c r="Z388" s="224" t="s">
        <v>663</v>
      </c>
      <c r="AA388" s="157" t="s">
        <v>663</v>
      </c>
      <c r="AB388" s="282" t="s">
        <v>1101</v>
      </c>
      <c r="AC388" s="530" t="s">
        <v>3015</v>
      </c>
      <c r="AD388" s="159"/>
    </row>
    <row r="389" spans="1:30" x14ac:dyDescent="0.2">
      <c r="A389" s="326" t="s">
        <v>1101</v>
      </c>
      <c r="B389" s="326"/>
      <c r="C389" s="230" t="s">
        <v>1600</v>
      </c>
      <c r="D389" s="231" t="s">
        <v>1601</v>
      </c>
      <c r="E389" s="232">
        <v>0</v>
      </c>
      <c r="F389" s="232">
        <v>0</v>
      </c>
      <c r="G389" s="232">
        <v>0</v>
      </c>
      <c r="H389" s="232">
        <v>0</v>
      </c>
      <c r="I389" s="232">
        <v>0</v>
      </c>
      <c r="J389" s="232">
        <v>0</v>
      </c>
      <c r="K389" s="232">
        <v>0</v>
      </c>
      <c r="L389" s="232">
        <v>0</v>
      </c>
      <c r="M389" s="232"/>
      <c r="N389" s="232">
        <v>0.81</v>
      </c>
      <c r="O389" s="232">
        <v>0</v>
      </c>
      <c r="P389" s="232">
        <v>5.6666666666666664E-2</v>
      </c>
      <c r="Q389" s="232">
        <v>0</v>
      </c>
      <c r="R389" s="232">
        <v>0</v>
      </c>
      <c r="S389" s="232">
        <v>0.13333333333333333</v>
      </c>
      <c r="T389" s="232">
        <v>0</v>
      </c>
      <c r="U389" s="232">
        <v>0</v>
      </c>
      <c r="V389" s="232"/>
      <c r="W389" s="232"/>
      <c r="X389" s="233">
        <f t="shared" si="12"/>
        <v>1</v>
      </c>
      <c r="Y389" s="223"/>
      <c r="Z389" s="224" t="s">
        <v>663</v>
      </c>
      <c r="AA389" s="157" t="s">
        <v>663</v>
      </c>
      <c r="AB389" s="282" t="s">
        <v>1101</v>
      </c>
      <c r="AC389" s="530" t="s">
        <v>3015</v>
      </c>
      <c r="AD389" s="159"/>
    </row>
    <row r="390" spans="1:30" x14ac:dyDescent="0.2">
      <c r="A390" s="325" t="s">
        <v>1101</v>
      </c>
      <c r="B390" s="290"/>
      <c r="C390" s="277" t="s">
        <v>1608</v>
      </c>
      <c r="D390" s="266" t="s">
        <v>1609</v>
      </c>
      <c r="E390" s="267">
        <v>0</v>
      </c>
      <c r="F390" s="267">
        <v>0</v>
      </c>
      <c r="G390" s="267">
        <v>0</v>
      </c>
      <c r="H390" s="267">
        <v>0</v>
      </c>
      <c r="I390" s="267">
        <v>0</v>
      </c>
      <c r="J390" s="267">
        <v>0</v>
      </c>
      <c r="K390" s="267">
        <v>0</v>
      </c>
      <c r="L390" s="267">
        <v>0</v>
      </c>
      <c r="M390" s="267">
        <v>0</v>
      </c>
      <c r="N390" s="267">
        <v>1</v>
      </c>
      <c r="O390" s="267">
        <v>0</v>
      </c>
      <c r="P390" s="267">
        <v>0</v>
      </c>
      <c r="Q390" s="267">
        <v>0</v>
      </c>
      <c r="R390" s="267">
        <v>0</v>
      </c>
      <c r="S390" s="267">
        <v>0</v>
      </c>
      <c r="T390" s="267">
        <v>0</v>
      </c>
      <c r="U390" s="267">
        <v>0</v>
      </c>
      <c r="V390" s="267"/>
      <c r="W390" s="267"/>
      <c r="X390" s="222">
        <f t="shared" si="12"/>
        <v>1</v>
      </c>
      <c r="Y390" s="223"/>
      <c r="Z390" s="224" t="s">
        <v>663</v>
      </c>
      <c r="AA390" s="157" t="s">
        <v>663</v>
      </c>
      <c r="AB390" s="282" t="s">
        <v>1101</v>
      </c>
      <c r="AC390" s="530" t="s">
        <v>3015</v>
      </c>
      <c r="AD390" s="159"/>
    </row>
    <row r="391" spans="1:30" x14ac:dyDescent="0.2">
      <c r="A391" s="325" t="s">
        <v>1101</v>
      </c>
      <c r="B391" s="290"/>
      <c r="C391" s="238" t="s">
        <v>1740</v>
      </c>
      <c r="D391" s="239" t="s">
        <v>1741</v>
      </c>
      <c r="E391" s="240">
        <v>0</v>
      </c>
      <c r="F391" s="240">
        <v>0</v>
      </c>
      <c r="G391" s="240">
        <v>0</v>
      </c>
      <c r="H391" s="240">
        <v>0</v>
      </c>
      <c r="I391" s="240">
        <v>0</v>
      </c>
      <c r="J391" s="240">
        <v>9.0436515560493744E-2</v>
      </c>
      <c r="K391" s="240">
        <v>0</v>
      </c>
      <c r="L391" s="240">
        <v>0</v>
      </c>
      <c r="M391" s="240">
        <v>0</v>
      </c>
      <c r="N391" s="240">
        <v>0</v>
      </c>
      <c r="O391" s="240">
        <v>0</v>
      </c>
      <c r="P391" s="240">
        <v>0</v>
      </c>
      <c r="Q391" s="240">
        <v>0</v>
      </c>
      <c r="R391" s="240">
        <v>0</v>
      </c>
      <c r="S391" s="240">
        <v>0</v>
      </c>
      <c r="T391" s="240">
        <v>0.9095634844395063</v>
      </c>
      <c r="U391" s="240">
        <v>0</v>
      </c>
      <c r="V391" s="240">
        <v>0</v>
      </c>
      <c r="W391" s="240">
        <v>0</v>
      </c>
      <c r="X391" s="221">
        <f t="shared" si="12"/>
        <v>1</v>
      </c>
      <c r="Y391" s="223"/>
      <c r="Z391" s="224" t="s">
        <v>663</v>
      </c>
      <c r="AA391" s="157" t="s">
        <v>663</v>
      </c>
      <c r="AB391" s="282" t="s">
        <v>1101</v>
      </c>
      <c r="AC391" s="530" t="s">
        <v>3015</v>
      </c>
      <c r="AD391" s="159"/>
    </row>
    <row r="392" spans="1:30" x14ac:dyDescent="0.2">
      <c r="A392" s="325" t="s">
        <v>1101</v>
      </c>
      <c r="B392" s="290"/>
      <c r="C392" s="238" t="s">
        <v>1742</v>
      </c>
      <c r="D392" s="239" t="s">
        <v>1743</v>
      </c>
      <c r="E392" s="240">
        <v>0</v>
      </c>
      <c r="F392" s="240">
        <v>0</v>
      </c>
      <c r="G392" s="240">
        <v>0</v>
      </c>
      <c r="H392" s="240">
        <v>0</v>
      </c>
      <c r="I392" s="240">
        <v>0</v>
      </c>
      <c r="J392" s="240">
        <v>0</v>
      </c>
      <c r="K392" s="240">
        <v>0</v>
      </c>
      <c r="L392" s="240">
        <v>0</v>
      </c>
      <c r="M392" s="240">
        <v>0</v>
      </c>
      <c r="N392" s="240">
        <v>0.68764830481306605</v>
      </c>
      <c r="O392" s="240">
        <v>0</v>
      </c>
      <c r="P392" s="240">
        <v>0.17207414126131085</v>
      </c>
      <c r="Q392" s="240">
        <v>1.0762718804151597E-2</v>
      </c>
      <c r="R392" s="240">
        <v>0</v>
      </c>
      <c r="S392" s="240">
        <v>0.12951483512147152</v>
      </c>
      <c r="T392" s="240">
        <v>0</v>
      </c>
      <c r="U392" s="240">
        <v>0</v>
      </c>
      <c r="V392" s="240">
        <v>0</v>
      </c>
      <c r="W392" s="240">
        <v>0</v>
      </c>
      <c r="X392" s="221">
        <f t="shared" si="12"/>
        <v>1</v>
      </c>
      <c r="Y392" s="223"/>
      <c r="Z392" s="224" t="s">
        <v>663</v>
      </c>
      <c r="AA392" s="157" t="s">
        <v>663</v>
      </c>
      <c r="AB392" s="282" t="s">
        <v>1101</v>
      </c>
      <c r="AC392" s="530" t="s">
        <v>3015</v>
      </c>
      <c r="AD392" s="159"/>
    </row>
    <row r="393" spans="1:30" x14ac:dyDescent="0.2">
      <c r="A393" s="259" t="s">
        <v>2821</v>
      </c>
      <c r="B393" s="259"/>
      <c r="C393" s="328" t="s">
        <v>2358</v>
      </c>
      <c r="D393" s="329" t="s">
        <v>144</v>
      </c>
      <c r="E393" s="278">
        <v>0</v>
      </c>
      <c r="F393" s="278">
        <v>0</v>
      </c>
      <c r="G393" s="278">
        <v>0</v>
      </c>
      <c r="H393" s="278">
        <v>0</v>
      </c>
      <c r="I393" s="278">
        <v>0</v>
      </c>
      <c r="J393" s="278">
        <v>0</v>
      </c>
      <c r="K393" s="278">
        <v>0</v>
      </c>
      <c r="L393" s="278">
        <v>0</v>
      </c>
      <c r="M393" s="278">
        <v>0</v>
      </c>
      <c r="N393" s="278">
        <v>5.3549782308786563E-2</v>
      </c>
      <c r="O393" s="278">
        <v>0</v>
      </c>
      <c r="P393" s="278">
        <v>0</v>
      </c>
      <c r="Q393" s="278">
        <v>0</v>
      </c>
      <c r="R393" s="278">
        <v>0</v>
      </c>
      <c r="S393" s="278">
        <v>3.2592685519650985E-2</v>
      </c>
      <c r="T393" s="278">
        <v>0.73088869790500288</v>
      </c>
      <c r="U393" s="278">
        <v>0</v>
      </c>
      <c r="V393" s="278">
        <v>0</v>
      </c>
      <c r="W393" s="278">
        <v>0.18296883426655944</v>
      </c>
      <c r="X393" s="278">
        <f>SUBTOTAL(9,E393:W393)</f>
        <v>0.99999999999999978</v>
      </c>
      <c r="Y393" s="223"/>
      <c r="Z393" s="224" t="s">
        <v>663</v>
      </c>
      <c r="AA393" s="157" t="s">
        <v>649</v>
      </c>
      <c r="AB393" s="259" t="s">
        <v>2821</v>
      </c>
      <c r="AC393" s="530" t="s">
        <v>3015</v>
      </c>
      <c r="AD393" s="159"/>
    </row>
    <row r="394" spans="1:30" x14ac:dyDescent="0.2">
      <c r="A394" s="519" t="s">
        <v>2597</v>
      </c>
      <c r="B394" s="518"/>
      <c r="C394" s="313" t="s">
        <v>1746</v>
      </c>
      <c r="D394" s="314" t="s">
        <v>1747</v>
      </c>
      <c r="E394" s="324">
        <v>0</v>
      </c>
      <c r="F394" s="324">
        <v>0</v>
      </c>
      <c r="G394" s="324">
        <v>0</v>
      </c>
      <c r="H394" s="324">
        <v>1</v>
      </c>
      <c r="I394" s="324">
        <v>0</v>
      </c>
      <c r="J394" s="324">
        <v>0</v>
      </c>
      <c r="K394" s="324">
        <v>0</v>
      </c>
      <c r="L394" s="324">
        <v>0</v>
      </c>
      <c r="M394" s="324">
        <v>0</v>
      </c>
      <c r="N394" s="324">
        <v>0</v>
      </c>
      <c r="O394" s="324">
        <v>0</v>
      </c>
      <c r="P394" s="324">
        <v>0</v>
      </c>
      <c r="Q394" s="324">
        <v>0</v>
      </c>
      <c r="R394" s="324">
        <v>0</v>
      </c>
      <c r="S394" s="324">
        <v>0</v>
      </c>
      <c r="T394" s="324">
        <v>0</v>
      </c>
      <c r="U394" s="324">
        <v>0</v>
      </c>
      <c r="V394" s="324">
        <v>0</v>
      </c>
      <c r="W394" s="324">
        <v>0</v>
      </c>
      <c r="X394" s="297">
        <f>SUM(E394:W394)</f>
        <v>1</v>
      </c>
      <c r="Y394" s="223"/>
      <c r="Z394" s="224" t="s">
        <v>663</v>
      </c>
      <c r="AA394" s="157" t="s">
        <v>663</v>
      </c>
      <c r="AB394" s="282" t="s">
        <v>2597</v>
      </c>
      <c r="AC394" s="530" t="s">
        <v>3015</v>
      </c>
      <c r="AD394" s="159"/>
    </row>
    <row r="395" spans="1:30" x14ac:dyDescent="0.2">
      <c r="A395" s="519" t="s">
        <v>2597</v>
      </c>
      <c r="B395" s="518"/>
      <c r="C395" s="300" t="s">
        <v>1281</v>
      </c>
      <c r="D395" s="301" t="s">
        <v>148</v>
      </c>
      <c r="E395" s="297">
        <v>0</v>
      </c>
      <c r="F395" s="297">
        <v>0</v>
      </c>
      <c r="G395" s="297">
        <v>0</v>
      </c>
      <c r="H395" s="297">
        <v>1</v>
      </c>
      <c r="I395" s="297">
        <v>0</v>
      </c>
      <c r="J395" s="297">
        <v>0</v>
      </c>
      <c r="K395" s="297">
        <v>0</v>
      </c>
      <c r="L395" s="297">
        <v>0</v>
      </c>
      <c r="M395" s="297">
        <v>0</v>
      </c>
      <c r="N395" s="297">
        <v>0</v>
      </c>
      <c r="O395" s="297">
        <v>0</v>
      </c>
      <c r="P395" s="297">
        <v>0</v>
      </c>
      <c r="Q395" s="297">
        <v>0</v>
      </c>
      <c r="R395" s="297">
        <v>0</v>
      </c>
      <c r="S395" s="297">
        <v>0</v>
      </c>
      <c r="T395" s="297">
        <v>0</v>
      </c>
      <c r="U395" s="297">
        <v>0</v>
      </c>
      <c r="V395" s="297"/>
      <c r="W395" s="297"/>
      <c r="X395" s="298">
        <f>SUM(E395:W395)</f>
        <v>1</v>
      </c>
      <c r="Y395" s="223"/>
      <c r="Z395" s="224" t="s">
        <v>663</v>
      </c>
      <c r="AA395" s="157" t="s">
        <v>663</v>
      </c>
      <c r="AB395" s="282" t="s">
        <v>2597</v>
      </c>
      <c r="AC395" s="530" t="s">
        <v>3015</v>
      </c>
      <c r="AD395" s="159"/>
    </row>
    <row r="396" spans="1:30" x14ac:dyDescent="0.2">
      <c r="A396" s="259" t="s">
        <v>2821</v>
      </c>
      <c r="B396" s="330"/>
      <c r="C396" s="272" t="s">
        <v>1756</v>
      </c>
      <c r="D396" s="273" t="s">
        <v>1757</v>
      </c>
      <c r="E396" s="278">
        <v>0</v>
      </c>
      <c r="F396" s="278">
        <v>0</v>
      </c>
      <c r="G396" s="278">
        <v>0</v>
      </c>
      <c r="H396" s="278">
        <v>0</v>
      </c>
      <c r="I396" s="278">
        <v>0</v>
      </c>
      <c r="J396" s="278">
        <v>0</v>
      </c>
      <c r="K396" s="278">
        <v>0</v>
      </c>
      <c r="L396" s="278">
        <v>0</v>
      </c>
      <c r="M396" s="278">
        <v>0</v>
      </c>
      <c r="N396" s="278">
        <v>0</v>
      </c>
      <c r="O396" s="278">
        <v>0</v>
      </c>
      <c r="P396" s="278">
        <v>0</v>
      </c>
      <c r="Q396" s="278">
        <v>0</v>
      </c>
      <c r="R396" s="278">
        <v>0</v>
      </c>
      <c r="S396" s="278">
        <v>0</v>
      </c>
      <c r="T396" s="278">
        <v>0</v>
      </c>
      <c r="U396" s="278">
        <v>0</v>
      </c>
      <c r="V396" s="278">
        <v>0</v>
      </c>
      <c r="W396" s="278">
        <v>1</v>
      </c>
      <c r="X396" s="278">
        <f>SUBTOTAL(9,E396:W396)</f>
        <v>1</v>
      </c>
      <c r="Y396" s="223"/>
      <c r="Z396" s="224" t="s">
        <v>663</v>
      </c>
      <c r="AA396" s="157" t="s">
        <v>649</v>
      </c>
      <c r="AB396" s="259" t="s">
        <v>2821</v>
      </c>
      <c r="AC396" s="530" t="s">
        <v>3015</v>
      </c>
      <c r="AD396" s="159"/>
    </row>
    <row r="397" spans="1:30" x14ac:dyDescent="0.2">
      <c r="A397" s="254" t="s">
        <v>2821</v>
      </c>
      <c r="B397" s="259"/>
      <c r="C397" s="272" t="s">
        <v>1758</v>
      </c>
      <c r="D397" s="273" t="s">
        <v>1759</v>
      </c>
      <c r="E397" s="274">
        <v>0</v>
      </c>
      <c r="F397" s="274">
        <v>0</v>
      </c>
      <c r="G397" s="274">
        <v>0</v>
      </c>
      <c r="H397" s="274">
        <v>0</v>
      </c>
      <c r="I397" s="274">
        <v>0</v>
      </c>
      <c r="J397" s="274">
        <v>0</v>
      </c>
      <c r="K397" s="274">
        <v>0</v>
      </c>
      <c r="L397" s="274">
        <v>0</v>
      </c>
      <c r="M397" s="274">
        <v>0</v>
      </c>
      <c r="N397" s="274">
        <v>0</v>
      </c>
      <c r="O397" s="274">
        <v>0</v>
      </c>
      <c r="P397" s="274">
        <v>0</v>
      </c>
      <c r="Q397" s="274">
        <v>0</v>
      </c>
      <c r="R397" s="274">
        <v>0</v>
      </c>
      <c r="S397" s="274">
        <v>0</v>
      </c>
      <c r="T397" s="274">
        <v>4.8640023344591894E-2</v>
      </c>
      <c r="U397" s="274">
        <v>0</v>
      </c>
      <c r="V397" s="274">
        <v>0</v>
      </c>
      <c r="W397" s="274">
        <v>0.95135997665540806</v>
      </c>
      <c r="X397" s="274">
        <f>SUBTOTAL(9,E397:W397)</f>
        <v>1</v>
      </c>
      <c r="Y397" s="223"/>
      <c r="Z397" s="224" t="s">
        <v>663</v>
      </c>
      <c r="AA397" s="157" t="s">
        <v>649</v>
      </c>
      <c r="AB397" s="259" t="s">
        <v>2821</v>
      </c>
      <c r="AC397" s="530" t="s">
        <v>3015</v>
      </c>
      <c r="AD397" s="159"/>
    </row>
    <row r="398" spans="1:30" x14ac:dyDescent="0.2">
      <c r="A398" s="259" t="s">
        <v>2821</v>
      </c>
      <c r="B398" s="259"/>
      <c r="C398" s="272" t="s">
        <v>1760</v>
      </c>
      <c r="D398" s="273" t="s">
        <v>1761</v>
      </c>
      <c r="E398" s="278">
        <v>0</v>
      </c>
      <c r="F398" s="278">
        <v>0</v>
      </c>
      <c r="G398" s="278">
        <v>0</v>
      </c>
      <c r="H398" s="278">
        <v>0</v>
      </c>
      <c r="I398" s="278">
        <v>0</v>
      </c>
      <c r="J398" s="278">
        <v>0</v>
      </c>
      <c r="K398" s="278">
        <v>0</v>
      </c>
      <c r="L398" s="278">
        <v>0</v>
      </c>
      <c r="M398" s="278">
        <v>0</v>
      </c>
      <c r="N398" s="278">
        <v>0</v>
      </c>
      <c r="O398" s="278">
        <v>0</v>
      </c>
      <c r="P398" s="278">
        <v>0</v>
      </c>
      <c r="Q398" s="278">
        <v>0</v>
      </c>
      <c r="R398" s="278">
        <v>0</v>
      </c>
      <c r="S398" s="278">
        <v>0</v>
      </c>
      <c r="T398" s="278">
        <v>0.57041210637773965</v>
      </c>
      <c r="U398" s="278">
        <v>0</v>
      </c>
      <c r="V398" s="278">
        <v>0</v>
      </c>
      <c r="W398" s="278">
        <v>0.42958789362226041</v>
      </c>
      <c r="X398" s="278">
        <f>SUBTOTAL(9,E398:W398)</f>
        <v>1</v>
      </c>
      <c r="Y398" s="223"/>
      <c r="Z398" s="224" t="s">
        <v>663</v>
      </c>
      <c r="AA398" s="157" t="s">
        <v>649</v>
      </c>
      <c r="AB398" s="259" t="s">
        <v>2821</v>
      </c>
      <c r="AC398" s="530" t="s">
        <v>3015</v>
      </c>
      <c r="AD398" s="159"/>
    </row>
    <row r="399" spans="1:30" x14ac:dyDescent="0.2">
      <c r="A399" s="254" t="s">
        <v>2821</v>
      </c>
      <c r="B399" s="316"/>
      <c r="C399" s="331" t="s">
        <v>1764</v>
      </c>
      <c r="D399" s="332" t="s">
        <v>1765</v>
      </c>
      <c r="E399" s="333">
        <v>0</v>
      </c>
      <c r="F399" s="333">
        <v>0</v>
      </c>
      <c r="G399" s="333">
        <v>0</v>
      </c>
      <c r="H399" s="333">
        <v>0</v>
      </c>
      <c r="I399" s="333">
        <v>0</v>
      </c>
      <c r="J399" s="333">
        <v>0</v>
      </c>
      <c r="K399" s="333">
        <v>0</v>
      </c>
      <c r="L399" s="333">
        <v>0</v>
      </c>
      <c r="M399" s="333">
        <v>0</v>
      </c>
      <c r="N399" s="333">
        <v>0</v>
      </c>
      <c r="O399" s="333">
        <v>0</v>
      </c>
      <c r="P399" s="333">
        <v>0</v>
      </c>
      <c r="Q399" s="333">
        <v>0</v>
      </c>
      <c r="R399" s="333">
        <v>0</v>
      </c>
      <c r="S399" s="333">
        <v>0</v>
      </c>
      <c r="T399" s="333">
        <v>0</v>
      </c>
      <c r="U399" s="333">
        <v>0</v>
      </c>
      <c r="V399" s="333">
        <v>0</v>
      </c>
      <c r="W399" s="333">
        <v>1</v>
      </c>
      <c r="X399" s="333">
        <f>SUBTOTAL(9,E399:W399)</f>
        <v>1</v>
      </c>
      <c r="Y399" s="223"/>
      <c r="Z399" s="224" t="s">
        <v>663</v>
      </c>
      <c r="AA399" s="157" t="s">
        <v>649</v>
      </c>
      <c r="AB399" s="259" t="s">
        <v>2821</v>
      </c>
      <c r="AC399" s="530" t="s">
        <v>3015</v>
      </c>
      <c r="AD399" s="159"/>
    </row>
    <row r="400" spans="1:30" x14ac:dyDescent="0.2">
      <c r="A400" s="270" t="s">
        <v>2821</v>
      </c>
      <c r="B400" s="334"/>
      <c r="C400" s="335" t="s">
        <v>1626</v>
      </c>
      <c r="D400" s="336" t="s">
        <v>1627</v>
      </c>
      <c r="E400" s="274">
        <v>0</v>
      </c>
      <c r="F400" s="274">
        <v>0</v>
      </c>
      <c r="G400" s="274">
        <v>0</v>
      </c>
      <c r="H400" s="428">
        <f>100%-50%</f>
        <v>0.5</v>
      </c>
      <c r="I400" s="274">
        <v>0</v>
      </c>
      <c r="J400" s="274">
        <v>0</v>
      </c>
      <c r="K400" s="274">
        <v>0</v>
      </c>
      <c r="L400" s="428">
        <v>0.5</v>
      </c>
      <c r="M400" s="274">
        <v>0</v>
      </c>
      <c r="N400" s="274">
        <v>0</v>
      </c>
      <c r="O400" s="274">
        <v>0</v>
      </c>
      <c r="P400" s="274">
        <v>0</v>
      </c>
      <c r="Q400" s="274">
        <v>0</v>
      </c>
      <c r="R400" s="274">
        <v>0</v>
      </c>
      <c r="S400" s="274">
        <v>0</v>
      </c>
      <c r="T400" s="274">
        <v>0</v>
      </c>
      <c r="U400" s="274">
        <v>0</v>
      </c>
      <c r="V400" s="274">
        <v>0</v>
      </c>
      <c r="W400" s="274">
        <v>0</v>
      </c>
      <c r="X400" s="274">
        <f>SUBTOTAL(9,E400:W400)</f>
        <v>1</v>
      </c>
      <c r="Y400" s="223"/>
      <c r="Z400" s="224" t="s">
        <v>663</v>
      </c>
      <c r="AA400" s="157" t="s">
        <v>649</v>
      </c>
      <c r="AB400" s="259" t="s">
        <v>2821</v>
      </c>
      <c r="AC400" s="530" t="s">
        <v>3015</v>
      </c>
      <c r="AD400" s="159"/>
    </row>
    <row r="401" spans="1:30" x14ac:dyDescent="0.2">
      <c r="A401" s="519" t="s">
        <v>2597</v>
      </c>
      <c r="B401" s="369"/>
      <c r="C401" s="520" t="s">
        <v>1645</v>
      </c>
      <c r="D401" s="521" t="s">
        <v>172</v>
      </c>
      <c r="E401" s="522">
        <v>0</v>
      </c>
      <c r="F401" s="522">
        <v>0</v>
      </c>
      <c r="G401" s="522">
        <v>0</v>
      </c>
      <c r="H401" s="522">
        <v>0</v>
      </c>
      <c r="I401" s="522">
        <v>0</v>
      </c>
      <c r="J401" s="522">
        <v>0</v>
      </c>
      <c r="K401" s="522">
        <v>0</v>
      </c>
      <c r="L401" s="522">
        <v>1</v>
      </c>
      <c r="M401" s="522">
        <v>0</v>
      </c>
      <c r="N401" s="522">
        <v>0</v>
      </c>
      <c r="O401" s="522">
        <v>0</v>
      </c>
      <c r="P401" s="522">
        <v>0</v>
      </c>
      <c r="Q401" s="522">
        <v>0</v>
      </c>
      <c r="R401" s="522">
        <v>0</v>
      </c>
      <c r="S401" s="522">
        <v>0</v>
      </c>
      <c r="T401" s="522">
        <v>0</v>
      </c>
      <c r="U401" s="522">
        <v>0</v>
      </c>
      <c r="V401" s="522"/>
      <c r="W401" s="522">
        <v>0</v>
      </c>
      <c r="X401" s="298">
        <f>SUM(E401:W401)</f>
        <v>1</v>
      </c>
      <c r="Y401" s="223"/>
      <c r="Z401" s="224" t="s">
        <v>663</v>
      </c>
      <c r="AA401" s="157" t="s">
        <v>663</v>
      </c>
      <c r="AB401" s="282" t="s">
        <v>2597</v>
      </c>
      <c r="AC401" s="530" t="s">
        <v>3015</v>
      </c>
      <c r="AD401" s="159"/>
    </row>
    <row r="402" spans="1:30" x14ac:dyDescent="0.2">
      <c r="A402" s="519" t="s">
        <v>2597</v>
      </c>
      <c r="B402" s="518"/>
      <c r="C402" s="320" t="s">
        <v>1316</v>
      </c>
      <c r="D402" s="321" t="s">
        <v>1317</v>
      </c>
      <c r="E402" s="523"/>
      <c r="F402" s="523"/>
      <c r="G402" s="523"/>
      <c r="H402" s="523"/>
      <c r="I402" s="523">
        <v>1</v>
      </c>
      <c r="J402" s="523"/>
      <c r="K402" s="523"/>
      <c r="L402" s="523"/>
      <c r="M402" s="523"/>
      <c r="N402" s="523"/>
      <c r="O402" s="523"/>
      <c r="P402" s="523"/>
      <c r="Q402" s="523"/>
      <c r="R402" s="523"/>
      <c r="S402" s="523"/>
      <c r="T402" s="523"/>
      <c r="U402" s="523"/>
      <c r="V402" s="523"/>
      <c r="W402" s="523"/>
      <c r="X402" s="303">
        <f>SUM(E402:W402)</f>
        <v>1</v>
      </c>
      <c r="Y402" s="223"/>
      <c r="Z402" s="224" t="s">
        <v>663</v>
      </c>
      <c r="AA402" s="157" t="s">
        <v>663</v>
      </c>
      <c r="AB402" s="282" t="s">
        <v>2597</v>
      </c>
      <c r="AC402" s="530" t="s">
        <v>3015</v>
      </c>
      <c r="AD402" s="159"/>
    </row>
    <row r="403" spans="1:30" x14ac:dyDescent="0.2">
      <c r="A403" s="325" t="s">
        <v>1101</v>
      </c>
      <c r="B403" s="337">
        <v>42247</v>
      </c>
      <c r="C403" s="225" t="s">
        <v>1784</v>
      </c>
      <c r="D403" s="226" t="s">
        <v>1785</v>
      </c>
      <c r="E403" s="245">
        <v>0</v>
      </c>
      <c r="F403" s="245">
        <v>1.3133304054576573E-2</v>
      </c>
      <c r="G403" s="245">
        <v>4.0341553145287201E-2</v>
      </c>
      <c r="H403" s="245">
        <v>0</v>
      </c>
      <c r="I403" s="245">
        <v>0</v>
      </c>
      <c r="J403" s="245">
        <v>2.8868237054057489E-2</v>
      </c>
      <c r="K403" s="245">
        <v>0</v>
      </c>
      <c r="L403" s="245">
        <v>0</v>
      </c>
      <c r="M403" s="245">
        <v>0</v>
      </c>
      <c r="N403" s="245">
        <v>0.44137858808860103</v>
      </c>
      <c r="O403" s="245">
        <v>2.6405857614723152E-2</v>
      </c>
      <c r="P403" s="245">
        <v>0.2291121671044728</v>
      </c>
      <c r="Q403" s="245">
        <v>2.4923762894767647E-2</v>
      </c>
      <c r="R403" s="245">
        <v>0</v>
      </c>
      <c r="S403" s="245">
        <v>0.10230085934009804</v>
      </c>
      <c r="T403" s="245">
        <v>7.3608923002385362E-2</v>
      </c>
      <c r="U403" s="245">
        <v>1.9926747701030832E-2</v>
      </c>
      <c r="V403" s="245">
        <v>0</v>
      </c>
      <c r="W403" s="245">
        <v>0</v>
      </c>
      <c r="X403" s="236">
        <f>SUM(E403:W403)</f>
        <v>1</v>
      </c>
      <c r="Y403" s="223"/>
      <c r="Z403" s="224" t="s">
        <v>663</v>
      </c>
      <c r="AA403" s="157" t="s">
        <v>663</v>
      </c>
      <c r="AB403" s="282" t="s">
        <v>1101</v>
      </c>
      <c r="AC403" s="530" t="s">
        <v>3015</v>
      </c>
      <c r="AD403" s="159"/>
    </row>
    <row r="404" spans="1:30" x14ac:dyDescent="0.2">
      <c r="A404" s="282" t="s">
        <v>1101</v>
      </c>
      <c r="B404" s="282"/>
      <c r="C404" s="238" t="s">
        <v>1786</v>
      </c>
      <c r="D404" s="239" t="s">
        <v>1787</v>
      </c>
      <c r="E404" s="240">
        <v>0</v>
      </c>
      <c r="F404" s="240">
        <v>0</v>
      </c>
      <c r="G404" s="240">
        <v>0</v>
      </c>
      <c r="H404" s="240">
        <v>0</v>
      </c>
      <c r="I404" s="240">
        <v>0</v>
      </c>
      <c r="J404" s="240">
        <v>0</v>
      </c>
      <c r="K404" s="240">
        <v>0</v>
      </c>
      <c r="L404" s="240">
        <v>0</v>
      </c>
      <c r="M404" s="240">
        <v>0</v>
      </c>
      <c r="N404" s="240">
        <v>0.81187441134059291</v>
      </c>
      <c r="O404" s="240">
        <v>0</v>
      </c>
      <c r="P404" s="240">
        <v>7.8209767094487168E-2</v>
      </c>
      <c r="Q404" s="240">
        <v>0</v>
      </c>
      <c r="R404" s="240">
        <v>0</v>
      </c>
      <c r="S404" s="240">
        <v>0.10545422800705585</v>
      </c>
      <c r="T404" s="240">
        <v>4.4615935578642381E-3</v>
      </c>
      <c r="U404" s="240">
        <v>0</v>
      </c>
      <c r="V404" s="240">
        <v>0</v>
      </c>
      <c r="W404" s="240">
        <v>0</v>
      </c>
      <c r="X404" s="221">
        <f>SUM(E404:W404)</f>
        <v>1</v>
      </c>
      <c r="Y404" s="223"/>
      <c r="Z404" s="224" t="s">
        <v>663</v>
      </c>
      <c r="AA404" s="157" t="s">
        <v>663</v>
      </c>
      <c r="AB404" s="282" t="s">
        <v>1101</v>
      </c>
      <c r="AC404" s="530" t="s">
        <v>3015</v>
      </c>
      <c r="AD404" s="159"/>
    </row>
    <row r="405" spans="1:30" x14ac:dyDescent="0.2">
      <c r="A405" s="338" t="s">
        <v>1101</v>
      </c>
      <c r="B405" s="339">
        <v>42247</v>
      </c>
      <c r="C405" s="340" t="s">
        <v>1284</v>
      </c>
      <c r="D405" s="341" t="s">
        <v>1076</v>
      </c>
      <c r="E405" s="232">
        <v>0</v>
      </c>
      <c r="F405" s="232">
        <v>0</v>
      </c>
      <c r="G405" s="232">
        <v>0</v>
      </c>
      <c r="H405" s="232">
        <v>1</v>
      </c>
      <c r="I405" s="232">
        <v>0</v>
      </c>
      <c r="J405" s="232">
        <v>0</v>
      </c>
      <c r="K405" s="232">
        <v>0</v>
      </c>
      <c r="L405" s="232">
        <v>0</v>
      </c>
      <c r="M405" s="232">
        <v>0</v>
      </c>
      <c r="N405" s="232">
        <v>0</v>
      </c>
      <c r="O405" s="232">
        <v>0</v>
      </c>
      <c r="P405" s="232">
        <v>0</v>
      </c>
      <c r="Q405" s="232">
        <v>0</v>
      </c>
      <c r="R405" s="232">
        <v>0</v>
      </c>
      <c r="S405" s="232">
        <v>0</v>
      </c>
      <c r="T405" s="232">
        <v>0</v>
      </c>
      <c r="U405" s="232">
        <v>0</v>
      </c>
      <c r="V405" s="232"/>
      <c r="W405" s="232"/>
      <c r="X405" s="233">
        <f>SUM(E405:W405)</f>
        <v>1</v>
      </c>
      <c r="Y405" s="223"/>
      <c r="Z405" s="224" t="s">
        <v>663</v>
      </c>
      <c r="AA405" s="157" t="s">
        <v>663</v>
      </c>
      <c r="AB405" s="282" t="s">
        <v>1101</v>
      </c>
      <c r="AC405" s="530" t="s">
        <v>3015</v>
      </c>
      <c r="AD405" s="159"/>
    </row>
    <row r="406" spans="1:30" x14ac:dyDescent="0.2">
      <c r="A406" s="270" t="s">
        <v>2821</v>
      </c>
      <c r="B406" s="334"/>
      <c r="C406" s="272" t="s">
        <v>1790</v>
      </c>
      <c r="D406" s="273" t="s">
        <v>942</v>
      </c>
      <c r="E406" s="274">
        <v>0</v>
      </c>
      <c r="F406" s="274">
        <v>0</v>
      </c>
      <c r="G406" s="274">
        <v>0</v>
      </c>
      <c r="H406" s="274">
        <v>1</v>
      </c>
      <c r="I406" s="274">
        <v>0</v>
      </c>
      <c r="J406" s="274">
        <v>0</v>
      </c>
      <c r="K406" s="274">
        <v>0</v>
      </c>
      <c r="L406" s="274">
        <v>0</v>
      </c>
      <c r="M406" s="274">
        <v>0</v>
      </c>
      <c r="N406" s="274">
        <v>0</v>
      </c>
      <c r="O406" s="274">
        <v>0</v>
      </c>
      <c r="P406" s="274">
        <v>0</v>
      </c>
      <c r="Q406" s="274">
        <v>0</v>
      </c>
      <c r="R406" s="274">
        <v>0</v>
      </c>
      <c r="S406" s="274">
        <v>0</v>
      </c>
      <c r="T406" s="274">
        <v>0</v>
      </c>
      <c r="U406" s="274">
        <v>0</v>
      </c>
      <c r="V406" s="274">
        <v>0</v>
      </c>
      <c r="W406" s="274">
        <v>0</v>
      </c>
      <c r="X406" s="274">
        <f>SUBTOTAL(9,E406:W406)</f>
        <v>1</v>
      </c>
      <c r="Y406" s="223"/>
      <c r="Z406" s="224" t="s">
        <v>663</v>
      </c>
      <c r="AA406" s="157" t="s">
        <v>649</v>
      </c>
      <c r="AB406" s="259" t="s">
        <v>2821</v>
      </c>
      <c r="AC406" s="530" t="s">
        <v>3015</v>
      </c>
      <c r="AD406" s="159"/>
    </row>
    <row r="407" spans="1:30" x14ac:dyDescent="0.2">
      <c r="A407" s="270" t="s">
        <v>2821</v>
      </c>
      <c r="B407" s="334"/>
      <c r="C407" s="272" t="s">
        <v>1791</v>
      </c>
      <c r="D407" s="273" t="s">
        <v>1792</v>
      </c>
      <c r="E407" s="274">
        <v>0</v>
      </c>
      <c r="F407" s="274">
        <v>0</v>
      </c>
      <c r="G407" s="274">
        <v>0</v>
      </c>
      <c r="H407" s="274">
        <v>1</v>
      </c>
      <c r="I407" s="274">
        <v>0</v>
      </c>
      <c r="J407" s="274">
        <v>0</v>
      </c>
      <c r="K407" s="274">
        <v>0</v>
      </c>
      <c r="L407" s="274">
        <v>0</v>
      </c>
      <c r="M407" s="274">
        <v>0</v>
      </c>
      <c r="N407" s="274">
        <v>0</v>
      </c>
      <c r="O407" s="274">
        <v>0</v>
      </c>
      <c r="P407" s="274">
        <v>0</v>
      </c>
      <c r="Q407" s="274">
        <v>0</v>
      </c>
      <c r="R407" s="274">
        <v>0</v>
      </c>
      <c r="S407" s="274">
        <v>0</v>
      </c>
      <c r="T407" s="274">
        <v>0</v>
      </c>
      <c r="U407" s="274">
        <v>0</v>
      </c>
      <c r="V407" s="274">
        <v>0</v>
      </c>
      <c r="W407" s="274">
        <v>0</v>
      </c>
      <c r="X407" s="274">
        <f>SUBTOTAL(9,E407:W407)</f>
        <v>1</v>
      </c>
      <c r="Y407" s="223"/>
      <c r="Z407" s="224" t="s">
        <v>663</v>
      </c>
      <c r="AA407" s="157" t="s">
        <v>649</v>
      </c>
      <c r="AB407" s="259" t="s">
        <v>2821</v>
      </c>
      <c r="AC407" s="530" t="s">
        <v>3015</v>
      </c>
      <c r="AD407" s="159"/>
    </row>
    <row r="408" spans="1:30" x14ac:dyDescent="0.2">
      <c r="A408" s="292" t="s">
        <v>2821</v>
      </c>
      <c r="B408" s="292"/>
      <c r="C408" s="342" t="s">
        <v>1793</v>
      </c>
      <c r="D408" s="343" t="s">
        <v>938</v>
      </c>
      <c r="E408" s="278">
        <v>0</v>
      </c>
      <c r="F408" s="278">
        <v>0</v>
      </c>
      <c r="G408" s="278">
        <v>0</v>
      </c>
      <c r="H408" s="278">
        <v>1</v>
      </c>
      <c r="I408" s="278">
        <v>0</v>
      </c>
      <c r="J408" s="278">
        <v>0</v>
      </c>
      <c r="K408" s="278">
        <v>0</v>
      </c>
      <c r="L408" s="278">
        <v>0</v>
      </c>
      <c r="M408" s="278">
        <v>0</v>
      </c>
      <c r="N408" s="278">
        <v>0</v>
      </c>
      <c r="O408" s="278">
        <v>0</v>
      </c>
      <c r="P408" s="278">
        <v>0</v>
      </c>
      <c r="Q408" s="278">
        <v>0</v>
      </c>
      <c r="R408" s="278">
        <v>0</v>
      </c>
      <c r="S408" s="278">
        <v>0</v>
      </c>
      <c r="T408" s="278">
        <v>0</v>
      </c>
      <c r="U408" s="278">
        <v>0</v>
      </c>
      <c r="V408" s="278">
        <v>0</v>
      </c>
      <c r="W408" s="278">
        <v>0</v>
      </c>
      <c r="X408" s="278">
        <f>SUBTOTAL(9,E408:W408)</f>
        <v>1</v>
      </c>
      <c r="Y408" s="223"/>
      <c r="Z408" s="224" t="s">
        <v>663</v>
      </c>
      <c r="AA408" s="157" t="s">
        <v>649</v>
      </c>
      <c r="AB408" s="259" t="s">
        <v>2821</v>
      </c>
      <c r="AC408" s="530" t="s">
        <v>3015</v>
      </c>
      <c r="AD408" s="159"/>
    </row>
    <row r="409" spans="1:30" x14ac:dyDescent="0.2">
      <c r="A409" s="327" t="s">
        <v>1101</v>
      </c>
      <c r="B409" s="327"/>
      <c r="C409" s="234" t="s">
        <v>1285</v>
      </c>
      <c r="D409" s="235" t="s">
        <v>1077</v>
      </c>
      <c r="E409" s="232">
        <v>0</v>
      </c>
      <c r="F409" s="232">
        <v>0</v>
      </c>
      <c r="G409" s="232">
        <v>0</v>
      </c>
      <c r="H409" s="232">
        <v>1</v>
      </c>
      <c r="I409" s="232">
        <v>0</v>
      </c>
      <c r="J409" s="232">
        <v>0</v>
      </c>
      <c r="K409" s="232">
        <v>0</v>
      </c>
      <c r="L409" s="232">
        <v>0</v>
      </c>
      <c r="M409" s="232">
        <v>0</v>
      </c>
      <c r="N409" s="232">
        <v>0</v>
      </c>
      <c r="O409" s="232">
        <v>0</v>
      </c>
      <c r="P409" s="232">
        <v>0</v>
      </c>
      <c r="Q409" s="232">
        <v>0</v>
      </c>
      <c r="R409" s="232">
        <v>0</v>
      </c>
      <c r="S409" s="232">
        <v>0</v>
      </c>
      <c r="T409" s="232">
        <v>0</v>
      </c>
      <c r="U409" s="232">
        <v>0</v>
      </c>
      <c r="V409" s="232"/>
      <c r="W409" s="232"/>
      <c r="X409" s="233">
        <f>SUM(E409:W409)</f>
        <v>1</v>
      </c>
      <c r="Y409" s="223"/>
      <c r="Z409" s="224" t="s">
        <v>663</v>
      </c>
      <c r="AA409" s="157" t="s">
        <v>663</v>
      </c>
      <c r="AB409" s="282" t="s">
        <v>1101</v>
      </c>
      <c r="AC409" s="530" t="s">
        <v>3015</v>
      </c>
      <c r="AD409" s="159"/>
    </row>
    <row r="410" spans="1:30" x14ac:dyDescent="0.2">
      <c r="A410" s="270" t="s">
        <v>2821</v>
      </c>
      <c r="B410" s="270"/>
      <c r="C410" s="272" t="s">
        <v>1796</v>
      </c>
      <c r="D410" s="273" t="s">
        <v>1797</v>
      </c>
      <c r="E410" s="274">
        <v>0</v>
      </c>
      <c r="F410" s="274">
        <v>0</v>
      </c>
      <c r="G410" s="274">
        <v>0</v>
      </c>
      <c r="H410" s="274">
        <v>1</v>
      </c>
      <c r="I410" s="274">
        <v>0</v>
      </c>
      <c r="J410" s="274">
        <v>0</v>
      </c>
      <c r="K410" s="274">
        <v>0</v>
      </c>
      <c r="L410" s="274">
        <v>0</v>
      </c>
      <c r="M410" s="274">
        <v>0</v>
      </c>
      <c r="N410" s="274">
        <v>0</v>
      </c>
      <c r="O410" s="274">
        <v>0</v>
      </c>
      <c r="P410" s="274">
        <v>0</v>
      </c>
      <c r="Q410" s="274">
        <v>0</v>
      </c>
      <c r="R410" s="274">
        <v>0</v>
      </c>
      <c r="S410" s="274">
        <v>0</v>
      </c>
      <c r="T410" s="274">
        <v>0</v>
      </c>
      <c r="U410" s="274">
        <v>0</v>
      </c>
      <c r="V410" s="274">
        <v>0</v>
      </c>
      <c r="W410" s="274">
        <v>0</v>
      </c>
      <c r="X410" s="274">
        <f>SUBTOTAL(9,E410:W410)</f>
        <v>1</v>
      </c>
      <c r="Y410" s="223"/>
      <c r="Z410" s="224" t="s">
        <v>663</v>
      </c>
      <c r="AA410" s="157" t="s">
        <v>649</v>
      </c>
      <c r="AB410" s="259" t="s">
        <v>2821</v>
      </c>
      <c r="AC410" s="530" t="s">
        <v>3015</v>
      </c>
      <c r="AD410" s="159"/>
    </row>
    <row r="411" spans="1:30" x14ac:dyDescent="0.2">
      <c r="A411" s="519" t="s">
        <v>2597</v>
      </c>
      <c r="B411" s="426"/>
      <c r="C411" s="524" t="s">
        <v>1800</v>
      </c>
      <c r="D411" s="525" t="s">
        <v>1801</v>
      </c>
      <c r="E411" s="324">
        <v>0</v>
      </c>
      <c r="F411" s="324">
        <v>0</v>
      </c>
      <c r="G411" s="324">
        <v>0</v>
      </c>
      <c r="H411" s="324">
        <v>1</v>
      </c>
      <c r="I411" s="324">
        <v>0</v>
      </c>
      <c r="J411" s="324">
        <v>0</v>
      </c>
      <c r="K411" s="324">
        <v>0</v>
      </c>
      <c r="L411" s="324">
        <v>0</v>
      </c>
      <c r="M411" s="324">
        <v>0</v>
      </c>
      <c r="N411" s="324">
        <v>0</v>
      </c>
      <c r="O411" s="324">
        <v>0</v>
      </c>
      <c r="P411" s="324">
        <v>0</v>
      </c>
      <c r="Q411" s="324">
        <v>0</v>
      </c>
      <c r="R411" s="324">
        <v>0</v>
      </c>
      <c r="S411" s="324">
        <v>0</v>
      </c>
      <c r="T411" s="324">
        <v>0</v>
      </c>
      <c r="U411" s="324">
        <v>0</v>
      </c>
      <c r="V411" s="324">
        <v>0</v>
      </c>
      <c r="W411" s="324">
        <v>0</v>
      </c>
      <c r="X411" s="297">
        <f>SUM(E411:W411)</f>
        <v>1</v>
      </c>
      <c r="Y411" s="223"/>
      <c r="Z411" s="224" t="s">
        <v>663</v>
      </c>
      <c r="AA411" s="157" t="s">
        <v>663</v>
      </c>
      <c r="AB411" s="282" t="s">
        <v>2597</v>
      </c>
      <c r="AC411" s="530" t="s">
        <v>3015</v>
      </c>
      <c r="AD411" s="159"/>
    </row>
    <row r="412" spans="1:30" x14ac:dyDescent="0.2">
      <c r="A412" s="316" t="s">
        <v>2821</v>
      </c>
      <c r="B412" s="316"/>
      <c r="C412" s="331" t="s">
        <v>1802</v>
      </c>
      <c r="D412" s="332" t="s">
        <v>1803</v>
      </c>
      <c r="E412" s="278">
        <v>0.39999999999999997</v>
      </c>
      <c r="F412" s="278">
        <v>0</v>
      </c>
      <c r="G412" s="278">
        <v>0</v>
      </c>
      <c r="H412" s="278">
        <v>0</v>
      </c>
      <c r="I412" s="278">
        <v>0</v>
      </c>
      <c r="J412" s="278">
        <v>0</v>
      </c>
      <c r="K412" s="278">
        <v>0</v>
      </c>
      <c r="L412" s="278">
        <v>0.6</v>
      </c>
      <c r="M412" s="278">
        <v>0</v>
      </c>
      <c r="N412" s="278">
        <v>0</v>
      </c>
      <c r="O412" s="278">
        <v>0</v>
      </c>
      <c r="P412" s="278">
        <v>0</v>
      </c>
      <c r="Q412" s="278">
        <v>0</v>
      </c>
      <c r="R412" s="278">
        <v>0</v>
      </c>
      <c r="S412" s="278">
        <v>0</v>
      </c>
      <c r="T412" s="278">
        <v>0</v>
      </c>
      <c r="U412" s="278">
        <v>0</v>
      </c>
      <c r="V412" s="278">
        <v>0</v>
      </c>
      <c r="W412" s="278">
        <v>0</v>
      </c>
      <c r="X412" s="278">
        <f>SUBTOTAL(9,E412:W412)</f>
        <v>1</v>
      </c>
      <c r="Y412" s="223"/>
      <c r="Z412" s="224" t="s">
        <v>663</v>
      </c>
      <c r="AA412" s="157" t="s">
        <v>649</v>
      </c>
      <c r="AB412" s="259" t="s">
        <v>2821</v>
      </c>
      <c r="AC412" s="530" t="s">
        <v>3015</v>
      </c>
      <c r="AD412" s="159"/>
    </row>
    <row r="413" spans="1:30" x14ac:dyDescent="0.2">
      <c r="A413" s="270" t="s">
        <v>2821</v>
      </c>
      <c r="B413" s="334"/>
      <c r="C413" s="272" t="s">
        <v>1804</v>
      </c>
      <c r="D413" s="273" t="s">
        <v>1805</v>
      </c>
      <c r="E413" s="274">
        <v>0</v>
      </c>
      <c r="F413" s="274">
        <v>0</v>
      </c>
      <c r="G413" s="274">
        <v>0</v>
      </c>
      <c r="H413" s="274">
        <v>1</v>
      </c>
      <c r="I413" s="274">
        <v>0</v>
      </c>
      <c r="J413" s="274">
        <v>0</v>
      </c>
      <c r="K413" s="274">
        <v>0</v>
      </c>
      <c r="L413" s="274">
        <v>0</v>
      </c>
      <c r="M413" s="274">
        <v>0</v>
      </c>
      <c r="N413" s="274">
        <v>0</v>
      </c>
      <c r="O413" s="274">
        <v>0</v>
      </c>
      <c r="P413" s="274">
        <v>0</v>
      </c>
      <c r="Q413" s="274">
        <v>0</v>
      </c>
      <c r="R413" s="274">
        <v>0</v>
      </c>
      <c r="S413" s="274">
        <v>0</v>
      </c>
      <c r="T413" s="274">
        <v>0</v>
      </c>
      <c r="U413" s="274">
        <v>0</v>
      </c>
      <c r="V413" s="274">
        <v>0</v>
      </c>
      <c r="W413" s="274">
        <v>0</v>
      </c>
      <c r="X413" s="274">
        <f>SUBTOTAL(9,E413:W413)</f>
        <v>1</v>
      </c>
      <c r="Y413" s="223"/>
      <c r="Z413" s="224" t="s">
        <v>663</v>
      </c>
      <c r="AA413" s="157" t="s">
        <v>649</v>
      </c>
      <c r="AB413" s="259" t="s">
        <v>2821</v>
      </c>
      <c r="AC413" s="530" t="s">
        <v>3015</v>
      </c>
      <c r="AD413" s="159"/>
    </row>
    <row r="414" spans="1:30" x14ac:dyDescent="0.2">
      <c r="A414" s="270" t="s">
        <v>2821</v>
      </c>
      <c r="B414" s="270"/>
      <c r="C414" s="272" t="s">
        <v>1806</v>
      </c>
      <c r="D414" s="273" t="s">
        <v>1807</v>
      </c>
      <c r="E414" s="274">
        <v>0</v>
      </c>
      <c r="F414" s="274">
        <v>0</v>
      </c>
      <c r="G414" s="274">
        <v>0</v>
      </c>
      <c r="H414" s="274">
        <v>1</v>
      </c>
      <c r="I414" s="274">
        <v>0</v>
      </c>
      <c r="J414" s="274">
        <v>0</v>
      </c>
      <c r="K414" s="274">
        <v>0</v>
      </c>
      <c r="L414" s="274">
        <v>0</v>
      </c>
      <c r="M414" s="274">
        <v>0</v>
      </c>
      <c r="N414" s="274">
        <v>0</v>
      </c>
      <c r="O414" s="274">
        <v>0</v>
      </c>
      <c r="P414" s="274">
        <v>0</v>
      </c>
      <c r="Q414" s="274">
        <v>0</v>
      </c>
      <c r="R414" s="274">
        <v>0</v>
      </c>
      <c r="S414" s="274">
        <v>0</v>
      </c>
      <c r="T414" s="274">
        <v>0</v>
      </c>
      <c r="U414" s="274">
        <v>0</v>
      </c>
      <c r="V414" s="274">
        <v>0</v>
      </c>
      <c r="W414" s="274">
        <v>0</v>
      </c>
      <c r="X414" s="274">
        <f>SUBTOTAL(9,E414:W414)</f>
        <v>1</v>
      </c>
      <c r="Y414" s="223"/>
      <c r="Z414" s="224" t="s">
        <v>663</v>
      </c>
      <c r="AA414" s="157" t="s">
        <v>649</v>
      </c>
      <c r="AB414" s="259" t="s">
        <v>2821</v>
      </c>
      <c r="AC414" s="530" t="s">
        <v>3015</v>
      </c>
      <c r="AD414" s="159"/>
    </row>
    <row r="415" spans="1:30" x14ac:dyDescent="0.2">
      <c r="A415" s="282" t="s">
        <v>1101</v>
      </c>
      <c r="B415" s="282"/>
      <c r="C415" s="238" t="s">
        <v>1810</v>
      </c>
      <c r="D415" s="239" t="s">
        <v>1811</v>
      </c>
      <c r="E415" s="221">
        <v>0</v>
      </c>
      <c r="F415" s="221">
        <v>0.12681628465198042</v>
      </c>
      <c r="G415" s="221">
        <v>0.87318371534801964</v>
      </c>
      <c r="H415" s="221">
        <v>0</v>
      </c>
      <c r="I415" s="221">
        <v>0</v>
      </c>
      <c r="J415" s="221">
        <v>0</v>
      </c>
      <c r="K415" s="221">
        <v>0</v>
      </c>
      <c r="L415" s="221">
        <v>0</v>
      </c>
      <c r="M415" s="221">
        <v>0</v>
      </c>
      <c r="N415" s="221">
        <v>0</v>
      </c>
      <c r="O415" s="221">
        <v>0</v>
      </c>
      <c r="P415" s="221">
        <v>0</v>
      </c>
      <c r="Q415" s="221">
        <v>0</v>
      </c>
      <c r="R415" s="221">
        <v>0</v>
      </c>
      <c r="S415" s="221">
        <v>0</v>
      </c>
      <c r="T415" s="221">
        <v>0</v>
      </c>
      <c r="U415" s="221">
        <v>0</v>
      </c>
      <c r="V415" s="221">
        <v>0</v>
      </c>
      <c r="W415" s="221">
        <v>0</v>
      </c>
      <c r="X415" s="221">
        <f>SUM(E415:W415)</f>
        <v>1</v>
      </c>
      <c r="Y415" s="223"/>
      <c r="Z415" s="224" t="s">
        <v>663</v>
      </c>
      <c r="AA415" s="157" t="s">
        <v>663</v>
      </c>
      <c r="AB415" s="282" t="s">
        <v>1101</v>
      </c>
      <c r="AC415" s="530" t="s">
        <v>3015</v>
      </c>
      <c r="AD415" s="159"/>
    </row>
    <row r="416" spans="1:30" x14ac:dyDescent="0.2">
      <c r="A416" s="282" t="s">
        <v>1101</v>
      </c>
      <c r="B416" s="282"/>
      <c r="C416" s="238" t="s">
        <v>1812</v>
      </c>
      <c r="D416" s="239" t="s">
        <v>1813</v>
      </c>
      <c r="E416" s="221">
        <v>0</v>
      </c>
      <c r="F416" s="221">
        <v>5.9034429927200633E-3</v>
      </c>
      <c r="G416" s="221">
        <v>3.0650624254437955E-2</v>
      </c>
      <c r="H416" s="221">
        <v>0</v>
      </c>
      <c r="I416" s="221">
        <v>0</v>
      </c>
      <c r="J416" s="221">
        <v>0</v>
      </c>
      <c r="K416" s="221">
        <v>0</v>
      </c>
      <c r="L416" s="221">
        <v>0</v>
      </c>
      <c r="M416" s="221">
        <v>0</v>
      </c>
      <c r="N416" s="221">
        <v>0.30445628792765522</v>
      </c>
      <c r="O416" s="221">
        <v>1.8930136454525074E-2</v>
      </c>
      <c r="P416" s="221">
        <v>0.15705826869260814</v>
      </c>
      <c r="Q416" s="221">
        <v>8.5688610628844985E-3</v>
      </c>
      <c r="R416" s="221">
        <v>0</v>
      </c>
      <c r="S416" s="221">
        <v>8.498601081309029E-2</v>
      </c>
      <c r="T416" s="221">
        <v>0.19591844892203647</v>
      </c>
      <c r="U416" s="221">
        <v>0.19352791888004225</v>
      </c>
      <c r="V416" s="221">
        <v>0</v>
      </c>
      <c r="W416" s="221">
        <v>0</v>
      </c>
      <c r="X416" s="221">
        <f>SUM(E416:W416)</f>
        <v>1</v>
      </c>
      <c r="Y416" s="223"/>
      <c r="Z416" s="224" t="s">
        <v>663</v>
      </c>
      <c r="AA416" s="157" t="s">
        <v>663</v>
      </c>
      <c r="AB416" s="282" t="s">
        <v>1101</v>
      </c>
      <c r="AC416" s="530" t="s">
        <v>3015</v>
      </c>
      <c r="AD416" s="159"/>
    </row>
    <row r="417" spans="1:30" x14ac:dyDescent="0.2">
      <c r="A417" s="270" t="s">
        <v>2821</v>
      </c>
      <c r="B417" s="270"/>
      <c r="C417" s="272" t="s">
        <v>1814</v>
      </c>
      <c r="D417" s="273" t="s">
        <v>1815</v>
      </c>
      <c r="E417" s="274">
        <v>0</v>
      </c>
      <c r="F417" s="274">
        <v>0</v>
      </c>
      <c r="G417" s="274">
        <v>0</v>
      </c>
      <c r="H417" s="274">
        <v>1</v>
      </c>
      <c r="I417" s="274">
        <v>0</v>
      </c>
      <c r="J417" s="274">
        <v>0</v>
      </c>
      <c r="K417" s="274">
        <v>0</v>
      </c>
      <c r="L417" s="274">
        <v>0</v>
      </c>
      <c r="M417" s="274">
        <v>0</v>
      </c>
      <c r="N417" s="274">
        <v>0</v>
      </c>
      <c r="O417" s="274">
        <v>0</v>
      </c>
      <c r="P417" s="274">
        <v>0</v>
      </c>
      <c r="Q417" s="274">
        <v>0</v>
      </c>
      <c r="R417" s="274">
        <v>0</v>
      </c>
      <c r="S417" s="274">
        <v>0</v>
      </c>
      <c r="T417" s="274">
        <v>0</v>
      </c>
      <c r="U417" s="274">
        <v>0</v>
      </c>
      <c r="V417" s="274">
        <v>0</v>
      </c>
      <c r="W417" s="274">
        <v>0</v>
      </c>
      <c r="X417" s="274">
        <f>SUBTOTAL(9,E417:W417)</f>
        <v>1</v>
      </c>
      <c r="Y417" s="223"/>
      <c r="Z417" s="224" t="s">
        <v>663</v>
      </c>
      <c r="AA417" s="157" t="s">
        <v>649</v>
      </c>
      <c r="AB417" s="259" t="s">
        <v>2821</v>
      </c>
      <c r="AC417" s="530" t="s">
        <v>3015</v>
      </c>
      <c r="AD417" s="159"/>
    </row>
    <row r="418" spans="1:30" x14ac:dyDescent="0.2">
      <c r="A418" s="270" t="s">
        <v>2821</v>
      </c>
      <c r="B418" s="270"/>
      <c r="C418" s="272" t="s">
        <v>1816</v>
      </c>
      <c r="D418" s="273" t="s">
        <v>1817</v>
      </c>
      <c r="E418" s="274">
        <v>0</v>
      </c>
      <c r="F418" s="274">
        <v>0</v>
      </c>
      <c r="G418" s="274">
        <v>0</v>
      </c>
      <c r="H418" s="428">
        <f>100%-50%</f>
        <v>0.5</v>
      </c>
      <c r="I418" s="274">
        <v>0</v>
      </c>
      <c r="J418" s="274">
        <v>0</v>
      </c>
      <c r="K418" s="274">
        <v>0</v>
      </c>
      <c r="L418" s="428">
        <v>0.5</v>
      </c>
      <c r="M418" s="274">
        <v>0</v>
      </c>
      <c r="N418" s="274">
        <v>0</v>
      </c>
      <c r="O418" s="274">
        <v>0</v>
      </c>
      <c r="P418" s="274">
        <v>0</v>
      </c>
      <c r="Q418" s="274">
        <v>0</v>
      </c>
      <c r="R418" s="274">
        <v>0</v>
      </c>
      <c r="S418" s="274">
        <v>0</v>
      </c>
      <c r="T418" s="274">
        <v>0</v>
      </c>
      <c r="U418" s="274">
        <v>0</v>
      </c>
      <c r="V418" s="274">
        <v>0</v>
      </c>
      <c r="W418" s="274">
        <v>0</v>
      </c>
      <c r="X418" s="274">
        <f>SUBTOTAL(9,E418:W418)</f>
        <v>1</v>
      </c>
      <c r="Y418" s="223"/>
      <c r="Z418" s="224" t="s">
        <v>663</v>
      </c>
      <c r="AA418" s="157" t="s">
        <v>649</v>
      </c>
      <c r="AB418" s="259" t="s">
        <v>2821</v>
      </c>
      <c r="AC418" s="530" t="s">
        <v>3015</v>
      </c>
      <c r="AD418" s="159"/>
    </row>
    <row r="419" spans="1:30" x14ac:dyDescent="0.2">
      <c r="A419" s="282" t="s">
        <v>1101</v>
      </c>
      <c r="B419" s="282"/>
      <c r="C419" s="238" t="s">
        <v>1818</v>
      </c>
      <c r="D419" s="239" t="s">
        <v>1819</v>
      </c>
      <c r="E419" s="221">
        <v>0</v>
      </c>
      <c r="F419" s="221">
        <v>0</v>
      </c>
      <c r="G419" s="221">
        <v>0</v>
      </c>
      <c r="H419" s="221">
        <v>0</v>
      </c>
      <c r="I419" s="221">
        <v>0.75000000000000011</v>
      </c>
      <c r="J419" s="221">
        <v>0.25</v>
      </c>
      <c r="K419" s="221">
        <v>0</v>
      </c>
      <c r="L419" s="221">
        <v>0</v>
      </c>
      <c r="M419" s="221">
        <v>0</v>
      </c>
      <c r="N419" s="221">
        <v>0</v>
      </c>
      <c r="O419" s="221">
        <v>0</v>
      </c>
      <c r="P419" s="221">
        <v>0</v>
      </c>
      <c r="Q419" s="221">
        <v>0</v>
      </c>
      <c r="R419" s="221">
        <v>0</v>
      </c>
      <c r="S419" s="221">
        <v>0</v>
      </c>
      <c r="T419" s="221">
        <v>0</v>
      </c>
      <c r="U419" s="221">
        <v>0</v>
      </c>
      <c r="V419" s="221">
        <v>0</v>
      </c>
      <c r="W419" s="221">
        <v>0</v>
      </c>
      <c r="X419" s="221">
        <f>SUM(E419:W419)</f>
        <v>1</v>
      </c>
      <c r="Y419" s="223"/>
      <c r="Z419" s="224" t="s">
        <v>663</v>
      </c>
      <c r="AA419" s="157" t="s">
        <v>663</v>
      </c>
      <c r="AB419" s="282" t="s">
        <v>1101</v>
      </c>
      <c r="AC419" s="530" t="s">
        <v>3015</v>
      </c>
      <c r="AD419" s="159"/>
    </row>
    <row r="420" spans="1:30" x14ac:dyDescent="0.2">
      <c r="A420" s="276" t="s">
        <v>2821</v>
      </c>
      <c r="B420" s="276"/>
      <c r="C420" s="344" t="s">
        <v>1820</v>
      </c>
      <c r="D420" s="345" t="s">
        <v>1821</v>
      </c>
      <c r="E420" s="278">
        <v>0</v>
      </c>
      <c r="F420" s="278">
        <v>0.52860569289324932</v>
      </c>
      <c r="G420" s="278">
        <v>0.37731345441698327</v>
      </c>
      <c r="H420" s="278">
        <v>0</v>
      </c>
      <c r="I420" s="278">
        <v>0</v>
      </c>
      <c r="J420" s="278">
        <v>0</v>
      </c>
      <c r="K420" s="278">
        <v>0</v>
      </c>
      <c r="L420" s="278">
        <v>0</v>
      </c>
      <c r="M420" s="278">
        <v>0</v>
      </c>
      <c r="N420" s="278">
        <v>0</v>
      </c>
      <c r="O420" s="278">
        <v>9.4080852689767416E-2</v>
      </c>
      <c r="P420" s="278">
        <v>0</v>
      </c>
      <c r="Q420" s="278">
        <v>0</v>
      </c>
      <c r="R420" s="278">
        <v>0</v>
      </c>
      <c r="S420" s="278">
        <v>0</v>
      </c>
      <c r="T420" s="278">
        <v>0</v>
      </c>
      <c r="U420" s="278">
        <v>0</v>
      </c>
      <c r="V420" s="278">
        <v>0</v>
      </c>
      <c r="W420" s="278">
        <v>0</v>
      </c>
      <c r="X420" s="278">
        <f t="shared" ref="X420:X425" si="13">SUBTOTAL(9,E420:W420)</f>
        <v>1</v>
      </c>
      <c r="Y420" s="223"/>
      <c r="Z420" s="224" t="s">
        <v>663</v>
      </c>
      <c r="AA420" s="157" t="s">
        <v>649</v>
      </c>
      <c r="AB420" s="259" t="s">
        <v>2821</v>
      </c>
      <c r="AC420" s="530" t="s">
        <v>3015</v>
      </c>
      <c r="AD420" s="159"/>
    </row>
    <row r="421" spans="1:30" x14ac:dyDescent="0.2">
      <c r="A421" s="270" t="s">
        <v>2821</v>
      </c>
      <c r="B421" s="270"/>
      <c r="C421" s="311" t="s">
        <v>1828</v>
      </c>
      <c r="D421" s="312" t="s">
        <v>1829</v>
      </c>
      <c r="E421" s="274">
        <v>0</v>
      </c>
      <c r="F421" s="274">
        <v>0</v>
      </c>
      <c r="G421" s="274">
        <v>0</v>
      </c>
      <c r="H421" s="274">
        <v>0</v>
      </c>
      <c r="I421" s="274">
        <v>0</v>
      </c>
      <c r="J421" s="274">
        <v>0</v>
      </c>
      <c r="K421" s="274">
        <v>0</v>
      </c>
      <c r="L421" s="274">
        <v>0</v>
      </c>
      <c r="M421" s="274">
        <v>0</v>
      </c>
      <c r="N421" s="274">
        <v>0</v>
      </c>
      <c r="O421" s="274">
        <v>0</v>
      </c>
      <c r="P421" s="274">
        <v>0</v>
      </c>
      <c r="Q421" s="274">
        <v>0</v>
      </c>
      <c r="R421" s="274">
        <v>0</v>
      </c>
      <c r="S421" s="274">
        <v>0</v>
      </c>
      <c r="T421" s="274">
        <v>0</v>
      </c>
      <c r="U421" s="274">
        <v>1</v>
      </c>
      <c r="V421" s="274">
        <v>0</v>
      </c>
      <c r="W421" s="274">
        <v>0</v>
      </c>
      <c r="X421" s="274">
        <f t="shared" si="13"/>
        <v>1</v>
      </c>
      <c r="Y421" s="223"/>
      <c r="Z421" s="224" t="s">
        <v>663</v>
      </c>
      <c r="AA421" s="157" t="s">
        <v>649</v>
      </c>
      <c r="AB421" s="259" t="s">
        <v>2821</v>
      </c>
      <c r="AC421" s="530" t="s">
        <v>3015</v>
      </c>
      <c r="AD421" s="159"/>
    </row>
    <row r="422" spans="1:30" x14ac:dyDescent="0.2">
      <c r="A422" s="270" t="s">
        <v>2821</v>
      </c>
      <c r="B422" s="270"/>
      <c r="C422" s="272" t="s">
        <v>1830</v>
      </c>
      <c r="D422" s="273" t="s">
        <v>1831</v>
      </c>
      <c r="E422" s="274">
        <v>0</v>
      </c>
      <c r="F422" s="274">
        <v>0</v>
      </c>
      <c r="G422" s="274">
        <v>0</v>
      </c>
      <c r="H422" s="274">
        <v>0</v>
      </c>
      <c r="I422" s="274">
        <v>0</v>
      </c>
      <c r="J422" s="274">
        <v>0</v>
      </c>
      <c r="K422" s="274">
        <v>0</v>
      </c>
      <c r="L422" s="274">
        <v>0</v>
      </c>
      <c r="M422" s="274">
        <v>0</v>
      </c>
      <c r="N422" s="274">
        <v>0</v>
      </c>
      <c r="O422" s="274">
        <v>0</v>
      </c>
      <c r="P422" s="274">
        <v>0</v>
      </c>
      <c r="Q422" s="274">
        <v>0</v>
      </c>
      <c r="R422" s="274">
        <v>0</v>
      </c>
      <c r="S422" s="274">
        <v>0.89363965114194344</v>
      </c>
      <c r="T422" s="274">
        <v>0.10636034885805647</v>
      </c>
      <c r="U422" s="274">
        <v>0</v>
      </c>
      <c r="V422" s="274">
        <v>0</v>
      </c>
      <c r="W422" s="274">
        <v>0</v>
      </c>
      <c r="X422" s="274">
        <f t="shared" si="13"/>
        <v>0.99999999999999989</v>
      </c>
      <c r="Y422" s="223"/>
      <c r="Z422" s="224" t="s">
        <v>663</v>
      </c>
      <c r="AA422" s="157" t="s">
        <v>649</v>
      </c>
      <c r="AB422" s="259" t="s">
        <v>2821</v>
      </c>
      <c r="AC422" s="530" t="s">
        <v>3015</v>
      </c>
      <c r="AD422" s="159"/>
    </row>
    <row r="423" spans="1:30" x14ac:dyDescent="0.2">
      <c r="A423" s="270" t="s">
        <v>2821</v>
      </c>
      <c r="B423" s="270"/>
      <c r="C423" s="272" t="s">
        <v>1832</v>
      </c>
      <c r="D423" s="273" t="s">
        <v>1833</v>
      </c>
      <c r="E423" s="274">
        <v>0</v>
      </c>
      <c r="F423" s="274">
        <v>0</v>
      </c>
      <c r="G423" s="274">
        <v>0</v>
      </c>
      <c r="H423" s="274">
        <v>1</v>
      </c>
      <c r="I423" s="274">
        <v>0</v>
      </c>
      <c r="J423" s="274">
        <v>0</v>
      </c>
      <c r="K423" s="274">
        <v>0</v>
      </c>
      <c r="L423" s="274">
        <v>0</v>
      </c>
      <c r="M423" s="274">
        <v>0</v>
      </c>
      <c r="N423" s="274">
        <v>0</v>
      </c>
      <c r="O423" s="274">
        <v>0</v>
      </c>
      <c r="P423" s="274">
        <v>0</v>
      </c>
      <c r="Q423" s="274">
        <v>0</v>
      </c>
      <c r="R423" s="274">
        <v>0</v>
      </c>
      <c r="S423" s="274">
        <v>0</v>
      </c>
      <c r="T423" s="274">
        <v>0</v>
      </c>
      <c r="U423" s="274">
        <v>0</v>
      </c>
      <c r="V423" s="274">
        <v>0</v>
      </c>
      <c r="W423" s="274">
        <v>0</v>
      </c>
      <c r="X423" s="274">
        <f t="shared" si="13"/>
        <v>1</v>
      </c>
      <c r="Y423" s="223"/>
      <c r="Z423" s="224" t="s">
        <v>663</v>
      </c>
      <c r="AA423" s="157" t="s">
        <v>649</v>
      </c>
      <c r="AB423" s="259" t="s">
        <v>2821</v>
      </c>
      <c r="AC423" s="530" t="s">
        <v>3015</v>
      </c>
      <c r="AD423" s="159"/>
    </row>
    <row r="424" spans="1:30" x14ac:dyDescent="0.2">
      <c r="A424" s="270" t="s">
        <v>2821</v>
      </c>
      <c r="B424" s="270"/>
      <c r="C424" s="272" t="s">
        <v>1834</v>
      </c>
      <c r="D424" s="273" t="s">
        <v>1835</v>
      </c>
      <c r="E424" s="274">
        <v>0</v>
      </c>
      <c r="F424" s="274">
        <v>0</v>
      </c>
      <c r="G424" s="274">
        <v>0</v>
      </c>
      <c r="H424" s="274">
        <v>0</v>
      </c>
      <c r="I424" s="274">
        <v>0</v>
      </c>
      <c r="J424" s="274">
        <v>0</v>
      </c>
      <c r="K424" s="274">
        <v>0</v>
      </c>
      <c r="L424" s="274">
        <v>0</v>
      </c>
      <c r="M424" s="274">
        <v>0</v>
      </c>
      <c r="N424" s="274">
        <v>0</v>
      </c>
      <c r="O424" s="274">
        <v>0</v>
      </c>
      <c r="P424" s="274">
        <v>0</v>
      </c>
      <c r="Q424" s="274">
        <v>0</v>
      </c>
      <c r="R424" s="274">
        <v>0</v>
      </c>
      <c r="S424" s="428">
        <v>1</v>
      </c>
      <c r="T424" s="274">
        <v>0</v>
      </c>
      <c r="U424" s="428">
        <v>0</v>
      </c>
      <c r="V424" s="274">
        <v>0</v>
      </c>
      <c r="W424" s="274">
        <v>0</v>
      </c>
      <c r="X424" s="274">
        <f t="shared" si="13"/>
        <v>1</v>
      </c>
      <c r="Y424" s="346" t="s">
        <v>2975</v>
      </c>
      <c r="Z424" s="224" t="s">
        <v>663</v>
      </c>
      <c r="AA424" s="157" t="s">
        <v>649</v>
      </c>
      <c r="AB424" s="259" t="s">
        <v>2821</v>
      </c>
      <c r="AC424" s="530" t="s">
        <v>3015</v>
      </c>
      <c r="AD424" s="159"/>
    </row>
    <row r="425" spans="1:30" x14ac:dyDescent="0.2">
      <c r="A425" s="276" t="s">
        <v>2821</v>
      </c>
      <c r="B425" s="276"/>
      <c r="C425" s="344" t="s">
        <v>2201</v>
      </c>
      <c r="D425" s="345" t="s">
        <v>2202</v>
      </c>
      <c r="E425" s="278">
        <v>0</v>
      </c>
      <c r="F425" s="278">
        <v>0</v>
      </c>
      <c r="G425" s="278">
        <v>0</v>
      </c>
      <c r="H425" s="278">
        <v>1</v>
      </c>
      <c r="I425" s="278">
        <v>0</v>
      </c>
      <c r="J425" s="278">
        <v>0</v>
      </c>
      <c r="K425" s="278">
        <v>0</v>
      </c>
      <c r="L425" s="278">
        <v>0</v>
      </c>
      <c r="M425" s="278">
        <v>0</v>
      </c>
      <c r="N425" s="278">
        <v>0</v>
      </c>
      <c r="O425" s="278">
        <v>0</v>
      </c>
      <c r="P425" s="278">
        <v>0</v>
      </c>
      <c r="Q425" s="278">
        <v>0</v>
      </c>
      <c r="R425" s="278">
        <v>0</v>
      </c>
      <c r="S425" s="278">
        <v>0</v>
      </c>
      <c r="T425" s="278">
        <v>0</v>
      </c>
      <c r="U425" s="278">
        <v>0</v>
      </c>
      <c r="V425" s="278">
        <v>0</v>
      </c>
      <c r="W425" s="278">
        <v>0</v>
      </c>
      <c r="X425" s="278">
        <f t="shared" si="13"/>
        <v>1</v>
      </c>
      <c r="Y425" s="223"/>
      <c r="Z425" s="224" t="s">
        <v>663</v>
      </c>
      <c r="AA425" s="157" t="s">
        <v>649</v>
      </c>
      <c r="AB425" s="259" t="s">
        <v>2821</v>
      </c>
      <c r="AC425" s="530" t="s">
        <v>3015</v>
      </c>
      <c r="AD425" s="159"/>
    </row>
    <row r="426" spans="1:30" x14ac:dyDescent="0.2">
      <c r="A426" s="519" t="s">
        <v>2597</v>
      </c>
      <c r="B426" s="363"/>
      <c r="C426" s="313" t="s">
        <v>1836</v>
      </c>
      <c r="D426" s="314" t="s">
        <v>1837</v>
      </c>
      <c r="E426" s="315">
        <v>0</v>
      </c>
      <c r="F426" s="315">
        <v>0</v>
      </c>
      <c r="G426" s="315">
        <v>1</v>
      </c>
      <c r="H426" s="315">
        <v>0</v>
      </c>
      <c r="I426" s="315">
        <v>0</v>
      </c>
      <c r="J426" s="315">
        <v>0</v>
      </c>
      <c r="K426" s="315">
        <v>0</v>
      </c>
      <c r="L426" s="315">
        <v>0</v>
      </c>
      <c r="M426" s="315">
        <v>0</v>
      </c>
      <c r="N426" s="315">
        <v>0</v>
      </c>
      <c r="O426" s="315">
        <v>0</v>
      </c>
      <c r="P426" s="315">
        <v>0</v>
      </c>
      <c r="Q426" s="315">
        <v>0</v>
      </c>
      <c r="R426" s="315">
        <v>0</v>
      </c>
      <c r="S426" s="315">
        <v>0</v>
      </c>
      <c r="T426" s="315">
        <v>0</v>
      </c>
      <c r="U426" s="315">
        <v>0</v>
      </c>
      <c r="V426" s="315">
        <v>0</v>
      </c>
      <c r="W426" s="315">
        <v>0</v>
      </c>
      <c r="X426" s="302">
        <f>SUM(E426:W426)</f>
        <v>1</v>
      </c>
      <c r="Y426" s="223"/>
      <c r="Z426" s="224" t="s">
        <v>663</v>
      </c>
      <c r="AA426" s="157" t="s">
        <v>663</v>
      </c>
      <c r="AB426" s="282" t="s">
        <v>2597</v>
      </c>
      <c r="AC426" s="530" t="s">
        <v>3015</v>
      </c>
      <c r="AD426" s="159"/>
    </row>
    <row r="427" spans="1:30" x14ac:dyDescent="0.2">
      <c r="A427" s="282" t="s">
        <v>1101</v>
      </c>
      <c r="B427" s="282"/>
      <c r="C427" s="238" t="s">
        <v>1842</v>
      </c>
      <c r="D427" s="239" t="s">
        <v>1843</v>
      </c>
      <c r="E427" s="221">
        <v>0</v>
      </c>
      <c r="F427" s="221">
        <v>4.7866724823873004E-2</v>
      </c>
      <c r="G427" s="221">
        <v>0.1985245439252625</v>
      </c>
      <c r="H427" s="221">
        <v>0</v>
      </c>
      <c r="I427" s="221">
        <v>0</v>
      </c>
      <c r="J427" s="221">
        <v>0</v>
      </c>
      <c r="K427" s="221">
        <v>0</v>
      </c>
      <c r="L427" s="221">
        <v>0</v>
      </c>
      <c r="M427" s="221">
        <v>0</v>
      </c>
      <c r="N427" s="221">
        <v>0.23257467079711469</v>
      </c>
      <c r="O427" s="221">
        <v>5.6847754822241157E-2</v>
      </c>
      <c r="P427" s="221">
        <v>0.13084508711469028</v>
      </c>
      <c r="Q427" s="221">
        <v>0</v>
      </c>
      <c r="R427" s="221">
        <v>0</v>
      </c>
      <c r="S427" s="221">
        <v>0.3122202799302376</v>
      </c>
      <c r="T427" s="221">
        <v>2.1120938586580807E-2</v>
      </c>
      <c r="U427" s="221">
        <v>0</v>
      </c>
      <c r="V427" s="221">
        <v>0</v>
      </c>
      <c r="W427" s="221">
        <v>0</v>
      </c>
      <c r="X427" s="221">
        <f>SUM(E427:W427)</f>
        <v>1</v>
      </c>
      <c r="Y427" s="223"/>
      <c r="Z427" s="224" t="s">
        <v>663</v>
      </c>
      <c r="AA427" s="157" t="s">
        <v>663</v>
      </c>
      <c r="AB427" s="282" t="s">
        <v>1101</v>
      </c>
      <c r="AC427" s="530" t="s">
        <v>3015</v>
      </c>
      <c r="AD427" s="159"/>
    </row>
    <row r="428" spans="1:30" x14ac:dyDescent="0.2">
      <c r="A428" s="270" t="s">
        <v>2821</v>
      </c>
      <c r="B428" s="270"/>
      <c r="C428" s="272" t="s">
        <v>1844</v>
      </c>
      <c r="D428" s="273" t="s">
        <v>1845</v>
      </c>
      <c r="E428" s="274">
        <v>0</v>
      </c>
      <c r="F428" s="274">
        <v>0</v>
      </c>
      <c r="G428" s="274">
        <v>0</v>
      </c>
      <c r="H428" s="274">
        <v>0</v>
      </c>
      <c r="I428" s="274">
        <v>0</v>
      </c>
      <c r="J428" s="274">
        <v>0</v>
      </c>
      <c r="K428" s="274">
        <v>0</v>
      </c>
      <c r="L428" s="274">
        <v>0</v>
      </c>
      <c r="M428" s="274">
        <v>0</v>
      </c>
      <c r="N428" s="274">
        <v>1</v>
      </c>
      <c r="O428" s="274">
        <v>0</v>
      </c>
      <c r="P428" s="274">
        <v>0</v>
      </c>
      <c r="Q428" s="274">
        <v>0</v>
      </c>
      <c r="R428" s="274">
        <v>0</v>
      </c>
      <c r="S428" s="274">
        <v>0</v>
      </c>
      <c r="T428" s="274">
        <v>0</v>
      </c>
      <c r="U428" s="274">
        <v>0</v>
      </c>
      <c r="V428" s="274">
        <v>0</v>
      </c>
      <c r="W428" s="274">
        <v>0</v>
      </c>
      <c r="X428" s="274">
        <f>SUBTOTAL(9,E428:W428)</f>
        <v>1</v>
      </c>
      <c r="Y428" s="223"/>
      <c r="Z428" s="224" t="s">
        <v>663</v>
      </c>
      <c r="AA428" s="157" t="s">
        <v>649</v>
      </c>
      <c r="AB428" s="259" t="s">
        <v>2821</v>
      </c>
      <c r="AC428" s="530" t="s">
        <v>3015</v>
      </c>
      <c r="AD428" s="159"/>
    </row>
    <row r="429" spans="1:30" x14ac:dyDescent="0.2">
      <c r="A429" s="326" t="s">
        <v>1101</v>
      </c>
      <c r="B429" s="326"/>
      <c r="C429" s="241" t="s">
        <v>1846</v>
      </c>
      <c r="D429" s="242" t="s">
        <v>1847</v>
      </c>
      <c r="E429" s="232">
        <v>0</v>
      </c>
      <c r="F429" s="232">
        <v>0</v>
      </c>
      <c r="G429" s="232">
        <v>0</v>
      </c>
      <c r="H429" s="232">
        <v>0</v>
      </c>
      <c r="I429" s="232">
        <v>0</v>
      </c>
      <c r="J429" s="232">
        <v>0</v>
      </c>
      <c r="K429" s="232">
        <v>0</v>
      </c>
      <c r="L429" s="232">
        <v>0</v>
      </c>
      <c r="M429" s="232">
        <v>0</v>
      </c>
      <c r="N429" s="232">
        <v>0.46454551872227706</v>
      </c>
      <c r="O429" s="232">
        <v>3.4075685941421401E-2</v>
      </c>
      <c r="P429" s="232">
        <v>6.1051054077993529E-2</v>
      </c>
      <c r="Q429" s="232">
        <v>0</v>
      </c>
      <c r="R429" s="232">
        <v>0</v>
      </c>
      <c r="S429" s="232">
        <v>0.22639067081778153</v>
      </c>
      <c r="T429" s="232">
        <v>0.14097614808514408</v>
      </c>
      <c r="U429" s="232">
        <v>7.2960922355382207E-2</v>
      </c>
      <c r="V429" s="232">
        <v>0</v>
      </c>
      <c r="W429" s="232">
        <v>0</v>
      </c>
      <c r="X429" s="232">
        <f>SUM(E429:W429)</f>
        <v>0.99999999999999978</v>
      </c>
      <c r="Y429" s="223"/>
      <c r="Z429" s="224" t="s">
        <v>663</v>
      </c>
      <c r="AA429" s="157" t="s">
        <v>663</v>
      </c>
      <c r="AB429" s="282" t="s">
        <v>1101</v>
      </c>
      <c r="AC429" s="530" t="s">
        <v>3015</v>
      </c>
      <c r="AD429" s="159"/>
    </row>
    <row r="430" spans="1:30" x14ac:dyDescent="0.2">
      <c r="A430" s="290" t="s">
        <v>1101</v>
      </c>
      <c r="B430" s="290"/>
      <c r="C430" s="238" t="s">
        <v>1848</v>
      </c>
      <c r="D430" s="239" t="s">
        <v>1849</v>
      </c>
      <c r="E430" s="262">
        <v>0</v>
      </c>
      <c r="F430" s="262">
        <v>0</v>
      </c>
      <c r="G430" s="262">
        <v>0</v>
      </c>
      <c r="H430" s="262">
        <v>0</v>
      </c>
      <c r="I430" s="262">
        <v>0</v>
      </c>
      <c r="J430" s="262">
        <v>0</v>
      </c>
      <c r="K430" s="262">
        <v>0</v>
      </c>
      <c r="L430" s="262">
        <v>0</v>
      </c>
      <c r="M430" s="262">
        <v>0</v>
      </c>
      <c r="N430" s="262">
        <v>0</v>
      </c>
      <c r="O430" s="262">
        <v>0</v>
      </c>
      <c r="P430" s="262">
        <v>0</v>
      </c>
      <c r="Q430" s="262">
        <v>0</v>
      </c>
      <c r="R430" s="262">
        <v>0</v>
      </c>
      <c r="S430" s="262">
        <v>0</v>
      </c>
      <c r="T430" s="262">
        <v>1</v>
      </c>
      <c r="U430" s="262">
        <v>0</v>
      </c>
      <c r="V430" s="262">
        <v>0</v>
      </c>
      <c r="W430" s="262">
        <v>0</v>
      </c>
      <c r="X430" s="232">
        <f>SUM(E430:W430)</f>
        <v>1</v>
      </c>
      <c r="Y430" s="223"/>
      <c r="Z430" s="224" t="s">
        <v>663</v>
      </c>
      <c r="AA430" s="157" t="s">
        <v>663</v>
      </c>
      <c r="AB430" s="282" t="s">
        <v>1101</v>
      </c>
      <c r="AC430" s="530" t="s">
        <v>3015</v>
      </c>
      <c r="AD430" s="159"/>
    </row>
    <row r="431" spans="1:30" x14ac:dyDescent="0.2">
      <c r="A431" s="259" t="s">
        <v>2821</v>
      </c>
      <c r="B431" s="259"/>
      <c r="C431" s="272" t="s">
        <v>1850</v>
      </c>
      <c r="D431" s="273" t="s">
        <v>1851</v>
      </c>
      <c r="E431" s="278">
        <v>0</v>
      </c>
      <c r="F431" s="278">
        <v>0</v>
      </c>
      <c r="G431" s="278">
        <v>0</v>
      </c>
      <c r="H431" s="278">
        <v>1</v>
      </c>
      <c r="I431" s="278">
        <v>0</v>
      </c>
      <c r="J431" s="278">
        <v>0</v>
      </c>
      <c r="K431" s="278">
        <v>0</v>
      </c>
      <c r="L431" s="278">
        <v>0</v>
      </c>
      <c r="M431" s="278">
        <v>0</v>
      </c>
      <c r="N431" s="278">
        <v>0</v>
      </c>
      <c r="O431" s="278">
        <v>0</v>
      </c>
      <c r="P431" s="278">
        <v>0</v>
      </c>
      <c r="Q431" s="278">
        <v>0</v>
      </c>
      <c r="R431" s="278">
        <v>0</v>
      </c>
      <c r="S431" s="278">
        <v>0</v>
      </c>
      <c r="T431" s="278">
        <v>0</v>
      </c>
      <c r="U431" s="278">
        <v>0</v>
      </c>
      <c r="V431" s="278">
        <v>0</v>
      </c>
      <c r="W431" s="278">
        <v>0</v>
      </c>
      <c r="X431" s="278">
        <f>SUBTOTAL(9,E431:W431)</f>
        <v>1</v>
      </c>
      <c r="Y431" s="223"/>
      <c r="Z431" s="224" t="s">
        <v>663</v>
      </c>
      <c r="AA431" s="157" t="s">
        <v>649</v>
      </c>
      <c r="AB431" s="259" t="s">
        <v>2821</v>
      </c>
      <c r="AC431" s="530" t="s">
        <v>3015</v>
      </c>
      <c r="AD431" s="159"/>
    </row>
    <row r="432" spans="1:30" x14ac:dyDescent="0.2">
      <c r="A432" s="254" t="s">
        <v>2821</v>
      </c>
      <c r="B432" s="259"/>
      <c r="C432" s="272" t="s">
        <v>1852</v>
      </c>
      <c r="D432" s="273" t="s">
        <v>1853</v>
      </c>
      <c r="E432" s="274">
        <v>0</v>
      </c>
      <c r="F432" s="274">
        <v>0</v>
      </c>
      <c r="G432" s="274">
        <v>0</v>
      </c>
      <c r="H432" s="274">
        <v>0</v>
      </c>
      <c r="I432" s="274">
        <v>0</v>
      </c>
      <c r="J432" s="274">
        <v>0</v>
      </c>
      <c r="K432" s="274">
        <v>0</v>
      </c>
      <c r="L432" s="274">
        <v>1</v>
      </c>
      <c r="M432" s="274">
        <v>0</v>
      </c>
      <c r="N432" s="274">
        <v>0</v>
      </c>
      <c r="O432" s="274">
        <v>0</v>
      </c>
      <c r="P432" s="274">
        <v>0</v>
      </c>
      <c r="Q432" s="274">
        <v>0</v>
      </c>
      <c r="R432" s="274">
        <v>0</v>
      </c>
      <c r="S432" s="274">
        <v>0</v>
      </c>
      <c r="T432" s="274">
        <v>0</v>
      </c>
      <c r="U432" s="274">
        <v>0</v>
      </c>
      <c r="V432" s="274">
        <v>0</v>
      </c>
      <c r="W432" s="274">
        <v>0</v>
      </c>
      <c r="X432" s="274">
        <f>SUBTOTAL(9,E432:W432)</f>
        <v>1</v>
      </c>
      <c r="Y432" s="223"/>
      <c r="Z432" s="224" t="s">
        <v>663</v>
      </c>
      <c r="AA432" s="157" t="s">
        <v>649</v>
      </c>
      <c r="AB432" s="259" t="s">
        <v>2821</v>
      </c>
      <c r="AC432" s="530" t="s">
        <v>3015</v>
      </c>
      <c r="AD432" s="159"/>
    </row>
    <row r="433" spans="1:30" x14ac:dyDescent="0.2">
      <c r="A433" s="325" t="s">
        <v>1101</v>
      </c>
      <c r="B433" s="290"/>
      <c r="C433" s="238" t="s">
        <v>1854</v>
      </c>
      <c r="D433" s="239" t="s">
        <v>1855</v>
      </c>
      <c r="E433" s="221">
        <v>0</v>
      </c>
      <c r="F433" s="221">
        <v>0.54472790963951701</v>
      </c>
      <c r="G433" s="221">
        <v>0.35173397522965477</v>
      </c>
      <c r="H433" s="221">
        <v>0</v>
      </c>
      <c r="I433" s="221">
        <v>0</v>
      </c>
      <c r="J433" s="221">
        <v>0</v>
      </c>
      <c r="K433" s="221">
        <v>0</v>
      </c>
      <c r="L433" s="221">
        <v>0</v>
      </c>
      <c r="M433" s="221">
        <v>0</v>
      </c>
      <c r="N433" s="221">
        <v>0</v>
      </c>
      <c r="O433" s="221">
        <v>0.10353811513082826</v>
      </c>
      <c r="P433" s="221">
        <v>0</v>
      </c>
      <c r="Q433" s="221">
        <v>0</v>
      </c>
      <c r="R433" s="221">
        <v>0</v>
      </c>
      <c r="S433" s="221">
        <v>0</v>
      </c>
      <c r="T433" s="221">
        <v>0</v>
      </c>
      <c r="U433" s="221">
        <v>0</v>
      </c>
      <c r="V433" s="221">
        <v>0</v>
      </c>
      <c r="W433" s="221">
        <v>0</v>
      </c>
      <c r="X433" s="221">
        <f>SUM(E433:W433)</f>
        <v>1</v>
      </c>
      <c r="Y433" s="223"/>
      <c r="Z433" s="224" t="s">
        <v>663</v>
      </c>
      <c r="AA433" s="157" t="s">
        <v>663</v>
      </c>
      <c r="AB433" s="282" t="s">
        <v>1101</v>
      </c>
      <c r="AC433" s="530" t="s">
        <v>3015</v>
      </c>
      <c r="AD433" s="159"/>
    </row>
    <row r="434" spans="1:30" x14ac:dyDescent="0.2">
      <c r="A434" s="259" t="s">
        <v>2821</v>
      </c>
      <c r="B434" s="259"/>
      <c r="C434" s="272" t="s">
        <v>1858</v>
      </c>
      <c r="D434" s="273" t="s">
        <v>1859</v>
      </c>
      <c r="E434" s="278">
        <v>1</v>
      </c>
      <c r="F434" s="278">
        <v>0</v>
      </c>
      <c r="G434" s="278">
        <v>0</v>
      </c>
      <c r="H434" s="278">
        <v>0</v>
      </c>
      <c r="I434" s="278">
        <v>0</v>
      </c>
      <c r="J434" s="278">
        <v>0</v>
      </c>
      <c r="K434" s="278">
        <v>0</v>
      </c>
      <c r="L434" s="278">
        <v>0</v>
      </c>
      <c r="M434" s="278">
        <v>0</v>
      </c>
      <c r="N434" s="278">
        <v>0</v>
      </c>
      <c r="O434" s="278">
        <v>0</v>
      </c>
      <c r="P434" s="278">
        <v>0</v>
      </c>
      <c r="Q434" s="278">
        <v>0</v>
      </c>
      <c r="R434" s="278">
        <v>0</v>
      </c>
      <c r="S434" s="278">
        <v>0</v>
      </c>
      <c r="T434" s="278">
        <v>0</v>
      </c>
      <c r="U434" s="278">
        <v>0</v>
      </c>
      <c r="V434" s="278">
        <v>0</v>
      </c>
      <c r="W434" s="278">
        <v>0</v>
      </c>
      <c r="X434" s="278">
        <f>SUBTOTAL(9,E434:W434)</f>
        <v>1</v>
      </c>
      <c r="Y434" s="223"/>
      <c r="Z434" s="224" t="s">
        <v>663</v>
      </c>
      <c r="AA434" s="157" t="s">
        <v>649</v>
      </c>
      <c r="AB434" s="259" t="s">
        <v>2821</v>
      </c>
      <c r="AC434" s="530" t="s">
        <v>3015</v>
      </c>
      <c r="AD434" s="159"/>
    </row>
    <row r="435" spans="1:30" x14ac:dyDescent="0.2">
      <c r="A435" s="290" t="s">
        <v>1101</v>
      </c>
      <c r="B435" s="290"/>
      <c r="C435" s="248" t="s">
        <v>1289</v>
      </c>
      <c r="D435" s="249" t="s">
        <v>1290</v>
      </c>
      <c r="E435" s="232">
        <v>0</v>
      </c>
      <c r="F435" s="232">
        <v>0</v>
      </c>
      <c r="G435" s="232">
        <v>0</v>
      </c>
      <c r="H435" s="232">
        <v>0</v>
      </c>
      <c r="I435" s="232">
        <v>0</v>
      </c>
      <c r="J435" s="232">
        <v>0</v>
      </c>
      <c r="K435" s="232">
        <v>0</v>
      </c>
      <c r="L435" s="232">
        <v>0</v>
      </c>
      <c r="M435" s="232">
        <v>0</v>
      </c>
      <c r="N435" s="232">
        <v>0</v>
      </c>
      <c r="O435" s="232">
        <v>0</v>
      </c>
      <c r="P435" s="232">
        <v>0</v>
      </c>
      <c r="Q435" s="232">
        <v>0</v>
      </c>
      <c r="R435" s="232">
        <v>0</v>
      </c>
      <c r="S435" s="232">
        <v>1</v>
      </c>
      <c r="T435" s="232">
        <v>0</v>
      </c>
      <c r="U435" s="232">
        <v>0</v>
      </c>
      <c r="V435" s="232"/>
      <c r="W435" s="232"/>
      <c r="X435" s="233">
        <f t="shared" ref="X435:X441" si="14">SUM(E435:W435)</f>
        <v>1</v>
      </c>
      <c r="Y435" s="223"/>
      <c r="Z435" s="224" t="s">
        <v>663</v>
      </c>
      <c r="AA435" s="157" t="s">
        <v>663</v>
      </c>
      <c r="AB435" s="282" t="s">
        <v>1101</v>
      </c>
      <c r="AC435" s="530" t="s">
        <v>3015</v>
      </c>
      <c r="AD435" s="159"/>
    </row>
    <row r="436" spans="1:30" x14ac:dyDescent="0.2">
      <c r="A436" s="325" t="s">
        <v>1101</v>
      </c>
      <c r="B436" s="327"/>
      <c r="C436" s="347" t="s">
        <v>1860</v>
      </c>
      <c r="D436" s="226" t="s">
        <v>1861</v>
      </c>
      <c r="E436" s="245">
        <v>0</v>
      </c>
      <c r="F436" s="245">
        <v>8.9915906972427545E-2</v>
      </c>
      <c r="G436" s="245">
        <v>0.91008409302757254</v>
      </c>
      <c r="H436" s="245">
        <v>0</v>
      </c>
      <c r="I436" s="245">
        <v>0</v>
      </c>
      <c r="J436" s="245">
        <v>0</v>
      </c>
      <c r="K436" s="245">
        <v>0</v>
      </c>
      <c r="L436" s="245">
        <v>0</v>
      </c>
      <c r="M436" s="245">
        <v>0</v>
      </c>
      <c r="N436" s="245">
        <v>0</v>
      </c>
      <c r="O436" s="245">
        <v>0</v>
      </c>
      <c r="P436" s="245">
        <v>0</v>
      </c>
      <c r="Q436" s="245">
        <v>0</v>
      </c>
      <c r="R436" s="245">
        <v>0</v>
      </c>
      <c r="S436" s="245">
        <v>0</v>
      </c>
      <c r="T436" s="245">
        <v>0</v>
      </c>
      <c r="U436" s="245">
        <v>0</v>
      </c>
      <c r="V436" s="245">
        <v>0</v>
      </c>
      <c r="W436" s="245">
        <v>0</v>
      </c>
      <c r="X436" s="236">
        <f t="shared" si="14"/>
        <v>1</v>
      </c>
      <c r="Y436" s="223"/>
      <c r="Z436" s="224" t="s">
        <v>663</v>
      </c>
      <c r="AA436" s="157" t="s">
        <v>663</v>
      </c>
      <c r="AB436" s="282" t="s">
        <v>1101</v>
      </c>
      <c r="AC436" s="530" t="s">
        <v>3015</v>
      </c>
      <c r="AD436" s="159"/>
    </row>
    <row r="437" spans="1:30" x14ac:dyDescent="0.2">
      <c r="A437" s="282" t="s">
        <v>1101</v>
      </c>
      <c r="B437" s="282"/>
      <c r="C437" s="238" t="s">
        <v>1862</v>
      </c>
      <c r="D437" s="239" t="s">
        <v>1863</v>
      </c>
      <c r="E437" s="240">
        <v>0</v>
      </c>
      <c r="F437" s="240">
        <v>6.1507014976110025E-2</v>
      </c>
      <c r="G437" s="240">
        <v>0.93849298502389</v>
      </c>
      <c r="H437" s="240">
        <v>0</v>
      </c>
      <c r="I437" s="240">
        <v>0</v>
      </c>
      <c r="J437" s="240">
        <v>0</v>
      </c>
      <c r="K437" s="240">
        <v>0</v>
      </c>
      <c r="L437" s="240">
        <v>0</v>
      </c>
      <c r="M437" s="240">
        <v>0</v>
      </c>
      <c r="N437" s="240">
        <v>0</v>
      </c>
      <c r="O437" s="240">
        <v>0</v>
      </c>
      <c r="P437" s="240">
        <v>0</v>
      </c>
      <c r="Q437" s="240">
        <v>0</v>
      </c>
      <c r="R437" s="240">
        <v>0</v>
      </c>
      <c r="S437" s="240">
        <v>0</v>
      </c>
      <c r="T437" s="240">
        <v>0</v>
      </c>
      <c r="U437" s="240">
        <v>0</v>
      </c>
      <c r="V437" s="240">
        <v>0</v>
      </c>
      <c r="W437" s="240">
        <v>0</v>
      </c>
      <c r="X437" s="221">
        <f t="shared" si="14"/>
        <v>1</v>
      </c>
      <c r="Y437" s="223"/>
      <c r="Z437" s="224" t="s">
        <v>663</v>
      </c>
      <c r="AA437" s="157" t="s">
        <v>663</v>
      </c>
      <c r="AB437" s="282" t="s">
        <v>1101</v>
      </c>
      <c r="AC437" s="530" t="s">
        <v>3015</v>
      </c>
      <c r="AD437" s="159"/>
    </row>
    <row r="438" spans="1:30" x14ac:dyDescent="0.2">
      <c r="A438" s="326" t="s">
        <v>1101</v>
      </c>
      <c r="B438" s="326"/>
      <c r="C438" s="241" t="s">
        <v>1864</v>
      </c>
      <c r="D438" s="242" t="s">
        <v>1865</v>
      </c>
      <c r="E438" s="262">
        <v>0</v>
      </c>
      <c r="F438" s="262">
        <v>4.6795482402953788E-2</v>
      </c>
      <c r="G438" s="262">
        <v>8.4257440542528456E-2</v>
      </c>
      <c r="H438" s="262">
        <v>0</v>
      </c>
      <c r="I438" s="262">
        <v>0</v>
      </c>
      <c r="J438" s="262">
        <v>0</v>
      </c>
      <c r="K438" s="262">
        <v>0</v>
      </c>
      <c r="L438" s="262">
        <v>0</v>
      </c>
      <c r="M438" s="262">
        <v>0</v>
      </c>
      <c r="N438" s="262">
        <v>0.59550738748885024</v>
      </c>
      <c r="O438" s="262">
        <v>0</v>
      </c>
      <c r="P438" s="262">
        <v>6.3630192428097421E-2</v>
      </c>
      <c r="Q438" s="262">
        <v>0</v>
      </c>
      <c r="R438" s="262">
        <v>0</v>
      </c>
      <c r="S438" s="262">
        <v>8.5784359060436188E-2</v>
      </c>
      <c r="T438" s="262">
        <v>7.4967029127463378E-2</v>
      </c>
      <c r="U438" s="262">
        <v>4.9058108949670713E-2</v>
      </c>
      <c r="V438" s="262">
        <v>0</v>
      </c>
      <c r="W438" s="262">
        <v>0</v>
      </c>
      <c r="X438" s="232">
        <f t="shared" si="14"/>
        <v>1</v>
      </c>
      <c r="Y438" s="223"/>
      <c r="Z438" s="224" t="s">
        <v>663</v>
      </c>
      <c r="AA438" s="157" t="s">
        <v>663</v>
      </c>
      <c r="AB438" s="282" t="s">
        <v>1101</v>
      </c>
      <c r="AC438" s="530" t="s">
        <v>3015</v>
      </c>
      <c r="AD438" s="159"/>
    </row>
    <row r="439" spans="1:30" x14ac:dyDescent="0.2">
      <c r="A439" s="290" t="s">
        <v>1101</v>
      </c>
      <c r="B439" s="290"/>
      <c r="C439" s="238" t="s">
        <v>1866</v>
      </c>
      <c r="D439" s="239" t="s">
        <v>1867</v>
      </c>
      <c r="E439" s="232">
        <v>0</v>
      </c>
      <c r="F439" s="232">
        <v>0.12077567859264102</v>
      </c>
      <c r="G439" s="232">
        <v>0.87922432140735896</v>
      </c>
      <c r="H439" s="232">
        <v>0</v>
      </c>
      <c r="I439" s="232">
        <v>0</v>
      </c>
      <c r="J439" s="232">
        <v>0</v>
      </c>
      <c r="K439" s="232">
        <v>0</v>
      </c>
      <c r="L439" s="232">
        <v>0</v>
      </c>
      <c r="M439" s="232">
        <v>0</v>
      </c>
      <c r="N439" s="232">
        <v>0</v>
      </c>
      <c r="O439" s="232">
        <v>0</v>
      </c>
      <c r="P439" s="232">
        <v>0</v>
      </c>
      <c r="Q439" s="232">
        <v>0</v>
      </c>
      <c r="R439" s="232">
        <v>0</v>
      </c>
      <c r="S439" s="232">
        <v>0</v>
      </c>
      <c r="T439" s="232">
        <v>0</v>
      </c>
      <c r="U439" s="232">
        <v>0</v>
      </c>
      <c r="V439" s="232">
        <v>0</v>
      </c>
      <c r="W439" s="232">
        <v>0</v>
      </c>
      <c r="X439" s="232">
        <f t="shared" si="14"/>
        <v>1</v>
      </c>
      <c r="Y439" s="223"/>
      <c r="Z439" s="224" t="s">
        <v>663</v>
      </c>
      <c r="AA439" s="157" t="s">
        <v>663</v>
      </c>
      <c r="AB439" s="282" t="s">
        <v>1101</v>
      </c>
      <c r="AC439" s="530" t="s">
        <v>3015</v>
      </c>
      <c r="AD439" s="159"/>
    </row>
    <row r="440" spans="1:30" x14ac:dyDescent="0.2">
      <c r="A440" s="325" t="s">
        <v>1101</v>
      </c>
      <c r="B440" s="290"/>
      <c r="C440" s="238" t="s">
        <v>1868</v>
      </c>
      <c r="D440" s="239" t="s">
        <v>1869</v>
      </c>
      <c r="E440" s="221">
        <v>0</v>
      </c>
      <c r="F440" s="221">
        <v>0</v>
      </c>
      <c r="G440" s="221">
        <v>0</v>
      </c>
      <c r="H440" s="221">
        <v>0</v>
      </c>
      <c r="I440" s="221">
        <v>1</v>
      </c>
      <c r="J440" s="221">
        <v>0</v>
      </c>
      <c r="K440" s="221">
        <v>0</v>
      </c>
      <c r="L440" s="221">
        <v>0</v>
      </c>
      <c r="M440" s="221">
        <v>0</v>
      </c>
      <c r="N440" s="221">
        <v>0</v>
      </c>
      <c r="O440" s="221">
        <v>0</v>
      </c>
      <c r="P440" s="221">
        <v>0</v>
      </c>
      <c r="Q440" s="221">
        <v>0</v>
      </c>
      <c r="R440" s="221">
        <v>0</v>
      </c>
      <c r="S440" s="221">
        <v>0</v>
      </c>
      <c r="T440" s="221">
        <v>0</v>
      </c>
      <c r="U440" s="221">
        <v>0</v>
      </c>
      <c r="V440" s="221">
        <v>0</v>
      </c>
      <c r="W440" s="221">
        <v>0</v>
      </c>
      <c r="X440" s="221">
        <f t="shared" si="14"/>
        <v>1</v>
      </c>
      <c r="Y440" s="223"/>
      <c r="Z440" s="224" t="s">
        <v>663</v>
      </c>
      <c r="AA440" s="157" t="s">
        <v>663</v>
      </c>
      <c r="AB440" s="282" t="s">
        <v>1101</v>
      </c>
      <c r="AC440" s="530" t="s">
        <v>3015</v>
      </c>
      <c r="AD440" s="159"/>
    </row>
    <row r="441" spans="1:30" x14ac:dyDescent="0.2">
      <c r="A441" s="519" t="s">
        <v>2597</v>
      </c>
      <c r="B441" s="518"/>
      <c r="C441" s="300" t="s">
        <v>1291</v>
      </c>
      <c r="D441" s="301" t="s">
        <v>1292</v>
      </c>
      <c r="E441" s="297">
        <v>0</v>
      </c>
      <c r="F441" s="297">
        <v>0</v>
      </c>
      <c r="G441" s="297">
        <v>0</v>
      </c>
      <c r="H441" s="297">
        <v>0</v>
      </c>
      <c r="I441" s="297">
        <v>0</v>
      </c>
      <c r="J441" s="297">
        <v>1</v>
      </c>
      <c r="K441" s="297">
        <v>0</v>
      </c>
      <c r="L441" s="297">
        <v>0</v>
      </c>
      <c r="M441" s="297">
        <v>0</v>
      </c>
      <c r="N441" s="297">
        <v>0</v>
      </c>
      <c r="O441" s="297">
        <v>0</v>
      </c>
      <c r="P441" s="297">
        <v>0</v>
      </c>
      <c r="Q441" s="297">
        <v>0</v>
      </c>
      <c r="R441" s="297">
        <v>0</v>
      </c>
      <c r="S441" s="297">
        <v>0</v>
      </c>
      <c r="T441" s="297">
        <v>0</v>
      </c>
      <c r="U441" s="297">
        <v>0</v>
      </c>
      <c r="V441" s="297"/>
      <c r="W441" s="297"/>
      <c r="X441" s="298">
        <f t="shared" si="14"/>
        <v>1</v>
      </c>
      <c r="Y441" s="346"/>
      <c r="Z441" s="224" t="s">
        <v>663</v>
      </c>
      <c r="AA441" s="157" t="s">
        <v>663</v>
      </c>
      <c r="AB441" s="282" t="s">
        <v>2597</v>
      </c>
      <c r="AC441" s="530" t="s">
        <v>3015</v>
      </c>
      <c r="AD441" s="159"/>
    </row>
    <row r="442" spans="1:30" x14ac:dyDescent="0.2">
      <c r="A442" s="316" t="s">
        <v>2821</v>
      </c>
      <c r="B442" s="316"/>
      <c r="C442" s="331" t="s">
        <v>1870</v>
      </c>
      <c r="D442" s="332" t="s">
        <v>1871</v>
      </c>
      <c r="E442" s="278">
        <v>0</v>
      </c>
      <c r="F442" s="278">
        <v>0</v>
      </c>
      <c r="G442" s="278">
        <v>1</v>
      </c>
      <c r="H442" s="278">
        <v>0</v>
      </c>
      <c r="I442" s="278">
        <v>0</v>
      </c>
      <c r="J442" s="278">
        <v>0</v>
      </c>
      <c r="K442" s="278">
        <v>0</v>
      </c>
      <c r="L442" s="278">
        <v>0</v>
      </c>
      <c r="M442" s="278">
        <v>0</v>
      </c>
      <c r="N442" s="278">
        <v>0</v>
      </c>
      <c r="O442" s="278">
        <v>0</v>
      </c>
      <c r="P442" s="278">
        <v>0</v>
      </c>
      <c r="Q442" s="278">
        <v>0</v>
      </c>
      <c r="R442" s="278">
        <v>0</v>
      </c>
      <c r="S442" s="278">
        <v>0</v>
      </c>
      <c r="T442" s="278">
        <v>0</v>
      </c>
      <c r="U442" s="278">
        <v>0</v>
      </c>
      <c r="V442" s="278">
        <v>0</v>
      </c>
      <c r="W442" s="278">
        <v>0</v>
      </c>
      <c r="X442" s="278">
        <f>SUBTOTAL(9,E442:W442)</f>
        <v>1</v>
      </c>
      <c r="Y442" s="223"/>
      <c r="Z442" s="224" t="s">
        <v>663</v>
      </c>
      <c r="AA442" s="157" t="s">
        <v>649</v>
      </c>
      <c r="AB442" s="259" t="s">
        <v>2821</v>
      </c>
      <c r="AC442" s="530" t="s">
        <v>3015</v>
      </c>
      <c r="AD442" s="159"/>
    </row>
    <row r="443" spans="1:30" x14ac:dyDescent="0.2">
      <c r="A443" s="282" t="s">
        <v>1101</v>
      </c>
      <c r="B443" s="282"/>
      <c r="C443" s="238" t="s">
        <v>1872</v>
      </c>
      <c r="D443" s="239" t="s">
        <v>1873</v>
      </c>
      <c r="E443" s="221">
        <v>0</v>
      </c>
      <c r="F443" s="221">
        <v>0</v>
      </c>
      <c r="G443" s="221">
        <v>0</v>
      </c>
      <c r="H443" s="221">
        <v>0</v>
      </c>
      <c r="I443" s="221">
        <v>0</v>
      </c>
      <c r="J443" s="221">
        <v>1</v>
      </c>
      <c r="K443" s="221">
        <v>0</v>
      </c>
      <c r="L443" s="221">
        <v>0</v>
      </c>
      <c r="M443" s="221">
        <v>0</v>
      </c>
      <c r="N443" s="221">
        <v>0</v>
      </c>
      <c r="O443" s="221">
        <v>0</v>
      </c>
      <c r="P443" s="221">
        <v>0</v>
      </c>
      <c r="Q443" s="221">
        <v>0</v>
      </c>
      <c r="R443" s="221">
        <v>0</v>
      </c>
      <c r="S443" s="221">
        <v>0</v>
      </c>
      <c r="T443" s="221">
        <v>0</v>
      </c>
      <c r="U443" s="221">
        <v>0</v>
      </c>
      <c r="V443" s="221">
        <v>0</v>
      </c>
      <c r="W443" s="221">
        <v>0</v>
      </c>
      <c r="X443" s="221">
        <f>SUM(E443:W443)</f>
        <v>1</v>
      </c>
      <c r="Y443" s="223"/>
      <c r="Z443" s="224" t="s">
        <v>663</v>
      </c>
      <c r="AA443" s="157" t="s">
        <v>663</v>
      </c>
      <c r="AB443" s="282" t="s">
        <v>1101</v>
      </c>
      <c r="AC443" s="530" t="s">
        <v>3015</v>
      </c>
      <c r="AD443" s="159"/>
    </row>
    <row r="444" spans="1:30" x14ac:dyDescent="0.2">
      <c r="A444" s="325" t="s">
        <v>1101</v>
      </c>
      <c r="B444" s="326"/>
      <c r="C444" s="268" t="s">
        <v>1293</v>
      </c>
      <c r="D444" s="269" t="s">
        <v>1294</v>
      </c>
      <c r="E444" s="232">
        <v>0</v>
      </c>
      <c r="F444" s="232">
        <v>0</v>
      </c>
      <c r="G444" s="232">
        <v>0</v>
      </c>
      <c r="H444" s="232">
        <v>0</v>
      </c>
      <c r="I444" s="232">
        <v>0</v>
      </c>
      <c r="J444" s="232">
        <v>0</v>
      </c>
      <c r="K444" s="232">
        <v>0</v>
      </c>
      <c r="L444" s="232">
        <v>0</v>
      </c>
      <c r="M444" s="232">
        <v>0</v>
      </c>
      <c r="N444" s="232">
        <v>0</v>
      </c>
      <c r="O444" s="232">
        <v>0</v>
      </c>
      <c r="P444" s="232">
        <v>0</v>
      </c>
      <c r="Q444" s="232">
        <v>0</v>
      </c>
      <c r="R444" s="232">
        <v>0</v>
      </c>
      <c r="S444" s="232">
        <v>0</v>
      </c>
      <c r="T444" s="232">
        <v>1</v>
      </c>
      <c r="U444" s="232">
        <v>0</v>
      </c>
      <c r="V444" s="232"/>
      <c r="W444" s="232"/>
      <c r="X444" s="233">
        <f>SUM(E444:W444)</f>
        <v>1</v>
      </c>
      <c r="Y444" s="223"/>
      <c r="Z444" s="224" t="s">
        <v>663</v>
      </c>
      <c r="AA444" s="157" t="s">
        <v>663</v>
      </c>
      <c r="AB444" s="282" t="s">
        <v>1101</v>
      </c>
      <c r="AC444" s="530" t="s">
        <v>3015</v>
      </c>
      <c r="AD444" s="159"/>
    </row>
    <row r="445" spans="1:30" x14ac:dyDescent="0.2">
      <c r="A445" s="325" t="s">
        <v>1101</v>
      </c>
      <c r="B445" s="290"/>
      <c r="C445" s="248" t="s">
        <v>1295</v>
      </c>
      <c r="D445" s="249" t="s">
        <v>1079</v>
      </c>
      <c r="E445" s="221">
        <v>0</v>
      </c>
      <c r="F445" s="221">
        <v>0</v>
      </c>
      <c r="G445" s="221">
        <v>0</v>
      </c>
      <c r="H445" s="221">
        <v>0</v>
      </c>
      <c r="I445" s="221">
        <v>0</v>
      </c>
      <c r="J445" s="221">
        <v>0</v>
      </c>
      <c r="K445" s="221">
        <v>0</v>
      </c>
      <c r="L445" s="221">
        <v>0</v>
      </c>
      <c r="M445" s="221">
        <v>0</v>
      </c>
      <c r="N445" s="221">
        <v>0</v>
      </c>
      <c r="O445" s="221">
        <v>0</v>
      </c>
      <c r="P445" s="221">
        <v>0</v>
      </c>
      <c r="Q445" s="221">
        <v>0</v>
      </c>
      <c r="R445" s="221">
        <v>0</v>
      </c>
      <c r="S445" s="221">
        <v>0</v>
      </c>
      <c r="T445" s="221">
        <v>1</v>
      </c>
      <c r="U445" s="221">
        <v>0</v>
      </c>
      <c r="V445" s="221"/>
      <c r="W445" s="221"/>
      <c r="X445" s="222">
        <f>SUM(E445:W445)</f>
        <v>1</v>
      </c>
      <c r="Y445" s="223"/>
      <c r="Z445" s="224" t="s">
        <v>663</v>
      </c>
      <c r="AA445" s="157" t="s">
        <v>663</v>
      </c>
      <c r="AB445" s="282" t="s">
        <v>1101</v>
      </c>
      <c r="AC445" s="530" t="s">
        <v>3015</v>
      </c>
      <c r="AD445" s="159"/>
    </row>
    <row r="446" spans="1:30" x14ac:dyDescent="0.2">
      <c r="A446" s="290" t="s">
        <v>1101</v>
      </c>
      <c r="B446" s="290"/>
      <c r="C446" s="238" t="s">
        <v>1874</v>
      </c>
      <c r="D446" s="239" t="s">
        <v>1875</v>
      </c>
      <c r="E446" s="262">
        <v>1</v>
      </c>
      <c r="F446" s="262">
        <v>0</v>
      </c>
      <c r="G446" s="262">
        <v>0</v>
      </c>
      <c r="H446" s="262">
        <v>0</v>
      </c>
      <c r="I446" s="262">
        <v>0</v>
      </c>
      <c r="J446" s="262">
        <v>0</v>
      </c>
      <c r="K446" s="262">
        <v>0</v>
      </c>
      <c r="L446" s="262">
        <v>0</v>
      </c>
      <c r="M446" s="262">
        <v>0</v>
      </c>
      <c r="N446" s="262">
        <v>0</v>
      </c>
      <c r="O446" s="262">
        <v>0</v>
      </c>
      <c r="P446" s="262">
        <v>0</v>
      </c>
      <c r="Q446" s="262">
        <v>0</v>
      </c>
      <c r="R446" s="262">
        <v>0</v>
      </c>
      <c r="S446" s="262">
        <v>0</v>
      </c>
      <c r="T446" s="262">
        <v>0</v>
      </c>
      <c r="U446" s="262">
        <v>0</v>
      </c>
      <c r="V446" s="262">
        <v>0</v>
      </c>
      <c r="W446" s="262">
        <v>0</v>
      </c>
      <c r="X446" s="232">
        <f>SUM(E446:W446)</f>
        <v>1</v>
      </c>
      <c r="Y446" s="223"/>
      <c r="Z446" s="224" t="s">
        <v>663</v>
      </c>
      <c r="AA446" s="157" t="s">
        <v>663</v>
      </c>
      <c r="AB446" s="282" t="s">
        <v>1101</v>
      </c>
      <c r="AC446" s="530" t="s">
        <v>3015</v>
      </c>
      <c r="AD446" s="159"/>
    </row>
    <row r="447" spans="1:30" x14ac:dyDescent="0.2">
      <c r="A447" s="259" t="s">
        <v>2821</v>
      </c>
      <c r="B447" s="259"/>
      <c r="C447" s="272" t="s">
        <v>1876</v>
      </c>
      <c r="D447" s="273" t="s">
        <v>1877</v>
      </c>
      <c r="E447" s="278">
        <v>0</v>
      </c>
      <c r="F447" s="278">
        <v>0</v>
      </c>
      <c r="G447" s="278">
        <v>0</v>
      </c>
      <c r="H447" s="278">
        <v>1</v>
      </c>
      <c r="I447" s="278">
        <v>0</v>
      </c>
      <c r="J447" s="278">
        <v>0</v>
      </c>
      <c r="K447" s="278">
        <v>0</v>
      </c>
      <c r="L447" s="278">
        <v>0</v>
      </c>
      <c r="M447" s="278">
        <v>0</v>
      </c>
      <c r="N447" s="278">
        <v>0</v>
      </c>
      <c r="O447" s="278">
        <v>0</v>
      </c>
      <c r="P447" s="278">
        <v>0</v>
      </c>
      <c r="Q447" s="278">
        <v>0</v>
      </c>
      <c r="R447" s="278">
        <v>0</v>
      </c>
      <c r="S447" s="278">
        <v>0</v>
      </c>
      <c r="T447" s="278">
        <v>0</v>
      </c>
      <c r="U447" s="278">
        <v>0</v>
      </c>
      <c r="V447" s="278">
        <v>0</v>
      </c>
      <c r="W447" s="278">
        <v>0</v>
      </c>
      <c r="X447" s="278">
        <f>SUBTOTAL(9,E447:W447)</f>
        <v>1</v>
      </c>
      <c r="Y447" s="223"/>
      <c r="Z447" s="224" t="s">
        <v>663</v>
      </c>
      <c r="AA447" s="157" t="s">
        <v>649</v>
      </c>
      <c r="AB447" s="259" t="s">
        <v>2821</v>
      </c>
      <c r="AC447" s="530" t="s">
        <v>3015</v>
      </c>
      <c r="AD447" s="159"/>
    </row>
    <row r="448" spans="1:30" x14ac:dyDescent="0.2">
      <c r="A448" s="290" t="s">
        <v>1101</v>
      </c>
      <c r="B448" s="290"/>
      <c r="C448" s="238" t="s">
        <v>1878</v>
      </c>
      <c r="D448" s="239" t="s">
        <v>1879</v>
      </c>
      <c r="E448" s="262">
        <v>0</v>
      </c>
      <c r="F448" s="262">
        <v>0</v>
      </c>
      <c r="G448" s="262">
        <v>2.5794353523463091E-2</v>
      </c>
      <c r="H448" s="262">
        <v>0</v>
      </c>
      <c r="I448" s="262">
        <v>0</v>
      </c>
      <c r="J448" s="262">
        <v>3.0093412444040273E-2</v>
      </c>
      <c r="K448" s="262">
        <v>0</v>
      </c>
      <c r="L448" s="262">
        <v>0</v>
      </c>
      <c r="M448" s="262">
        <v>0</v>
      </c>
      <c r="N448" s="262">
        <v>0.11718378564630981</v>
      </c>
      <c r="O448" s="262">
        <v>0</v>
      </c>
      <c r="P448" s="262">
        <v>2.7513977091797145E-2</v>
      </c>
      <c r="Q448" s="262">
        <v>0</v>
      </c>
      <c r="R448" s="262">
        <v>0</v>
      </c>
      <c r="S448" s="262">
        <v>5.5261824020162512E-2</v>
      </c>
      <c r="T448" s="262">
        <v>0.14024647938120544</v>
      </c>
      <c r="U448" s="262">
        <v>0.60390616789302165</v>
      </c>
      <c r="V448" s="262">
        <v>0</v>
      </c>
      <c r="W448" s="262">
        <v>0</v>
      </c>
      <c r="X448" s="232">
        <f>SUM(E448:W448)</f>
        <v>0.99999999999999989</v>
      </c>
      <c r="Y448" s="223"/>
      <c r="Z448" s="224" t="s">
        <v>663</v>
      </c>
      <c r="AA448" s="157" t="s">
        <v>663</v>
      </c>
      <c r="AB448" s="282" t="s">
        <v>1101</v>
      </c>
      <c r="AC448" s="530" t="s">
        <v>3015</v>
      </c>
      <c r="AD448" s="159"/>
    </row>
    <row r="449" spans="1:30" x14ac:dyDescent="0.2">
      <c r="A449" s="327" t="s">
        <v>1101</v>
      </c>
      <c r="B449" s="327"/>
      <c r="C449" s="225" t="s">
        <v>1880</v>
      </c>
      <c r="D449" s="226" t="s">
        <v>1881</v>
      </c>
      <c r="E449" s="232">
        <v>0</v>
      </c>
      <c r="F449" s="232">
        <v>0</v>
      </c>
      <c r="G449" s="232">
        <v>0</v>
      </c>
      <c r="H449" s="232">
        <v>0</v>
      </c>
      <c r="I449" s="232">
        <v>1</v>
      </c>
      <c r="J449" s="232">
        <v>0</v>
      </c>
      <c r="K449" s="232">
        <v>0</v>
      </c>
      <c r="L449" s="232">
        <v>0</v>
      </c>
      <c r="M449" s="232">
        <v>0</v>
      </c>
      <c r="N449" s="232">
        <v>0</v>
      </c>
      <c r="O449" s="232">
        <v>0</v>
      </c>
      <c r="P449" s="232">
        <v>0</v>
      </c>
      <c r="Q449" s="232">
        <v>0</v>
      </c>
      <c r="R449" s="232">
        <v>0</v>
      </c>
      <c r="S449" s="232">
        <v>0</v>
      </c>
      <c r="T449" s="232">
        <v>0</v>
      </c>
      <c r="U449" s="232">
        <v>0</v>
      </c>
      <c r="V449" s="232">
        <v>0</v>
      </c>
      <c r="W449" s="232">
        <v>0</v>
      </c>
      <c r="X449" s="232">
        <f>SUM(E449:W449)</f>
        <v>1</v>
      </c>
      <c r="Y449" s="223"/>
      <c r="Z449" s="224" t="s">
        <v>663</v>
      </c>
      <c r="AA449" s="157" t="s">
        <v>663</v>
      </c>
      <c r="AB449" s="282" t="s">
        <v>1101</v>
      </c>
      <c r="AC449" s="530" t="s">
        <v>3015</v>
      </c>
      <c r="AD449" s="159"/>
    </row>
    <row r="450" spans="1:30" x14ac:dyDescent="0.2">
      <c r="A450" s="282" t="s">
        <v>1101</v>
      </c>
      <c r="B450" s="282"/>
      <c r="C450" s="238" t="s">
        <v>1882</v>
      </c>
      <c r="D450" s="239" t="s">
        <v>1883</v>
      </c>
      <c r="E450" s="221">
        <v>0.70633854034910204</v>
      </c>
      <c r="F450" s="221">
        <v>0</v>
      </c>
      <c r="G450" s="221">
        <v>0</v>
      </c>
      <c r="H450" s="221">
        <v>0</v>
      </c>
      <c r="I450" s="221">
        <v>0</v>
      </c>
      <c r="J450" s="221">
        <v>0</v>
      </c>
      <c r="K450" s="221">
        <v>0</v>
      </c>
      <c r="L450" s="221">
        <v>0.29366145965089807</v>
      </c>
      <c r="M450" s="221">
        <v>0</v>
      </c>
      <c r="N450" s="221">
        <v>0</v>
      </c>
      <c r="O450" s="221">
        <v>0</v>
      </c>
      <c r="P450" s="221">
        <v>0</v>
      </c>
      <c r="Q450" s="221">
        <v>0</v>
      </c>
      <c r="R450" s="221">
        <v>0</v>
      </c>
      <c r="S450" s="221">
        <v>0</v>
      </c>
      <c r="T450" s="221">
        <v>0</v>
      </c>
      <c r="U450" s="221">
        <v>0</v>
      </c>
      <c r="V450" s="221">
        <v>0</v>
      </c>
      <c r="W450" s="221">
        <v>0</v>
      </c>
      <c r="X450" s="221">
        <f>SUM(E450:W450)</f>
        <v>1</v>
      </c>
      <c r="Y450" s="223"/>
      <c r="Z450" s="224" t="s">
        <v>663</v>
      </c>
      <c r="AA450" s="157" t="s">
        <v>663</v>
      </c>
      <c r="AB450" s="282" t="s">
        <v>1101</v>
      </c>
      <c r="AC450" s="530" t="s">
        <v>3015</v>
      </c>
      <c r="AD450" s="159"/>
    </row>
    <row r="451" spans="1:30" x14ac:dyDescent="0.2">
      <c r="A451" s="292" t="s">
        <v>2821</v>
      </c>
      <c r="B451" s="292"/>
      <c r="C451" s="342" t="s">
        <v>1884</v>
      </c>
      <c r="D451" s="343" t="s">
        <v>1885</v>
      </c>
      <c r="E451" s="278">
        <v>0</v>
      </c>
      <c r="F451" s="278">
        <v>0</v>
      </c>
      <c r="G451" s="278">
        <v>0</v>
      </c>
      <c r="H451" s="278">
        <v>0.36783797341138008</v>
      </c>
      <c r="I451" s="278">
        <v>0</v>
      </c>
      <c r="J451" s="278">
        <v>0</v>
      </c>
      <c r="K451" s="278">
        <v>0</v>
      </c>
      <c r="L451" s="278">
        <v>0</v>
      </c>
      <c r="M451" s="278">
        <v>0</v>
      </c>
      <c r="N451" s="278">
        <v>0</v>
      </c>
      <c r="O451" s="278">
        <v>0</v>
      </c>
      <c r="P451" s="278">
        <v>0</v>
      </c>
      <c r="Q451" s="278">
        <v>0</v>
      </c>
      <c r="R451" s="278">
        <v>0</v>
      </c>
      <c r="S451" s="278">
        <v>0.63216202658861986</v>
      </c>
      <c r="T451" s="278">
        <v>0</v>
      </c>
      <c r="U451" s="278">
        <v>0</v>
      </c>
      <c r="V451" s="278">
        <v>0</v>
      </c>
      <c r="W451" s="278">
        <v>0</v>
      </c>
      <c r="X451" s="278">
        <f>SUBTOTAL(9,E451:W451)</f>
        <v>1</v>
      </c>
      <c r="Y451" s="223"/>
      <c r="Z451" s="224" t="s">
        <v>663</v>
      </c>
      <c r="AA451" s="157" t="s">
        <v>649</v>
      </c>
      <c r="AB451" s="259" t="s">
        <v>2821</v>
      </c>
      <c r="AC451" s="530" t="s">
        <v>3015</v>
      </c>
      <c r="AD451" s="159"/>
    </row>
    <row r="452" spans="1:30" x14ac:dyDescent="0.2">
      <c r="A452" s="254" t="s">
        <v>2821</v>
      </c>
      <c r="B452" s="259"/>
      <c r="C452" s="272" t="s">
        <v>1886</v>
      </c>
      <c r="D452" s="273" t="s">
        <v>1887</v>
      </c>
      <c r="E452" s="274">
        <v>0</v>
      </c>
      <c r="F452" s="274">
        <v>0</v>
      </c>
      <c r="G452" s="274">
        <v>0.26286556542595613</v>
      </c>
      <c r="H452" s="274">
        <v>0.21905463788836929</v>
      </c>
      <c r="I452" s="274">
        <v>0</v>
      </c>
      <c r="J452" s="274">
        <v>1.0952731894418465E-2</v>
      </c>
      <c r="K452" s="274">
        <v>0</v>
      </c>
      <c r="L452" s="274">
        <v>0</v>
      </c>
      <c r="M452" s="274">
        <v>0</v>
      </c>
      <c r="N452" s="274">
        <v>0.1655332537889285</v>
      </c>
      <c r="O452" s="274">
        <v>0</v>
      </c>
      <c r="P452" s="274">
        <v>3.2858195683255391E-3</v>
      </c>
      <c r="Q452" s="274">
        <v>0</v>
      </c>
      <c r="R452" s="274">
        <v>0</v>
      </c>
      <c r="S452" s="274">
        <v>0.33830799143400192</v>
      </c>
      <c r="T452" s="274">
        <v>0</v>
      </c>
      <c r="U452" s="274">
        <v>0</v>
      </c>
      <c r="V452" s="274">
        <v>0</v>
      </c>
      <c r="W452" s="274">
        <v>0</v>
      </c>
      <c r="X452" s="274">
        <f>SUBTOTAL(9,E452:W452)</f>
        <v>0.99999999999999978</v>
      </c>
      <c r="Y452" s="223"/>
      <c r="Z452" s="224" t="s">
        <v>663</v>
      </c>
      <c r="AA452" s="157" t="s">
        <v>649</v>
      </c>
      <c r="AB452" s="259" t="s">
        <v>2821</v>
      </c>
      <c r="AC452" s="530" t="s">
        <v>3015</v>
      </c>
      <c r="AD452" s="159"/>
    </row>
    <row r="453" spans="1:30" x14ac:dyDescent="0.2">
      <c r="A453" s="254" t="s">
        <v>2821</v>
      </c>
      <c r="B453" s="259"/>
      <c r="C453" s="272" t="s">
        <v>1888</v>
      </c>
      <c r="D453" s="273" t="s">
        <v>1889</v>
      </c>
      <c r="E453" s="274">
        <v>0</v>
      </c>
      <c r="F453" s="274">
        <v>0</v>
      </c>
      <c r="G453" s="274">
        <v>0</v>
      </c>
      <c r="H453" s="274">
        <v>0.66666666666666663</v>
      </c>
      <c r="I453" s="274">
        <v>0</v>
      </c>
      <c r="J453" s="274">
        <v>0</v>
      </c>
      <c r="K453" s="274">
        <v>0</v>
      </c>
      <c r="L453" s="274">
        <v>0</v>
      </c>
      <c r="M453" s="274">
        <v>0</v>
      </c>
      <c r="N453" s="274">
        <v>0</v>
      </c>
      <c r="O453" s="274">
        <v>0</v>
      </c>
      <c r="P453" s="274">
        <v>0</v>
      </c>
      <c r="Q453" s="274">
        <v>0</v>
      </c>
      <c r="R453" s="274">
        <v>0</v>
      </c>
      <c r="S453" s="274">
        <v>0.33333333333333331</v>
      </c>
      <c r="T453" s="274">
        <v>0</v>
      </c>
      <c r="U453" s="274">
        <v>0</v>
      </c>
      <c r="V453" s="274">
        <v>0</v>
      </c>
      <c r="W453" s="274">
        <v>0</v>
      </c>
      <c r="X453" s="274">
        <f>SUBTOTAL(9,E453:W453)</f>
        <v>1</v>
      </c>
      <c r="Y453" s="346"/>
      <c r="Z453" s="224" t="s">
        <v>663</v>
      </c>
      <c r="AA453" s="157" t="s">
        <v>649</v>
      </c>
      <c r="AB453" s="259" t="s">
        <v>2821</v>
      </c>
      <c r="AC453" s="530" t="s">
        <v>3015</v>
      </c>
      <c r="AD453" s="159"/>
    </row>
    <row r="454" spans="1:30" x14ac:dyDescent="0.2">
      <c r="A454" s="259" t="s">
        <v>2821</v>
      </c>
      <c r="B454" s="259"/>
      <c r="C454" s="272" t="s">
        <v>1894</v>
      </c>
      <c r="D454" s="273" t="s">
        <v>1895</v>
      </c>
      <c r="E454" s="278">
        <v>0.25</v>
      </c>
      <c r="F454" s="278">
        <v>0</v>
      </c>
      <c r="G454" s="278">
        <v>0</v>
      </c>
      <c r="H454" s="278">
        <v>0</v>
      </c>
      <c r="I454" s="278">
        <v>0</v>
      </c>
      <c r="J454" s="278">
        <v>0</v>
      </c>
      <c r="K454" s="278">
        <v>0</v>
      </c>
      <c r="L454" s="278">
        <v>0.75</v>
      </c>
      <c r="M454" s="278">
        <v>0</v>
      </c>
      <c r="N454" s="278">
        <v>0</v>
      </c>
      <c r="O454" s="278">
        <v>0</v>
      </c>
      <c r="P454" s="278">
        <v>0</v>
      </c>
      <c r="Q454" s="278">
        <v>0</v>
      </c>
      <c r="R454" s="278">
        <v>0</v>
      </c>
      <c r="S454" s="278">
        <v>0</v>
      </c>
      <c r="T454" s="278">
        <v>0</v>
      </c>
      <c r="U454" s="278">
        <v>0</v>
      </c>
      <c r="V454" s="278">
        <v>0</v>
      </c>
      <c r="W454" s="278">
        <v>0</v>
      </c>
      <c r="X454" s="278">
        <f>SUBTOTAL(9,E454:W454)</f>
        <v>1</v>
      </c>
      <c r="Y454" s="223"/>
      <c r="Z454" s="224" t="s">
        <v>663</v>
      </c>
      <c r="AA454" s="157" t="s">
        <v>649</v>
      </c>
      <c r="AB454" s="259" t="s">
        <v>2821</v>
      </c>
      <c r="AC454" s="530" t="s">
        <v>3015</v>
      </c>
      <c r="AD454" s="159"/>
    </row>
    <row r="455" spans="1:30" x14ac:dyDescent="0.2">
      <c r="A455" s="259" t="s">
        <v>2821</v>
      </c>
      <c r="B455" s="259"/>
      <c r="C455" s="272" t="s">
        <v>1896</v>
      </c>
      <c r="D455" s="273" t="s">
        <v>1897</v>
      </c>
      <c r="E455" s="278">
        <v>0.16999999999999998</v>
      </c>
      <c r="F455" s="278">
        <v>0</v>
      </c>
      <c r="G455" s="278">
        <v>0</v>
      </c>
      <c r="H455" s="278">
        <v>0</v>
      </c>
      <c r="I455" s="278">
        <v>0</v>
      </c>
      <c r="J455" s="278">
        <v>0</v>
      </c>
      <c r="K455" s="278">
        <v>0</v>
      </c>
      <c r="L455" s="278">
        <v>0.83</v>
      </c>
      <c r="M455" s="278">
        <v>0</v>
      </c>
      <c r="N455" s="278">
        <v>0</v>
      </c>
      <c r="O455" s="278">
        <v>0</v>
      </c>
      <c r="P455" s="278">
        <v>0</v>
      </c>
      <c r="Q455" s="278">
        <v>0</v>
      </c>
      <c r="R455" s="278">
        <v>0</v>
      </c>
      <c r="S455" s="278">
        <v>0</v>
      </c>
      <c r="T455" s="278">
        <v>0</v>
      </c>
      <c r="U455" s="278">
        <v>0</v>
      </c>
      <c r="V455" s="278">
        <v>0</v>
      </c>
      <c r="W455" s="278">
        <v>0</v>
      </c>
      <c r="X455" s="278">
        <f>SUBTOTAL(9,E455:W455)</f>
        <v>1</v>
      </c>
      <c r="Y455" s="223"/>
      <c r="Z455" s="224" t="s">
        <v>663</v>
      </c>
      <c r="AA455" s="157" t="s">
        <v>649</v>
      </c>
      <c r="AB455" s="259" t="s">
        <v>2821</v>
      </c>
      <c r="AC455" s="530" t="s">
        <v>3015</v>
      </c>
      <c r="AD455" s="159"/>
    </row>
    <row r="456" spans="1:30" x14ac:dyDescent="0.2">
      <c r="A456" s="327" t="s">
        <v>1101</v>
      </c>
      <c r="B456" s="327"/>
      <c r="C456" s="225" t="s">
        <v>1900</v>
      </c>
      <c r="D456" s="226" t="s">
        <v>1901</v>
      </c>
      <c r="E456" s="232">
        <v>0</v>
      </c>
      <c r="F456" s="232">
        <v>0</v>
      </c>
      <c r="G456" s="232">
        <v>0</v>
      </c>
      <c r="H456" s="232">
        <v>0</v>
      </c>
      <c r="I456" s="232">
        <v>0</v>
      </c>
      <c r="J456" s="232">
        <v>0</v>
      </c>
      <c r="K456" s="232">
        <v>0</v>
      </c>
      <c r="L456" s="232">
        <v>0</v>
      </c>
      <c r="M456" s="232">
        <v>0</v>
      </c>
      <c r="N456" s="232">
        <v>0.50793337494086443</v>
      </c>
      <c r="O456" s="232">
        <v>0</v>
      </c>
      <c r="P456" s="232">
        <v>0.33742998943622549</v>
      </c>
      <c r="Q456" s="232">
        <v>4.1376236822028484E-2</v>
      </c>
      <c r="R456" s="232">
        <v>0</v>
      </c>
      <c r="S456" s="232">
        <v>0.11326039880088155</v>
      </c>
      <c r="T456" s="232">
        <v>0</v>
      </c>
      <c r="U456" s="232">
        <v>0</v>
      </c>
      <c r="V456" s="232">
        <v>0</v>
      </c>
      <c r="W456" s="232">
        <v>0</v>
      </c>
      <c r="X456" s="232">
        <f>SUM(E456:W456)</f>
        <v>1</v>
      </c>
      <c r="Y456" s="223"/>
      <c r="Z456" s="224" t="s">
        <v>663</v>
      </c>
      <c r="AA456" s="157" t="s">
        <v>663</v>
      </c>
      <c r="AB456" s="282" t="s">
        <v>1101</v>
      </c>
      <c r="AC456" s="530" t="s">
        <v>3015</v>
      </c>
      <c r="AD456" s="159"/>
    </row>
    <row r="457" spans="1:30" x14ac:dyDescent="0.2">
      <c r="A457" s="270" t="s">
        <v>2821</v>
      </c>
      <c r="B457" s="270"/>
      <c r="C457" s="272" t="s">
        <v>1902</v>
      </c>
      <c r="D457" s="273" t="s">
        <v>1903</v>
      </c>
      <c r="E457" s="274">
        <v>0</v>
      </c>
      <c r="F457" s="274">
        <v>0</v>
      </c>
      <c r="G457" s="274">
        <v>0</v>
      </c>
      <c r="H457" s="274">
        <v>1</v>
      </c>
      <c r="I457" s="274">
        <v>0</v>
      </c>
      <c r="J457" s="274">
        <v>0</v>
      </c>
      <c r="K457" s="274">
        <v>0</v>
      </c>
      <c r="L457" s="274">
        <v>0</v>
      </c>
      <c r="M457" s="274">
        <v>0</v>
      </c>
      <c r="N457" s="274">
        <v>0</v>
      </c>
      <c r="O457" s="274">
        <v>0</v>
      </c>
      <c r="P457" s="274">
        <v>0</v>
      </c>
      <c r="Q457" s="274">
        <v>0</v>
      </c>
      <c r="R457" s="274">
        <v>0</v>
      </c>
      <c r="S457" s="274">
        <v>0</v>
      </c>
      <c r="T457" s="274">
        <v>0</v>
      </c>
      <c r="U457" s="274">
        <v>0</v>
      </c>
      <c r="V457" s="274">
        <v>0</v>
      </c>
      <c r="W457" s="274">
        <v>0</v>
      </c>
      <c r="X457" s="274">
        <f>SUBTOTAL(9,E457:W457)</f>
        <v>1</v>
      </c>
      <c r="Y457" s="223"/>
      <c r="Z457" s="224" t="s">
        <v>663</v>
      </c>
      <c r="AA457" s="157" t="s">
        <v>649</v>
      </c>
      <c r="AB457" s="259" t="s">
        <v>2821</v>
      </c>
      <c r="AC457" s="530" t="s">
        <v>3015</v>
      </c>
      <c r="AD457" s="159"/>
    </row>
    <row r="458" spans="1:30" x14ac:dyDescent="0.2">
      <c r="A458" s="270" t="s">
        <v>2821</v>
      </c>
      <c r="B458" s="270"/>
      <c r="C458" s="272" t="s">
        <v>1904</v>
      </c>
      <c r="D458" s="273" t="s">
        <v>1905</v>
      </c>
      <c r="E458" s="274">
        <v>1</v>
      </c>
      <c r="F458" s="274">
        <v>0</v>
      </c>
      <c r="G458" s="274">
        <v>0</v>
      </c>
      <c r="H458" s="274">
        <v>0</v>
      </c>
      <c r="I458" s="274">
        <v>0</v>
      </c>
      <c r="J458" s="274">
        <v>0</v>
      </c>
      <c r="K458" s="274">
        <v>0</v>
      </c>
      <c r="L458" s="274">
        <v>0</v>
      </c>
      <c r="M458" s="274">
        <v>0</v>
      </c>
      <c r="N458" s="274">
        <v>0</v>
      </c>
      <c r="O458" s="274">
        <v>0</v>
      </c>
      <c r="P458" s="274">
        <v>0</v>
      </c>
      <c r="Q458" s="274">
        <v>0</v>
      </c>
      <c r="R458" s="274">
        <v>0</v>
      </c>
      <c r="S458" s="274">
        <v>0</v>
      </c>
      <c r="T458" s="274">
        <v>0</v>
      </c>
      <c r="U458" s="274">
        <v>0</v>
      </c>
      <c r="V458" s="274">
        <v>0</v>
      </c>
      <c r="W458" s="274">
        <v>0</v>
      </c>
      <c r="X458" s="274">
        <f>SUBTOTAL(9,E458:W458)</f>
        <v>1</v>
      </c>
      <c r="Y458" s="223"/>
      <c r="Z458" s="224" t="s">
        <v>663</v>
      </c>
      <c r="AA458" s="157" t="s">
        <v>649</v>
      </c>
      <c r="AB458" s="259" t="s">
        <v>2821</v>
      </c>
      <c r="AC458" s="530" t="s">
        <v>3015</v>
      </c>
      <c r="AD458" s="159"/>
    </row>
    <row r="459" spans="1:30" x14ac:dyDescent="0.2">
      <c r="A459" s="270" t="s">
        <v>2821</v>
      </c>
      <c r="B459" s="270"/>
      <c r="C459" s="272" t="s">
        <v>2197</v>
      </c>
      <c r="D459" s="273" t="s">
        <v>261</v>
      </c>
      <c r="E459" s="274">
        <v>0</v>
      </c>
      <c r="F459" s="274">
        <v>0</v>
      </c>
      <c r="G459" s="274">
        <v>0</v>
      </c>
      <c r="H459" s="274">
        <v>0</v>
      </c>
      <c r="I459" s="274">
        <v>0</v>
      </c>
      <c r="J459" s="274">
        <v>0</v>
      </c>
      <c r="K459" s="274">
        <v>0</v>
      </c>
      <c r="L459" s="274">
        <v>0</v>
      </c>
      <c r="M459" s="274">
        <v>0</v>
      </c>
      <c r="N459" s="274">
        <v>0</v>
      </c>
      <c r="O459" s="274">
        <v>0</v>
      </c>
      <c r="P459" s="274">
        <v>1</v>
      </c>
      <c r="Q459" s="274">
        <v>0</v>
      </c>
      <c r="R459" s="274">
        <v>0</v>
      </c>
      <c r="S459" s="274">
        <v>0</v>
      </c>
      <c r="T459" s="274">
        <v>0</v>
      </c>
      <c r="U459" s="274">
        <v>0</v>
      </c>
      <c r="V459" s="274">
        <v>0</v>
      </c>
      <c r="W459" s="274">
        <v>0</v>
      </c>
      <c r="X459" s="274">
        <f>SUBTOTAL(9,E459:W459)</f>
        <v>1</v>
      </c>
      <c r="Y459" s="223"/>
      <c r="Z459" s="224" t="s">
        <v>663</v>
      </c>
      <c r="AA459" s="157" t="s">
        <v>649</v>
      </c>
      <c r="AB459" s="259" t="s">
        <v>2821</v>
      </c>
      <c r="AC459" s="530" t="s">
        <v>3015</v>
      </c>
      <c r="AD459" s="159"/>
    </row>
    <row r="460" spans="1:30" x14ac:dyDescent="0.2">
      <c r="A460" s="270" t="s">
        <v>2821</v>
      </c>
      <c r="B460" s="270"/>
      <c r="C460" s="272" t="s">
        <v>2209</v>
      </c>
      <c r="D460" s="273" t="s">
        <v>263</v>
      </c>
      <c r="E460" s="274">
        <v>0</v>
      </c>
      <c r="F460" s="274">
        <v>0</v>
      </c>
      <c r="G460" s="274">
        <v>0</v>
      </c>
      <c r="H460" s="274">
        <v>0</v>
      </c>
      <c r="I460" s="274">
        <v>0</v>
      </c>
      <c r="J460" s="274">
        <v>0</v>
      </c>
      <c r="K460" s="274">
        <v>0</v>
      </c>
      <c r="L460" s="274">
        <v>0</v>
      </c>
      <c r="M460" s="274">
        <v>0</v>
      </c>
      <c r="N460" s="274">
        <v>0</v>
      </c>
      <c r="O460" s="274">
        <v>0</v>
      </c>
      <c r="P460" s="274">
        <v>1</v>
      </c>
      <c r="Q460" s="274">
        <v>0</v>
      </c>
      <c r="R460" s="274">
        <v>0</v>
      </c>
      <c r="S460" s="274">
        <v>0</v>
      </c>
      <c r="T460" s="274">
        <v>0</v>
      </c>
      <c r="U460" s="274">
        <v>0</v>
      </c>
      <c r="V460" s="274">
        <v>0</v>
      </c>
      <c r="W460" s="274">
        <v>0</v>
      </c>
      <c r="X460" s="274">
        <f>SUBTOTAL(9,E460:W460)</f>
        <v>1</v>
      </c>
      <c r="Y460" s="223"/>
      <c r="Z460" s="224" t="s">
        <v>663</v>
      </c>
      <c r="AA460" s="157" t="s">
        <v>649</v>
      </c>
      <c r="AB460" s="259" t="s">
        <v>2821</v>
      </c>
      <c r="AC460" s="530" t="s">
        <v>3015</v>
      </c>
      <c r="AD460" s="159"/>
    </row>
    <row r="461" spans="1:30" x14ac:dyDescent="0.2">
      <c r="A461" s="519" t="s">
        <v>2597</v>
      </c>
      <c r="B461" s="363"/>
      <c r="C461" s="526" t="s">
        <v>2192</v>
      </c>
      <c r="D461" s="527" t="s">
        <v>267</v>
      </c>
      <c r="E461" s="302">
        <v>0</v>
      </c>
      <c r="F461" s="302">
        <v>0</v>
      </c>
      <c r="G461" s="302">
        <v>0</v>
      </c>
      <c r="H461" s="302">
        <v>0</v>
      </c>
      <c r="I461" s="302">
        <v>0</v>
      </c>
      <c r="J461" s="302">
        <v>0</v>
      </c>
      <c r="K461" s="302">
        <v>0</v>
      </c>
      <c r="L461" s="302">
        <v>1</v>
      </c>
      <c r="M461" s="302">
        <v>0</v>
      </c>
      <c r="N461" s="302">
        <v>0</v>
      </c>
      <c r="O461" s="302">
        <v>0</v>
      </c>
      <c r="P461" s="302">
        <v>0</v>
      </c>
      <c r="Q461" s="302">
        <v>0</v>
      </c>
      <c r="R461" s="302">
        <v>0</v>
      </c>
      <c r="S461" s="302">
        <v>0</v>
      </c>
      <c r="T461" s="302">
        <v>0</v>
      </c>
      <c r="U461" s="302">
        <v>0</v>
      </c>
      <c r="V461" s="302">
        <v>0</v>
      </c>
      <c r="W461" s="302">
        <v>0</v>
      </c>
      <c r="X461" s="303">
        <f>SUM(E461:W461)</f>
        <v>1</v>
      </c>
      <c r="Y461" s="223"/>
      <c r="Z461" s="224" t="s">
        <v>663</v>
      </c>
      <c r="AA461" s="157" t="s">
        <v>663</v>
      </c>
      <c r="AB461" s="282" t="s">
        <v>2597</v>
      </c>
      <c r="AC461" s="530" t="s">
        <v>3015</v>
      </c>
      <c r="AD461" s="159"/>
    </row>
    <row r="462" spans="1:30" x14ac:dyDescent="0.2">
      <c r="A462" s="270" t="s">
        <v>2821</v>
      </c>
      <c r="B462" s="270"/>
      <c r="C462" s="272" t="s">
        <v>1910</v>
      </c>
      <c r="D462" s="273" t="s">
        <v>1911</v>
      </c>
      <c r="E462" s="274">
        <v>0</v>
      </c>
      <c r="F462" s="274">
        <v>0</v>
      </c>
      <c r="G462" s="274">
        <v>0</v>
      </c>
      <c r="H462" s="274">
        <v>1</v>
      </c>
      <c r="I462" s="274">
        <v>0</v>
      </c>
      <c r="J462" s="274">
        <v>0</v>
      </c>
      <c r="K462" s="274">
        <v>0</v>
      </c>
      <c r="L462" s="274">
        <v>0</v>
      </c>
      <c r="M462" s="274">
        <v>0</v>
      </c>
      <c r="N462" s="274">
        <v>0</v>
      </c>
      <c r="O462" s="274">
        <v>0</v>
      </c>
      <c r="P462" s="274">
        <v>0</v>
      </c>
      <c r="Q462" s="274">
        <v>0</v>
      </c>
      <c r="R462" s="274">
        <v>0</v>
      </c>
      <c r="S462" s="274">
        <v>0</v>
      </c>
      <c r="T462" s="274">
        <v>0</v>
      </c>
      <c r="U462" s="274">
        <v>0</v>
      </c>
      <c r="V462" s="274">
        <v>0</v>
      </c>
      <c r="W462" s="274">
        <v>0</v>
      </c>
      <c r="X462" s="274">
        <f>SUBTOTAL(9,E462:W462)</f>
        <v>1</v>
      </c>
      <c r="Y462" s="223"/>
      <c r="Z462" s="224" t="s">
        <v>663</v>
      </c>
      <c r="AA462" s="157" t="s">
        <v>649</v>
      </c>
      <c r="AB462" s="259" t="s">
        <v>2821</v>
      </c>
      <c r="AC462" s="530" t="s">
        <v>3015</v>
      </c>
      <c r="AD462" s="159"/>
    </row>
    <row r="463" spans="1:30" x14ac:dyDescent="0.2">
      <c r="A463" s="270" t="s">
        <v>2821</v>
      </c>
      <c r="B463" s="270"/>
      <c r="C463" s="272" t="s">
        <v>1912</v>
      </c>
      <c r="D463" s="273" t="s">
        <v>1913</v>
      </c>
      <c r="E463" s="274">
        <v>0</v>
      </c>
      <c r="F463" s="274">
        <v>0</v>
      </c>
      <c r="G463" s="274">
        <v>0</v>
      </c>
      <c r="H463" s="274">
        <v>1</v>
      </c>
      <c r="I463" s="274">
        <v>0</v>
      </c>
      <c r="J463" s="274">
        <v>0</v>
      </c>
      <c r="K463" s="274">
        <v>0</v>
      </c>
      <c r="L463" s="274">
        <v>0</v>
      </c>
      <c r="M463" s="274">
        <v>0</v>
      </c>
      <c r="N463" s="274">
        <v>0</v>
      </c>
      <c r="O463" s="274">
        <v>0</v>
      </c>
      <c r="P463" s="274">
        <v>0</v>
      </c>
      <c r="Q463" s="274">
        <v>0</v>
      </c>
      <c r="R463" s="274">
        <v>0</v>
      </c>
      <c r="S463" s="274">
        <v>0</v>
      </c>
      <c r="T463" s="274">
        <v>0</v>
      </c>
      <c r="U463" s="274">
        <v>0</v>
      </c>
      <c r="V463" s="274">
        <v>0</v>
      </c>
      <c r="W463" s="274">
        <v>0</v>
      </c>
      <c r="X463" s="274">
        <f>SUBTOTAL(9,E463:W463)</f>
        <v>1</v>
      </c>
      <c r="Y463" s="223"/>
      <c r="Z463" s="224" t="s">
        <v>663</v>
      </c>
      <c r="AA463" s="157" t="s">
        <v>649</v>
      </c>
      <c r="AB463" s="259" t="s">
        <v>2821</v>
      </c>
      <c r="AC463" s="530" t="s">
        <v>3015</v>
      </c>
      <c r="AD463" s="159"/>
    </row>
    <row r="464" spans="1:30" x14ac:dyDescent="0.2">
      <c r="A464" s="270" t="s">
        <v>2821</v>
      </c>
      <c r="B464" s="270"/>
      <c r="C464" s="272" t="s">
        <v>1914</v>
      </c>
      <c r="D464" s="273" t="s">
        <v>1915</v>
      </c>
      <c r="E464" s="274">
        <v>0.30232558139534887</v>
      </c>
      <c r="F464" s="274">
        <v>0</v>
      </c>
      <c r="G464" s="274">
        <v>0</v>
      </c>
      <c r="H464" s="274">
        <v>0</v>
      </c>
      <c r="I464" s="274">
        <v>0</v>
      </c>
      <c r="J464" s="274">
        <v>0</v>
      </c>
      <c r="K464" s="274">
        <v>0</v>
      </c>
      <c r="L464" s="274">
        <v>0.69767441860465107</v>
      </c>
      <c r="M464" s="274">
        <v>0</v>
      </c>
      <c r="N464" s="274">
        <v>0</v>
      </c>
      <c r="O464" s="274">
        <v>0</v>
      </c>
      <c r="P464" s="274">
        <v>0</v>
      </c>
      <c r="Q464" s="274">
        <v>0</v>
      </c>
      <c r="R464" s="274">
        <v>0</v>
      </c>
      <c r="S464" s="274">
        <v>0</v>
      </c>
      <c r="T464" s="274">
        <v>0</v>
      </c>
      <c r="U464" s="274">
        <v>0</v>
      </c>
      <c r="V464" s="274">
        <v>0</v>
      </c>
      <c r="W464" s="274">
        <v>0</v>
      </c>
      <c r="X464" s="274">
        <f>SUBTOTAL(9,E464:W464)</f>
        <v>1</v>
      </c>
      <c r="Y464" s="223"/>
      <c r="Z464" s="224" t="s">
        <v>663</v>
      </c>
      <c r="AA464" s="157" t="s">
        <v>649</v>
      </c>
      <c r="AB464" s="259" t="s">
        <v>2821</v>
      </c>
      <c r="AC464" s="530" t="s">
        <v>3015</v>
      </c>
      <c r="AD464" s="159"/>
    </row>
    <row r="465" spans="1:30" ht="14.25" customHeight="1" x14ac:dyDescent="0.2">
      <c r="A465" s="270" t="s">
        <v>2821</v>
      </c>
      <c r="B465" s="270"/>
      <c r="C465" s="272" t="s">
        <v>1916</v>
      </c>
      <c r="D465" s="273" t="s">
        <v>1917</v>
      </c>
      <c r="E465" s="274">
        <v>0</v>
      </c>
      <c r="F465" s="274">
        <v>0</v>
      </c>
      <c r="G465" s="274">
        <v>0</v>
      </c>
      <c r="H465" s="274">
        <v>0</v>
      </c>
      <c r="I465" s="274">
        <v>0</v>
      </c>
      <c r="J465" s="274">
        <v>0</v>
      </c>
      <c r="K465" s="274">
        <v>0</v>
      </c>
      <c r="L465" s="274">
        <v>0</v>
      </c>
      <c r="M465" s="274">
        <v>0</v>
      </c>
      <c r="N465" s="274">
        <v>1</v>
      </c>
      <c r="O465" s="274">
        <v>0</v>
      </c>
      <c r="P465" s="274">
        <v>0</v>
      </c>
      <c r="Q465" s="274">
        <v>0</v>
      </c>
      <c r="R465" s="274">
        <v>0</v>
      </c>
      <c r="S465" s="274">
        <v>0</v>
      </c>
      <c r="T465" s="274">
        <v>0</v>
      </c>
      <c r="U465" s="274">
        <v>0</v>
      </c>
      <c r="V465" s="274">
        <v>0</v>
      </c>
      <c r="W465" s="274">
        <v>0</v>
      </c>
      <c r="X465" s="274">
        <f>SUBTOTAL(9,E465:W465)</f>
        <v>1</v>
      </c>
      <c r="Y465" s="223"/>
      <c r="Z465" s="224" t="s">
        <v>663</v>
      </c>
      <c r="AA465" s="157" t="s">
        <v>649</v>
      </c>
      <c r="AB465" s="259" t="s">
        <v>2821</v>
      </c>
      <c r="AC465" s="530" t="s">
        <v>3015</v>
      </c>
      <c r="AD465" s="159"/>
    </row>
    <row r="466" spans="1:30" x14ac:dyDescent="0.2">
      <c r="A466" s="282" t="s">
        <v>1101</v>
      </c>
      <c r="B466" s="282"/>
      <c r="C466" s="238" t="s">
        <v>1918</v>
      </c>
      <c r="D466" s="239" t="s">
        <v>1919</v>
      </c>
      <c r="E466" s="240">
        <v>0</v>
      </c>
      <c r="F466" s="240">
        <v>0</v>
      </c>
      <c r="G466" s="240">
        <v>0</v>
      </c>
      <c r="H466" s="240">
        <v>1</v>
      </c>
      <c r="I466" s="240">
        <v>0</v>
      </c>
      <c r="J466" s="240">
        <v>0</v>
      </c>
      <c r="K466" s="240">
        <v>0</v>
      </c>
      <c r="L466" s="240">
        <v>0</v>
      </c>
      <c r="M466" s="240">
        <v>0</v>
      </c>
      <c r="N466" s="240">
        <v>0</v>
      </c>
      <c r="O466" s="240">
        <v>0</v>
      </c>
      <c r="P466" s="240">
        <v>0</v>
      </c>
      <c r="Q466" s="240">
        <v>0</v>
      </c>
      <c r="R466" s="240">
        <v>0</v>
      </c>
      <c r="S466" s="240">
        <v>0</v>
      </c>
      <c r="T466" s="240">
        <v>0</v>
      </c>
      <c r="U466" s="240">
        <v>0</v>
      </c>
      <c r="V466" s="240">
        <v>0</v>
      </c>
      <c r="W466" s="240">
        <v>0</v>
      </c>
      <c r="X466" s="221">
        <f>SUM(E466:W466)</f>
        <v>1</v>
      </c>
      <c r="Y466" s="223"/>
      <c r="Z466" s="224" t="s">
        <v>663</v>
      </c>
      <c r="AA466" s="157" t="s">
        <v>663</v>
      </c>
      <c r="AB466" s="282" t="s">
        <v>1101</v>
      </c>
      <c r="AC466" s="530" t="s">
        <v>3015</v>
      </c>
      <c r="AD466" s="159"/>
    </row>
    <row r="467" spans="1:30" x14ac:dyDescent="0.2">
      <c r="A467" s="270" t="s">
        <v>2821</v>
      </c>
      <c r="B467" s="270"/>
      <c r="C467" s="272" t="s">
        <v>1920</v>
      </c>
      <c r="D467" s="273" t="s">
        <v>870</v>
      </c>
      <c r="E467" s="274">
        <v>0</v>
      </c>
      <c r="F467" s="274">
        <v>0</v>
      </c>
      <c r="G467" s="274">
        <v>0</v>
      </c>
      <c r="H467" s="274">
        <v>1</v>
      </c>
      <c r="I467" s="274">
        <v>0</v>
      </c>
      <c r="J467" s="274">
        <v>0</v>
      </c>
      <c r="K467" s="274">
        <v>0</v>
      </c>
      <c r="L467" s="274">
        <v>0</v>
      </c>
      <c r="M467" s="274">
        <v>0</v>
      </c>
      <c r="N467" s="274">
        <v>0</v>
      </c>
      <c r="O467" s="274">
        <v>0</v>
      </c>
      <c r="P467" s="274">
        <v>0</v>
      </c>
      <c r="Q467" s="274">
        <v>0</v>
      </c>
      <c r="R467" s="274">
        <v>0</v>
      </c>
      <c r="S467" s="274">
        <v>0</v>
      </c>
      <c r="T467" s="274">
        <v>0</v>
      </c>
      <c r="U467" s="274">
        <v>0</v>
      </c>
      <c r="V467" s="274">
        <v>0</v>
      </c>
      <c r="W467" s="274">
        <v>0</v>
      </c>
      <c r="X467" s="274">
        <f>SUBTOTAL(9,E467:W467)</f>
        <v>1</v>
      </c>
      <c r="Y467" s="223"/>
      <c r="Z467" s="224" t="s">
        <v>663</v>
      </c>
      <c r="AA467" s="157" t="s">
        <v>649</v>
      </c>
      <c r="AB467" s="259" t="s">
        <v>2821</v>
      </c>
      <c r="AC467" s="530" t="s">
        <v>3015</v>
      </c>
      <c r="AD467" s="159"/>
    </row>
    <row r="468" spans="1:30" x14ac:dyDescent="0.2">
      <c r="A468" s="270" t="s">
        <v>2821</v>
      </c>
      <c r="B468" s="270"/>
      <c r="C468" s="272" t="s">
        <v>1925</v>
      </c>
      <c r="D468" s="273" t="s">
        <v>1926</v>
      </c>
      <c r="E468" s="274">
        <v>0</v>
      </c>
      <c r="F468" s="274">
        <v>0</v>
      </c>
      <c r="G468" s="274">
        <v>0</v>
      </c>
      <c r="H468" s="274">
        <v>1</v>
      </c>
      <c r="I468" s="274">
        <v>0</v>
      </c>
      <c r="J468" s="274">
        <v>0</v>
      </c>
      <c r="K468" s="274">
        <v>0</v>
      </c>
      <c r="L468" s="274">
        <v>0</v>
      </c>
      <c r="M468" s="274">
        <v>0</v>
      </c>
      <c r="N468" s="274">
        <v>0</v>
      </c>
      <c r="O468" s="274">
        <v>0</v>
      </c>
      <c r="P468" s="274">
        <v>0</v>
      </c>
      <c r="Q468" s="274">
        <v>0</v>
      </c>
      <c r="R468" s="274">
        <v>0</v>
      </c>
      <c r="S468" s="274">
        <v>0</v>
      </c>
      <c r="T468" s="274">
        <v>0</v>
      </c>
      <c r="U468" s="274">
        <v>0</v>
      </c>
      <c r="V468" s="274">
        <v>0</v>
      </c>
      <c r="W468" s="274">
        <v>0</v>
      </c>
      <c r="X468" s="274">
        <f>SUBTOTAL(9,E468:W468)</f>
        <v>1</v>
      </c>
      <c r="Y468" s="223"/>
      <c r="Z468" s="224" t="s">
        <v>663</v>
      </c>
      <c r="AA468" s="157" t="s">
        <v>649</v>
      </c>
      <c r="AB468" s="259" t="s">
        <v>2821</v>
      </c>
      <c r="AC468" s="530" t="s">
        <v>3015</v>
      </c>
      <c r="AD468" s="159"/>
    </row>
    <row r="469" spans="1:30" x14ac:dyDescent="0.2">
      <c r="A469" s="292" t="s">
        <v>2821</v>
      </c>
      <c r="B469" s="292"/>
      <c r="C469" s="342" t="s">
        <v>1927</v>
      </c>
      <c r="D469" s="343" t="s">
        <v>864</v>
      </c>
      <c r="E469" s="278">
        <v>0</v>
      </c>
      <c r="F469" s="278">
        <v>0</v>
      </c>
      <c r="G469" s="278">
        <v>0</v>
      </c>
      <c r="H469" s="278">
        <v>1</v>
      </c>
      <c r="I469" s="278">
        <v>0</v>
      </c>
      <c r="J469" s="278">
        <v>0</v>
      </c>
      <c r="K469" s="278">
        <v>0</v>
      </c>
      <c r="L469" s="278">
        <v>0</v>
      </c>
      <c r="M469" s="278">
        <v>0</v>
      </c>
      <c r="N469" s="278">
        <v>0</v>
      </c>
      <c r="O469" s="278">
        <v>0</v>
      </c>
      <c r="P469" s="278">
        <v>0</v>
      </c>
      <c r="Q469" s="278">
        <v>0</v>
      </c>
      <c r="R469" s="278">
        <v>0</v>
      </c>
      <c r="S469" s="278">
        <v>0</v>
      </c>
      <c r="T469" s="278">
        <v>0</v>
      </c>
      <c r="U469" s="278">
        <v>0</v>
      </c>
      <c r="V469" s="278">
        <v>0</v>
      </c>
      <c r="W469" s="278">
        <v>0</v>
      </c>
      <c r="X469" s="278">
        <f>SUBTOTAL(9,E469:W469)</f>
        <v>1</v>
      </c>
      <c r="Y469" s="223"/>
      <c r="Z469" s="224" t="s">
        <v>663</v>
      </c>
      <c r="AA469" s="157" t="s">
        <v>649</v>
      </c>
      <c r="AB469" s="259" t="s">
        <v>2821</v>
      </c>
      <c r="AC469" s="530" t="s">
        <v>3015</v>
      </c>
      <c r="AD469" s="159"/>
    </row>
    <row r="470" spans="1:30" x14ac:dyDescent="0.2">
      <c r="A470" s="259" t="s">
        <v>2821</v>
      </c>
      <c r="B470" s="259"/>
      <c r="C470" s="272" t="s">
        <v>1928</v>
      </c>
      <c r="D470" s="273" t="s">
        <v>1929</v>
      </c>
      <c r="E470" s="278">
        <v>6.3829787234042548E-2</v>
      </c>
      <c r="F470" s="278">
        <v>0</v>
      </c>
      <c r="G470" s="278">
        <v>0</v>
      </c>
      <c r="H470" s="278">
        <v>0</v>
      </c>
      <c r="I470" s="278">
        <v>0</v>
      </c>
      <c r="J470" s="278">
        <v>0</v>
      </c>
      <c r="K470" s="278">
        <v>0</v>
      </c>
      <c r="L470" s="278">
        <v>0.93617021276595747</v>
      </c>
      <c r="M470" s="278">
        <v>0</v>
      </c>
      <c r="N470" s="278">
        <v>0</v>
      </c>
      <c r="O470" s="278">
        <v>0</v>
      </c>
      <c r="P470" s="278">
        <v>0</v>
      </c>
      <c r="Q470" s="278">
        <v>0</v>
      </c>
      <c r="R470" s="278">
        <v>0</v>
      </c>
      <c r="S470" s="278">
        <v>0</v>
      </c>
      <c r="T470" s="278">
        <v>0</v>
      </c>
      <c r="U470" s="278">
        <v>0</v>
      </c>
      <c r="V470" s="278">
        <v>0</v>
      </c>
      <c r="W470" s="278">
        <v>0</v>
      </c>
      <c r="X470" s="278">
        <f>SUBTOTAL(9,E470:W470)</f>
        <v>1</v>
      </c>
      <c r="Y470" s="223"/>
      <c r="Z470" s="224" t="s">
        <v>663</v>
      </c>
      <c r="AA470" s="157" t="s">
        <v>649</v>
      </c>
      <c r="AB470" s="259" t="s">
        <v>2821</v>
      </c>
      <c r="AC470" s="530" t="s">
        <v>3015</v>
      </c>
      <c r="AD470" s="159"/>
    </row>
    <row r="471" spans="1:30" x14ac:dyDescent="0.2">
      <c r="A471" s="290" t="s">
        <v>1101</v>
      </c>
      <c r="B471" s="290"/>
      <c r="C471" s="238" t="s">
        <v>1930</v>
      </c>
      <c r="D471" s="239" t="s">
        <v>1931</v>
      </c>
      <c r="E471" s="262">
        <v>0</v>
      </c>
      <c r="F471" s="262">
        <v>0</v>
      </c>
      <c r="G471" s="262">
        <v>0</v>
      </c>
      <c r="H471" s="262">
        <v>0</v>
      </c>
      <c r="I471" s="262">
        <v>1</v>
      </c>
      <c r="J471" s="262">
        <v>0</v>
      </c>
      <c r="K471" s="262">
        <v>0</v>
      </c>
      <c r="L471" s="262">
        <v>0</v>
      </c>
      <c r="M471" s="262">
        <v>0</v>
      </c>
      <c r="N471" s="262">
        <v>0</v>
      </c>
      <c r="O471" s="262">
        <v>0</v>
      </c>
      <c r="P471" s="262">
        <v>0</v>
      </c>
      <c r="Q471" s="262">
        <v>0</v>
      </c>
      <c r="R471" s="262">
        <v>0</v>
      </c>
      <c r="S471" s="262">
        <v>0</v>
      </c>
      <c r="T471" s="262">
        <v>0</v>
      </c>
      <c r="U471" s="262">
        <v>0</v>
      </c>
      <c r="V471" s="262">
        <v>0</v>
      </c>
      <c r="W471" s="262">
        <v>0</v>
      </c>
      <c r="X471" s="232">
        <f t="shared" ref="X471:X482" si="15">SUM(E471:W471)</f>
        <v>1</v>
      </c>
      <c r="Y471" s="223"/>
      <c r="Z471" s="224" t="s">
        <v>663</v>
      </c>
      <c r="AA471" s="157" t="s">
        <v>663</v>
      </c>
      <c r="AB471" s="282" t="s">
        <v>1101</v>
      </c>
      <c r="AC471" s="530" t="s">
        <v>3015</v>
      </c>
      <c r="AD471" s="159"/>
    </row>
    <row r="472" spans="1:30" x14ac:dyDescent="0.2">
      <c r="A472" s="327" t="s">
        <v>1101</v>
      </c>
      <c r="B472" s="327"/>
      <c r="C472" s="225" t="s">
        <v>1932</v>
      </c>
      <c r="D472" s="226" t="s">
        <v>1933</v>
      </c>
      <c r="E472" s="232">
        <v>0</v>
      </c>
      <c r="F472" s="232">
        <v>0</v>
      </c>
      <c r="G472" s="232">
        <v>0</v>
      </c>
      <c r="H472" s="232">
        <v>0</v>
      </c>
      <c r="I472" s="232">
        <v>1</v>
      </c>
      <c r="J472" s="232">
        <v>0</v>
      </c>
      <c r="K472" s="232">
        <v>0</v>
      </c>
      <c r="L472" s="232">
        <v>0</v>
      </c>
      <c r="M472" s="232">
        <v>0</v>
      </c>
      <c r="N472" s="232">
        <v>0</v>
      </c>
      <c r="O472" s="232">
        <v>0</v>
      </c>
      <c r="P472" s="232">
        <v>0</v>
      </c>
      <c r="Q472" s="232">
        <v>0</v>
      </c>
      <c r="R472" s="232">
        <v>0</v>
      </c>
      <c r="S472" s="232">
        <v>0</v>
      </c>
      <c r="T472" s="232">
        <v>0</v>
      </c>
      <c r="U472" s="232">
        <v>0</v>
      </c>
      <c r="V472" s="232">
        <v>0</v>
      </c>
      <c r="W472" s="232">
        <v>0</v>
      </c>
      <c r="X472" s="232">
        <f t="shared" si="15"/>
        <v>1</v>
      </c>
      <c r="Y472" s="223"/>
      <c r="Z472" s="224" t="s">
        <v>663</v>
      </c>
      <c r="AA472" s="157" t="s">
        <v>663</v>
      </c>
      <c r="AB472" s="282" t="s">
        <v>1101</v>
      </c>
      <c r="AC472" s="530" t="s">
        <v>3015</v>
      </c>
      <c r="AD472" s="159"/>
    </row>
    <row r="473" spans="1:30" x14ac:dyDescent="0.2">
      <c r="A473" s="282" t="s">
        <v>1101</v>
      </c>
      <c r="B473" s="282"/>
      <c r="C473" s="238" t="s">
        <v>1934</v>
      </c>
      <c r="D473" s="239" t="s">
        <v>1935</v>
      </c>
      <c r="E473" s="240">
        <v>0</v>
      </c>
      <c r="F473" s="240">
        <v>0</v>
      </c>
      <c r="G473" s="240">
        <v>0</v>
      </c>
      <c r="H473" s="240">
        <v>0</v>
      </c>
      <c r="I473" s="240">
        <v>0</v>
      </c>
      <c r="J473" s="240">
        <v>1</v>
      </c>
      <c r="K473" s="240">
        <v>0</v>
      </c>
      <c r="L473" s="240">
        <v>0</v>
      </c>
      <c r="M473" s="240">
        <v>0</v>
      </c>
      <c r="N473" s="240">
        <v>0</v>
      </c>
      <c r="O473" s="240">
        <v>0</v>
      </c>
      <c r="P473" s="240">
        <v>0</v>
      </c>
      <c r="Q473" s="240">
        <v>0</v>
      </c>
      <c r="R473" s="240">
        <v>0</v>
      </c>
      <c r="S473" s="240">
        <v>0</v>
      </c>
      <c r="T473" s="240">
        <v>0</v>
      </c>
      <c r="U473" s="240">
        <v>0</v>
      </c>
      <c r="V473" s="240">
        <v>0</v>
      </c>
      <c r="W473" s="240">
        <v>0</v>
      </c>
      <c r="X473" s="221">
        <f t="shared" si="15"/>
        <v>1</v>
      </c>
      <c r="Y473" s="223"/>
      <c r="Z473" s="224" t="s">
        <v>663</v>
      </c>
      <c r="AA473" s="157" t="s">
        <v>663</v>
      </c>
      <c r="AB473" s="282" t="s">
        <v>1101</v>
      </c>
      <c r="AC473" s="530" t="s">
        <v>3015</v>
      </c>
      <c r="AD473" s="159"/>
    </row>
    <row r="474" spans="1:30" x14ac:dyDescent="0.2">
      <c r="A474" s="282" t="s">
        <v>1101</v>
      </c>
      <c r="B474" s="282"/>
      <c r="C474" s="238" t="s">
        <v>1936</v>
      </c>
      <c r="D474" s="239" t="s">
        <v>1937</v>
      </c>
      <c r="E474" s="221">
        <v>0</v>
      </c>
      <c r="F474" s="221">
        <v>0</v>
      </c>
      <c r="G474" s="221">
        <v>0</v>
      </c>
      <c r="H474" s="221">
        <v>0</v>
      </c>
      <c r="I474" s="221">
        <v>0</v>
      </c>
      <c r="J474" s="221">
        <v>1</v>
      </c>
      <c r="K474" s="221">
        <v>0</v>
      </c>
      <c r="L474" s="221">
        <v>0</v>
      </c>
      <c r="M474" s="221">
        <v>0</v>
      </c>
      <c r="N474" s="221">
        <v>0</v>
      </c>
      <c r="O474" s="221">
        <v>0</v>
      </c>
      <c r="P474" s="221">
        <v>0</v>
      </c>
      <c r="Q474" s="221">
        <v>0</v>
      </c>
      <c r="R474" s="221">
        <v>0</v>
      </c>
      <c r="S474" s="221">
        <v>0</v>
      </c>
      <c r="T474" s="221">
        <v>0</v>
      </c>
      <c r="U474" s="221">
        <v>0</v>
      </c>
      <c r="V474" s="221">
        <v>0</v>
      </c>
      <c r="W474" s="221">
        <v>0</v>
      </c>
      <c r="X474" s="221">
        <f t="shared" si="15"/>
        <v>1</v>
      </c>
      <c r="Y474" s="223"/>
      <c r="Z474" s="224" t="s">
        <v>663</v>
      </c>
      <c r="AA474" s="157" t="s">
        <v>663</v>
      </c>
      <c r="AB474" s="282" t="s">
        <v>1101</v>
      </c>
      <c r="AC474" s="530" t="s">
        <v>3015</v>
      </c>
      <c r="AD474" s="159"/>
    </row>
    <row r="475" spans="1:30" x14ac:dyDescent="0.2">
      <c r="A475" s="326" t="s">
        <v>1101</v>
      </c>
      <c r="B475" s="326"/>
      <c r="C475" s="241" t="s">
        <v>1938</v>
      </c>
      <c r="D475" s="242" t="s">
        <v>1939</v>
      </c>
      <c r="E475" s="232">
        <v>0</v>
      </c>
      <c r="F475" s="232">
        <v>0</v>
      </c>
      <c r="G475" s="232">
        <v>0</v>
      </c>
      <c r="H475" s="232">
        <v>0</v>
      </c>
      <c r="I475" s="232">
        <v>1</v>
      </c>
      <c r="J475" s="232">
        <v>0</v>
      </c>
      <c r="K475" s="232">
        <v>0</v>
      </c>
      <c r="L475" s="232">
        <v>0</v>
      </c>
      <c r="M475" s="232">
        <v>0</v>
      </c>
      <c r="N475" s="232">
        <v>0</v>
      </c>
      <c r="O475" s="232">
        <v>0</v>
      </c>
      <c r="P475" s="232">
        <v>0</v>
      </c>
      <c r="Q475" s="232">
        <v>0</v>
      </c>
      <c r="R475" s="232">
        <v>0</v>
      </c>
      <c r="S475" s="232">
        <v>0</v>
      </c>
      <c r="T475" s="232">
        <v>0</v>
      </c>
      <c r="U475" s="232">
        <v>0</v>
      </c>
      <c r="V475" s="232">
        <v>0</v>
      </c>
      <c r="W475" s="232">
        <v>0</v>
      </c>
      <c r="X475" s="232">
        <f t="shared" si="15"/>
        <v>1</v>
      </c>
      <c r="Y475" s="223"/>
      <c r="Z475" s="224" t="s">
        <v>663</v>
      </c>
      <c r="AA475" s="157" t="s">
        <v>663</v>
      </c>
      <c r="AB475" s="282" t="s">
        <v>1101</v>
      </c>
      <c r="AC475" s="530" t="s">
        <v>3015</v>
      </c>
      <c r="AD475" s="159"/>
    </row>
    <row r="476" spans="1:30" x14ac:dyDescent="0.2">
      <c r="A476" s="325" t="s">
        <v>1101</v>
      </c>
      <c r="B476" s="290"/>
      <c r="C476" s="238" t="s">
        <v>1940</v>
      </c>
      <c r="D476" s="239" t="s">
        <v>1941</v>
      </c>
      <c r="E476" s="221">
        <v>0</v>
      </c>
      <c r="F476" s="221">
        <v>0</v>
      </c>
      <c r="G476" s="221">
        <v>0</v>
      </c>
      <c r="H476" s="221">
        <v>0</v>
      </c>
      <c r="I476" s="221">
        <v>0.69230769230769229</v>
      </c>
      <c r="J476" s="221">
        <v>0.30769230769230771</v>
      </c>
      <c r="K476" s="221">
        <v>0</v>
      </c>
      <c r="L476" s="221">
        <v>0</v>
      </c>
      <c r="M476" s="221">
        <v>0</v>
      </c>
      <c r="N476" s="221">
        <v>0</v>
      </c>
      <c r="O476" s="221">
        <v>0</v>
      </c>
      <c r="P476" s="221">
        <v>0</v>
      </c>
      <c r="Q476" s="221">
        <v>0</v>
      </c>
      <c r="R476" s="221">
        <v>0</v>
      </c>
      <c r="S476" s="221">
        <v>0</v>
      </c>
      <c r="T476" s="221">
        <v>0</v>
      </c>
      <c r="U476" s="221">
        <v>0</v>
      </c>
      <c r="V476" s="221">
        <v>0</v>
      </c>
      <c r="W476" s="221">
        <v>0</v>
      </c>
      <c r="X476" s="221">
        <f t="shared" si="15"/>
        <v>1</v>
      </c>
      <c r="Y476" s="223"/>
      <c r="Z476" s="224" t="s">
        <v>663</v>
      </c>
      <c r="AA476" s="157" t="s">
        <v>663</v>
      </c>
      <c r="AB476" s="282" t="s">
        <v>1101</v>
      </c>
      <c r="AC476" s="530" t="s">
        <v>3015</v>
      </c>
      <c r="AD476" s="159"/>
    </row>
    <row r="477" spans="1:30" x14ac:dyDescent="0.2">
      <c r="A477" s="327" t="s">
        <v>1101</v>
      </c>
      <c r="B477" s="327"/>
      <c r="C477" s="225" t="s">
        <v>1942</v>
      </c>
      <c r="D477" s="226" t="s">
        <v>1943</v>
      </c>
      <c r="E477" s="232">
        <v>0</v>
      </c>
      <c r="F477" s="232">
        <v>0</v>
      </c>
      <c r="G477" s="232">
        <v>0</v>
      </c>
      <c r="H477" s="232">
        <v>0</v>
      </c>
      <c r="I477" s="232">
        <v>0.60407606774444378</v>
      </c>
      <c r="J477" s="232">
        <v>0.39592393225555633</v>
      </c>
      <c r="K477" s="232">
        <v>0</v>
      </c>
      <c r="L477" s="232">
        <v>0</v>
      </c>
      <c r="M477" s="232">
        <v>0</v>
      </c>
      <c r="N477" s="232">
        <v>0</v>
      </c>
      <c r="O477" s="232">
        <v>0</v>
      </c>
      <c r="P477" s="232">
        <v>0</v>
      </c>
      <c r="Q477" s="232">
        <v>0</v>
      </c>
      <c r="R477" s="232">
        <v>0</v>
      </c>
      <c r="S477" s="232">
        <v>0</v>
      </c>
      <c r="T477" s="232">
        <v>0</v>
      </c>
      <c r="U477" s="232">
        <v>0</v>
      </c>
      <c r="V477" s="232">
        <v>0</v>
      </c>
      <c r="W477" s="232">
        <v>0</v>
      </c>
      <c r="X477" s="232">
        <f t="shared" si="15"/>
        <v>1</v>
      </c>
      <c r="Y477" s="223"/>
      <c r="Z477" s="224" t="s">
        <v>663</v>
      </c>
      <c r="AA477" s="157" t="s">
        <v>663</v>
      </c>
      <c r="AB477" s="282" t="s">
        <v>1101</v>
      </c>
      <c r="AC477" s="530" t="s">
        <v>3015</v>
      </c>
      <c r="AD477" s="159"/>
    </row>
    <row r="478" spans="1:30" x14ac:dyDescent="0.2">
      <c r="A478" s="282" t="s">
        <v>1101</v>
      </c>
      <c r="B478" s="282"/>
      <c r="C478" s="238" t="s">
        <v>1944</v>
      </c>
      <c r="D478" s="239" t="s">
        <v>1945</v>
      </c>
      <c r="E478" s="221">
        <v>0</v>
      </c>
      <c r="F478" s="221">
        <v>0</v>
      </c>
      <c r="G478" s="221">
        <v>0</v>
      </c>
      <c r="H478" s="221">
        <v>0</v>
      </c>
      <c r="I478" s="221">
        <v>0</v>
      </c>
      <c r="J478" s="221">
        <v>1</v>
      </c>
      <c r="K478" s="221">
        <v>0</v>
      </c>
      <c r="L478" s="221">
        <v>0</v>
      </c>
      <c r="M478" s="221">
        <v>0</v>
      </c>
      <c r="N478" s="221">
        <v>0</v>
      </c>
      <c r="O478" s="221">
        <v>0</v>
      </c>
      <c r="P478" s="221">
        <v>0</v>
      </c>
      <c r="Q478" s="221">
        <v>0</v>
      </c>
      <c r="R478" s="221">
        <v>0</v>
      </c>
      <c r="S478" s="221">
        <v>0</v>
      </c>
      <c r="T478" s="221">
        <v>0</v>
      </c>
      <c r="U478" s="221">
        <v>0</v>
      </c>
      <c r="V478" s="221">
        <v>0</v>
      </c>
      <c r="W478" s="221">
        <v>0</v>
      </c>
      <c r="X478" s="221">
        <f t="shared" si="15"/>
        <v>1</v>
      </c>
      <c r="Y478" s="223"/>
      <c r="Z478" s="224" t="s">
        <v>663</v>
      </c>
      <c r="AA478" s="157" t="s">
        <v>663</v>
      </c>
      <c r="AB478" s="282" t="s">
        <v>1101</v>
      </c>
      <c r="AC478" s="530" t="s">
        <v>3015</v>
      </c>
      <c r="AD478" s="159"/>
    </row>
    <row r="479" spans="1:30" x14ac:dyDescent="0.2">
      <c r="A479" s="325" t="s">
        <v>1101</v>
      </c>
      <c r="B479" s="326"/>
      <c r="C479" s="241" t="s">
        <v>1946</v>
      </c>
      <c r="D479" s="242" t="s">
        <v>1947</v>
      </c>
      <c r="E479" s="232">
        <v>0</v>
      </c>
      <c r="F479" s="232">
        <v>0</v>
      </c>
      <c r="G479" s="232">
        <v>0</v>
      </c>
      <c r="H479" s="232">
        <v>0</v>
      </c>
      <c r="I479" s="232">
        <v>0</v>
      </c>
      <c r="J479" s="232">
        <v>1</v>
      </c>
      <c r="K479" s="232">
        <v>0</v>
      </c>
      <c r="L479" s="232">
        <v>0</v>
      </c>
      <c r="M479" s="232">
        <v>0</v>
      </c>
      <c r="N479" s="232">
        <v>0</v>
      </c>
      <c r="O479" s="232">
        <v>0</v>
      </c>
      <c r="P479" s="232">
        <v>0</v>
      </c>
      <c r="Q479" s="232">
        <v>0</v>
      </c>
      <c r="R479" s="232">
        <v>0</v>
      </c>
      <c r="S479" s="232">
        <v>0</v>
      </c>
      <c r="T479" s="232">
        <v>0</v>
      </c>
      <c r="U479" s="232">
        <v>0</v>
      </c>
      <c r="V479" s="232">
        <v>0</v>
      </c>
      <c r="W479" s="232">
        <v>0</v>
      </c>
      <c r="X479" s="232">
        <f t="shared" si="15"/>
        <v>1</v>
      </c>
      <c r="Y479" s="223"/>
      <c r="Z479" s="224" t="s">
        <v>663</v>
      </c>
      <c r="AA479" s="157" t="s">
        <v>663</v>
      </c>
      <c r="AB479" s="282" t="s">
        <v>1101</v>
      </c>
      <c r="AC479" s="530" t="s">
        <v>3015</v>
      </c>
      <c r="AD479" s="159"/>
    </row>
    <row r="480" spans="1:30" x14ac:dyDescent="0.2">
      <c r="A480" s="325" t="s">
        <v>1101</v>
      </c>
      <c r="B480" s="327"/>
      <c r="C480" s="225" t="s">
        <v>1948</v>
      </c>
      <c r="D480" s="226" t="s">
        <v>1949</v>
      </c>
      <c r="E480" s="236">
        <v>0</v>
      </c>
      <c r="F480" s="236">
        <v>0</v>
      </c>
      <c r="G480" s="236">
        <v>0</v>
      </c>
      <c r="H480" s="236">
        <v>0</v>
      </c>
      <c r="I480" s="236">
        <v>0</v>
      </c>
      <c r="J480" s="236">
        <v>1</v>
      </c>
      <c r="K480" s="236">
        <v>0</v>
      </c>
      <c r="L480" s="236">
        <v>0</v>
      </c>
      <c r="M480" s="236">
        <v>0</v>
      </c>
      <c r="N480" s="236">
        <v>0</v>
      </c>
      <c r="O480" s="236">
        <v>0</v>
      </c>
      <c r="P480" s="236">
        <v>0</v>
      </c>
      <c r="Q480" s="236">
        <v>0</v>
      </c>
      <c r="R480" s="236">
        <v>0</v>
      </c>
      <c r="S480" s="236">
        <v>0</v>
      </c>
      <c r="T480" s="236">
        <v>0</v>
      </c>
      <c r="U480" s="236">
        <v>0</v>
      </c>
      <c r="V480" s="236">
        <v>0</v>
      </c>
      <c r="W480" s="236">
        <v>0</v>
      </c>
      <c r="X480" s="236">
        <f t="shared" si="15"/>
        <v>1</v>
      </c>
      <c r="Y480" s="223"/>
      <c r="Z480" s="224" t="s">
        <v>663</v>
      </c>
      <c r="AA480" s="157" t="s">
        <v>663</v>
      </c>
      <c r="AB480" s="282" t="s">
        <v>1101</v>
      </c>
      <c r="AC480" s="530" t="s">
        <v>3015</v>
      </c>
      <c r="AD480" s="159"/>
    </row>
    <row r="481" spans="1:30" ht="22.5" x14ac:dyDescent="0.2">
      <c r="A481" s="282" t="s">
        <v>1101</v>
      </c>
      <c r="B481" s="282"/>
      <c r="C481" s="238" t="s">
        <v>1950</v>
      </c>
      <c r="D481" s="239" t="s">
        <v>1951</v>
      </c>
      <c r="E481" s="240">
        <v>0</v>
      </c>
      <c r="F481" s="240">
        <v>0</v>
      </c>
      <c r="G481" s="240">
        <v>0</v>
      </c>
      <c r="H481" s="240">
        <v>0</v>
      </c>
      <c r="I481" s="240">
        <v>0</v>
      </c>
      <c r="J481" s="240">
        <v>1</v>
      </c>
      <c r="K481" s="240">
        <v>0</v>
      </c>
      <c r="L481" s="240">
        <v>0</v>
      </c>
      <c r="M481" s="240">
        <v>0</v>
      </c>
      <c r="N481" s="240">
        <v>0</v>
      </c>
      <c r="O481" s="240">
        <v>0</v>
      </c>
      <c r="P481" s="240">
        <v>0</v>
      </c>
      <c r="Q481" s="240">
        <v>0</v>
      </c>
      <c r="R481" s="240">
        <v>0</v>
      </c>
      <c r="S481" s="240">
        <v>0</v>
      </c>
      <c r="T481" s="240">
        <v>0</v>
      </c>
      <c r="U481" s="240">
        <v>0</v>
      </c>
      <c r="V481" s="240">
        <v>0</v>
      </c>
      <c r="W481" s="240">
        <v>0</v>
      </c>
      <c r="X481" s="221">
        <f t="shared" si="15"/>
        <v>1</v>
      </c>
      <c r="Y481" s="223"/>
      <c r="Z481" s="224" t="s">
        <v>663</v>
      </c>
      <c r="AA481" s="157" t="s">
        <v>663</v>
      </c>
      <c r="AB481" s="282" t="s">
        <v>1101</v>
      </c>
      <c r="AC481" s="530" t="s">
        <v>3015</v>
      </c>
      <c r="AD481" s="159"/>
    </row>
    <row r="482" spans="1:30" x14ac:dyDescent="0.2">
      <c r="A482" s="326" t="s">
        <v>1101</v>
      </c>
      <c r="B482" s="326"/>
      <c r="C482" s="241" t="s">
        <v>1952</v>
      </c>
      <c r="D482" s="242" t="s">
        <v>1953</v>
      </c>
      <c r="E482" s="262">
        <v>0</v>
      </c>
      <c r="F482" s="262">
        <v>0</v>
      </c>
      <c r="G482" s="262">
        <v>0</v>
      </c>
      <c r="H482" s="262">
        <v>0</v>
      </c>
      <c r="I482" s="262">
        <v>0</v>
      </c>
      <c r="J482" s="262">
        <v>0</v>
      </c>
      <c r="K482" s="262">
        <v>0</v>
      </c>
      <c r="L482" s="262">
        <v>0</v>
      </c>
      <c r="M482" s="262">
        <v>0</v>
      </c>
      <c r="N482" s="262">
        <v>0.31430392290324588</v>
      </c>
      <c r="O482" s="262">
        <v>0</v>
      </c>
      <c r="P482" s="262">
        <v>0.10532732968387327</v>
      </c>
      <c r="Q482" s="262">
        <v>6.6745935601196099E-3</v>
      </c>
      <c r="R482" s="262">
        <v>0</v>
      </c>
      <c r="S482" s="262">
        <v>9.2353272113366386E-2</v>
      </c>
      <c r="T482" s="262">
        <v>0.48134088173939493</v>
      </c>
      <c r="U482" s="262">
        <v>0</v>
      </c>
      <c r="V482" s="262">
        <v>0</v>
      </c>
      <c r="W482" s="262">
        <v>0</v>
      </c>
      <c r="X482" s="232">
        <f t="shared" si="15"/>
        <v>1</v>
      </c>
      <c r="Y482" s="223"/>
      <c r="Z482" s="224" t="s">
        <v>663</v>
      </c>
      <c r="AA482" s="157" t="s">
        <v>663</v>
      </c>
      <c r="AB482" s="282" t="s">
        <v>1101</v>
      </c>
      <c r="AC482" s="530" t="s">
        <v>3015</v>
      </c>
      <c r="AD482" s="159"/>
    </row>
    <row r="483" spans="1:30" x14ac:dyDescent="0.2">
      <c r="A483" s="259" t="s">
        <v>2821</v>
      </c>
      <c r="B483" s="259"/>
      <c r="C483" s="272" t="s">
        <v>1954</v>
      </c>
      <c r="D483" s="273" t="s">
        <v>1955</v>
      </c>
      <c r="E483" s="278">
        <v>0</v>
      </c>
      <c r="F483" s="278">
        <v>0</v>
      </c>
      <c r="G483" s="278">
        <v>0</v>
      </c>
      <c r="H483" s="278">
        <v>0</v>
      </c>
      <c r="I483" s="278">
        <v>0</v>
      </c>
      <c r="J483" s="278">
        <v>0</v>
      </c>
      <c r="K483" s="278">
        <v>0</v>
      </c>
      <c r="L483" s="278">
        <v>1</v>
      </c>
      <c r="M483" s="278">
        <v>0</v>
      </c>
      <c r="N483" s="278">
        <v>0</v>
      </c>
      <c r="O483" s="278">
        <v>0</v>
      </c>
      <c r="P483" s="278">
        <v>0</v>
      </c>
      <c r="Q483" s="278">
        <v>0</v>
      </c>
      <c r="R483" s="278">
        <v>0</v>
      </c>
      <c r="S483" s="278">
        <v>0</v>
      </c>
      <c r="T483" s="278">
        <v>0</v>
      </c>
      <c r="U483" s="278">
        <v>0</v>
      </c>
      <c r="V483" s="278">
        <v>0</v>
      </c>
      <c r="W483" s="278">
        <v>0</v>
      </c>
      <c r="X483" s="278">
        <f>SUBTOTAL(9,E483:W483)</f>
        <v>1</v>
      </c>
      <c r="Y483" s="223"/>
      <c r="Z483" s="224" t="s">
        <v>663</v>
      </c>
      <c r="AA483" s="157" t="s">
        <v>649</v>
      </c>
      <c r="AB483" s="259" t="s">
        <v>2821</v>
      </c>
      <c r="AC483" s="530" t="s">
        <v>3015</v>
      </c>
      <c r="AD483" s="159"/>
    </row>
    <row r="484" spans="1:30" x14ac:dyDescent="0.2">
      <c r="A484" s="259" t="s">
        <v>2821</v>
      </c>
      <c r="B484" s="259"/>
      <c r="C484" s="272" t="s">
        <v>1956</v>
      </c>
      <c r="D484" s="273" t="s">
        <v>1957</v>
      </c>
      <c r="E484" s="278">
        <v>0</v>
      </c>
      <c r="F484" s="278">
        <v>0</v>
      </c>
      <c r="G484" s="278">
        <v>0</v>
      </c>
      <c r="H484" s="278">
        <v>1</v>
      </c>
      <c r="I484" s="278">
        <v>0</v>
      </c>
      <c r="J484" s="278">
        <v>0</v>
      </c>
      <c r="K484" s="278">
        <v>0</v>
      </c>
      <c r="L484" s="278">
        <v>0</v>
      </c>
      <c r="M484" s="278">
        <v>0</v>
      </c>
      <c r="N484" s="278">
        <v>0</v>
      </c>
      <c r="O484" s="278">
        <v>0</v>
      </c>
      <c r="P484" s="278">
        <v>0</v>
      </c>
      <c r="Q484" s="278">
        <v>0</v>
      </c>
      <c r="R484" s="278">
        <v>0</v>
      </c>
      <c r="S484" s="278">
        <v>0</v>
      </c>
      <c r="T484" s="278">
        <v>0</v>
      </c>
      <c r="U484" s="278">
        <v>0</v>
      </c>
      <c r="V484" s="278">
        <v>0</v>
      </c>
      <c r="W484" s="278">
        <v>0</v>
      </c>
      <c r="X484" s="278">
        <f>SUBTOTAL(9,E484:W484)</f>
        <v>1</v>
      </c>
      <c r="Y484" s="223"/>
      <c r="Z484" s="224" t="s">
        <v>663</v>
      </c>
      <c r="AA484" s="157" t="s">
        <v>649</v>
      </c>
      <c r="AB484" s="259" t="s">
        <v>2821</v>
      </c>
      <c r="AC484" s="530" t="s">
        <v>3015</v>
      </c>
      <c r="AD484" s="159"/>
    </row>
    <row r="485" spans="1:30" x14ac:dyDescent="0.2">
      <c r="A485" s="259" t="s">
        <v>2821</v>
      </c>
      <c r="B485" s="259"/>
      <c r="C485" s="272" t="s">
        <v>1958</v>
      </c>
      <c r="D485" s="273" t="s">
        <v>1959</v>
      </c>
      <c r="E485" s="278">
        <v>0</v>
      </c>
      <c r="F485" s="278">
        <v>0</v>
      </c>
      <c r="G485" s="278">
        <v>0</v>
      </c>
      <c r="H485" s="278">
        <v>0</v>
      </c>
      <c r="I485" s="278">
        <v>0</v>
      </c>
      <c r="J485" s="278">
        <v>0</v>
      </c>
      <c r="K485" s="278">
        <v>0</v>
      </c>
      <c r="L485" s="278">
        <v>0</v>
      </c>
      <c r="M485" s="278">
        <v>0</v>
      </c>
      <c r="N485" s="278">
        <v>4.2203107165187555E-2</v>
      </c>
      <c r="O485" s="278">
        <v>0</v>
      </c>
      <c r="P485" s="278">
        <v>2.5238272968515992E-2</v>
      </c>
      <c r="Q485" s="278">
        <v>0</v>
      </c>
      <c r="R485" s="278">
        <v>0</v>
      </c>
      <c r="S485" s="278">
        <v>0.9325586198662964</v>
      </c>
      <c r="T485" s="278">
        <v>0</v>
      </c>
      <c r="U485" s="278">
        <v>0</v>
      </c>
      <c r="V485" s="278">
        <v>0</v>
      </c>
      <c r="W485" s="278">
        <v>0</v>
      </c>
      <c r="X485" s="278">
        <f>SUBTOTAL(9,E485:W485)</f>
        <v>1</v>
      </c>
      <c r="Y485" s="223"/>
      <c r="Z485" s="224" t="s">
        <v>663</v>
      </c>
      <c r="AA485" s="157" t="s">
        <v>649</v>
      </c>
      <c r="AB485" s="259" t="s">
        <v>2821</v>
      </c>
      <c r="AC485" s="530" t="s">
        <v>3015</v>
      </c>
      <c r="AD485" s="159"/>
    </row>
    <row r="486" spans="1:30" x14ac:dyDescent="0.2">
      <c r="A486" s="259" t="s">
        <v>2821</v>
      </c>
      <c r="B486" s="259"/>
      <c r="C486" s="272" t="s">
        <v>1960</v>
      </c>
      <c r="D486" s="273" t="s">
        <v>1961</v>
      </c>
      <c r="E486" s="278">
        <v>0</v>
      </c>
      <c r="F486" s="278">
        <v>0</v>
      </c>
      <c r="G486" s="278">
        <v>0</v>
      </c>
      <c r="H486" s="278">
        <v>0</v>
      </c>
      <c r="I486" s="278">
        <v>0</v>
      </c>
      <c r="J486" s="278">
        <v>0</v>
      </c>
      <c r="K486" s="278">
        <v>0</v>
      </c>
      <c r="L486" s="278">
        <v>0</v>
      </c>
      <c r="M486" s="278">
        <v>0</v>
      </c>
      <c r="N486" s="278">
        <v>0</v>
      </c>
      <c r="O486" s="278">
        <v>0</v>
      </c>
      <c r="P486" s="278">
        <v>0</v>
      </c>
      <c r="Q486" s="278">
        <v>0</v>
      </c>
      <c r="R486" s="278">
        <v>0</v>
      </c>
      <c r="S486" s="278">
        <v>0</v>
      </c>
      <c r="T486" s="278">
        <v>1</v>
      </c>
      <c r="U486" s="278">
        <v>0</v>
      </c>
      <c r="V486" s="278">
        <v>0</v>
      </c>
      <c r="W486" s="278">
        <v>0</v>
      </c>
      <c r="X486" s="278">
        <f>SUBTOTAL(9,E486:W486)</f>
        <v>1</v>
      </c>
      <c r="Y486" s="223"/>
      <c r="Z486" s="224" t="s">
        <v>663</v>
      </c>
      <c r="AA486" s="157" t="s">
        <v>649</v>
      </c>
      <c r="AB486" s="259" t="s">
        <v>2821</v>
      </c>
      <c r="AC486" s="530" t="s">
        <v>3015</v>
      </c>
      <c r="AD486" s="159"/>
    </row>
    <row r="487" spans="1:30" x14ac:dyDescent="0.2">
      <c r="A487" s="519" t="s">
        <v>2597</v>
      </c>
      <c r="B487" s="372"/>
      <c r="C487" s="528" t="s">
        <v>1320</v>
      </c>
      <c r="D487" s="529" t="s">
        <v>294</v>
      </c>
      <c r="E487" s="322"/>
      <c r="F487" s="322"/>
      <c r="G487" s="322"/>
      <c r="H487" s="322"/>
      <c r="I487" s="322"/>
      <c r="J487" s="322"/>
      <c r="K487" s="322"/>
      <c r="L487" s="322">
        <v>1</v>
      </c>
      <c r="M487" s="322"/>
      <c r="N487" s="322"/>
      <c r="O487" s="322"/>
      <c r="P487" s="322"/>
      <c r="Q487" s="322"/>
      <c r="R487" s="322"/>
      <c r="S487" s="322"/>
      <c r="T487" s="322"/>
      <c r="U487" s="322"/>
      <c r="V487" s="322"/>
      <c r="W487" s="322"/>
      <c r="X487" s="298">
        <f>SUM(E487:W487)</f>
        <v>1</v>
      </c>
      <c r="Y487" s="223"/>
      <c r="Z487" s="224" t="s">
        <v>663</v>
      </c>
      <c r="AA487" s="157" t="s">
        <v>663</v>
      </c>
      <c r="AB487" s="282" t="s">
        <v>2597</v>
      </c>
      <c r="AC487" s="530" t="s">
        <v>3015</v>
      </c>
      <c r="AD487" s="159"/>
    </row>
    <row r="488" spans="1:30" x14ac:dyDescent="0.2">
      <c r="A488" s="282" t="s">
        <v>1101</v>
      </c>
      <c r="B488" s="282"/>
      <c r="C488" s="238" t="s">
        <v>1962</v>
      </c>
      <c r="D488" s="239" t="s">
        <v>1963</v>
      </c>
      <c r="E488" s="221">
        <v>0</v>
      </c>
      <c r="F488" s="221">
        <v>0</v>
      </c>
      <c r="G488" s="221">
        <v>0</v>
      </c>
      <c r="H488" s="221">
        <v>0</v>
      </c>
      <c r="I488" s="221">
        <v>0.75924007821256401</v>
      </c>
      <c r="J488" s="221">
        <v>0.24075992178743608</v>
      </c>
      <c r="K488" s="221">
        <v>0</v>
      </c>
      <c r="L488" s="221">
        <v>0</v>
      </c>
      <c r="M488" s="221">
        <v>0</v>
      </c>
      <c r="N488" s="221">
        <v>0</v>
      </c>
      <c r="O488" s="221">
        <v>0</v>
      </c>
      <c r="P488" s="221">
        <v>0</v>
      </c>
      <c r="Q488" s="221">
        <v>0</v>
      </c>
      <c r="R488" s="221">
        <v>0</v>
      </c>
      <c r="S488" s="221">
        <v>0</v>
      </c>
      <c r="T488" s="221">
        <v>0</v>
      </c>
      <c r="U488" s="221">
        <v>0</v>
      </c>
      <c r="V488" s="221">
        <v>0</v>
      </c>
      <c r="W488" s="221">
        <v>0</v>
      </c>
      <c r="X488" s="221">
        <f>SUM(E488:W488)</f>
        <v>1</v>
      </c>
      <c r="Y488" s="223"/>
      <c r="Z488" s="224" t="s">
        <v>663</v>
      </c>
      <c r="AA488" s="157" t="s">
        <v>663</v>
      </c>
      <c r="AB488" s="282" t="s">
        <v>1101</v>
      </c>
      <c r="AC488" s="530" t="s">
        <v>3015</v>
      </c>
      <c r="AD488" s="159"/>
    </row>
    <row r="489" spans="1:30" x14ac:dyDescent="0.2">
      <c r="A489" s="292" t="s">
        <v>2821</v>
      </c>
      <c r="B489" s="292"/>
      <c r="C489" s="342" t="s">
        <v>1964</v>
      </c>
      <c r="D489" s="343" t="s">
        <v>1965</v>
      </c>
      <c r="E489" s="278">
        <v>0</v>
      </c>
      <c r="F489" s="278">
        <v>0</v>
      </c>
      <c r="G489" s="278">
        <v>0</v>
      </c>
      <c r="H489" s="278">
        <v>0</v>
      </c>
      <c r="I489" s="278">
        <v>0.97373609774783831</v>
      </c>
      <c r="J489" s="278">
        <v>0</v>
      </c>
      <c r="K489" s="278">
        <v>0</v>
      </c>
      <c r="L489" s="278">
        <v>0</v>
      </c>
      <c r="M489" s="278">
        <v>0</v>
      </c>
      <c r="N489" s="278">
        <v>0</v>
      </c>
      <c r="O489" s="278">
        <v>0</v>
      </c>
      <c r="P489" s="278">
        <v>0</v>
      </c>
      <c r="Q489" s="278">
        <v>0</v>
      </c>
      <c r="R489" s="278">
        <v>0</v>
      </c>
      <c r="S489" s="278">
        <v>0</v>
      </c>
      <c r="T489" s="278">
        <v>0</v>
      </c>
      <c r="U489" s="278">
        <v>2.6263902252161648E-2</v>
      </c>
      <c r="V489" s="278">
        <v>0</v>
      </c>
      <c r="W489" s="278">
        <v>0</v>
      </c>
      <c r="X489" s="278">
        <f>SUBTOTAL(9,E489:W489)</f>
        <v>1</v>
      </c>
      <c r="Y489" s="223"/>
      <c r="Z489" s="224" t="s">
        <v>663</v>
      </c>
      <c r="AA489" s="157" t="s">
        <v>649</v>
      </c>
      <c r="AB489" s="259" t="s">
        <v>2821</v>
      </c>
      <c r="AC489" s="530" t="s">
        <v>3015</v>
      </c>
      <c r="AD489" s="159"/>
    </row>
    <row r="490" spans="1:30" x14ac:dyDescent="0.2">
      <c r="A490" s="259" t="s">
        <v>2821</v>
      </c>
      <c r="B490" s="259"/>
      <c r="C490" s="349" t="s">
        <v>1628</v>
      </c>
      <c r="D490" s="336" t="s">
        <v>1629</v>
      </c>
      <c r="E490" s="278">
        <v>0</v>
      </c>
      <c r="F490" s="278">
        <v>6.1964896088506402E-2</v>
      </c>
      <c r="G490" s="278">
        <v>5.4494281362593038E-2</v>
      </c>
      <c r="H490" s="278">
        <v>0</v>
      </c>
      <c r="I490" s="278">
        <v>0</v>
      </c>
      <c r="J490" s="278">
        <v>0</v>
      </c>
      <c r="K490" s="278">
        <v>0</v>
      </c>
      <c r="L490" s="278">
        <v>0</v>
      </c>
      <c r="M490" s="278">
        <v>0</v>
      </c>
      <c r="N490" s="278">
        <v>0.24221734498616548</v>
      </c>
      <c r="O490" s="278">
        <v>9.7043934357867928E-2</v>
      </c>
      <c r="P490" s="278">
        <v>0.15321047939897878</v>
      </c>
      <c r="Q490" s="278">
        <v>2.6842882536562928E-2</v>
      </c>
      <c r="R490" s="278">
        <v>0</v>
      </c>
      <c r="S490" s="278">
        <v>0.35000553995792844</v>
      </c>
      <c r="T490" s="278">
        <v>1.4220641311396925E-2</v>
      </c>
      <c r="U490" s="278">
        <v>0</v>
      </c>
      <c r="V490" s="278">
        <v>0</v>
      </c>
      <c r="W490" s="278">
        <v>0</v>
      </c>
      <c r="X490" s="278">
        <f>SUBTOTAL(9,E490:W490)</f>
        <v>0.99999999999999989</v>
      </c>
      <c r="Y490" s="223"/>
      <c r="Z490" s="224" t="s">
        <v>663</v>
      </c>
      <c r="AA490" s="157" t="s">
        <v>649</v>
      </c>
      <c r="AB490" s="259" t="s">
        <v>2821</v>
      </c>
      <c r="AC490" s="530" t="s">
        <v>3015</v>
      </c>
      <c r="AD490" s="159"/>
    </row>
    <row r="491" spans="1:30" x14ac:dyDescent="0.2">
      <c r="A491" s="290" t="s">
        <v>1101</v>
      </c>
      <c r="B491" s="290"/>
      <c r="C491" s="238" t="s">
        <v>2193</v>
      </c>
      <c r="D491" s="239" t="s">
        <v>2194</v>
      </c>
      <c r="E491" s="232">
        <v>0</v>
      </c>
      <c r="F491" s="232">
        <v>0</v>
      </c>
      <c r="G491" s="232">
        <v>0</v>
      </c>
      <c r="H491" s="232">
        <v>0</v>
      </c>
      <c r="I491" s="232">
        <v>0</v>
      </c>
      <c r="J491" s="232">
        <v>0</v>
      </c>
      <c r="K491" s="232">
        <v>0</v>
      </c>
      <c r="L491" s="232">
        <v>0</v>
      </c>
      <c r="M491" s="232">
        <v>0</v>
      </c>
      <c r="N491" s="232">
        <v>0</v>
      </c>
      <c r="O491" s="232">
        <v>0</v>
      </c>
      <c r="P491" s="232">
        <v>0</v>
      </c>
      <c r="Q491" s="232">
        <v>0</v>
      </c>
      <c r="R491" s="232">
        <v>0</v>
      </c>
      <c r="S491" s="232">
        <v>0</v>
      </c>
      <c r="T491" s="232">
        <v>1</v>
      </c>
      <c r="U491" s="232">
        <v>0</v>
      </c>
      <c r="V491" s="232">
        <v>0</v>
      </c>
      <c r="W491" s="232">
        <v>0</v>
      </c>
      <c r="X491" s="233">
        <f>SUM(E491:W491)</f>
        <v>1</v>
      </c>
      <c r="Y491" s="223"/>
      <c r="Z491" s="224" t="s">
        <v>663</v>
      </c>
      <c r="AA491" s="157" t="s">
        <v>663</v>
      </c>
      <c r="AB491" s="282" t="s">
        <v>1101</v>
      </c>
      <c r="AC491" s="530" t="s">
        <v>3015</v>
      </c>
      <c r="AD491" s="159"/>
    </row>
    <row r="492" spans="1:30" x14ac:dyDescent="0.2">
      <c r="A492" s="519" t="s">
        <v>2597</v>
      </c>
      <c r="B492" s="518"/>
      <c r="C492" s="367" t="s">
        <v>2227</v>
      </c>
      <c r="D492" s="368" t="s">
        <v>307</v>
      </c>
      <c r="E492" s="297"/>
      <c r="F492" s="297"/>
      <c r="G492" s="297"/>
      <c r="H492" s="297"/>
      <c r="I492" s="297"/>
      <c r="J492" s="297"/>
      <c r="K492" s="297"/>
      <c r="L492" s="297"/>
      <c r="M492" s="297"/>
      <c r="N492" s="297"/>
      <c r="O492" s="297"/>
      <c r="P492" s="297">
        <v>1</v>
      </c>
      <c r="Q492" s="297"/>
      <c r="R492" s="297"/>
      <c r="S492" s="297"/>
      <c r="T492" s="297"/>
      <c r="U492" s="297"/>
      <c r="V492" s="297"/>
      <c r="W492" s="297"/>
      <c r="X492" s="297">
        <f>SUM(E492:W492)</f>
        <v>1</v>
      </c>
      <c r="Y492" s="223"/>
      <c r="Z492" s="224" t="s">
        <v>663</v>
      </c>
      <c r="AA492" s="157" t="s">
        <v>663</v>
      </c>
      <c r="AB492" s="282" t="s">
        <v>2597</v>
      </c>
      <c r="AC492" s="530" t="s">
        <v>3015</v>
      </c>
      <c r="AD492" s="159"/>
    </row>
    <row r="493" spans="1:30" x14ac:dyDescent="0.2">
      <c r="A493" s="259" t="s">
        <v>2821</v>
      </c>
      <c r="B493" s="259"/>
      <c r="C493" s="350" t="s">
        <v>2198</v>
      </c>
      <c r="D493" s="273" t="s">
        <v>309</v>
      </c>
      <c r="E493" s="278">
        <v>0</v>
      </c>
      <c r="F493" s="278">
        <v>0</v>
      </c>
      <c r="G493" s="278">
        <v>0</v>
      </c>
      <c r="H493" s="278">
        <v>0</v>
      </c>
      <c r="I493" s="278">
        <v>0</v>
      </c>
      <c r="J493" s="278">
        <v>0</v>
      </c>
      <c r="K493" s="278">
        <v>0</v>
      </c>
      <c r="L493" s="278">
        <v>0</v>
      </c>
      <c r="M493" s="278">
        <v>0</v>
      </c>
      <c r="N493" s="278">
        <v>0</v>
      </c>
      <c r="O493" s="278">
        <v>0</v>
      </c>
      <c r="P493" s="278">
        <v>1</v>
      </c>
      <c r="Q493" s="278">
        <v>0</v>
      </c>
      <c r="R493" s="278">
        <v>0</v>
      </c>
      <c r="S493" s="278">
        <v>0</v>
      </c>
      <c r="T493" s="278">
        <v>0</v>
      </c>
      <c r="U493" s="278">
        <v>0</v>
      </c>
      <c r="V493" s="278">
        <v>0</v>
      </c>
      <c r="W493" s="278">
        <v>0</v>
      </c>
      <c r="X493" s="278">
        <f t="shared" ref="X493:X498" si="16">SUBTOTAL(9,E493:W493)</f>
        <v>1</v>
      </c>
      <c r="Y493" s="223"/>
      <c r="Z493" s="224" t="s">
        <v>663</v>
      </c>
      <c r="AA493" s="157" t="s">
        <v>649</v>
      </c>
      <c r="AB493" s="259" t="s">
        <v>2821</v>
      </c>
      <c r="AC493" s="530" t="s">
        <v>3015</v>
      </c>
      <c r="AD493" s="159"/>
    </row>
    <row r="494" spans="1:30" x14ac:dyDescent="0.2">
      <c r="A494" s="259" t="s">
        <v>2821</v>
      </c>
      <c r="B494" s="254"/>
      <c r="C494" s="272" t="s">
        <v>2203</v>
      </c>
      <c r="D494" s="273" t="s">
        <v>311</v>
      </c>
      <c r="E494" s="278">
        <v>0</v>
      </c>
      <c r="F494" s="278">
        <v>0</v>
      </c>
      <c r="G494" s="278">
        <v>0</v>
      </c>
      <c r="H494" s="278">
        <v>0</v>
      </c>
      <c r="I494" s="278">
        <v>0</v>
      </c>
      <c r="J494" s="278">
        <v>0</v>
      </c>
      <c r="K494" s="278">
        <v>0</v>
      </c>
      <c r="L494" s="278">
        <v>0</v>
      </c>
      <c r="M494" s="278">
        <v>0</v>
      </c>
      <c r="N494" s="278">
        <v>0</v>
      </c>
      <c r="O494" s="278">
        <v>0</v>
      </c>
      <c r="P494" s="278">
        <v>0</v>
      </c>
      <c r="Q494" s="278">
        <v>0</v>
      </c>
      <c r="R494" s="278">
        <v>0</v>
      </c>
      <c r="S494" s="278">
        <v>1</v>
      </c>
      <c r="T494" s="278">
        <v>0</v>
      </c>
      <c r="U494" s="278">
        <v>0</v>
      </c>
      <c r="V494" s="278">
        <v>0</v>
      </c>
      <c r="W494" s="278">
        <v>0</v>
      </c>
      <c r="X494" s="278">
        <f t="shared" si="16"/>
        <v>1</v>
      </c>
      <c r="Y494" s="223"/>
      <c r="Z494" s="224" t="s">
        <v>663</v>
      </c>
      <c r="AA494" s="157" t="s">
        <v>649</v>
      </c>
      <c r="AB494" s="259" t="s">
        <v>2821</v>
      </c>
      <c r="AC494" s="530" t="s">
        <v>3015</v>
      </c>
      <c r="AD494" s="159"/>
    </row>
    <row r="495" spans="1:30" x14ac:dyDescent="0.2">
      <c r="A495" s="259" t="s">
        <v>2821</v>
      </c>
      <c r="B495" s="259"/>
      <c r="C495" s="272" t="s">
        <v>1968</v>
      </c>
      <c r="D495" s="273" t="s">
        <v>1969</v>
      </c>
      <c r="E495" s="278">
        <v>0</v>
      </c>
      <c r="F495" s="278">
        <v>0</v>
      </c>
      <c r="G495" s="278">
        <v>1</v>
      </c>
      <c r="H495" s="278">
        <v>0</v>
      </c>
      <c r="I495" s="278">
        <v>0</v>
      </c>
      <c r="J495" s="278">
        <v>0</v>
      </c>
      <c r="K495" s="278">
        <v>0</v>
      </c>
      <c r="L495" s="278">
        <v>0</v>
      </c>
      <c r="M495" s="278">
        <v>0</v>
      </c>
      <c r="N495" s="278">
        <v>0</v>
      </c>
      <c r="O495" s="278">
        <v>0</v>
      </c>
      <c r="P495" s="278">
        <v>0</v>
      </c>
      <c r="Q495" s="278">
        <v>0</v>
      </c>
      <c r="R495" s="278">
        <v>0</v>
      </c>
      <c r="S495" s="278">
        <v>0</v>
      </c>
      <c r="T495" s="278">
        <v>0</v>
      </c>
      <c r="U495" s="278">
        <v>0</v>
      </c>
      <c r="V495" s="278">
        <v>0</v>
      </c>
      <c r="W495" s="278">
        <v>0</v>
      </c>
      <c r="X495" s="278">
        <f t="shared" si="16"/>
        <v>1</v>
      </c>
      <c r="Y495" s="223"/>
      <c r="Z495" s="224" t="s">
        <v>663</v>
      </c>
      <c r="AA495" s="157" t="s">
        <v>649</v>
      </c>
      <c r="AB495" s="259" t="s">
        <v>2821</v>
      </c>
      <c r="AC495" s="530" t="s">
        <v>3015</v>
      </c>
      <c r="AD495" s="159"/>
    </row>
    <row r="496" spans="1:30" x14ac:dyDescent="0.2">
      <c r="A496" s="316" t="s">
        <v>2821</v>
      </c>
      <c r="B496" s="316"/>
      <c r="C496" s="331" t="s">
        <v>1970</v>
      </c>
      <c r="D496" s="332" t="s">
        <v>1971</v>
      </c>
      <c r="E496" s="278">
        <v>0.30232558139534887</v>
      </c>
      <c r="F496" s="278">
        <v>0</v>
      </c>
      <c r="G496" s="278">
        <v>0</v>
      </c>
      <c r="H496" s="278">
        <v>0</v>
      </c>
      <c r="I496" s="278">
        <v>0</v>
      </c>
      <c r="J496" s="278">
        <v>0</v>
      </c>
      <c r="K496" s="278">
        <v>0</v>
      </c>
      <c r="L496" s="278">
        <v>0.69767441860465118</v>
      </c>
      <c r="M496" s="278">
        <v>0</v>
      </c>
      <c r="N496" s="278">
        <v>0</v>
      </c>
      <c r="O496" s="278">
        <v>0</v>
      </c>
      <c r="P496" s="278">
        <v>0</v>
      </c>
      <c r="Q496" s="278">
        <v>0</v>
      </c>
      <c r="R496" s="278">
        <v>0</v>
      </c>
      <c r="S496" s="278">
        <v>0</v>
      </c>
      <c r="T496" s="278">
        <v>0</v>
      </c>
      <c r="U496" s="278">
        <v>0</v>
      </c>
      <c r="V496" s="278">
        <v>0</v>
      </c>
      <c r="W496" s="278">
        <v>0</v>
      </c>
      <c r="X496" s="278">
        <f t="shared" si="16"/>
        <v>1</v>
      </c>
      <c r="Y496" s="223"/>
      <c r="Z496" s="224" t="s">
        <v>663</v>
      </c>
      <c r="AA496" s="157" t="s">
        <v>649</v>
      </c>
      <c r="AB496" s="259" t="s">
        <v>2821</v>
      </c>
      <c r="AC496" s="530" t="s">
        <v>3015</v>
      </c>
      <c r="AD496" s="159"/>
    </row>
    <row r="497" spans="1:30" x14ac:dyDescent="0.2">
      <c r="A497" s="270" t="s">
        <v>2821</v>
      </c>
      <c r="B497" s="270"/>
      <c r="C497" s="272" t="s">
        <v>1972</v>
      </c>
      <c r="D497" s="273" t="s">
        <v>1973</v>
      </c>
      <c r="E497" s="274">
        <v>0</v>
      </c>
      <c r="F497" s="274">
        <v>0</v>
      </c>
      <c r="G497" s="274">
        <v>0</v>
      </c>
      <c r="H497" s="274">
        <v>0</v>
      </c>
      <c r="I497" s="274">
        <v>0</v>
      </c>
      <c r="J497" s="274">
        <v>0</v>
      </c>
      <c r="K497" s="274">
        <v>0</v>
      </c>
      <c r="L497" s="274">
        <v>1</v>
      </c>
      <c r="M497" s="274">
        <v>0</v>
      </c>
      <c r="N497" s="274">
        <v>0</v>
      </c>
      <c r="O497" s="274">
        <v>0</v>
      </c>
      <c r="P497" s="274">
        <v>0</v>
      </c>
      <c r="Q497" s="274">
        <v>0</v>
      </c>
      <c r="R497" s="274">
        <v>0</v>
      </c>
      <c r="S497" s="274">
        <v>0</v>
      </c>
      <c r="T497" s="274">
        <v>0</v>
      </c>
      <c r="U497" s="274">
        <v>0</v>
      </c>
      <c r="V497" s="274">
        <v>0</v>
      </c>
      <c r="W497" s="274">
        <v>0</v>
      </c>
      <c r="X497" s="274">
        <f t="shared" si="16"/>
        <v>1</v>
      </c>
      <c r="Y497" s="223"/>
      <c r="Z497" s="224" t="s">
        <v>663</v>
      </c>
      <c r="AA497" s="157" t="s">
        <v>649</v>
      </c>
      <c r="AB497" s="259" t="s">
        <v>2821</v>
      </c>
      <c r="AC497" s="530" t="s">
        <v>3015</v>
      </c>
      <c r="AD497" s="159"/>
    </row>
    <row r="498" spans="1:30" x14ac:dyDescent="0.2">
      <c r="A498" s="254" t="s">
        <v>2821</v>
      </c>
      <c r="B498" s="292"/>
      <c r="C498" s="342" t="s">
        <v>1974</v>
      </c>
      <c r="D498" s="343" t="s">
        <v>1975</v>
      </c>
      <c r="E498" s="278">
        <v>0</v>
      </c>
      <c r="F498" s="278">
        <v>0</v>
      </c>
      <c r="G498" s="278">
        <v>0</v>
      </c>
      <c r="H498" s="278">
        <v>0</v>
      </c>
      <c r="I498" s="278">
        <v>0</v>
      </c>
      <c r="J498" s="278">
        <v>0</v>
      </c>
      <c r="K498" s="278">
        <v>0</v>
      </c>
      <c r="L498" s="278">
        <v>0</v>
      </c>
      <c r="M498" s="278">
        <v>0</v>
      </c>
      <c r="N498" s="278">
        <v>1</v>
      </c>
      <c r="O498" s="278">
        <v>0</v>
      </c>
      <c r="P498" s="278">
        <v>0</v>
      </c>
      <c r="Q498" s="278">
        <v>0</v>
      </c>
      <c r="R498" s="278">
        <v>0</v>
      </c>
      <c r="S498" s="278">
        <v>0</v>
      </c>
      <c r="T498" s="278">
        <v>0</v>
      </c>
      <c r="U498" s="278">
        <v>0</v>
      </c>
      <c r="V498" s="278">
        <v>0</v>
      </c>
      <c r="W498" s="278">
        <v>0</v>
      </c>
      <c r="X498" s="278">
        <f t="shared" si="16"/>
        <v>1</v>
      </c>
      <c r="Y498" s="223"/>
      <c r="Z498" s="224" t="s">
        <v>663</v>
      </c>
      <c r="AA498" s="157" t="s">
        <v>649</v>
      </c>
      <c r="AB498" s="259" t="s">
        <v>2821</v>
      </c>
      <c r="AC498" s="530" t="s">
        <v>3015</v>
      </c>
      <c r="AD498" s="159"/>
    </row>
    <row r="499" spans="1:30" x14ac:dyDescent="0.2">
      <c r="A499" s="290" t="s">
        <v>1101</v>
      </c>
      <c r="B499" s="290"/>
      <c r="C499" s="238" t="s">
        <v>1976</v>
      </c>
      <c r="D499" s="239" t="s">
        <v>1977</v>
      </c>
      <c r="E499" s="232">
        <v>0</v>
      </c>
      <c r="F499" s="232">
        <v>0</v>
      </c>
      <c r="G499" s="232">
        <v>0</v>
      </c>
      <c r="H499" s="232">
        <v>0</v>
      </c>
      <c r="I499" s="232">
        <v>0</v>
      </c>
      <c r="J499" s="232">
        <v>0</v>
      </c>
      <c r="K499" s="232">
        <v>0</v>
      </c>
      <c r="L499" s="232">
        <v>0</v>
      </c>
      <c r="M499" s="232">
        <v>0</v>
      </c>
      <c r="N499" s="232">
        <v>0</v>
      </c>
      <c r="O499" s="232">
        <v>0</v>
      </c>
      <c r="P499" s="232">
        <v>0</v>
      </c>
      <c r="Q499" s="232">
        <v>0</v>
      </c>
      <c r="R499" s="232">
        <v>0</v>
      </c>
      <c r="S499" s="232">
        <v>0</v>
      </c>
      <c r="T499" s="232">
        <v>1</v>
      </c>
      <c r="U499" s="232">
        <v>0</v>
      </c>
      <c r="V499" s="232">
        <v>0</v>
      </c>
      <c r="W499" s="232">
        <v>0</v>
      </c>
      <c r="X499" s="232">
        <f>SUM(E499:W499)</f>
        <v>1</v>
      </c>
      <c r="Y499" s="223"/>
      <c r="Z499" s="224" t="s">
        <v>663</v>
      </c>
      <c r="AA499" s="157" t="s">
        <v>663</v>
      </c>
      <c r="AB499" s="282" t="s">
        <v>1101</v>
      </c>
      <c r="AC499" s="530" t="s">
        <v>3015</v>
      </c>
      <c r="AD499" s="159"/>
    </row>
    <row r="500" spans="1:30" x14ac:dyDescent="0.2">
      <c r="A500" s="254" t="s">
        <v>2821</v>
      </c>
      <c r="B500" s="316"/>
      <c r="C500" s="331" t="s">
        <v>1978</v>
      </c>
      <c r="D500" s="332" t="s">
        <v>1979</v>
      </c>
      <c r="E500" s="333">
        <v>0</v>
      </c>
      <c r="F500" s="333">
        <v>0</v>
      </c>
      <c r="G500" s="333">
        <v>0</v>
      </c>
      <c r="H500" s="333">
        <v>1</v>
      </c>
      <c r="I500" s="333">
        <v>0</v>
      </c>
      <c r="J500" s="333">
        <v>0</v>
      </c>
      <c r="K500" s="333">
        <v>0</v>
      </c>
      <c r="L500" s="333">
        <v>0</v>
      </c>
      <c r="M500" s="333">
        <v>0</v>
      </c>
      <c r="N500" s="333">
        <v>0</v>
      </c>
      <c r="O500" s="333">
        <v>0</v>
      </c>
      <c r="P500" s="333">
        <v>0</v>
      </c>
      <c r="Q500" s="333">
        <v>0</v>
      </c>
      <c r="R500" s="333">
        <v>0</v>
      </c>
      <c r="S500" s="333">
        <v>0</v>
      </c>
      <c r="T500" s="333">
        <v>0</v>
      </c>
      <c r="U500" s="333">
        <v>0</v>
      </c>
      <c r="V500" s="333">
        <v>0</v>
      </c>
      <c r="W500" s="333">
        <v>0</v>
      </c>
      <c r="X500" s="333">
        <f t="shared" ref="X500:X507" si="17">SUBTOTAL(9,E500:W500)</f>
        <v>1</v>
      </c>
      <c r="Y500" s="346"/>
      <c r="Z500" s="224" t="s">
        <v>663</v>
      </c>
      <c r="AA500" s="157" t="s">
        <v>649</v>
      </c>
      <c r="AB500" s="259" t="s">
        <v>2821</v>
      </c>
      <c r="AC500" s="530" t="s">
        <v>3015</v>
      </c>
      <c r="AD500" s="159"/>
    </row>
    <row r="501" spans="1:30" x14ac:dyDescent="0.2">
      <c r="A501" s="270" t="s">
        <v>2821</v>
      </c>
      <c r="B501" s="270"/>
      <c r="C501" s="272" t="s">
        <v>1980</v>
      </c>
      <c r="D501" s="273" t="s">
        <v>1981</v>
      </c>
      <c r="E501" s="274">
        <v>0</v>
      </c>
      <c r="F501" s="274">
        <v>0</v>
      </c>
      <c r="G501" s="274">
        <v>0</v>
      </c>
      <c r="H501" s="274">
        <v>1</v>
      </c>
      <c r="I501" s="274">
        <v>0</v>
      </c>
      <c r="J501" s="274">
        <v>0</v>
      </c>
      <c r="K501" s="274">
        <v>0</v>
      </c>
      <c r="L501" s="274">
        <v>0</v>
      </c>
      <c r="M501" s="274">
        <v>0</v>
      </c>
      <c r="N501" s="274">
        <v>0</v>
      </c>
      <c r="O501" s="274">
        <v>0</v>
      </c>
      <c r="P501" s="274">
        <v>0</v>
      </c>
      <c r="Q501" s="274">
        <v>0</v>
      </c>
      <c r="R501" s="274">
        <v>0</v>
      </c>
      <c r="S501" s="274">
        <v>0</v>
      </c>
      <c r="T501" s="274">
        <v>0</v>
      </c>
      <c r="U501" s="274">
        <v>0</v>
      </c>
      <c r="V501" s="274">
        <v>0</v>
      </c>
      <c r="W501" s="274">
        <v>0</v>
      </c>
      <c r="X501" s="274">
        <f t="shared" si="17"/>
        <v>1</v>
      </c>
      <c r="Y501" s="223"/>
      <c r="Z501" s="224" t="s">
        <v>663</v>
      </c>
      <c r="AA501" s="157" t="s">
        <v>649</v>
      </c>
      <c r="AB501" s="259" t="s">
        <v>2821</v>
      </c>
      <c r="AC501" s="530" t="s">
        <v>3015</v>
      </c>
      <c r="AD501" s="159"/>
    </row>
    <row r="502" spans="1:30" x14ac:dyDescent="0.2">
      <c r="A502" s="292" t="s">
        <v>2821</v>
      </c>
      <c r="B502" s="292"/>
      <c r="C502" s="342" t="s">
        <v>1982</v>
      </c>
      <c r="D502" s="343" t="s">
        <v>1983</v>
      </c>
      <c r="E502" s="278">
        <v>0</v>
      </c>
      <c r="F502" s="278">
        <v>0</v>
      </c>
      <c r="G502" s="278">
        <v>0</v>
      </c>
      <c r="H502" s="278">
        <v>1</v>
      </c>
      <c r="I502" s="278">
        <v>0</v>
      </c>
      <c r="J502" s="278">
        <v>0</v>
      </c>
      <c r="K502" s="278">
        <v>0</v>
      </c>
      <c r="L502" s="278">
        <v>0</v>
      </c>
      <c r="M502" s="278">
        <v>0</v>
      </c>
      <c r="N502" s="278">
        <v>0</v>
      </c>
      <c r="O502" s="278">
        <v>0</v>
      </c>
      <c r="P502" s="278">
        <v>0</v>
      </c>
      <c r="Q502" s="278">
        <v>0</v>
      </c>
      <c r="R502" s="278">
        <v>0</v>
      </c>
      <c r="S502" s="278">
        <v>0</v>
      </c>
      <c r="T502" s="278">
        <v>0</v>
      </c>
      <c r="U502" s="278">
        <v>0</v>
      </c>
      <c r="V502" s="278">
        <v>0</v>
      </c>
      <c r="W502" s="278">
        <v>0</v>
      </c>
      <c r="X502" s="278">
        <f t="shared" si="17"/>
        <v>1</v>
      </c>
      <c r="Y502" s="223"/>
      <c r="Z502" s="224" t="s">
        <v>663</v>
      </c>
      <c r="AA502" s="157" t="s">
        <v>649</v>
      </c>
      <c r="AB502" s="259" t="s">
        <v>2821</v>
      </c>
      <c r="AC502" s="530" t="s">
        <v>3015</v>
      </c>
      <c r="AD502" s="159"/>
    </row>
    <row r="503" spans="1:30" x14ac:dyDescent="0.2">
      <c r="A503" s="259" t="s">
        <v>2821</v>
      </c>
      <c r="B503" s="259"/>
      <c r="C503" s="272" t="s">
        <v>1984</v>
      </c>
      <c r="D503" s="273" t="s">
        <v>1985</v>
      </c>
      <c r="E503" s="278">
        <v>0</v>
      </c>
      <c r="F503" s="278">
        <v>0</v>
      </c>
      <c r="G503" s="278">
        <v>0</v>
      </c>
      <c r="H503" s="278">
        <v>1</v>
      </c>
      <c r="I503" s="278">
        <v>0</v>
      </c>
      <c r="J503" s="278">
        <v>0</v>
      </c>
      <c r="K503" s="278">
        <v>0</v>
      </c>
      <c r="L503" s="278">
        <v>0</v>
      </c>
      <c r="M503" s="278">
        <v>0</v>
      </c>
      <c r="N503" s="278">
        <v>0</v>
      </c>
      <c r="O503" s="278">
        <v>0</v>
      </c>
      <c r="P503" s="278">
        <v>0</v>
      </c>
      <c r="Q503" s="278">
        <v>0</v>
      </c>
      <c r="R503" s="278">
        <v>0</v>
      </c>
      <c r="S503" s="278">
        <v>0</v>
      </c>
      <c r="T503" s="278">
        <v>0</v>
      </c>
      <c r="U503" s="278">
        <v>0</v>
      </c>
      <c r="V503" s="278">
        <v>0</v>
      </c>
      <c r="W503" s="278">
        <v>0</v>
      </c>
      <c r="X503" s="278">
        <f t="shared" si="17"/>
        <v>1</v>
      </c>
      <c r="Y503" s="223"/>
      <c r="Z503" s="224" t="s">
        <v>663</v>
      </c>
      <c r="AA503" s="157" t="s">
        <v>649</v>
      </c>
      <c r="AB503" s="259" t="s">
        <v>2821</v>
      </c>
      <c r="AC503" s="530" t="s">
        <v>3015</v>
      </c>
      <c r="AD503" s="159"/>
    </row>
    <row r="504" spans="1:30" x14ac:dyDescent="0.2">
      <c r="A504" s="316" t="s">
        <v>2821</v>
      </c>
      <c r="B504" s="316"/>
      <c r="C504" s="331" t="s">
        <v>1986</v>
      </c>
      <c r="D504" s="332" t="s">
        <v>1987</v>
      </c>
      <c r="E504" s="278">
        <v>0</v>
      </c>
      <c r="F504" s="278">
        <v>0</v>
      </c>
      <c r="G504" s="278">
        <v>0</v>
      </c>
      <c r="H504" s="278">
        <v>1</v>
      </c>
      <c r="I504" s="278">
        <v>0</v>
      </c>
      <c r="J504" s="278">
        <v>0</v>
      </c>
      <c r="K504" s="278">
        <v>0</v>
      </c>
      <c r="L504" s="278">
        <v>0</v>
      </c>
      <c r="M504" s="278">
        <v>0</v>
      </c>
      <c r="N504" s="278">
        <v>0</v>
      </c>
      <c r="O504" s="278">
        <v>0</v>
      </c>
      <c r="P504" s="278">
        <v>0</v>
      </c>
      <c r="Q504" s="278">
        <v>0</v>
      </c>
      <c r="R504" s="278">
        <v>0</v>
      </c>
      <c r="S504" s="278">
        <v>0</v>
      </c>
      <c r="T504" s="278">
        <v>0</v>
      </c>
      <c r="U504" s="278">
        <v>0</v>
      </c>
      <c r="V504" s="278">
        <v>0</v>
      </c>
      <c r="W504" s="278">
        <v>0</v>
      </c>
      <c r="X504" s="278">
        <f t="shared" si="17"/>
        <v>1</v>
      </c>
      <c r="Y504" s="223"/>
      <c r="Z504" s="224" t="s">
        <v>663</v>
      </c>
      <c r="AA504" s="157" t="s">
        <v>649</v>
      </c>
      <c r="AB504" s="259" t="s">
        <v>2821</v>
      </c>
      <c r="AC504" s="530" t="s">
        <v>3015</v>
      </c>
      <c r="AD504" s="159"/>
    </row>
    <row r="505" spans="1:30" x14ac:dyDescent="0.2">
      <c r="A505" s="270" t="s">
        <v>2821</v>
      </c>
      <c r="B505" s="334"/>
      <c r="C505" s="272" t="s">
        <v>1988</v>
      </c>
      <c r="D505" s="273" t="s">
        <v>1989</v>
      </c>
      <c r="E505" s="274">
        <v>0</v>
      </c>
      <c r="F505" s="274">
        <v>0</v>
      </c>
      <c r="G505" s="274">
        <v>0</v>
      </c>
      <c r="H505" s="274">
        <v>1</v>
      </c>
      <c r="I505" s="274">
        <v>0</v>
      </c>
      <c r="J505" s="274">
        <v>0</v>
      </c>
      <c r="K505" s="274">
        <v>0</v>
      </c>
      <c r="L505" s="274">
        <v>0</v>
      </c>
      <c r="M505" s="274">
        <v>0</v>
      </c>
      <c r="N505" s="274">
        <v>0</v>
      </c>
      <c r="O505" s="274">
        <v>0</v>
      </c>
      <c r="P505" s="274">
        <v>0</v>
      </c>
      <c r="Q505" s="274">
        <v>0</v>
      </c>
      <c r="R505" s="274">
        <v>0</v>
      </c>
      <c r="S505" s="274">
        <v>0</v>
      </c>
      <c r="T505" s="274">
        <v>0</v>
      </c>
      <c r="U505" s="274">
        <v>0</v>
      </c>
      <c r="V505" s="274">
        <v>0</v>
      </c>
      <c r="W505" s="274">
        <v>0</v>
      </c>
      <c r="X505" s="274">
        <f t="shared" si="17"/>
        <v>1</v>
      </c>
      <c r="Y505" s="223"/>
      <c r="Z505" s="224" t="s">
        <v>663</v>
      </c>
      <c r="AA505" s="157" t="s">
        <v>649</v>
      </c>
      <c r="AB505" s="259" t="s">
        <v>2821</v>
      </c>
      <c r="AC505" s="530" t="s">
        <v>3015</v>
      </c>
      <c r="AD505" s="159"/>
    </row>
    <row r="506" spans="1:30" x14ac:dyDescent="0.2">
      <c r="A506" s="270" t="s">
        <v>2821</v>
      </c>
      <c r="B506" s="270"/>
      <c r="C506" s="272" t="s">
        <v>1990</v>
      </c>
      <c r="D506" s="273" t="s">
        <v>1991</v>
      </c>
      <c r="E506" s="274">
        <v>0</v>
      </c>
      <c r="F506" s="274">
        <v>0</v>
      </c>
      <c r="G506" s="274">
        <v>0</v>
      </c>
      <c r="H506" s="274">
        <v>1</v>
      </c>
      <c r="I506" s="274">
        <v>0</v>
      </c>
      <c r="J506" s="274">
        <v>0</v>
      </c>
      <c r="K506" s="274">
        <v>0</v>
      </c>
      <c r="L506" s="274">
        <v>0</v>
      </c>
      <c r="M506" s="274">
        <v>0</v>
      </c>
      <c r="N506" s="274">
        <v>0</v>
      </c>
      <c r="O506" s="274">
        <v>0</v>
      </c>
      <c r="P506" s="274">
        <v>0</v>
      </c>
      <c r="Q506" s="274">
        <v>0</v>
      </c>
      <c r="R506" s="274">
        <v>0</v>
      </c>
      <c r="S506" s="274">
        <v>0</v>
      </c>
      <c r="T506" s="274">
        <v>0</v>
      </c>
      <c r="U506" s="274">
        <v>0</v>
      </c>
      <c r="V506" s="274">
        <v>0</v>
      </c>
      <c r="W506" s="274">
        <v>0</v>
      </c>
      <c r="X506" s="274">
        <f t="shared" si="17"/>
        <v>1</v>
      </c>
      <c r="Y506" s="223"/>
      <c r="Z506" s="224" t="s">
        <v>663</v>
      </c>
      <c r="AA506" s="157" t="s">
        <v>649</v>
      </c>
      <c r="AB506" s="259" t="s">
        <v>2821</v>
      </c>
      <c r="AC506" s="530" t="s">
        <v>3015</v>
      </c>
      <c r="AD506" s="159"/>
    </row>
    <row r="507" spans="1:30" x14ac:dyDescent="0.2">
      <c r="A507" s="276" t="s">
        <v>2821</v>
      </c>
      <c r="B507" s="276"/>
      <c r="C507" s="344" t="s">
        <v>1992</v>
      </c>
      <c r="D507" s="345" t="s">
        <v>1993</v>
      </c>
      <c r="E507" s="278">
        <v>0</v>
      </c>
      <c r="F507" s="278">
        <v>0</v>
      </c>
      <c r="G507" s="278">
        <v>0</v>
      </c>
      <c r="H507" s="278">
        <v>1</v>
      </c>
      <c r="I507" s="278">
        <v>0</v>
      </c>
      <c r="J507" s="278">
        <v>0</v>
      </c>
      <c r="K507" s="278">
        <v>0</v>
      </c>
      <c r="L507" s="278">
        <v>0</v>
      </c>
      <c r="M507" s="278">
        <v>0</v>
      </c>
      <c r="N507" s="278">
        <v>0</v>
      </c>
      <c r="O507" s="278">
        <v>0</v>
      </c>
      <c r="P507" s="278">
        <v>0</v>
      </c>
      <c r="Q507" s="278">
        <v>0</v>
      </c>
      <c r="R507" s="278">
        <v>0</v>
      </c>
      <c r="S507" s="278">
        <v>0</v>
      </c>
      <c r="T507" s="278">
        <v>0</v>
      </c>
      <c r="U507" s="278">
        <v>0</v>
      </c>
      <c r="V507" s="278">
        <v>0</v>
      </c>
      <c r="W507" s="278">
        <v>0</v>
      </c>
      <c r="X507" s="278">
        <f t="shared" si="17"/>
        <v>1</v>
      </c>
      <c r="Y507" s="223"/>
      <c r="Z507" s="224" t="s">
        <v>663</v>
      </c>
      <c r="AA507" s="157" t="s">
        <v>649</v>
      </c>
      <c r="AB507" s="259" t="s">
        <v>2821</v>
      </c>
      <c r="AC507" s="530" t="s">
        <v>3015</v>
      </c>
      <c r="AD507" s="159"/>
    </row>
    <row r="508" spans="1:30" x14ac:dyDescent="0.2">
      <c r="A508" s="282" t="s">
        <v>1101</v>
      </c>
      <c r="B508" s="283">
        <v>42247</v>
      </c>
      <c r="C508" s="238" t="s">
        <v>1994</v>
      </c>
      <c r="D508" s="239" t="s">
        <v>1995</v>
      </c>
      <c r="E508" s="240">
        <v>0</v>
      </c>
      <c r="F508" s="240">
        <v>0.11034956693841842</v>
      </c>
      <c r="G508" s="240">
        <v>0.88965043306158165</v>
      </c>
      <c r="H508" s="240">
        <v>0</v>
      </c>
      <c r="I508" s="240">
        <v>0</v>
      </c>
      <c r="J508" s="240">
        <v>0</v>
      </c>
      <c r="K508" s="240">
        <v>0</v>
      </c>
      <c r="L508" s="240">
        <v>0</v>
      </c>
      <c r="M508" s="240">
        <v>0</v>
      </c>
      <c r="N508" s="240">
        <v>0</v>
      </c>
      <c r="O508" s="240">
        <v>0</v>
      </c>
      <c r="P508" s="240">
        <v>0</v>
      </c>
      <c r="Q508" s="240">
        <v>0</v>
      </c>
      <c r="R508" s="240">
        <v>0</v>
      </c>
      <c r="S508" s="240">
        <v>0</v>
      </c>
      <c r="T508" s="240">
        <v>0</v>
      </c>
      <c r="U508" s="240">
        <v>0</v>
      </c>
      <c r="V508" s="240">
        <v>0</v>
      </c>
      <c r="W508" s="240">
        <v>0</v>
      </c>
      <c r="X508" s="221">
        <f>SUM(E508:W508)</f>
        <v>1</v>
      </c>
      <c r="Y508" s="223"/>
      <c r="Z508" s="224" t="s">
        <v>663</v>
      </c>
      <c r="AA508" s="157" t="s">
        <v>663</v>
      </c>
      <c r="AB508" s="282" t="s">
        <v>1101</v>
      </c>
      <c r="AC508" s="530" t="s">
        <v>3015</v>
      </c>
      <c r="AD508" s="159"/>
    </row>
    <row r="509" spans="1:30" x14ac:dyDescent="0.2">
      <c r="A509" s="270" t="s">
        <v>2821</v>
      </c>
      <c r="B509" s="270"/>
      <c r="C509" s="272" t="s">
        <v>1998</v>
      </c>
      <c r="D509" s="273" t="s">
        <v>1999</v>
      </c>
      <c r="E509" s="274">
        <v>0</v>
      </c>
      <c r="F509" s="274">
        <v>0.11751392769222635</v>
      </c>
      <c r="G509" s="274">
        <v>0.52638483510875078</v>
      </c>
      <c r="H509" s="274">
        <v>0.3412905937757601</v>
      </c>
      <c r="I509" s="274">
        <v>0</v>
      </c>
      <c r="J509" s="274">
        <v>0</v>
      </c>
      <c r="K509" s="274">
        <v>0</v>
      </c>
      <c r="L509" s="274">
        <v>0</v>
      </c>
      <c r="M509" s="274">
        <v>0</v>
      </c>
      <c r="N509" s="274">
        <v>0</v>
      </c>
      <c r="O509" s="274">
        <v>0</v>
      </c>
      <c r="P509" s="274">
        <v>0</v>
      </c>
      <c r="Q509" s="274">
        <v>0</v>
      </c>
      <c r="R509" s="274">
        <v>0</v>
      </c>
      <c r="S509" s="274">
        <v>1.4810643423262822E-2</v>
      </c>
      <c r="T509" s="274">
        <v>0</v>
      </c>
      <c r="U509" s="274">
        <v>0</v>
      </c>
      <c r="V509" s="274">
        <v>0</v>
      </c>
      <c r="W509" s="274">
        <v>0</v>
      </c>
      <c r="X509" s="274">
        <f>SUBTOTAL(9,E509:W509)</f>
        <v>1</v>
      </c>
      <c r="Y509" s="223"/>
      <c r="Z509" s="224" t="s">
        <v>663</v>
      </c>
      <c r="AA509" s="157" t="s">
        <v>649</v>
      </c>
      <c r="AB509" s="259" t="s">
        <v>2821</v>
      </c>
      <c r="AC509" s="530" t="s">
        <v>3015</v>
      </c>
      <c r="AD509" s="159"/>
    </row>
    <row r="510" spans="1:30" x14ac:dyDescent="0.2">
      <c r="A510" s="282" t="s">
        <v>1101</v>
      </c>
      <c r="B510" s="282"/>
      <c r="C510" s="238" t="s">
        <v>2002</v>
      </c>
      <c r="D510" s="239" t="s">
        <v>2003</v>
      </c>
      <c r="E510" s="240">
        <v>0</v>
      </c>
      <c r="F510" s="240">
        <v>0.10806461535150144</v>
      </c>
      <c r="G510" s="240">
        <v>0.89193538464849864</v>
      </c>
      <c r="H510" s="240">
        <v>0</v>
      </c>
      <c r="I510" s="240">
        <v>0</v>
      </c>
      <c r="J510" s="240">
        <v>0</v>
      </c>
      <c r="K510" s="240">
        <v>0</v>
      </c>
      <c r="L510" s="240">
        <v>0</v>
      </c>
      <c r="M510" s="240">
        <v>0</v>
      </c>
      <c r="N510" s="240">
        <v>0</v>
      </c>
      <c r="O510" s="240">
        <v>0</v>
      </c>
      <c r="P510" s="240">
        <v>0</v>
      </c>
      <c r="Q510" s="240">
        <v>0</v>
      </c>
      <c r="R510" s="240">
        <v>0</v>
      </c>
      <c r="S510" s="240">
        <v>0</v>
      </c>
      <c r="T510" s="240">
        <v>0</v>
      </c>
      <c r="U510" s="240">
        <v>0</v>
      </c>
      <c r="V510" s="240">
        <v>0</v>
      </c>
      <c r="W510" s="240">
        <v>0</v>
      </c>
      <c r="X510" s="221">
        <f>SUM(E510:W510)</f>
        <v>1</v>
      </c>
      <c r="Y510" s="223"/>
      <c r="Z510" s="224" t="s">
        <v>663</v>
      </c>
      <c r="AA510" s="157" t="s">
        <v>663</v>
      </c>
      <c r="AB510" s="282" t="s">
        <v>1101</v>
      </c>
      <c r="AC510" s="530" t="s">
        <v>3015</v>
      </c>
      <c r="AD510" s="159"/>
    </row>
    <row r="511" spans="1:30" x14ac:dyDescent="0.2">
      <c r="A511" s="270" t="s">
        <v>2821</v>
      </c>
      <c r="B511" s="270"/>
      <c r="C511" s="272" t="s">
        <v>2004</v>
      </c>
      <c r="D511" s="273" t="s">
        <v>2005</v>
      </c>
      <c r="E511" s="274">
        <v>0</v>
      </c>
      <c r="F511" s="274">
        <v>0</v>
      </c>
      <c r="G511" s="274">
        <v>0.18262277307405861</v>
      </c>
      <c r="H511" s="274">
        <v>0</v>
      </c>
      <c r="I511" s="274">
        <v>0</v>
      </c>
      <c r="J511" s="274">
        <v>4.4542139774052004E-3</v>
      </c>
      <c r="K511" s="274">
        <v>0</v>
      </c>
      <c r="L511" s="274">
        <v>0</v>
      </c>
      <c r="M511" s="274">
        <v>0</v>
      </c>
      <c r="N511" s="274">
        <v>0</v>
      </c>
      <c r="O511" s="274">
        <v>0</v>
      </c>
      <c r="P511" s="274">
        <v>0.16596402247935182</v>
      </c>
      <c r="Q511" s="274">
        <v>0</v>
      </c>
      <c r="R511" s="274">
        <v>0</v>
      </c>
      <c r="S511" s="274">
        <v>0.64695899046918437</v>
      </c>
      <c r="T511" s="274">
        <v>0</v>
      </c>
      <c r="U511" s="274">
        <v>0</v>
      </c>
      <c r="V511" s="274">
        <v>0</v>
      </c>
      <c r="W511" s="274">
        <v>0</v>
      </c>
      <c r="X511" s="274">
        <f>SUBTOTAL(9,E511:W511)</f>
        <v>1</v>
      </c>
      <c r="Y511" s="223"/>
      <c r="Z511" s="224" t="s">
        <v>663</v>
      </c>
      <c r="AA511" s="157" t="s">
        <v>649</v>
      </c>
      <c r="AB511" s="259" t="s">
        <v>2821</v>
      </c>
      <c r="AC511" s="530" t="s">
        <v>3015</v>
      </c>
      <c r="AD511" s="159"/>
    </row>
    <row r="512" spans="1:30" x14ac:dyDescent="0.2">
      <c r="A512" s="270" t="s">
        <v>2821</v>
      </c>
      <c r="B512" s="270"/>
      <c r="C512" s="272" t="s">
        <v>2006</v>
      </c>
      <c r="D512" s="273" t="s">
        <v>2007</v>
      </c>
      <c r="E512" s="274">
        <v>0</v>
      </c>
      <c r="F512" s="274">
        <v>0</v>
      </c>
      <c r="G512" s="274">
        <v>0</v>
      </c>
      <c r="H512" s="274">
        <v>0</v>
      </c>
      <c r="I512" s="274">
        <v>0</v>
      </c>
      <c r="J512" s="274">
        <v>0</v>
      </c>
      <c r="K512" s="274">
        <v>0</v>
      </c>
      <c r="L512" s="274">
        <v>0</v>
      </c>
      <c r="M512" s="274">
        <v>0</v>
      </c>
      <c r="N512" s="274">
        <v>1</v>
      </c>
      <c r="O512" s="274">
        <v>0</v>
      </c>
      <c r="P512" s="274">
        <v>0</v>
      </c>
      <c r="Q512" s="274">
        <v>0</v>
      </c>
      <c r="R512" s="274">
        <v>0</v>
      </c>
      <c r="S512" s="274">
        <v>0</v>
      </c>
      <c r="T512" s="274">
        <v>0</v>
      </c>
      <c r="U512" s="274">
        <v>0</v>
      </c>
      <c r="V512" s="274">
        <v>0</v>
      </c>
      <c r="W512" s="274">
        <v>0</v>
      </c>
      <c r="X512" s="274">
        <f>SUBTOTAL(9,E512:W512)</f>
        <v>1</v>
      </c>
      <c r="Y512" s="223"/>
      <c r="Z512" s="224" t="s">
        <v>663</v>
      </c>
      <c r="AA512" s="157" t="s">
        <v>649</v>
      </c>
      <c r="AB512" s="259" t="s">
        <v>2821</v>
      </c>
      <c r="AC512" s="530" t="s">
        <v>3015</v>
      </c>
      <c r="AD512" s="159"/>
    </row>
    <row r="513" spans="1:30" x14ac:dyDescent="0.2">
      <c r="A513" s="270" t="s">
        <v>2821</v>
      </c>
      <c r="B513" s="270"/>
      <c r="C513" s="272" t="s">
        <v>2008</v>
      </c>
      <c r="D513" s="273" t="s">
        <v>2009</v>
      </c>
      <c r="E513" s="274">
        <v>0</v>
      </c>
      <c r="F513" s="274">
        <v>3.9925960539177836E-3</v>
      </c>
      <c r="G513" s="274">
        <v>1.3616127541060563E-2</v>
      </c>
      <c r="H513" s="274">
        <v>0</v>
      </c>
      <c r="I513" s="274">
        <v>0</v>
      </c>
      <c r="J513" s="274">
        <v>1.5922388746142845E-2</v>
      </c>
      <c r="K513" s="274">
        <v>0</v>
      </c>
      <c r="L513" s="274">
        <v>0</v>
      </c>
      <c r="M513" s="274">
        <v>0</v>
      </c>
      <c r="N513" s="274">
        <v>0.50709511173172517</v>
      </c>
      <c r="O513" s="274">
        <v>6.7729564069964948E-3</v>
      </c>
      <c r="P513" s="274">
        <v>0.15305726565830502</v>
      </c>
      <c r="Q513" s="274">
        <v>1.7864563701651726E-2</v>
      </c>
      <c r="R513" s="274">
        <v>0</v>
      </c>
      <c r="S513" s="274">
        <v>0.22881428304707402</v>
      </c>
      <c r="T513" s="274">
        <v>8.5553133561364538E-3</v>
      </c>
      <c r="U513" s="274">
        <v>4.4309393756990056E-2</v>
      </c>
      <c r="V513" s="274">
        <v>0</v>
      </c>
      <c r="W513" s="274">
        <v>0</v>
      </c>
      <c r="X513" s="274">
        <f>SUBTOTAL(9,E513:W513)</f>
        <v>1</v>
      </c>
      <c r="Y513" s="223"/>
      <c r="Z513" s="224" t="s">
        <v>663</v>
      </c>
      <c r="AA513" s="157" t="s">
        <v>649</v>
      </c>
      <c r="AB513" s="259" t="s">
        <v>2821</v>
      </c>
      <c r="AC513" s="530" t="s">
        <v>3015</v>
      </c>
      <c r="AD513" s="159"/>
    </row>
    <row r="514" spans="1:30" x14ac:dyDescent="0.2">
      <c r="A514" s="325" t="s">
        <v>1101</v>
      </c>
      <c r="B514" s="338"/>
      <c r="C514" s="340" t="s">
        <v>1296</v>
      </c>
      <c r="D514" s="341" t="s">
        <v>331</v>
      </c>
      <c r="E514" s="252">
        <v>0</v>
      </c>
      <c r="F514" s="252">
        <v>0</v>
      </c>
      <c r="G514" s="252">
        <v>0</v>
      </c>
      <c r="H514" s="252">
        <v>0</v>
      </c>
      <c r="I514" s="252">
        <v>0</v>
      </c>
      <c r="J514" s="252">
        <v>0</v>
      </c>
      <c r="K514" s="252">
        <v>0</v>
      </c>
      <c r="L514" s="252">
        <v>0</v>
      </c>
      <c r="M514" s="252">
        <v>0</v>
      </c>
      <c r="N514" s="252">
        <v>0.4713483146067417</v>
      </c>
      <c r="O514" s="252">
        <v>5.0561797752808994E-3</v>
      </c>
      <c r="P514" s="252">
        <v>1.0674157303370789E-2</v>
      </c>
      <c r="Q514" s="252">
        <v>1.6853932584269665E-3</v>
      </c>
      <c r="R514" s="252">
        <v>0</v>
      </c>
      <c r="S514" s="252">
        <v>0.5112359550561798</v>
      </c>
      <c r="T514" s="252">
        <v>0</v>
      </c>
      <c r="U514" s="252">
        <v>0</v>
      </c>
      <c r="V514" s="252"/>
      <c r="W514" s="252"/>
      <c r="X514" s="253">
        <f>SUM(E514:W514)</f>
        <v>1.0000000000000002</v>
      </c>
      <c r="Y514" s="223"/>
      <c r="Z514" s="224" t="s">
        <v>663</v>
      </c>
      <c r="AA514" s="157" t="s">
        <v>663</v>
      </c>
      <c r="AB514" s="282" t="s">
        <v>1101</v>
      </c>
      <c r="AC514" s="530" t="s">
        <v>3015</v>
      </c>
      <c r="AD514" s="159"/>
    </row>
    <row r="515" spans="1:30" x14ac:dyDescent="0.2">
      <c r="A515" s="282" t="s">
        <v>1101</v>
      </c>
      <c r="B515" s="282"/>
      <c r="C515" s="238" t="s">
        <v>2010</v>
      </c>
      <c r="D515" s="239" t="s">
        <v>2011</v>
      </c>
      <c r="E515" s="221">
        <v>0</v>
      </c>
      <c r="F515" s="221">
        <v>0</v>
      </c>
      <c r="G515" s="221">
        <v>0.1575889671797642</v>
      </c>
      <c r="H515" s="221">
        <v>0</v>
      </c>
      <c r="I515" s="221">
        <v>0</v>
      </c>
      <c r="J515" s="221">
        <v>0</v>
      </c>
      <c r="K515" s="221">
        <v>0</v>
      </c>
      <c r="L515" s="221">
        <v>0</v>
      </c>
      <c r="M515" s="221">
        <v>0</v>
      </c>
      <c r="N515" s="221">
        <v>0</v>
      </c>
      <c r="O515" s="221">
        <v>0</v>
      </c>
      <c r="P515" s="221">
        <v>0.84241103282023577</v>
      </c>
      <c r="Q515" s="221">
        <v>0</v>
      </c>
      <c r="R515" s="221">
        <v>0</v>
      </c>
      <c r="S515" s="221">
        <v>0</v>
      </c>
      <c r="T515" s="221">
        <v>0</v>
      </c>
      <c r="U515" s="221">
        <v>0</v>
      </c>
      <c r="V515" s="221">
        <v>0</v>
      </c>
      <c r="W515" s="221">
        <v>0</v>
      </c>
      <c r="X515" s="221">
        <f>SUM(E515:W515)</f>
        <v>1</v>
      </c>
      <c r="Y515" s="346" t="s">
        <v>647</v>
      </c>
      <c r="Z515" s="224" t="s">
        <v>663</v>
      </c>
      <c r="AA515" s="157" t="s">
        <v>663</v>
      </c>
      <c r="AB515" s="282" t="s">
        <v>1101</v>
      </c>
      <c r="AC515" s="530" t="s">
        <v>3015</v>
      </c>
      <c r="AD515" s="159"/>
    </row>
    <row r="516" spans="1:30" x14ac:dyDescent="0.2">
      <c r="A516" s="270" t="s">
        <v>2821</v>
      </c>
      <c r="B516" s="270"/>
      <c r="C516" s="311" t="s">
        <v>2012</v>
      </c>
      <c r="D516" s="312" t="s">
        <v>2013</v>
      </c>
      <c r="E516" s="274">
        <v>0</v>
      </c>
      <c r="F516" s="274">
        <v>0</v>
      </c>
      <c r="G516" s="274">
        <v>0</v>
      </c>
      <c r="H516" s="274">
        <v>0</v>
      </c>
      <c r="I516" s="274">
        <v>0</v>
      </c>
      <c r="J516" s="274">
        <v>0</v>
      </c>
      <c r="K516" s="274">
        <v>0</v>
      </c>
      <c r="L516" s="274">
        <v>0</v>
      </c>
      <c r="M516" s="274">
        <v>0</v>
      </c>
      <c r="N516" s="274">
        <v>0</v>
      </c>
      <c r="O516" s="274">
        <v>0</v>
      </c>
      <c r="P516" s="274">
        <v>4.4818930827109207E-2</v>
      </c>
      <c r="Q516" s="274">
        <v>0</v>
      </c>
      <c r="R516" s="274">
        <v>0</v>
      </c>
      <c r="S516" s="274">
        <v>0.95518106917289081</v>
      </c>
      <c r="T516" s="274">
        <v>0</v>
      </c>
      <c r="U516" s="274">
        <v>0</v>
      </c>
      <c r="V516" s="274">
        <v>0</v>
      </c>
      <c r="W516" s="274">
        <v>0</v>
      </c>
      <c r="X516" s="274">
        <f>SUBTOTAL(9,E516:W516)</f>
        <v>1</v>
      </c>
      <c r="Y516" s="223"/>
      <c r="Z516" s="224" t="s">
        <v>663</v>
      </c>
      <c r="AA516" s="157" t="s">
        <v>649</v>
      </c>
      <c r="AB516" s="259" t="s">
        <v>2821</v>
      </c>
      <c r="AC516" s="530" t="s">
        <v>3015</v>
      </c>
      <c r="AD516" s="159"/>
    </row>
    <row r="517" spans="1:30" x14ac:dyDescent="0.2">
      <c r="A517" s="326" t="s">
        <v>1101</v>
      </c>
      <c r="B517" s="326"/>
      <c r="C517" s="241" t="s">
        <v>2014</v>
      </c>
      <c r="D517" s="242" t="s">
        <v>2015</v>
      </c>
      <c r="E517" s="232">
        <v>0</v>
      </c>
      <c r="F517" s="232">
        <v>7.9030593078069696E-3</v>
      </c>
      <c r="G517" s="232">
        <v>4.3908087590052713E-2</v>
      </c>
      <c r="H517" s="232">
        <v>0</v>
      </c>
      <c r="I517" s="232">
        <v>0</v>
      </c>
      <c r="J517" s="232">
        <v>6.3051662258048077E-2</v>
      </c>
      <c r="K517" s="232">
        <v>0</v>
      </c>
      <c r="L517" s="232">
        <v>0</v>
      </c>
      <c r="M517" s="232">
        <v>0</v>
      </c>
      <c r="N517" s="232">
        <v>0.18873239446187901</v>
      </c>
      <c r="O517" s="232">
        <v>0</v>
      </c>
      <c r="P517" s="232">
        <v>3.3828116283970866E-2</v>
      </c>
      <c r="Q517" s="232">
        <v>0</v>
      </c>
      <c r="R517" s="232">
        <v>0</v>
      </c>
      <c r="S517" s="232">
        <v>6.0659904006758761E-2</v>
      </c>
      <c r="T517" s="232">
        <v>0.59761034755925901</v>
      </c>
      <c r="U517" s="232">
        <v>4.3064285322246829E-3</v>
      </c>
      <c r="V517" s="232">
        <v>0</v>
      </c>
      <c r="W517" s="232">
        <v>0</v>
      </c>
      <c r="X517" s="351">
        <f t="shared" ref="X517:X524" si="18">SUM(E517:W517)</f>
        <v>1.0000000000000002</v>
      </c>
      <c r="Y517" s="223"/>
      <c r="Z517" s="224" t="s">
        <v>663</v>
      </c>
      <c r="AA517" s="157" t="s">
        <v>663</v>
      </c>
      <c r="AB517" s="282" t="s">
        <v>1101</v>
      </c>
      <c r="AC517" s="530" t="s">
        <v>3015</v>
      </c>
      <c r="AD517" s="159"/>
    </row>
    <row r="518" spans="1:30" x14ac:dyDescent="0.2">
      <c r="A518" s="290" t="s">
        <v>1101</v>
      </c>
      <c r="B518" s="290"/>
      <c r="C518" s="238" t="s">
        <v>2016</v>
      </c>
      <c r="D518" s="239" t="s">
        <v>2017</v>
      </c>
      <c r="E518" s="232">
        <v>0</v>
      </c>
      <c r="F518" s="232">
        <v>0</v>
      </c>
      <c r="G518" s="232">
        <v>0</v>
      </c>
      <c r="H518" s="232">
        <v>0</v>
      </c>
      <c r="I518" s="232">
        <v>0</v>
      </c>
      <c r="J518" s="232">
        <v>0</v>
      </c>
      <c r="K518" s="232">
        <v>0</v>
      </c>
      <c r="L518" s="232">
        <v>0</v>
      </c>
      <c r="M518" s="232">
        <v>0</v>
      </c>
      <c r="N518" s="232">
        <v>0.21145528732710711</v>
      </c>
      <c r="O518" s="232">
        <v>0</v>
      </c>
      <c r="P518" s="232">
        <v>0</v>
      </c>
      <c r="Q518" s="232">
        <v>0</v>
      </c>
      <c r="R518" s="232">
        <v>0</v>
      </c>
      <c r="S518" s="232">
        <v>0</v>
      </c>
      <c r="T518" s="232">
        <v>0.78854471267289294</v>
      </c>
      <c r="U518" s="232">
        <v>0</v>
      </c>
      <c r="V518" s="232">
        <v>0</v>
      </c>
      <c r="W518" s="232">
        <v>0</v>
      </c>
      <c r="X518" s="232">
        <f t="shared" si="18"/>
        <v>1</v>
      </c>
      <c r="Y518" s="223"/>
      <c r="Z518" s="224" t="s">
        <v>663</v>
      </c>
      <c r="AA518" s="157" t="s">
        <v>663</v>
      </c>
      <c r="AB518" s="282" t="s">
        <v>1101</v>
      </c>
      <c r="AC518" s="530" t="s">
        <v>3015</v>
      </c>
      <c r="AD518" s="159"/>
    </row>
    <row r="519" spans="1:30" x14ac:dyDescent="0.2">
      <c r="A519" s="290" t="s">
        <v>1101</v>
      </c>
      <c r="B519" s="290"/>
      <c r="C519" s="248" t="s">
        <v>1297</v>
      </c>
      <c r="D519" s="249" t="s">
        <v>1298</v>
      </c>
      <c r="E519" s="232">
        <v>0</v>
      </c>
      <c r="F519" s="232">
        <v>0</v>
      </c>
      <c r="G519" s="232">
        <v>0</v>
      </c>
      <c r="H519" s="232">
        <v>0</v>
      </c>
      <c r="I519" s="232">
        <v>0</v>
      </c>
      <c r="J519" s="232">
        <v>0</v>
      </c>
      <c r="K519" s="232">
        <v>0</v>
      </c>
      <c r="L519" s="232">
        <v>0</v>
      </c>
      <c r="M519" s="232">
        <v>0</v>
      </c>
      <c r="N519" s="232">
        <v>0.59118170190655106</v>
      </c>
      <c r="O519" s="232">
        <v>0</v>
      </c>
      <c r="P519" s="232">
        <v>2.538071065989848E-2</v>
      </c>
      <c r="Q519" s="232">
        <v>0</v>
      </c>
      <c r="R519" s="232">
        <v>0</v>
      </c>
      <c r="S519" s="232">
        <v>0.3834375874335505</v>
      </c>
      <c r="T519" s="232">
        <v>0</v>
      </c>
      <c r="U519" s="232">
        <v>0</v>
      </c>
      <c r="V519" s="232"/>
      <c r="W519" s="232"/>
      <c r="X519" s="233">
        <f t="shared" si="18"/>
        <v>1</v>
      </c>
      <c r="Y519" s="223"/>
      <c r="Z519" s="224" t="s">
        <v>663</v>
      </c>
      <c r="AA519" s="157" t="s">
        <v>663</v>
      </c>
      <c r="AB519" s="282" t="s">
        <v>1101</v>
      </c>
      <c r="AC519" s="530" t="s">
        <v>3015</v>
      </c>
      <c r="AD519" s="159"/>
    </row>
    <row r="520" spans="1:30" x14ac:dyDescent="0.2">
      <c r="A520" s="290" t="s">
        <v>1101</v>
      </c>
      <c r="B520" s="290"/>
      <c r="C520" s="238" t="s">
        <v>2018</v>
      </c>
      <c r="D520" s="239" t="s">
        <v>2019</v>
      </c>
      <c r="E520" s="232">
        <v>0</v>
      </c>
      <c r="F520" s="232">
        <v>0</v>
      </c>
      <c r="G520" s="232">
        <v>0</v>
      </c>
      <c r="H520" s="232">
        <v>0</v>
      </c>
      <c r="I520" s="232">
        <v>0</v>
      </c>
      <c r="J520" s="232">
        <v>0</v>
      </c>
      <c r="K520" s="232">
        <v>0</v>
      </c>
      <c r="L520" s="232">
        <v>0</v>
      </c>
      <c r="M520" s="232">
        <v>0</v>
      </c>
      <c r="N520" s="232">
        <v>0.74822589066560141</v>
      </c>
      <c r="O520" s="232">
        <v>0</v>
      </c>
      <c r="P520" s="232">
        <v>0.13644992819366827</v>
      </c>
      <c r="Q520" s="232">
        <v>1.8977601706310007E-2</v>
      </c>
      <c r="R520" s="232">
        <v>0</v>
      </c>
      <c r="S520" s="232">
        <v>9.6346579434420321E-2</v>
      </c>
      <c r="T520" s="232">
        <v>0</v>
      </c>
      <c r="U520" s="232">
        <v>0</v>
      </c>
      <c r="V520" s="232">
        <v>0</v>
      </c>
      <c r="W520" s="232">
        <v>0</v>
      </c>
      <c r="X520" s="232">
        <f t="shared" si="18"/>
        <v>1</v>
      </c>
      <c r="Y520" s="223"/>
      <c r="Z520" s="224" t="s">
        <v>663</v>
      </c>
      <c r="AA520" s="157" t="s">
        <v>663</v>
      </c>
      <c r="AB520" s="282" t="s">
        <v>1101</v>
      </c>
      <c r="AC520" s="530" t="s">
        <v>3015</v>
      </c>
      <c r="AD520" s="159"/>
    </row>
    <row r="521" spans="1:30" x14ac:dyDescent="0.2">
      <c r="A521" s="290" t="s">
        <v>1101</v>
      </c>
      <c r="B521" s="290"/>
      <c r="C521" s="238" t="s">
        <v>2020</v>
      </c>
      <c r="D521" s="239" t="s">
        <v>2021</v>
      </c>
      <c r="E521" s="232">
        <v>0</v>
      </c>
      <c r="F521" s="232">
        <v>8.2579301982397234E-3</v>
      </c>
      <c r="G521" s="232">
        <v>6.1136216250232016E-2</v>
      </c>
      <c r="H521" s="232">
        <v>0</v>
      </c>
      <c r="I521" s="232">
        <v>8.1225640870323263E-3</v>
      </c>
      <c r="J521" s="232">
        <v>1.6583568344357667E-2</v>
      </c>
      <c r="K521" s="232">
        <v>0</v>
      </c>
      <c r="L521" s="232">
        <v>0</v>
      </c>
      <c r="M521" s="232">
        <v>0</v>
      </c>
      <c r="N521" s="232">
        <v>0.39308138724283948</v>
      </c>
      <c r="O521" s="232">
        <v>2.1964767052421594E-2</v>
      </c>
      <c r="P521" s="232">
        <v>0.19148427396633577</v>
      </c>
      <c r="Q521" s="232">
        <v>9.9774869725434961E-3</v>
      </c>
      <c r="R521" s="232">
        <v>0</v>
      </c>
      <c r="S521" s="232">
        <v>0.14115662892848133</v>
      </c>
      <c r="T521" s="232">
        <v>0.1482351769575167</v>
      </c>
      <c r="U521" s="232">
        <v>0</v>
      </c>
      <c r="V521" s="232">
        <v>0</v>
      </c>
      <c r="W521" s="232">
        <v>0</v>
      </c>
      <c r="X521" s="232">
        <f t="shared" si="18"/>
        <v>1.0000000000000002</v>
      </c>
      <c r="Y521" s="223"/>
      <c r="Z521" s="224" t="s">
        <v>663</v>
      </c>
      <c r="AA521" s="157" t="s">
        <v>663</v>
      </c>
      <c r="AB521" s="282" t="s">
        <v>1101</v>
      </c>
      <c r="AC521" s="530" t="s">
        <v>3015</v>
      </c>
      <c r="AD521" s="159"/>
    </row>
    <row r="522" spans="1:30" x14ac:dyDescent="0.2">
      <c r="A522" s="290" t="s">
        <v>1101</v>
      </c>
      <c r="B522" s="290"/>
      <c r="C522" s="238" t="s">
        <v>2022</v>
      </c>
      <c r="D522" s="239" t="s">
        <v>2023</v>
      </c>
      <c r="E522" s="262">
        <v>0</v>
      </c>
      <c r="F522" s="262">
        <v>4.4044691724932514E-2</v>
      </c>
      <c r="G522" s="262">
        <v>7.9720644352598319E-2</v>
      </c>
      <c r="H522" s="262">
        <v>0</v>
      </c>
      <c r="I522" s="262">
        <v>0</v>
      </c>
      <c r="J522" s="262">
        <v>6.0975133639562626E-2</v>
      </c>
      <c r="K522" s="262">
        <v>0</v>
      </c>
      <c r="L522" s="262">
        <v>0</v>
      </c>
      <c r="M522" s="262">
        <v>0</v>
      </c>
      <c r="N522" s="262">
        <v>0.30562536184471356</v>
      </c>
      <c r="O522" s="262">
        <v>1.9849726666759583E-2</v>
      </c>
      <c r="P522" s="262">
        <v>0.17319929759548483</v>
      </c>
      <c r="Q522" s="262">
        <v>2.5792481530770753E-2</v>
      </c>
      <c r="R522" s="262">
        <v>0</v>
      </c>
      <c r="S522" s="262">
        <v>8.7344848262673164E-2</v>
      </c>
      <c r="T522" s="262">
        <v>0.20344781438250462</v>
      </c>
      <c r="U522" s="262">
        <v>0</v>
      </c>
      <c r="V522" s="262">
        <v>0</v>
      </c>
      <c r="W522" s="262">
        <v>0</v>
      </c>
      <c r="X522" s="232">
        <f t="shared" si="18"/>
        <v>0.99999999999999989</v>
      </c>
      <c r="Y522" s="346" t="s">
        <v>647</v>
      </c>
      <c r="Z522" s="224" t="s">
        <v>663</v>
      </c>
      <c r="AA522" s="157" t="s">
        <v>663</v>
      </c>
      <c r="AB522" s="282" t="s">
        <v>1101</v>
      </c>
      <c r="AC522" s="530" t="s">
        <v>3015</v>
      </c>
      <c r="AD522" s="159"/>
    </row>
    <row r="523" spans="1:30" x14ac:dyDescent="0.2">
      <c r="A523" s="290" t="s">
        <v>1101</v>
      </c>
      <c r="B523" s="290"/>
      <c r="C523" s="238" t="s">
        <v>2024</v>
      </c>
      <c r="D523" s="239" t="s">
        <v>2025</v>
      </c>
      <c r="E523" s="232">
        <v>0</v>
      </c>
      <c r="F523" s="232">
        <v>4.5569027903875646E-2</v>
      </c>
      <c r="G523" s="232">
        <v>7.8061064361800089E-2</v>
      </c>
      <c r="H523" s="232">
        <v>0</v>
      </c>
      <c r="I523" s="232">
        <v>0</v>
      </c>
      <c r="J523" s="232">
        <v>0</v>
      </c>
      <c r="K523" s="232">
        <v>0</v>
      </c>
      <c r="L523" s="232">
        <v>0</v>
      </c>
      <c r="M523" s="232">
        <v>0</v>
      </c>
      <c r="N523" s="232">
        <v>0.44516245465553661</v>
      </c>
      <c r="O523" s="232">
        <v>7.4958972107483516E-3</v>
      </c>
      <c r="P523" s="232">
        <v>0.11879141963664135</v>
      </c>
      <c r="Q523" s="232">
        <v>8.5983727227240663E-3</v>
      </c>
      <c r="R523" s="232">
        <v>0</v>
      </c>
      <c r="S523" s="232">
        <v>7.2165321266526236E-2</v>
      </c>
      <c r="T523" s="232">
        <v>0.22415644224214754</v>
      </c>
      <c r="U523" s="232">
        <v>0</v>
      </c>
      <c r="V523" s="232">
        <v>0</v>
      </c>
      <c r="W523" s="232">
        <v>0</v>
      </c>
      <c r="X523" s="232">
        <f t="shared" si="18"/>
        <v>0.99999999999999978</v>
      </c>
      <c r="Y523" s="223"/>
      <c r="Z523" s="224" t="s">
        <v>663</v>
      </c>
      <c r="AA523" s="157" t="s">
        <v>663</v>
      </c>
      <c r="AB523" s="282" t="s">
        <v>1101</v>
      </c>
      <c r="AC523" s="530" t="s">
        <v>3015</v>
      </c>
      <c r="AD523" s="159"/>
    </row>
    <row r="524" spans="1:30" x14ac:dyDescent="0.2">
      <c r="A524" s="290" t="s">
        <v>1101</v>
      </c>
      <c r="B524" s="290"/>
      <c r="C524" s="238" t="s">
        <v>2026</v>
      </c>
      <c r="D524" s="239" t="s">
        <v>2027</v>
      </c>
      <c r="E524" s="232">
        <v>0</v>
      </c>
      <c r="F524" s="232">
        <v>1.113190813483784E-2</v>
      </c>
      <c r="G524" s="232">
        <v>2.6634121585160205E-2</v>
      </c>
      <c r="H524" s="232">
        <v>0</v>
      </c>
      <c r="I524" s="232">
        <v>0</v>
      </c>
      <c r="J524" s="232">
        <v>2.5687833053236461E-2</v>
      </c>
      <c r="K524" s="232">
        <v>0</v>
      </c>
      <c r="L524" s="232">
        <v>0</v>
      </c>
      <c r="M524" s="232">
        <v>0</v>
      </c>
      <c r="N524" s="232">
        <v>0.1786066511519821</v>
      </c>
      <c r="O524" s="232">
        <v>1.4353944430611203E-2</v>
      </c>
      <c r="P524" s="232">
        <v>0.14571733730013914</v>
      </c>
      <c r="Q524" s="232">
        <v>6.6945318075489263E-3</v>
      </c>
      <c r="R524" s="232">
        <v>0</v>
      </c>
      <c r="S524" s="232">
        <v>5.1758630471544664E-2</v>
      </c>
      <c r="T524" s="232">
        <v>0.53941504206493929</v>
      </c>
      <c r="U524" s="232">
        <v>0</v>
      </c>
      <c r="V524" s="232">
        <v>0</v>
      </c>
      <c r="W524" s="232">
        <v>0</v>
      </c>
      <c r="X524" s="232">
        <f t="shared" si="18"/>
        <v>0.99999999999999978</v>
      </c>
      <c r="Y524" s="223"/>
      <c r="Z524" s="224" t="s">
        <v>663</v>
      </c>
      <c r="AA524" s="157" t="s">
        <v>663</v>
      </c>
      <c r="AB524" s="282" t="s">
        <v>1101</v>
      </c>
      <c r="AC524" s="530" t="s">
        <v>3015</v>
      </c>
      <c r="AD524" s="159"/>
    </row>
    <row r="525" spans="1:30" x14ac:dyDescent="0.2">
      <c r="A525" s="259" t="s">
        <v>2821</v>
      </c>
      <c r="B525" s="259"/>
      <c r="C525" s="272" t="s">
        <v>2028</v>
      </c>
      <c r="D525" s="273" t="s">
        <v>2029</v>
      </c>
      <c r="E525" s="278">
        <v>0</v>
      </c>
      <c r="F525" s="278">
        <v>0</v>
      </c>
      <c r="G525" s="278">
        <v>0</v>
      </c>
      <c r="H525" s="278">
        <v>1</v>
      </c>
      <c r="I525" s="278">
        <v>0</v>
      </c>
      <c r="J525" s="278">
        <v>0</v>
      </c>
      <c r="K525" s="278">
        <v>0</v>
      </c>
      <c r="L525" s="278">
        <v>0</v>
      </c>
      <c r="M525" s="278">
        <v>0</v>
      </c>
      <c r="N525" s="278">
        <v>0</v>
      </c>
      <c r="O525" s="278">
        <v>0</v>
      </c>
      <c r="P525" s="278">
        <v>0</v>
      </c>
      <c r="Q525" s="278">
        <v>0</v>
      </c>
      <c r="R525" s="278">
        <v>0</v>
      </c>
      <c r="S525" s="278">
        <v>0</v>
      </c>
      <c r="T525" s="278">
        <v>0</v>
      </c>
      <c r="U525" s="278">
        <v>0</v>
      </c>
      <c r="V525" s="278">
        <v>0</v>
      </c>
      <c r="W525" s="278">
        <v>0</v>
      </c>
      <c r="X525" s="278">
        <f t="shared" ref="X525:X535" si="19">SUBTOTAL(9,E525:W525)</f>
        <v>1</v>
      </c>
      <c r="Y525" s="223"/>
      <c r="Z525" s="224" t="s">
        <v>663</v>
      </c>
      <c r="AA525" s="157" t="s">
        <v>649</v>
      </c>
      <c r="AB525" s="259" t="s">
        <v>2821</v>
      </c>
      <c r="AC525" s="530" t="s">
        <v>3015</v>
      </c>
      <c r="AD525" s="159"/>
    </row>
    <row r="526" spans="1:30" x14ac:dyDescent="0.2">
      <c r="A526" s="259" t="s">
        <v>2821</v>
      </c>
      <c r="B526" s="259"/>
      <c r="C526" s="272" t="s">
        <v>2030</v>
      </c>
      <c r="D526" s="273" t="s">
        <v>2031</v>
      </c>
      <c r="E526" s="278">
        <v>0</v>
      </c>
      <c r="F526" s="278">
        <v>0</v>
      </c>
      <c r="G526" s="278">
        <v>0</v>
      </c>
      <c r="H526" s="278">
        <v>1</v>
      </c>
      <c r="I526" s="278">
        <v>0</v>
      </c>
      <c r="J526" s="278">
        <v>0</v>
      </c>
      <c r="K526" s="278">
        <v>0</v>
      </c>
      <c r="L526" s="278">
        <v>0</v>
      </c>
      <c r="M526" s="278">
        <v>0</v>
      </c>
      <c r="N526" s="278">
        <v>0</v>
      </c>
      <c r="O526" s="278">
        <v>0</v>
      </c>
      <c r="P526" s="278">
        <v>0</v>
      </c>
      <c r="Q526" s="278">
        <v>0</v>
      </c>
      <c r="R526" s="278">
        <v>0</v>
      </c>
      <c r="S526" s="278">
        <v>0</v>
      </c>
      <c r="T526" s="278">
        <v>0</v>
      </c>
      <c r="U526" s="278">
        <v>0</v>
      </c>
      <c r="V526" s="278">
        <v>0</v>
      </c>
      <c r="W526" s="278">
        <v>0</v>
      </c>
      <c r="X526" s="278">
        <f t="shared" si="19"/>
        <v>1</v>
      </c>
      <c r="Y526" s="223"/>
      <c r="Z526" s="224" t="s">
        <v>663</v>
      </c>
      <c r="AA526" s="157" t="s">
        <v>649</v>
      </c>
      <c r="AB526" s="259" t="s">
        <v>2821</v>
      </c>
      <c r="AC526" s="530" t="s">
        <v>3015</v>
      </c>
      <c r="AD526" s="159"/>
    </row>
    <row r="527" spans="1:30" x14ac:dyDescent="0.2">
      <c r="A527" s="316" t="s">
        <v>2821</v>
      </c>
      <c r="B527" s="316"/>
      <c r="C527" s="352" t="s">
        <v>2032</v>
      </c>
      <c r="D527" s="353" t="s">
        <v>2033</v>
      </c>
      <c r="E527" s="278">
        <v>0</v>
      </c>
      <c r="F527" s="278">
        <v>0</v>
      </c>
      <c r="G527" s="278">
        <v>0</v>
      </c>
      <c r="H527" s="278">
        <v>1</v>
      </c>
      <c r="I527" s="278">
        <v>0</v>
      </c>
      <c r="J527" s="278">
        <v>0</v>
      </c>
      <c r="K527" s="278">
        <v>0</v>
      </c>
      <c r="L527" s="278">
        <v>0</v>
      </c>
      <c r="M527" s="278">
        <v>0</v>
      </c>
      <c r="N527" s="278">
        <v>0</v>
      </c>
      <c r="O527" s="278">
        <v>0</v>
      </c>
      <c r="P527" s="278">
        <v>0</v>
      </c>
      <c r="Q527" s="278">
        <v>0</v>
      </c>
      <c r="R527" s="278">
        <v>0</v>
      </c>
      <c r="S527" s="278">
        <v>0</v>
      </c>
      <c r="T527" s="278">
        <v>0</v>
      </c>
      <c r="U527" s="278">
        <v>0</v>
      </c>
      <c r="V527" s="278">
        <v>0</v>
      </c>
      <c r="W527" s="278">
        <v>0</v>
      </c>
      <c r="X527" s="278">
        <f t="shared" si="19"/>
        <v>1</v>
      </c>
      <c r="Y527" s="223"/>
      <c r="Z527" s="224" t="s">
        <v>663</v>
      </c>
      <c r="AA527" s="157" t="s">
        <v>649</v>
      </c>
      <c r="AB527" s="259" t="s">
        <v>2821</v>
      </c>
      <c r="AC527" s="530" t="s">
        <v>3015</v>
      </c>
      <c r="AD527" s="159"/>
    </row>
    <row r="528" spans="1:30" x14ac:dyDescent="0.2">
      <c r="A528" s="270" t="s">
        <v>2821</v>
      </c>
      <c r="B528" s="270"/>
      <c r="C528" s="272" t="s">
        <v>2034</v>
      </c>
      <c r="D528" s="273" t="s">
        <v>2035</v>
      </c>
      <c r="E528" s="274">
        <v>0</v>
      </c>
      <c r="F528" s="274">
        <v>0</v>
      </c>
      <c r="G528" s="274">
        <v>1</v>
      </c>
      <c r="H528" s="274">
        <v>0</v>
      </c>
      <c r="I528" s="274">
        <v>0</v>
      </c>
      <c r="J528" s="274">
        <v>0</v>
      </c>
      <c r="K528" s="274">
        <v>0</v>
      </c>
      <c r="L528" s="274">
        <v>0</v>
      </c>
      <c r="M528" s="274">
        <v>0</v>
      </c>
      <c r="N528" s="274">
        <v>0</v>
      </c>
      <c r="O528" s="274">
        <v>0</v>
      </c>
      <c r="P528" s="274">
        <v>0</v>
      </c>
      <c r="Q528" s="274">
        <v>0</v>
      </c>
      <c r="R528" s="274">
        <v>0</v>
      </c>
      <c r="S528" s="274">
        <v>0</v>
      </c>
      <c r="T528" s="274">
        <v>0</v>
      </c>
      <c r="U528" s="274">
        <v>0</v>
      </c>
      <c r="V528" s="274">
        <v>0</v>
      </c>
      <c r="W528" s="274">
        <v>0</v>
      </c>
      <c r="X528" s="274">
        <f t="shared" si="19"/>
        <v>1</v>
      </c>
      <c r="Y528" s="223"/>
      <c r="Z528" s="224" t="s">
        <v>663</v>
      </c>
      <c r="AA528" s="157" t="s">
        <v>649</v>
      </c>
      <c r="AB528" s="259" t="s">
        <v>2821</v>
      </c>
      <c r="AC528" s="530" t="s">
        <v>3015</v>
      </c>
      <c r="AD528" s="159"/>
    </row>
    <row r="529" spans="1:30" x14ac:dyDescent="0.2">
      <c r="A529" s="270" t="s">
        <v>2821</v>
      </c>
      <c r="B529" s="270"/>
      <c r="C529" s="272" t="s">
        <v>2036</v>
      </c>
      <c r="D529" s="273" t="s">
        <v>2037</v>
      </c>
      <c r="E529" s="274">
        <v>0</v>
      </c>
      <c r="F529" s="274">
        <v>0</v>
      </c>
      <c r="G529" s="274">
        <v>1</v>
      </c>
      <c r="H529" s="274">
        <v>0</v>
      </c>
      <c r="I529" s="274">
        <v>0</v>
      </c>
      <c r="J529" s="274">
        <v>0</v>
      </c>
      <c r="K529" s="274">
        <v>0</v>
      </c>
      <c r="L529" s="274">
        <v>0</v>
      </c>
      <c r="M529" s="274">
        <v>0</v>
      </c>
      <c r="N529" s="274">
        <v>0</v>
      </c>
      <c r="O529" s="274">
        <v>0</v>
      </c>
      <c r="P529" s="274">
        <v>0</v>
      </c>
      <c r="Q529" s="274">
        <v>0</v>
      </c>
      <c r="R529" s="274">
        <v>0</v>
      </c>
      <c r="S529" s="274">
        <v>0</v>
      </c>
      <c r="T529" s="274">
        <v>0</v>
      </c>
      <c r="U529" s="274">
        <v>0</v>
      </c>
      <c r="V529" s="274">
        <v>0</v>
      </c>
      <c r="W529" s="274">
        <v>0</v>
      </c>
      <c r="X529" s="274">
        <f t="shared" si="19"/>
        <v>1</v>
      </c>
      <c r="Y529" s="223"/>
      <c r="Z529" s="224" t="s">
        <v>663</v>
      </c>
      <c r="AA529" s="157" t="s">
        <v>649</v>
      </c>
      <c r="AB529" s="259" t="s">
        <v>2821</v>
      </c>
      <c r="AC529" s="530" t="s">
        <v>3015</v>
      </c>
      <c r="AD529" s="159"/>
    </row>
    <row r="530" spans="1:30" x14ac:dyDescent="0.2">
      <c r="A530" s="276" t="s">
        <v>2821</v>
      </c>
      <c r="B530" s="254"/>
      <c r="C530" s="344" t="s">
        <v>2038</v>
      </c>
      <c r="D530" s="345" t="s">
        <v>2039</v>
      </c>
      <c r="E530" s="278">
        <v>0</v>
      </c>
      <c r="F530" s="278">
        <v>0</v>
      </c>
      <c r="G530" s="278">
        <v>1</v>
      </c>
      <c r="H530" s="278">
        <v>0</v>
      </c>
      <c r="I530" s="278">
        <v>0</v>
      </c>
      <c r="J530" s="278">
        <v>0</v>
      </c>
      <c r="K530" s="278">
        <v>0</v>
      </c>
      <c r="L530" s="278">
        <v>0</v>
      </c>
      <c r="M530" s="278">
        <v>0</v>
      </c>
      <c r="N530" s="278">
        <v>0</v>
      </c>
      <c r="O530" s="278">
        <v>0</v>
      </c>
      <c r="P530" s="278">
        <v>0</v>
      </c>
      <c r="Q530" s="278">
        <v>0</v>
      </c>
      <c r="R530" s="278">
        <v>0</v>
      </c>
      <c r="S530" s="278">
        <v>0</v>
      </c>
      <c r="T530" s="278">
        <v>0</v>
      </c>
      <c r="U530" s="278">
        <v>0</v>
      </c>
      <c r="V530" s="278">
        <v>0</v>
      </c>
      <c r="W530" s="278">
        <v>0</v>
      </c>
      <c r="X530" s="278">
        <f t="shared" si="19"/>
        <v>1</v>
      </c>
      <c r="Y530" s="223"/>
      <c r="Z530" s="224" t="s">
        <v>663</v>
      </c>
      <c r="AA530" s="157" t="s">
        <v>649</v>
      </c>
      <c r="AB530" s="259" t="s">
        <v>2821</v>
      </c>
      <c r="AC530" s="530" t="s">
        <v>3015</v>
      </c>
      <c r="AD530" s="159"/>
    </row>
    <row r="531" spans="1:30" x14ac:dyDescent="0.2">
      <c r="A531" s="270" t="s">
        <v>2821</v>
      </c>
      <c r="B531" s="270"/>
      <c r="C531" s="272" t="s">
        <v>2040</v>
      </c>
      <c r="D531" s="273" t="s">
        <v>2041</v>
      </c>
      <c r="E531" s="274">
        <v>0</v>
      </c>
      <c r="F531" s="274">
        <v>0</v>
      </c>
      <c r="G531" s="274">
        <v>1</v>
      </c>
      <c r="H531" s="274">
        <v>0</v>
      </c>
      <c r="I531" s="274">
        <v>0</v>
      </c>
      <c r="J531" s="274">
        <v>0</v>
      </c>
      <c r="K531" s="274">
        <v>0</v>
      </c>
      <c r="L531" s="274">
        <v>0</v>
      </c>
      <c r="M531" s="274">
        <v>0</v>
      </c>
      <c r="N531" s="274">
        <v>0</v>
      </c>
      <c r="O531" s="274">
        <v>0</v>
      </c>
      <c r="P531" s="274">
        <v>0</v>
      </c>
      <c r="Q531" s="274">
        <v>0</v>
      </c>
      <c r="R531" s="274">
        <v>0</v>
      </c>
      <c r="S531" s="274">
        <v>0</v>
      </c>
      <c r="T531" s="274">
        <v>0</v>
      </c>
      <c r="U531" s="274">
        <v>0</v>
      </c>
      <c r="V531" s="274">
        <v>0</v>
      </c>
      <c r="W531" s="274">
        <v>0</v>
      </c>
      <c r="X531" s="274">
        <f t="shared" si="19"/>
        <v>1</v>
      </c>
      <c r="Y531" s="223"/>
      <c r="Z531" s="224" t="s">
        <v>663</v>
      </c>
      <c r="AA531" s="157" t="s">
        <v>649</v>
      </c>
      <c r="AB531" s="259" t="s">
        <v>2821</v>
      </c>
      <c r="AC531" s="530" t="s">
        <v>3015</v>
      </c>
      <c r="AD531" s="159"/>
    </row>
    <row r="532" spans="1:30" x14ac:dyDescent="0.2">
      <c r="A532" s="270" t="s">
        <v>2821</v>
      </c>
      <c r="B532" s="270"/>
      <c r="C532" s="272" t="s">
        <v>2042</v>
      </c>
      <c r="D532" s="273" t="s">
        <v>2043</v>
      </c>
      <c r="E532" s="274">
        <v>0</v>
      </c>
      <c r="F532" s="274">
        <v>0</v>
      </c>
      <c r="G532" s="274">
        <v>1</v>
      </c>
      <c r="H532" s="274">
        <v>0</v>
      </c>
      <c r="I532" s="274">
        <v>0</v>
      </c>
      <c r="J532" s="274">
        <v>0</v>
      </c>
      <c r="K532" s="274">
        <v>0</v>
      </c>
      <c r="L532" s="274">
        <v>0</v>
      </c>
      <c r="M532" s="274">
        <v>0</v>
      </c>
      <c r="N532" s="274">
        <v>0</v>
      </c>
      <c r="O532" s="274">
        <v>0</v>
      </c>
      <c r="P532" s="274">
        <v>0</v>
      </c>
      <c r="Q532" s="274">
        <v>0</v>
      </c>
      <c r="R532" s="274">
        <v>0</v>
      </c>
      <c r="S532" s="274">
        <v>0</v>
      </c>
      <c r="T532" s="274">
        <v>0</v>
      </c>
      <c r="U532" s="274">
        <v>0</v>
      </c>
      <c r="V532" s="274">
        <v>0</v>
      </c>
      <c r="W532" s="274">
        <v>0</v>
      </c>
      <c r="X532" s="274">
        <f t="shared" si="19"/>
        <v>1</v>
      </c>
      <c r="Y532" s="223"/>
      <c r="Z532" s="224" t="s">
        <v>663</v>
      </c>
      <c r="AA532" s="157" t="s">
        <v>649</v>
      </c>
      <c r="AB532" s="259" t="s">
        <v>2821</v>
      </c>
      <c r="AC532" s="530" t="s">
        <v>3015</v>
      </c>
      <c r="AD532" s="159"/>
    </row>
    <row r="533" spans="1:30" x14ac:dyDescent="0.2">
      <c r="A533" s="292" t="s">
        <v>2821</v>
      </c>
      <c r="B533" s="292"/>
      <c r="C533" s="342" t="s">
        <v>2044</v>
      </c>
      <c r="D533" s="343" t="s">
        <v>2045</v>
      </c>
      <c r="E533" s="278">
        <v>0</v>
      </c>
      <c r="F533" s="278">
        <v>0</v>
      </c>
      <c r="G533" s="278">
        <v>1</v>
      </c>
      <c r="H533" s="278">
        <v>0</v>
      </c>
      <c r="I533" s="278">
        <v>0</v>
      </c>
      <c r="J533" s="278">
        <v>0</v>
      </c>
      <c r="K533" s="278">
        <v>0</v>
      </c>
      <c r="L533" s="278">
        <v>0</v>
      </c>
      <c r="M533" s="278">
        <v>0</v>
      </c>
      <c r="N533" s="278">
        <v>0</v>
      </c>
      <c r="O533" s="278">
        <v>0</v>
      </c>
      <c r="P533" s="278">
        <v>0</v>
      </c>
      <c r="Q533" s="278">
        <v>0</v>
      </c>
      <c r="R533" s="278">
        <v>0</v>
      </c>
      <c r="S533" s="278">
        <v>0</v>
      </c>
      <c r="T533" s="278">
        <v>0</v>
      </c>
      <c r="U533" s="278">
        <v>0</v>
      </c>
      <c r="V533" s="278">
        <v>0</v>
      </c>
      <c r="W533" s="278">
        <v>0</v>
      </c>
      <c r="X533" s="278">
        <f t="shared" si="19"/>
        <v>1</v>
      </c>
      <c r="Y533" s="223"/>
      <c r="Z533" s="224" t="s">
        <v>663</v>
      </c>
      <c r="AA533" s="157" t="s">
        <v>649</v>
      </c>
      <c r="AB533" s="259" t="s">
        <v>2821</v>
      </c>
      <c r="AC533" s="530" t="s">
        <v>3015</v>
      </c>
      <c r="AD533" s="159"/>
    </row>
    <row r="534" spans="1:30" x14ac:dyDescent="0.2">
      <c r="A534" s="259" t="s">
        <v>2821</v>
      </c>
      <c r="B534" s="259"/>
      <c r="C534" s="272" t="s">
        <v>2046</v>
      </c>
      <c r="D534" s="273" t="s">
        <v>2047</v>
      </c>
      <c r="E534" s="278">
        <v>0</v>
      </c>
      <c r="F534" s="278">
        <v>0</v>
      </c>
      <c r="G534" s="278">
        <v>1</v>
      </c>
      <c r="H534" s="278">
        <v>0</v>
      </c>
      <c r="I534" s="278">
        <v>0</v>
      </c>
      <c r="J534" s="278">
        <v>0</v>
      </c>
      <c r="K534" s="278">
        <v>0</v>
      </c>
      <c r="L534" s="278">
        <v>0</v>
      </c>
      <c r="M534" s="278">
        <v>0</v>
      </c>
      <c r="N534" s="278">
        <v>0</v>
      </c>
      <c r="O534" s="278">
        <v>0</v>
      </c>
      <c r="P534" s="278">
        <v>0</v>
      </c>
      <c r="Q534" s="278">
        <v>0</v>
      </c>
      <c r="R534" s="278">
        <v>0</v>
      </c>
      <c r="S534" s="278">
        <v>0</v>
      </c>
      <c r="T534" s="278">
        <v>0</v>
      </c>
      <c r="U534" s="278">
        <v>0</v>
      </c>
      <c r="V534" s="278">
        <v>0</v>
      </c>
      <c r="W534" s="278">
        <v>0</v>
      </c>
      <c r="X534" s="278">
        <f t="shared" si="19"/>
        <v>1</v>
      </c>
      <c r="Y534" s="223"/>
      <c r="Z534" s="224" t="s">
        <v>663</v>
      </c>
      <c r="AA534" s="157" t="s">
        <v>649</v>
      </c>
      <c r="AB534" s="259" t="s">
        <v>2821</v>
      </c>
      <c r="AC534" s="530" t="s">
        <v>3015</v>
      </c>
      <c r="AD534" s="159"/>
    </row>
    <row r="535" spans="1:30" x14ac:dyDescent="0.2">
      <c r="A535" s="259" t="s">
        <v>2821</v>
      </c>
      <c r="B535" s="259"/>
      <c r="C535" s="272" t="s">
        <v>2048</v>
      </c>
      <c r="D535" s="273" t="s">
        <v>2049</v>
      </c>
      <c r="E535" s="278">
        <v>0</v>
      </c>
      <c r="F535" s="278">
        <v>0</v>
      </c>
      <c r="G535" s="278">
        <v>0</v>
      </c>
      <c r="H535" s="278">
        <v>1</v>
      </c>
      <c r="I535" s="278">
        <v>0</v>
      </c>
      <c r="J535" s="278">
        <v>0</v>
      </c>
      <c r="K535" s="278">
        <v>0</v>
      </c>
      <c r="L535" s="278">
        <v>0</v>
      </c>
      <c r="M535" s="278">
        <v>0</v>
      </c>
      <c r="N535" s="278">
        <v>0</v>
      </c>
      <c r="O535" s="278">
        <v>0</v>
      </c>
      <c r="P535" s="278">
        <v>0</v>
      </c>
      <c r="Q535" s="278">
        <v>0</v>
      </c>
      <c r="R535" s="278">
        <v>0</v>
      </c>
      <c r="S535" s="278">
        <v>0</v>
      </c>
      <c r="T535" s="278">
        <v>0</v>
      </c>
      <c r="U535" s="278">
        <v>0</v>
      </c>
      <c r="V535" s="278">
        <v>0</v>
      </c>
      <c r="W535" s="278">
        <v>0</v>
      </c>
      <c r="X535" s="278">
        <f t="shared" si="19"/>
        <v>1</v>
      </c>
      <c r="Y535" s="223"/>
      <c r="Z535" s="224" t="s">
        <v>663</v>
      </c>
      <c r="AA535" s="157" t="s">
        <v>649</v>
      </c>
      <c r="AB535" s="259" t="s">
        <v>2821</v>
      </c>
      <c r="AC535" s="530" t="s">
        <v>3015</v>
      </c>
      <c r="AD535" s="159"/>
    </row>
    <row r="536" spans="1:30" x14ac:dyDescent="0.2">
      <c r="A536" s="327" t="s">
        <v>1101</v>
      </c>
      <c r="B536" s="327"/>
      <c r="C536" s="225" t="s">
        <v>2050</v>
      </c>
      <c r="D536" s="226" t="s">
        <v>2051</v>
      </c>
      <c r="E536" s="232">
        <v>0</v>
      </c>
      <c r="F536" s="232">
        <v>0</v>
      </c>
      <c r="G536" s="232">
        <v>0</v>
      </c>
      <c r="H536" s="232">
        <v>0</v>
      </c>
      <c r="I536" s="232">
        <v>0</v>
      </c>
      <c r="J536" s="232">
        <v>0</v>
      </c>
      <c r="K536" s="232">
        <v>0</v>
      </c>
      <c r="L536" s="232">
        <v>0</v>
      </c>
      <c r="M536" s="232">
        <v>0</v>
      </c>
      <c r="N536" s="232">
        <v>0.76609165408942703</v>
      </c>
      <c r="O536" s="232">
        <v>0</v>
      </c>
      <c r="P536" s="232">
        <v>0.11011862627417565</v>
      </c>
      <c r="Q536" s="232">
        <v>0</v>
      </c>
      <c r="R536" s="232">
        <v>0</v>
      </c>
      <c r="S536" s="232">
        <v>0.10951178216803394</v>
      </c>
      <c r="T536" s="232">
        <v>1.4277937468363443E-2</v>
      </c>
      <c r="U536" s="232">
        <v>0</v>
      </c>
      <c r="V536" s="232">
        <v>0</v>
      </c>
      <c r="W536" s="232">
        <v>0</v>
      </c>
      <c r="X536" s="232">
        <f>SUM(E536:W536)</f>
        <v>1</v>
      </c>
      <c r="Y536" s="223"/>
      <c r="Z536" s="224" t="s">
        <v>663</v>
      </c>
      <c r="AA536" s="157" t="s">
        <v>663</v>
      </c>
      <c r="AB536" s="282" t="s">
        <v>1101</v>
      </c>
      <c r="AC536" s="530" t="s">
        <v>3015</v>
      </c>
      <c r="AD536" s="159"/>
    </row>
    <row r="537" spans="1:30" x14ac:dyDescent="0.2">
      <c r="A537" s="282" t="s">
        <v>1101</v>
      </c>
      <c r="B537" s="282"/>
      <c r="C537" s="238" t="s">
        <v>2052</v>
      </c>
      <c r="D537" s="239" t="s">
        <v>2053</v>
      </c>
      <c r="E537" s="240">
        <v>0</v>
      </c>
      <c r="F537" s="240">
        <v>0</v>
      </c>
      <c r="G537" s="240">
        <v>4.1192604516592131E-3</v>
      </c>
      <c r="H537" s="240">
        <v>0</v>
      </c>
      <c r="I537" s="240">
        <v>0</v>
      </c>
      <c r="J537" s="240">
        <v>0</v>
      </c>
      <c r="K537" s="240">
        <v>0</v>
      </c>
      <c r="L537" s="240">
        <v>0</v>
      </c>
      <c r="M537" s="240">
        <v>0</v>
      </c>
      <c r="N537" s="240">
        <v>9.6907055099300254E-2</v>
      </c>
      <c r="O537" s="240">
        <v>2.3871552551502652E-3</v>
      </c>
      <c r="P537" s="240">
        <v>3.7194609579123628E-2</v>
      </c>
      <c r="Q537" s="240">
        <v>1.4337830983425102E-3</v>
      </c>
      <c r="R537" s="240">
        <v>0</v>
      </c>
      <c r="S537" s="240">
        <v>1.4209871279433977E-2</v>
      </c>
      <c r="T537" s="240">
        <v>0.84374826523699009</v>
      </c>
      <c r="U537" s="240">
        <v>0</v>
      </c>
      <c r="V537" s="240">
        <v>0</v>
      </c>
      <c r="W537" s="240">
        <v>0</v>
      </c>
      <c r="X537" s="221">
        <f>SUM(E537:W537)</f>
        <v>1</v>
      </c>
      <c r="Y537" s="223"/>
      <c r="Z537" s="224" t="s">
        <v>663</v>
      </c>
      <c r="AA537" s="157" t="s">
        <v>663</v>
      </c>
      <c r="AB537" s="282" t="s">
        <v>1101</v>
      </c>
      <c r="AC537" s="530" t="s">
        <v>3015</v>
      </c>
      <c r="AD537" s="159"/>
    </row>
    <row r="538" spans="1:30" x14ac:dyDescent="0.2">
      <c r="A538" s="292" t="s">
        <v>2821</v>
      </c>
      <c r="B538" s="354"/>
      <c r="C538" s="342" t="s">
        <v>2054</v>
      </c>
      <c r="D538" s="343" t="s">
        <v>2055</v>
      </c>
      <c r="E538" s="278">
        <v>0</v>
      </c>
      <c r="F538" s="278">
        <v>0</v>
      </c>
      <c r="G538" s="278">
        <v>0</v>
      </c>
      <c r="H538" s="278">
        <v>1</v>
      </c>
      <c r="I538" s="278">
        <v>0</v>
      </c>
      <c r="J538" s="278">
        <v>0</v>
      </c>
      <c r="K538" s="278">
        <v>0</v>
      </c>
      <c r="L538" s="278">
        <v>0</v>
      </c>
      <c r="M538" s="278">
        <v>0</v>
      </c>
      <c r="N538" s="278">
        <v>0</v>
      </c>
      <c r="O538" s="278">
        <v>0</v>
      </c>
      <c r="P538" s="278">
        <v>0</v>
      </c>
      <c r="Q538" s="278">
        <v>0</v>
      </c>
      <c r="R538" s="278">
        <v>0</v>
      </c>
      <c r="S538" s="278">
        <v>0</v>
      </c>
      <c r="T538" s="278">
        <v>0</v>
      </c>
      <c r="U538" s="278">
        <v>0</v>
      </c>
      <c r="V538" s="278">
        <v>0</v>
      </c>
      <c r="W538" s="278">
        <v>0</v>
      </c>
      <c r="X538" s="278">
        <f>SUBTOTAL(9,E538:W538)</f>
        <v>1</v>
      </c>
      <c r="Y538" s="346"/>
      <c r="Z538" s="224" t="s">
        <v>663</v>
      </c>
      <c r="AA538" s="157" t="s">
        <v>649</v>
      </c>
      <c r="AB538" s="259" t="s">
        <v>2821</v>
      </c>
      <c r="AC538" s="530" t="s">
        <v>3015</v>
      </c>
      <c r="AD538" s="159"/>
    </row>
    <row r="539" spans="1:30" x14ac:dyDescent="0.2">
      <c r="A539" s="290" t="s">
        <v>1101</v>
      </c>
      <c r="B539" s="290"/>
      <c r="C539" s="238" t="s">
        <v>2056</v>
      </c>
      <c r="D539" s="239" t="s">
        <v>2057</v>
      </c>
      <c r="E539" s="232">
        <v>0</v>
      </c>
      <c r="F539" s="232">
        <v>0</v>
      </c>
      <c r="G539" s="232">
        <v>0</v>
      </c>
      <c r="H539" s="232">
        <v>0</v>
      </c>
      <c r="I539" s="232">
        <v>2.8584334209703383E-2</v>
      </c>
      <c r="J539" s="232">
        <v>0</v>
      </c>
      <c r="K539" s="232">
        <v>0</v>
      </c>
      <c r="L539" s="232">
        <v>0</v>
      </c>
      <c r="M539" s="232">
        <v>0</v>
      </c>
      <c r="N539" s="232">
        <v>9.3987792589847227E-2</v>
      </c>
      <c r="O539" s="232">
        <v>0</v>
      </c>
      <c r="P539" s="232">
        <v>0</v>
      </c>
      <c r="Q539" s="232">
        <v>0</v>
      </c>
      <c r="R539" s="232">
        <v>0</v>
      </c>
      <c r="S539" s="232">
        <v>0</v>
      </c>
      <c r="T539" s="232">
        <v>0.87742787320044935</v>
      </c>
      <c r="U539" s="232">
        <v>0</v>
      </c>
      <c r="V539" s="232">
        <v>0</v>
      </c>
      <c r="W539" s="232">
        <v>0</v>
      </c>
      <c r="X539" s="232">
        <f>SUM(E539:W539)</f>
        <v>1</v>
      </c>
      <c r="Y539" s="223"/>
      <c r="Z539" s="224" t="s">
        <v>663</v>
      </c>
      <c r="AA539" s="157" t="s">
        <v>663</v>
      </c>
      <c r="AB539" s="282" t="s">
        <v>1101</v>
      </c>
      <c r="AC539" s="530" t="s">
        <v>3015</v>
      </c>
      <c r="AD539" s="159"/>
    </row>
    <row r="540" spans="1:30" x14ac:dyDescent="0.2">
      <c r="A540" s="327" t="s">
        <v>1101</v>
      </c>
      <c r="B540" s="325"/>
      <c r="C540" s="225" t="s">
        <v>2058</v>
      </c>
      <c r="D540" s="226" t="s">
        <v>2059</v>
      </c>
      <c r="E540" s="232">
        <v>0</v>
      </c>
      <c r="F540" s="232">
        <v>0</v>
      </c>
      <c r="G540" s="232">
        <v>0</v>
      </c>
      <c r="H540" s="232">
        <v>0</v>
      </c>
      <c r="I540" s="232">
        <v>2.9965207131935997E-2</v>
      </c>
      <c r="J540" s="232">
        <v>0</v>
      </c>
      <c r="K540" s="232">
        <v>0</v>
      </c>
      <c r="L540" s="232">
        <v>0</v>
      </c>
      <c r="M540" s="232">
        <v>0</v>
      </c>
      <c r="N540" s="232">
        <v>0.10061038007295665</v>
      </c>
      <c r="O540" s="232">
        <v>0</v>
      </c>
      <c r="P540" s="232">
        <v>0</v>
      </c>
      <c r="Q540" s="232">
        <v>0</v>
      </c>
      <c r="R540" s="232">
        <v>0</v>
      </c>
      <c r="S540" s="232">
        <v>0</v>
      </c>
      <c r="T540" s="232">
        <v>0.86942441279510729</v>
      </c>
      <c r="U540" s="232">
        <v>0</v>
      </c>
      <c r="V540" s="232">
        <v>0</v>
      </c>
      <c r="W540" s="232">
        <v>0</v>
      </c>
      <c r="X540" s="232">
        <f>SUM(E540:W540)</f>
        <v>1</v>
      </c>
      <c r="Y540" s="223"/>
      <c r="Z540" s="224" t="s">
        <v>663</v>
      </c>
      <c r="AA540" s="157" t="s">
        <v>663</v>
      </c>
      <c r="AB540" s="282" t="s">
        <v>1101</v>
      </c>
      <c r="AC540" s="530" t="s">
        <v>3015</v>
      </c>
      <c r="AD540" s="159"/>
    </row>
    <row r="541" spans="1:30" x14ac:dyDescent="0.2">
      <c r="A541" s="270" t="s">
        <v>2821</v>
      </c>
      <c r="B541" s="270"/>
      <c r="C541" s="272" t="s">
        <v>2060</v>
      </c>
      <c r="D541" s="273" t="s">
        <v>2061</v>
      </c>
      <c r="E541" s="274">
        <v>0</v>
      </c>
      <c r="F541" s="274">
        <v>0</v>
      </c>
      <c r="G541" s="274">
        <v>0</v>
      </c>
      <c r="H541" s="274">
        <v>1</v>
      </c>
      <c r="I541" s="274">
        <v>0</v>
      </c>
      <c r="J541" s="274">
        <v>0</v>
      </c>
      <c r="K541" s="274">
        <v>0</v>
      </c>
      <c r="L541" s="274">
        <v>0</v>
      </c>
      <c r="M541" s="274">
        <v>0</v>
      </c>
      <c r="N541" s="274">
        <v>0</v>
      </c>
      <c r="O541" s="274">
        <v>0</v>
      </c>
      <c r="P541" s="274">
        <v>0</v>
      </c>
      <c r="Q541" s="274">
        <v>0</v>
      </c>
      <c r="R541" s="274">
        <v>0</v>
      </c>
      <c r="S541" s="274">
        <v>0</v>
      </c>
      <c r="T541" s="274">
        <v>0</v>
      </c>
      <c r="U541" s="274">
        <v>0</v>
      </c>
      <c r="V541" s="274">
        <v>0</v>
      </c>
      <c r="W541" s="274">
        <v>0</v>
      </c>
      <c r="X541" s="274">
        <f>SUBTOTAL(9,E541:W541)</f>
        <v>1</v>
      </c>
      <c r="Y541" s="223"/>
      <c r="Z541" s="224" t="s">
        <v>663</v>
      </c>
      <c r="AA541" s="157" t="s">
        <v>649</v>
      </c>
      <c r="AB541" s="259" t="s">
        <v>2821</v>
      </c>
      <c r="AC541" s="530" t="s">
        <v>3015</v>
      </c>
      <c r="AD541" s="159"/>
    </row>
    <row r="542" spans="1:30" x14ac:dyDescent="0.2">
      <c r="A542" s="292" t="s">
        <v>2821</v>
      </c>
      <c r="B542" s="292"/>
      <c r="C542" s="342" t="s">
        <v>2062</v>
      </c>
      <c r="D542" s="343" t="s">
        <v>2063</v>
      </c>
      <c r="E542" s="278">
        <v>0</v>
      </c>
      <c r="F542" s="278">
        <v>0</v>
      </c>
      <c r="G542" s="278">
        <v>0</v>
      </c>
      <c r="H542" s="278">
        <v>1</v>
      </c>
      <c r="I542" s="278">
        <v>0</v>
      </c>
      <c r="J542" s="278">
        <v>0</v>
      </c>
      <c r="K542" s="278">
        <v>0</v>
      </c>
      <c r="L542" s="278">
        <v>0</v>
      </c>
      <c r="M542" s="278">
        <v>0</v>
      </c>
      <c r="N542" s="278">
        <v>0</v>
      </c>
      <c r="O542" s="278">
        <v>0</v>
      </c>
      <c r="P542" s="278">
        <v>0</v>
      </c>
      <c r="Q542" s="278">
        <v>0</v>
      </c>
      <c r="R542" s="278">
        <v>0</v>
      </c>
      <c r="S542" s="278">
        <v>0</v>
      </c>
      <c r="T542" s="278">
        <v>0</v>
      </c>
      <c r="U542" s="278">
        <v>0</v>
      </c>
      <c r="V542" s="278">
        <v>0</v>
      </c>
      <c r="W542" s="278">
        <v>0</v>
      </c>
      <c r="X542" s="278">
        <f>SUBTOTAL(9,E542:W542)</f>
        <v>1</v>
      </c>
      <c r="Y542" s="223"/>
      <c r="Z542" s="224" t="s">
        <v>663</v>
      </c>
      <c r="AA542" s="157" t="s">
        <v>649</v>
      </c>
      <c r="AB542" s="259" t="s">
        <v>2821</v>
      </c>
      <c r="AC542" s="530" t="s">
        <v>3015</v>
      </c>
      <c r="AD542" s="159"/>
    </row>
    <row r="543" spans="1:30" x14ac:dyDescent="0.2">
      <c r="A543" s="316" t="s">
        <v>2821</v>
      </c>
      <c r="B543" s="316"/>
      <c r="C543" s="331" t="s">
        <v>2064</v>
      </c>
      <c r="D543" s="332" t="s">
        <v>2065</v>
      </c>
      <c r="E543" s="278">
        <v>0</v>
      </c>
      <c r="F543" s="278">
        <v>0</v>
      </c>
      <c r="G543" s="278">
        <v>0</v>
      </c>
      <c r="H543" s="278">
        <v>1</v>
      </c>
      <c r="I543" s="278">
        <v>0</v>
      </c>
      <c r="J543" s="278">
        <v>0</v>
      </c>
      <c r="K543" s="278">
        <v>0</v>
      </c>
      <c r="L543" s="278">
        <v>0</v>
      </c>
      <c r="M543" s="278">
        <v>0</v>
      </c>
      <c r="N543" s="278">
        <v>0</v>
      </c>
      <c r="O543" s="278">
        <v>0</v>
      </c>
      <c r="P543" s="278">
        <v>0</v>
      </c>
      <c r="Q543" s="278">
        <v>0</v>
      </c>
      <c r="R543" s="278">
        <v>0</v>
      </c>
      <c r="S543" s="278">
        <v>0</v>
      </c>
      <c r="T543" s="278">
        <v>0</v>
      </c>
      <c r="U543" s="278">
        <v>0</v>
      </c>
      <c r="V543" s="278">
        <v>0</v>
      </c>
      <c r="W543" s="278">
        <v>0</v>
      </c>
      <c r="X543" s="278">
        <f>SUBTOTAL(9,E543:W543)</f>
        <v>1</v>
      </c>
      <c r="Y543" s="223"/>
      <c r="Z543" s="224" t="s">
        <v>663</v>
      </c>
      <c r="AA543" s="157" t="s">
        <v>649</v>
      </c>
      <c r="AB543" s="259" t="s">
        <v>2821</v>
      </c>
      <c r="AC543" s="530" t="s">
        <v>3015</v>
      </c>
      <c r="AD543" s="159"/>
    </row>
    <row r="544" spans="1:30" x14ac:dyDescent="0.2">
      <c r="A544" s="270" t="s">
        <v>2821</v>
      </c>
      <c r="B544" s="270"/>
      <c r="C544" s="272" t="s">
        <v>2066</v>
      </c>
      <c r="D544" s="273" t="s">
        <v>2067</v>
      </c>
      <c r="E544" s="274">
        <v>0</v>
      </c>
      <c r="F544" s="274">
        <v>0</v>
      </c>
      <c r="G544" s="274">
        <v>0</v>
      </c>
      <c r="H544" s="274">
        <v>1</v>
      </c>
      <c r="I544" s="274">
        <v>0</v>
      </c>
      <c r="J544" s="274">
        <v>0</v>
      </c>
      <c r="K544" s="274">
        <v>0</v>
      </c>
      <c r="L544" s="274">
        <v>0</v>
      </c>
      <c r="M544" s="274">
        <v>0</v>
      </c>
      <c r="N544" s="274">
        <v>0</v>
      </c>
      <c r="O544" s="274">
        <v>0</v>
      </c>
      <c r="P544" s="274">
        <v>0</v>
      </c>
      <c r="Q544" s="274">
        <v>0</v>
      </c>
      <c r="R544" s="274">
        <v>0</v>
      </c>
      <c r="S544" s="274">
        <v>0</v>
      </c>
      <c r="T544" s="274">
        <v>0</v>
      </c>
      <c r="U544" s="274">
        <v>0</v>
      </c>
      <c r="V544" s="274">
        <v>0</v>
      </c>
      <c r="W544" s="274">
        <v>0</v>
      </c>
      <c r="X544" s="274">
        <f>SUBTOTAL(9,E544:W544)</f>
        <v>1</v>
      </c>
      <c r="Y544" s="223"/>
      <c r="Z544" s="224" t="s">
        <v>663</v>
      </c>
      <c r="AA544" s="157" t="s">
        <v>649</v>
      </c>
      <c r="AB544" s="259" t="s">
        <v>2821</v>
      </c>
      <c r="AC544" s="530" t="s">
        <v>3015</v>
      </c>
      <c r="AD544" s="159"/>
    </row>
    <row r="545" spans="1:30" x14ac:dyDescent="0.2">
      <c r="A545" s="282" t="s">
        <v>1101</v>
      </c>
      <c r="B545" s="282"/>
      <c r="C545" s="238" t="s">
        <v>2068</v>
      </c>
      <c r="D545" s="239" t="s">
        <v>2069</v>
      </c>
      <c r="E545" s="221">
        <v>0</v>
      </c>
      <c r="F545" s="221">
        <v>0</v>
      </c>
      <c r="G545" s="221">
        <v>0</v>
      </c>
      <c r="H545" s="221">
        <v>1</v>
      </c>
      <c r="I545" s="221">
        <v>0</v>
      </c>
      <c r="J545" s="221">
        <v>0</v>
      </c>
      <c r="K545" s="221">
        <v>0</v>
      </c>
      <c r="L545" s="221">
        <v>0</v>
      </c>
      <c r="M545" s="221">
        <v>0</v>
      </c>
      <c r="N545" s="221">
        <v>0</v>
      </c>
      <c r="O545" s="221">
        <v>0</v>
      </c>
      <c r="P545" s="221">
        <v>0</v>
      </c>
      <c r="Q545" s="221">
        <v>0</v>
      </c>
      <c r="R545" s="221">
        <v>0</v>
      </c>
      <c r="S545" s="221">
        <v>0</v>
      </c>
      <c r="T545" s="221">
        <v>0</v>
      </c>
      <c r="U545" s="221">
        <v>0</v>
      </c>
      <c r="V545" s="221">
        <v>0</v>
      </c>
      <c r="W545" s="221">
        <v>0</v>
      </c>
      <c r="X545" s="221">
        <f>SUM(E545:W545)</f>
        <v>1</v>
      </c>
      <c r="Y545" s="223"/>
      <c r="Z545" s="224" t="s">
        <v>663</v>
      </c>
      <c r="AA545" s="157" t="s">
        <v>663</v>
      </c>
      <c r="AB545" s="282" t="s">
        <v>1101</v>
      </c>
      <c r="AC545" s="530" t="s">
        <v>3015</v>
      </c>
      <c r="AD545" s="159"/>
    </row>
    <row r="546" spans="1:30" x14ac:dyDescent="0.2">
      <c r="A546" s="270" t="s">
        <v>2821</v>
      </c>
      <c r="B546" s="334"/>
      <c r="C546" s="272" t="s">
        <v>2070</v>
      </c>
      <c r="D546" s="273" t="s">
        <v>2071</v>
      </c>
      <c r="E546" s="274">
        <v>1</v>
      </c>
      <c r="F546" s="274">
        <v>0</v>
      </c>
      <c r="G546" s="274">
        <v>0</v>
      </c>
      <c r="H546" s="274">
        <v>0</v>
      </c>
      <c r="I546" s="274">
        <v>0</v>
      </c>
      <c r="J546" s="274">
        <v>0</v>
      </c>
      <c r="K546" s="274">
        <v>0</v>
      </c>
      <c r="L546" s="274">
        <v>0</v>
      </c>
      <c r="M546" s="274">
        <v>0</v>
      </c>
      <c r="N546" s="274">
        <v>0</v>
      </c>
      <c r="O546" s="274">
        <v>0</v>
      </c>
      <c r="P546" s="274">
        <v>0</v>
      </c>
      <c r="Q546" s="274">
        <v>0</v>
      </c>
      <c r="R546" s="274">
        <v>0</v>
      </c>
      <c r="S546" s="274">
        <v>0</v>
      </c>
      <c r="T546" s="274">
        <v>0</v>
      </c>
      <c r="U546" s="274">
        <v>0</v>
      </c>
      <c r="V546" s="274">
        <v>0</v>
      </c>
      <c r="W546" s="274">
        <v>0</v>
      </c>
      <c r="X546" s="274">
        <f>SUBTOTAL(9,E546:W546)</f>
        <v>1</v>
      </c>
      <c r="Y546" s="223"/>
      <c r="Z546" s="224" t="s">
        <v>663</v>
      </c>
      <c r="AA546" s="157" t="s">
        <v>649</v>
      </c>
      <c r="AB546" s="259" t="s">
        <v>2821</v>
      </c>
      <c r="AC546" s="530" t="s">
        <v>3015</v>
      </c>
      <c r="AD546" s="159"/>
    </row>
    <row r="547" spans="1:30" x14ac:dyDescent="0.2">
      <c r="A547" s="276" t="s">
        <v>2821</v>
      </c>
      <c r="B547" s="276"/>
      <c r="C547" s="344" t="s">
        <v>2072</v>
      </c>
      <c r="D547" s="345" t="s">
        <v>2073</v>
      </c>
      <c r="E547" s="278">
        <v>0.30232558139534887</v>
      </c>
      <c r="F547" s="278">
        <v>0</v>
      </c>
      <c r="G547" s="278">
        <v>0</v>
      </c>
      <c r="H547" s="278">
        <v>0</v>
      </c>
      <c r="I547" s="278">
        <v>0</v>
      </c>
      <c r="J547" s="278">
        <v>0</v>
      </c>
      <c r="K547" s="278">
        <v>0</v>
      </c>
      <c r="L547" s="278">
        <v>0.69767441860465118</v>
      </c>
      <c r="M547" s="278">
        <v>0</v>
      </c>
      <c r="N547" s="278">
        <v>0</v>
      </c>
      <c r="O547" s="278">
        <v>0</v>
      </c>
      <c r="P547" s="278">
        <v>0</v>
      </c>
      <c r="Q547" s="278">
        <v>0</v>
      </c>
      <c r="R547" s="278">
        <v>0</v>
      </c>
      <c r="S547" s="278">
        <v>0</v>
      </c>
      <c r="T547" s="278">
        <v>0</v>
      </c>
      <c r="U547" s="278">
        <v>0</v>
      </c>
      <c r="V547" s="278">
        <v>0</v>
      </c>
      <c r="W547" s="278">
        <v>0</v>
      </c>
      <c r="X547" s="278">
        <f>SUBTOTAL(9,E547:W547)</f>
        <v>1</v>
      </c>
      <c r="Y547" s="223"/>
      <c r="Z547" s="224" t="s">
        <v>663</v>
      </c>
      <c r="AA547" s="157" t="s">
        <v>649</v>
      </c>
      <c r="AB547" s="259" t="s">
        <v>2821</v>
      </c>
      <c r="AC547" s="530" t="s">
        <v>3015</v>
      </c>
      <c r="AD547" s="159"/>
    </row>
    <row r="548" spans="1:30" x14ac:dyDescent="0.2">
      <c r="A548" s="270" t="s">
        <v>2821</v>
      </c>
      <c r="B548" s="334"/>
      <c r="C548" s="272" t="s">
        <v>2074</v>
      </c>
      <c r="D548" s="273" t="s">
        <v>2075</v>
      </c>
      <c r="E548" s="274">
        <v>0.65116279069767447</v>
      </c>
      <c r="F548" s="274">
        <v>0</v>
      </c>
      <c r="G548" s="274">
        <v>0</v>
      </c>
      <c r="H548" s="274">
        <v>0</v>
      </c>
      <c r="I548" s="274">
        <v>0</v>
      </c>
      <c r="J548" s="274">
        <v>0</v>
      </c>
      <c r="K548" s="274">
        <v>0</v>
      </c>
      <c r="L548" s="274">
        <v>0.34883720930232559</v>
      </c>
      <c r="M548" s="274">
        <v>0</v>
      </c>
      <c r="N548" s="274">
        <v>0</v>
      </c>
      <c r="O548" s="274">
        <v>0</v>
      </c>
      <c r="P548" s="274">
        <v>0</v>
      </c>
      <c r="Q548" s="274">
        <v>0</v>
      </c>
      <c r="R548" s="274">
        <v>0</v>
      </c>
      <c r="S548" s="274">
        <v>0</v>
      </c>
      <c r="T548" s="274">
        <v>0</v>
      </c>
      <c r="U548" s="274">
        <v>0</v>
      </c>
      <c r="V548" s="274">
        <v>0</v>
      </c>
      <c r="W548" s="274">
        <v>0</v>
      </c>
      <c r="X548" s="274">
        <f>SUBTOTAL(9,E548:W548)</f>
        <v>1</v>
      </c>
      <c r="Y548" s="223"/>
      <c r="Z548" s="224" t="s">
        <v>663</v>
      </c>
      <c r="AA548" s="157" t="s">
        <v>649</v>
      </c>
      <c r="AB548" s="259" t="s">
        <v>2821</v>
      </c>
      <c r="AC548" s="530" t="s">
        <v>3015</v>
      </c>
      <c r="AD548" s="159"/>
    </row>
    <row r="549" spans="1:30" x14ac:dyDescent="0.2">
      <c r="A549" s="338" t="s">
        <v>1101</v>
      </c>
      <c r="B549" s="338"/>
      <c r="C549" s="279" t="s">
        <v>2076</v>
      </c>
      <c r="D549" s="280" t="s">
        <v>2077</v>
      </c>
      <c r="E549" s="262">
        <v>0</v>
      </c>
      <c r="F549" s="262">
        <v>0</v>
      </c>
      <c r="G549" s="262">
        <v>0</v>
      </c>
      <c r="H549" s="262">
        <v>1</v>
      </c>
      <c r="I549" s="262">
        <v>0</v>
      </c>
      <c r="J549" s="262">
        <v>0</v>
      </c>
      <c r="K549" s="262">
        <v>0</v>
      </c>
      <c r="L549" s="262">
        <v>0</v>
      </c>
      <c r="M549" s="262">
        <v>0</v>
      </c>
      <c r="N549" s="262">
        <v>0</v>
      </c>
      <c r="O549" s="262">
        <v>0</v>
      </c>
      <c r="P549" s="262">
        <v>0</v>
      </c>
      <c r="Q549" s="262">
        <v>0</v>
      </c>
      <c r="R549" s="262">
        <v>0</v>
      </c>
      <c r="S549" s="262">
        <v>0</v>
      </c>
      <c r="T549" s="262">
        <v>0</v>
      </c>
      <c r="U549" s="262">
        <v>0</v>
      </c>
      <c r="V549" s="262">
        <v>0</v>
      </c>
      <c r="W549" s="262">
        <v>0</v>
      </c>
      <c r="X549" s="232">
        <f>SUM(E549:W549)</f>
        <v>1</v>
      </c>
      <c r="Y549" s="223"/>
      <c r="Z549" s="224" t="s">
        <v>663</v>
      </c>
      <c r="AA549" s="157" t="s">
        <v>663</v>
      </c>
      <c r="AB549" s="282" t="s">
        <v>1101</v>
      </c>
      <c r="AC549" s="530" t="s">
        <v>3015</v>
      </c>
      <c r="AD549" s="159"/>
    </row>
    <row r="550" spans="1:30" x14ac:dyDescent="0.2">
      <c r="A550" s="270" t="s">
        <v>2821</v>
      </c>
      <c r="B550" s="270"/>
      <c r="C550" s="272" t="s">
        <v>2078</v>
      </c>
      <c r="D550" s="273" t="s">
        <v>2079</v>
      </c>
      <c r="E550" s="274">
        <v>1</v>
      </c>
      <c r="F550" s="274">
        <v>0</v>
      </c>
      <c r="G550" s="274">
        <v>0</v>
      </c>
      <c r="H550" s="274">
        <v>0</v>
      </c>
      <c r="I550" s="274">
        <v>0</v>
      </c>
      <c r="J550" s="274">
        <v>0</v>
      </c>
      <c r="K550" s="274">
        <v>0</v>
      </c>
      <c r="L550" s="274">
        <v>0</v>
      </c>
      <c r="M550" s="274">
        <v>0</v>
      </c>
      <c r="N550" s="274">
        <v>0</v>
      </c>
      <c r="O550" s="274">
        <v>0</v>
      </c>
      <c r="P550" s="274">
        <v>0</v>
      </c>
      <c r="Q550" s="274">
        <v>0</v>
      </c>
      <c r="R550" s="274">
        <v>0</v>
      </c>
      <c r="S550" s="274">
        <v>0</v>
      </c>
      <c r="T550" s="274">
        <v>0</v>
      </c>
      <c r="U550" s="274">
        <v>0</v>
      </c>
      <c r="V550" s="274">
        <v>0</v>
      </c>
      <c r="W550" s="274">
        <v>0</v>
      </c>
      <c r="X550" s="274">
        <f>SUBTOTAL(9,E550:W550)</f>
        <v>1</v>
      </c>
      <c r="Y550" s="223"/>
      <c r="Z550" s="224" t="s">
        <v>663</v>
      </c>
      <c r="AA550" s="157" t="s">
        <v>649</v>
      </c>
      <c r="AB550" s="259" t="s">
        <v>2821</v>
      </c>
      <c r="AC550" s="530" t="s">
        <v>3015</v>
      </c>
      <c r="AD550" s="159"/>
    </row>
    <row r="551" spans="1:30" x14ac:dyDescent="0.2">
      <c r="A551" s="276" t="s">
        <v>2821</v>
      </c>
      <c r="B551" s="276"/>
      <c r="C551" s="344" t="s">
        <v>2080</v>
      </c>
      <c r="D551" s="345" t="s">
        <v>2081</v>
      </c>
      <c r="E551" s="278">
        <v>0</v>
      </c>
      <c r="F551" s="278">
        <v>0</v>
      </c>
      <c r="G551" s="278">
        <v>0</v>
      </c>
      <c r="H551" s="278">
        <v>0</v>
      </c>
      <c r="I551" s="278">
        <v>0</v>
      </c>
      <c r="J551" s="278">
        <v>0</v>
      </c>
      <c r="K551" s="278">
        <v>0</v>
      </c>
      <c r="L551" s="278">
        <v>0</v>
      </c>
      <c r="M551" s="278">
        <v>0</v>
      </c>
      <c r="N551" s="278">
        <v>1</v>
      </c>
      <c r="O551" s="278">
        <v>0</v>
      </c>
      <c r="P551" s="278">
        <v>0</v>
      </c>
      <c r="Q551" s="278">
        <v>0</v>
      </c>
      <c r="R551" s="278">
        <v>0</v>
      </c>
      <c r="S551" s="278">
        <v>0</v>
      </c>
      <c r="T551" s="278">
        <v>0</v>
      </c>
      <c r="U551" s="278">
        <v>0</v>
      </c>
      <c r="V551" s="278">
        <v>0</v>
      </c>
      <c r="W551" s="278">
        <v>0</v>
      </c>
      <c r="X551" s="278">
        <f>SUBTOTAL(9,E551:W551)</f>
        <v>1</v>
      </c>
      <c r="Y551" s="223"/>
      <c r="Z551" s="224" t="s">
        <v>663</v>
      </c>
      <c r="AA551" s="157" t="s">
        <v>649</v>
      </c>
      <c r="AB551" s="259" t="s">
        <v>2821</v>
      </c>
      <c r="AC551" s="530" t="s">
        <v>3015</v>
      </c>
      <c r="AD551" s="159"/>
    </row>
    <row r="552" spans="1:30" x14ac:dyDescent="0.2">
      <c r="A552" s="282" t="s">
        <v>1101</v>
      </c>
      <c r="B552" s="282"/>
      <c r="C552" s="238" t="s">
        <v>2082</v>
      </c>
      <c r="D552" s="239" t="s">
        <v>2083</v>
      </c>
      <c r="E552" s="240">
        <v>0</v>
      </c>
      <c r="F552" s="240">
        <v>0</v>
      </c>
      <c r="G552" s="240">
        <v>0</v>
      </c>
      <c r="H552" s="240">
        <v>0</v>
      </c>
      <c r="I552" s="240">
        <v>0</v>
      </c>
      <c r="J552" s="240">
        <v>1</v>
      </c>
      <c r="K552" s="240">
        <v>0</v>
      </c>
      <c r="L552" s="240">
        <v>0</v>
      </c>
      <c r="M552" s="240">
        <v>0</v>
      </c>
      <c r="N552" s="240">
        <v>0</v>
      </c>
      <c r="O552" s="240">
        <v>0</v>
      </c>
      <c r="P552" s="240">
        <v>0</v>
      </c>
      <c r="Q552" s="240">
        <v>0</v>
      </c>
      <c r="R552" s="240">
        <v>0</v>
      </c>
      <c r="S552" s="240">
        <v>0</v>
      </c>
      <c r="T552" s="240">
        <v>0</v>
      </c>
      <c r="U552" s="240">
        <v>0</v>
      </c>
      <c r="V552" s="240">
        <v>0</v>
      </c>
      <c r="W552" s="240">
        <v>0</v>
      </c>
      <c r="X552" s="221">
        <f>SUM(E552:W552)</f>
        <v>1</v>
      </c>
      <c r="Y552" s="223"/>
      <c r="Z552" s="224" t="s">
        <v>663</v>
      </c>
      <c r="AA552" s="157" t="s">
        <v>663</v>
      </c>
      <c r="AB552" s="282" t="s">
        <v>1101</v>
      </c>
      <c r="AC552" s="530" t="s">
        <v>3015</v>
      </c>
      <c r="AD552" s="159"/>
    </row>
    <row r="553" spans="1:30" x14ac:dyDescent="0.2">
      <c r="A553" s="282" t="s">
        <v>1101</v>
      </c>
      <c r="B553" s="282"/>
      <c r="C553" s="238" t="s">
        <v>2084</v>
      </c>
      <c r="D553" s="239" t="s">
        <v>2085</v>
      </c>
      <c r="E553" s="221">
        <v>0</v>
      </c>
      <c r="F553" s="221">
        <v>0</v>
      </c>
      <c r="G553" s="221">
        <v>0</v>
      </c>
      <c r="H553" s="221">
        <v>0</v>
      </c>
      <c r="I553" s="221">
        <v>0</v>
      </c>
      <c r="J553" s="221">
        <v>1</v>
      </c>
      <c r="K553" s="221">
        <v>0</v>
      </c>
      <c r="L553" s="221">
        <v>0</v>
      </c>
      <c r="M553" s="221">
        <v>0</v>
      </c>
      <c r="N553" s="221">
        <v>0</v>
      </c>
      <c r="O553" s="221">
        <v>0</v>
      </c>
      <c r="P553" s="221">
        <v>0</v>
      </c>
      <c r="Q553" s="221">
        <v>0</v>
      </c>
      <c r="R553" s="221">
        <v>0</v>
      </c>
      <c r="S553" s="221">
        <v>0</v>
      </c>
      <c r="T553" s="221">
        <v>0</v>
      </c>
      <c r="U553" s="221">
        <v>0</v>
      </c>
      <c r="V553" s="221">
        <v>0</v>
      </c>
      <c r="W553" s="221">
        <v>0</v>
      </c>
      <c r="X553" s="221">
        <f>SUM(E553:W553)</f>
        <v>1</v>
      </c>
      <c r="Y553" s="223"/>
      <c r="Z553" s="224" t="s">
        <v>663</v>
      </c>
      <c r="AA553" s="157" t="s">
        <v>663</v>
      </c>
      <c r="AB553" s="282" t="s">
        <v>1101</v>
      </c>
      <c r="AC553" s="530" t="s">
        <v>3015</v>
      </c>
      <c r="AD553" s="159"/>
    </row>
    <row r="554" spans="1:30" x14ac:dyDescent="0.2">
      <c r="A554" s="282" t="s">
        <v>1101</v>
      </c>
      <c r="B554" s="282"/>
      <c r="C554" s="238" t="s">
        <v>2086</v>
      </c>
      <c r="D554" s="239" t="s">
        <v>2087</v>
      </c>
      <c r="E554" s="221">
        <v>0</v>
      </c>
      <c r="F554" s="221">
        <v>0</v>
      </c>
      <c r="G554" s="221">
        <v>0</v>
      </c>
      <c r="H554" s="221">
        <v>0</v>
      </c>
      <c r="I554" s="221">
        <v>0.12698412698412698</v>
      </c>
      <c r="J554" s="221">
        <v>0.87301587301587302</v>
      </c>
      <c r="K554" s="221">
        <v>0</v>
      </c>
      <c r="L554" s="221">
        <v>0</v>
      </c>
      <c r="M554" s="221">
        <v>0</v>
      </c>
      <c r="N554" s="221">
        <v>0</v>
      </c>
      <c r="O554" s="221">
        <v>0</v>
      </c>
      <c r="P554" s="221">
        <v>0</v>
      </c>
      <c r="Q554" s="221">
        <v>0</v>
      </c>
      <c r="R554" s="221">
        <v>0</v>
      </c>
      <c r="S554" s="221">
        <v>0</v>
      </c>
      <c r="T554" s="221">
        <v>0</v>
      </c>
      <c r="U554" s="221">
        <v>0</v>
      </c>
      <c r="V554" s="221">
        <v>0</v>
      </c>
      <c r="W554" s="221">
        <v>0</v>
      </c>
      <c r="X554" s="221">
        <f>SUM(E554:W554)</f>
        <v>1</v>
      </c>
      <c r="Y554" s="223"/>
      <c r="Z554" s="224" t="s">
        <v>663</v>
      </c>
      <c r="AA554" s="157" t="s">
        <v>663</v>
      </c>
      <c r="AB554" s="282" t="s">
        <v>1101</v>
      </c>
      <c r="AC554" s="530" t="s">
        <v>3015</v>
      </c>
      <c r="AD554" s="159"/>
    </row>
    <row r="555" spans="1:30" x14ac:dyDescent="0.2">
      <c r="A555" s="270" t="s">
        <v>2821</v>
      </c>
      <c r="B555" s="270"/>
      <c r="C555" s="272" t="s">
        <v>2088</v>
      </c>
      <c r="D555" s="273" t="s">
        <v>2089</v>
      </c>
      <c r="E555" s="274">
        <v>0</v>
      </c>
      <c r="F555" s="274">
        <v>0</v>
      </c>
      <c r="G555" s="274">
        <v>0</v>
      </c>
      <c r="H555" s="274">
        <v>0</v>
      </c>
      <c r="I555" s="274">
        <v>0</v>
      </c>
      <c r="J555" s="274">
        <v>0</v>
      </c>
      <c r="K555" s="274">
        <v>0</v>
      </c>
      <c r="L555" s="274">
        <v>0</v>
      </c>
      <c r="M555" s="274">
        <v>0</v>
      </c>
      <c r="N555" s="274">
        <v>1</v>
      </c>
      <c r="O555" s="274">
        <v>0</v>
      </c>
      <c r="P555" s="274">
        <v>0</v>
      </c>
      <c r="Q555" s="274">
        <v>0</v>
      </c>
      <c r="R555" s="274">
        <v>0</v>
      </c>
      <c r="S555" s="274">
        <v>0</v>
      </c>
      <c r="T555" s="274">
        <v>0</v>
      </c>
      <c r="U555" s="274">
        <v>0</v>
      </c>
      <c r="V555" s="274">
        <v>0</v>
      </c>
      <c r="W555" s="274">
        <v>0</v>
      </c>
      <c r="X555" s="274">
        <f>SUBTOTAL(9,E555:W555)</f>
        <v>1</v>
      </c>
      <c r="Y555" s="223"/>
      <c r="Z555" s="224" t="s">
        <v>663</v>
      </c>
      <c r="AA555" s="157" t="s">
        <v>649</v>
      </c>
      <c r="AB555" s="259" t="s">
        <v>2821</v>
      </c>
      <c r="AC555" s="530" t="s">
        <v>3015</v>
      </c>
      <c r="AD555" s="159"/>
    </row>
    <row r="556" spans="1:30" x14ac:dyDescent="0.2">
      <c r="A556" s="270" t="s">
        <v>2821</v>
      </c>
      <c r="B556" s="270"/>
      <c r="C556" s="355" t="s">
        <v>1300</v>
      </c>
      <c r="D556" s="356" t="s">
        <v>1301</v>
      </c>
      <c r="E556" s="278">
        <v>0</v>
      </c>
      <c r="F556" s="278">
        <v>1.2598210977913676E-2</v>
      </c>
      <c r="G556" s="278">
        <v>4.0410234138469919E-2</v>
      </c>
      <c r="H556" s="278">
        <v>1.9519967422123616E-2</v>
      </c>
      <c r="I556" s="278">
        <v>0</v>
      </c>
      <c r="J556" s="278">
        <v>5.2750171450762124E-4</v>
      </c>
      <c r="K556" s="278">
        <v>0</v>
      </c>
      <c r="L556" s="278">
        <v>0</v>
      </c>
      <c r="M556" s="278">
        <v>0</v>
      </c>
      <c r="N556" s="278">
        <v>0.20535383112557634</v>
      </c>
      <c r="O556" s="278">
        <v>6.9132359534140365E-4</v>
      </c>
      <c r="P556" s="278">
        <v>0.10775079637737764</v>
      </c>
      <c r="Q556" s="278">
        <v>8.184812382001588E-3</v>
      </c>
      <c r="R556" s="278">
        <v>0</v>
      </c>
      <c r="S556" s="278">
        <v>0.13438161930988823</v>
      </c>
      <c r="T556" s="278">
        <v>0.29999201374783002</v>
      </c>
      <c r="U556" s="278">
        <v>1.6595559557543139E-4</v>
      </c>
      <c r="V556" s="278">
        <v>0</v>
      </c>
      <c r="W556" s="278">
        <v>0.17042373361339447</v>
      </c>
      <c r="X556" s="357">
        <f>SUM(E556:W556)</f>
        <v>0.99999999999999989</v>
      </c>
      <c r="Y556" s="223"/>
      <c r="Z556" s="224" t="s">
        <v>663</v>
      </c>
      <c r="AA556" s="157" t="s">
        <v>649</v>
      </c>
      <c r="AB556" s="270" t="s">
        <v>2821</v>
      </c>
      <c r="AC556" s="530" t="s">
        <v>3015</v>
      </c>
      <c r="AD556" s="159"/>
    </row>
    <row r="557" spans="1:30" x14ac:dyDescent="0.2">
      <c r="A557" s="254" t="s">
        <v>2821</v>
      </c>
      <c r="B557" s="276"/>
      <c r="C557" s="344" t="s">
        <v>2090</v>
      </c>
      <c r="D557" s="345" t="s">
        <v>2091</v>
      </c>
      <c r="E557" s="258">
        <v>0.3</v>
      </c>
      <c r="F557" s="258">
        <v>0</v>
      </c>
      <c r="G557" s="258">
        <v>0</v>
      </c>
      <c r="H557" s="258">
        <v>0</v>
      </c>
      <c r="I557" s="258">
        <v>0</v>
      </c>
      <c r="J557" s="258">
        <v>0</v>
      </c>
      <c r="K557" s="258">
        <v>0</v>
      </c>
      <c r="L557" s="258">
        <v>0.7</v>
      </c>
      <c r="M557" s="258">
        <v>0</v>
      </c>
      <c r="N557" s="258">
        <v>0</v>
      </c>
      <c r="O557" s="258">
        <v>0</v>
      </c>
      <c r="P557" s="258">
        <v>0</v>
      </c>
      <c r="Q557" s="258">
        <v>0</v>
      </c>
      <c r="R557" s="258">
        <v>0</v>
      </c>
      <c r="S557" s="258">
        <v>0</v>
      </c>
      <c r="T557" s="258">
        <v>0</v>
      </c>
      <c r="U557" s="258">
        <v>0</v>
      </c>
      <c r="V557" s="258">
        <v>0</v>
      </c>
      <c r="W557" s="258">
        <v>0</v>
      </c>
      <c r="X557" s="258">
        <f>SUBTOTAL(9,E557:W557)</f>
        <v>1</v>
      </c>
      <c r="Y557" s="223"/>
      <c r="Z557" s="224" t="s">
        <v>663</v>
      </c>
      <c r="AA557" s="157" t="s">
        <v>649</v>
      </c>
      <c r="AB557" s="259" t="s">
        <v>2821</v>
      </c>
      <c r="AC557" s="530" t="s">
        <v>3015</v>
      </c>
      <c r="AD557" s="159"/>
    </row>
    <row r="558" spans="1:30" x14ac:dyDescent="0.2">
      <c r="A558" s="282" t="s">
        <v>1101</v>
      </c>
      <c r="B558" s="282"/>
      <c r="C558" s="238" t="s">
        <v>2092</v>
      </c>
      <c r="D558" s="239" t="s">
        <v>2093</v>
      </c>
      <c r="E558" s="221">
        <v>0</v>
      </c>
      <c r="F558" s="221">
        <v>0</v>
      </c>
      <c r="G558" s="221">
        <v>5.4216570454989135E-3</v>
      </c>
      <c r="H558" s="221">
        <v>0</v>
      </c>
      <c r="I558" s="221">
        <v>0</v>
      </c>
      <c r="J558" s="221">
        <v>0</v>
      </c>
      <c r="K558" s="221">
        <v>0</v>
      </c>
      <c r="L558" s="221">
        <v>0</v>
      </c>
      <c r="M558" s="221">
        <v>0</v>
      </c>
      <c r="N558" s="221">
        <v>0.22891828632607283</v>
      </c>
      <c r="O558" s="221">
        <v>0</v>
      </c>
      <c r="P558" s="221">
        <v>6.4437257260999303E-2</v>
      </c>
      <c r="Q558" s="221">
        <v>0</v>
      </c>
      <c r="R558" s="221">
        <v>0</v>
      </c>
      <c r="S558" s="221">
        <v>6.9982750769791061E-2</v>
      </c>
      <c r="T558" s="221">
        <v>0.63124004859763783</v>
      </c>
      <c r="U558" s="221">
        <v>0</v>
      </c>
      <c r="V558" s="221">
        <v>0</v>
      </c>
      <c r="W558" s="221">
        <v>0</v>
      </c>
      <c r="X558" s="221">
        <f>SUM(E558:W558)</f>
        <v>1</v>
      </c>
      <c r="Y558" s="223"/>
      <c r="Z558" s="224" t="s">
        <v>663</v>
      </c>
      <c r="AA558" s="157" t="s">
        <v>663</v>
      </c>
      <c r="AB558" s="282" t="s">
        <v>1101</v>
      </c>
      <c r="AC558" s="530" t="s">
        <v>3015</v>
      </c>
      <c r="AD558" s="159"/>
    </row>
    <row r="559" spans="1:30" x14ac:dyDescent="0.2">
      <c r="A559" s="292" t="s">
        <v>2821</v>
      </c>
      <c r="B559" s="292"/>
      <c r="C559" s="342" t="s">
        <v>2094</v>
      </c>
      <c r="D559" s="343" t="s">
        <v>2095</v>
      </c>
      <c r="E559" s="278">
        <v>0</v>
      </c>
      <c r="F559" s="278">
        <v>0</v>
      </c>
      <c r="G559" s="278">
        <v>0</v>
      </c>
      <c r="H559" s="278">
        <v>0</v>
      </c>
      <c r="I559" s="278">
        <v>0</v>
      </c>
      <c r="J559" s="278">
        <v>0</v>
      </c>
      <c r="K559" s="278">
        <v>0</v>
      </c>
      <c r="L559" s="278">
        <v>1</v>
      </c>
      <c r="M559" s="278">
        <v>0</v>
      </c>
      <c r="N559" s="278">
        <v>0</v>
      </c>
      <c r="O559" s="278">
        <v>0</v>
      </c>
      <c r="P559" s="278">
        <v>0</v>
      </c>
      <c r="Q559" s="278">
        <v>0</v>
      </c>
      <c r="R559" s="278">
        <v>0</v>
      </c>
      <c r="S559" s="278">
        <v>0</v>
      </c>
      <c r="T559" s="278">
        <v>0</v>
      </c>
      <c r="U559" s="278">
        <v>0</v>
      </c>
      <c r="V559" s="278">
        <v>0</v>
      </c>
      <c r="W559" s="278">
        <v>0</v>
      </c>
      <c r="X559" s="278">
        <f>SUBTOTAL(9,E559:W559)</f>
        <v>1</v>
      </c>
      <c r="Y559" s="223"/>
      <c r="Z559" s="224" t="s">
        <v>663</v>
      </c>
      <c r="AA559" s="157" t="s">
        <v>649</v>
      </c>
      <c r="AB559" s="259" t="s">
        <v>2821</v>
      </c>
      <c r="AC559" s="530" t="s">
        <v>3015</v>
      </c>
      <c r="AD559" s="159"/>
    </row>
    <row r="560" spans="1:30" x14ac:dyDescent="0.2">
      <c r="A560" s="290" t="s">
        <v>1101</v>
      </c>
      <c r="B560" s="358">
        <v>42247</v>
      </c>
      <c r="C560" s="238" t="s">
        <v>2096</v>
      </c>
      <c r="D560" s="239" t="s">
        <v>2097</v>
      </c>
      <c r="E560" s="232">
        <v>0</v>
      </c>
      <c r="F560" s="232">
        <v>2.3521341276072747E-3</v>
      </c>
      <c r="G560" s="232">
        <v>5.1964934543465143E-3</v>
      </c>
      <c r="H560" s="232">
        <v>0</v>
      </c>
      <c r="I560" s="232">
        <v>4.0348327611132155E-2</v>
      </c>
      <c r="J560" s="232">
        <v>1.7363280244400839E-3</v>
      </c>
      <c r="K560" s="232">
        <v>0</v>
      </c>
      <c r="L560" s="232">
        <v>0</v>
      </c>
      <c r="M560" s="232">
        <v>0</v>
      </c>
      <c r="N560" s="232">
        <v>0.17654974599694059</v>
      </c>
      <c r="O560" s="232">
        <v>2.3415126318642975E-2</v>
      </c>
      <c r="P560" s="232">
        <v>5.4099051964305388E-2</v>
      </c>
      <c r="Q560" s="232">
        <v>5.8051233612784218E-3</v>
      </c>
      <c r="R560" s="232">
        <v>0</v>
      </c>
      <c r="S560" s="232">
        <v>7.2217356115988188E-2</v>
      </c>
      <c r="T560" s="232">
        <v>0.61828031302531838</v>
      </c>
      <c r="U560" s="232">
        <v>0</v>
      </c>
      <c r="V560" s="232">
        <v>0</v>
      </c>
      <c r="W560" s="232">
        <v>0</v>
      </c>
      <c r="X560" s="351">
        <f t="shared" ref="X560:X565" si="20">SUM(E560:W560)</f>
        <v>1</v>
      </c>
      <c r="Y560" s="223"/>
      <c r="Z560" s="224" t="s">
        <v>663</v>
      </c>
      <c r="AA560" s="157" t="s">
        <v>663</v>
      </c>
      <c r="AB560" s="282" t="s">
        <v>1101</v>
      </c>
      <c r="AC560" s="530" t="s">
        <v>3015</v>
      </c>
      <c r="AD560" s="159"/>
    </row>
    <row r="561" spans="1:30" x14ac:dyDescent="0.2">
      <c r="A561" s="327" t="s">
        <v>1101</v>
      </c>
      <c r="B561" s="327"/>
      <c r="C561" s="225" t="s">
        <v>2098</v>
      </c>
      <c r="D561" s="226" t="s">
        <v>2099</v>
      </c>
      <c r="E561" s="262">
        <v>0</v>
      </c>
      <c r="F561" s="262">
        <v>0</v>
      </c>
      <c r="G561" s="262">
        <v>0</v>
      </c>
      <c r="H561" s="262">
        <v>0</v>
      </c>
      <c r="I561" s="262">
        <v>0</v>
      </c>
      <c r="J561" s="262">
        <v>1</v>
      </c>
      <c r="K561" s="262">
        <v>0</v>
      </c>
      <c r="L561" s="262">
        <v>0</v>
      </c>
      <c r="M561" s="262">
        <v>0</v>
      </c>
      <c r="N561" s="262">
        <v>0</v>
      </c>
      <c r="O561" s="262">
        <v>0</v>
      </c>
      <c r="P561" s="262">
        <v>0</v>
      </c>
      <c r="Q561" s="262">
        <v>0</v>
      </c>
      <c r="R561" s="262">
        <v>0</v>
      </c>
      <c r="S561" s="262">
        <v>0</v>
      </c>
      <c r="T561" s="262">
        <v>0</v>
      </c>
      <c r="U561" s="262">
        <v>0</v>
      </c>
      <c r="V561" s="262">
        <v>0</v>
      </c>
      <c r="W561" s="262">
        <v>0</v>
      </c>
      <c r="X561" s="232">
        <f t="shared" si="20"/>
        <v>1</v>
      </c>
      <c r="Y561" s="223"/>
      <c r="Z561" s="224" t="s">
        <v>663</v>
      </c>
      <c r="AA561" s="157" t="s">
        <v>663</v>
      </c>
      <c r="AB561" s="282" t="s">
        <v>1101</v>
      </c>
      <c r="AC561" s="530" t="s">
        <v>3015</v>
      </c>
      <c r="AD561" s="159"/>
    </row>
    <row r="562" spans="1:30" x14ac:dyDescent="0.2">
      <c r="A562" s="282" t="s">
        <v>1101</v>
      </c>
      <c r="B562" s="282"/>
      <c r="C562" s="248" t="s">
        <v>1302</v>
      </c>
      <c r="D562" s="249" t="s">
        <v>369</v>
      </c>
      <c r="E562" s="221">
        <v>0</v>
      </c>
      <c r="F562" s="221">
        <v>0</v>
      </c>
      <c r="G562" s="221">
        <v>0</v>
      </c>
      <c r="H562" s="221">
        <v>0</v>
      </c>
      <c r="I562" s="221">
        <v>0</v>
      </c>
      <c r="J562" s="221">
        <v>1</v>
      </c>
      <c r="K562" s="221">
        <v>0</v>
      </c>
      <c r="L562" s="221">
        <v>0</v>
      </c>
      <c r="M562" s="221">
        <v>0</v>
      </c>
      <c r="N562" s="221">
        <v>0</v>
      </c>
      <c r="O562" s="221">
        <v>0</v>
      </c>
      <c r="P562" s="221">
        <v>0</v>
      </c>
      <c r="Q562" s="221">
        <v>0</v>
      </c>
      <c r="R562" s="221">
        <v>0</v>
      </c>
      <c r="S562" s="221">
        <v>0</v>
      </c>
      <c r="T562" s="221">
        <v>0</v>
      </c>
      <c r="U562" s="221">
        <v>0</v>
      </c>
      <c r="V562" s="221"/>
      <c r="W562" s="221"/>
      <c r="X562" s="222">
        <f t="shared" si="20"/>
        <v>1</v>
      </c>
      <c r="Y562" s="223"/>
      <c r="Z562" s="224" t="s">
        <v>663</v>
      </c>
      <c r="AA562" s="157" t="s">
        <v>663</v>
      </c>
      <c r="AB562" s="282" t="s">
        <v>1101</v>
      </c>
      <c r="AC562" s="530" t="s">
        <v>3015</v>
      </c>
      <c r="AD562" s="159"/>
    </row>
    <row r="563" spans="1:30" x14ac:dyDescent="0.2">
      <c r="A563" s="326" t="s">
        <v>1101</v>
      </c>
      <c r="B563" s="326"/>
      <c r="C563" s="241" t="s">
        <v>2100</v>
      </c>
      <c r="D563" s="242" t="s">
        <v>2101</v>
      </c>
      <c r="E563" s="359">
        <v>0</v>
      </c>
      <c r="F563" s="359">
        <v>0.53519241109976956</v>
      </c>
      <c r="G563" s="359">
        <v>0.37216828832272147</v>
      </c>
      <c r="H563" s="359">
        <v>0</v>
      </c>
      <c r="I563" s="359">
        <v>0</v>
      </c>
      <c r="J563" s="359">
        <v>0</v>
      </c>
      <c r="K563" s="359">
        <v>0</v>
      </c>
      <c r="L563" s="359">
        <v>0</v>
      </c>
      <c r="M563" s="359">
        <v>0</v>
      </c>
      <c r="N563" s="359">
        <v>0</v>
      </c>
      <c r="O563" s="359">
        <v>9.2639300577508812E-2</v>
      </c>
      <c r="P563" s="359">
        <v>0</v>
      </c>
      <c r="Q563" s="359">
        <v>0</v>
      </c>
      <c r="R563" s="359">
        <v>0</v>
      </c>
      <c r="S563" s="359">
        <v>0</v>
      </c>
      <c r="T563" s="359">
        <v>0</v>
      </c>
      <c r="U563" s="359">
        <v>0</v>
      </c>
      <c r="V563" s="359">
        <v>0</v>
      </c>
      <c r="W563" s="359">
        <v>0</v>
      </c>
      <c r="X563" s="351">
        <f t="shared" si="20"/>
        <v>0.99999999999999978</v>
      </c>
      <c r="Y563" s="223"/>
      <c r="Z563" s="224" t="s">
        <v>663</v>
      </c>
      <c r="AA563" s="157" t="s">
        <v>663</v>
      </c>
      <c r="AB563" s="282" t="s">
        <v>1101</v>
      </c>
      <c r="AC563" s="530" t="s">
        <v>3015</v>
      </c>
      <c r="AD563" s="159"/>
    </row>
    <row r="564" spans="1:30" x14ac:dyDescent="0.2">
      <c r="A564" s="290" t="s">
        <v>1101</v>
      </c>
      <c r="B564" s="290"/>
      <c r="C564" s="238" t="s">
        <v>2102</v>
      </c>
      <c r="D564" s="239" t="s">
        <v>2103</v>
      </c>
      <c r="E564" s="232">
        <v>0</v>
      </c>
      <c r="F564" s="232">
        <v>0</v>
      </c>
      <c r="G564" s="232">
        <v>0</v>
      </c>
      <c r="H564" s="232">
        <v>1</v>
      </c>
      <c r="I564" s="232">
        <v>0</v>
      </c>
      <c r="J564" s="232">
        <v>0</v>
      </c>
      <c r="K564" s="232">
        <v>0</v>
      </c>
      <c r="L564" s="232">
        <v>0</v>
      </c>
      <c r="M564" s="232">
        <v>0</v>
      </c>
      <c r="N564" s="232">
        <v>0</v>
      </c>
      <c r="O564" s="232">
        <v>0</v>
      </c>
      <c r="P564" s="232">
        <v>0</v>
      </c>
      <c r="Q564" s="232">
        <v>0</v>
      </c>
      <c r="R564" s="232">
        <v>0</v>
      </c>
      <c r="S564" s="232">
        <v>0</v>
      </c>
      <c r="T564" s="232">
        <v>0</v>
      </c>
      <c r="U564" s="232">
        <v>0</v>
      </c>
      <c r="V564" s="232">
        <v>0</v>
      </c>
      <c r="W564" s="232">
        <v>0</v>
      </c>
      <c r="X564" s="232">
        <f t="shared" si="20"/>
        <v>1</v>
      </c>
      <c r="Y564" s="223"/>
      <c r="Z564" s="224" t="s">
        <v>663</v>
      </c>
      <c r="AA564" s="157" t="s">
        <v>663</v>
      </c>
      <c r="AB564" s="282" t="s">
        <v>1101</v>
      </c>
      <c r="AC564" s="530" t="s">
        <v>3015</v>
      </c>
      <c r="AD564" s="159"/>
    </row>
    <row r="565" spans="1:30" x14ac:dyDescent="0.2">
      <c r="A565" s="290" t="s">
        <v>1101</v>
      </c>
      <c r="B565" s="290"/>
      <c r="C565" s="238" t="s">
        <v>2104</v>
      </c>
      <c r="D565" s="239" t="s">
        <v>2105</v>
      </c>
      <c r="E565" s="262">
        <v>0</v>
      </c>
      <c r="F565" s="262">
        <v>0</v>
      </c>
      <c r="G565" s="262">
        <v>9.6987204309806323E-3</v>
      </c>
      <c r="H565" s="262">
        <v>0</v>
      </c>
      <c r="I565" s="262">
        <v>0</v>
      </c>
      <c r="J565" s="262">
        <v>0</v>
      </c>
      <c r="K565" s="262">
        <v>0</v>
      </c>
      <c r="L565" s="262">
        <v>0</v>
      </c>
      <c r="M565" s="262">
        <v>0</v>
      </c>
      <c r="N565" s="262">
        <v>0.81030542393857963</v>
      </c>
      <c r="O565" s="262">
        <v>0</v>
      </c>
      <c r="P565" s="262">
        <v>6.301018739729268E-2</v>
      </c>
      <c r="Q565" s="262">
        <v>0</v>
      </c>
      <c r="R565" s="262">
        <v>0</v>
      </c>
      <c r="S565" s="262">
        <v>0.116985668233147</v>
      </c>
      <c r="T565" s="262">
        <v>0</v>
      </c>
      <c r="U565" s="262">
        <v>0</v>
      </c>
      <c r="V565" s="262">
        <v>0</v>
      </c>
      <c r="W565" s="262">
        <v>0</v>
      </c>
      <c r="X565" s="232">
        <f t="shared" si="20"/>
        <v>1</v>
      </c>
      <c r="Y565" s="223"/>
      <c r="Z565" s="224" t="s">
        <v>663</v>
      </c>
      <c r="AA565" s="157" t="s">
        <v>663</v>
      </c>
      <c r="AB565" s="282" t="s">
        <v>1101</v>
      </c>
      <c r="AC565" s="530" t="s">
        <v>3015</v>
      </c>
      <c r="AD565" s="159"/>
    </row>
    <row r="566" spans="1:30" x14ac:dyDescent="0.2">
      <c r="A566" s="259" t="s">
        <v>2821</v>
      </c>
      <c r="B566" s="259"/>
      <c r="C566" s="272" t="s">
        <v>2106</v>
      </c>
      <c r="D566" s="273" t="s">
        <v>2107</v>
      </c>
      <c r="E566" s="278">
        <v>0.69851380042462841</v>
      </c>
      <c r="F566" s="278">
        <v>0</v>
      </c>
      <c r="G566" s="278">
        <v>0</v>
      </c>
      <c r="H566" s="278">
        <v>0</v>
      </c>
      <c r="I566" s="278">
        <v>0</v>
      </c>
      <c r="J566" s="278">
        <v>0</v>
      </c>
      <c r="K566" s="278">
        <v>0</v>
      </c>
      <c r="L566" s="278">
        <v>0.30148619957537154</v>
      </c>
      <c r="M566" s="278">
        <v>0</v>
      </c>
      <c r="N566" s="278">
        <v>0</v>
      </c>
      <c r="O566" s="278">
        <v>0</v>
      </c>
      <c r="P566" s="278">
        <v>0</v>
      </c>
      <c r="Q566" s="278">
        <v>0</v>
      </c>
      <c r="R566" s="278">
        <v>0</v>
      </c>
      <c r="S566" s="278">
        <v>0</v>
      </c>
      <c r="T566" s="278">
        <v>0</v>
      </c>
      <c r="U566" s="278">
        <v>0</v>
      </c>
      <c r="V566" s="278">
        <v>0</v>
      </c>
      <c r="W566" s="278">
        <v>0</v>
      </c>
      <c r="X566" s="278">
        <f>SUBTOTAL(9,E566:W566)</f>
        <v>1</v>
      </c>
      <c r="Y566" s="223"/>
      <c r="Z566" s="224" t="s">
        <v>663</v>
      </c>
      <c r="AA566" s="157" t="s">
        <v>649</v>
      </c>
      <c r="AB566" s="259" t="s">
        <v>2821</v>
      </c>
      <c r="AC566" s="530" t="s">
        <v>3015</v>
      </c>
      <c r="AD566" s="159"/>
    </row>
    <row r="567" spans="1:30" x14ac:dyDescent="0.2">
      <c r="A567" s="316" t="s">
        <v>2821</v>
      </c>
      <c r="B567" s="316"/>
      <c r="C567" s="331" t="s">
        <v>2108</v>
      </c>
      <c r="D567" s="332" t="s">
        <v>2109</v>
      </c>
      <c r="E567" s="278">
        <v>0</v>
      </c>
      <c r="F567" s="278">
        <v>0</v>
      </c>
      <c r="G567" s="278">
        <v>0</v>
      </c>
      <c r="H567" s="278">
        <v>0</v>
      </c>
      <c r="I567" s="278">
        <v>0</v>
      </c>
      <c r="J567" s="278">
        <v>0</v>
      </c>
      <c r="K567" s="278">
        <v>0</v>
      </c>
      <c r="L567" s="278">
        <v>1</v>
      </c>
      <c r="M567" s="278">
        <v>0</v>
      </c>
      <c r="N567" s="278">
        <v>0</v>
      </c>
      <c r="O567" s="278">
        <v>0</v>
      </c>
      <c r="P567" s="278">
        <v>0</v>
      </c>
      <c r="Q567" s="278">
        <v>0</v>
      </c>
      <c r="R567" s="278">
        <v>0</v>
      </c>
      <c r="S567" s="278">
        <v>0</v>
      </c>
      <c r="T567" s="278">
        <v>0</v>
      </c>
      <c r="U567" s="278">
        <v>0</v>
      </c>
      <c r="V567" s="278">
        <v>0</v>
      </c>
      <c r="W567" s="278">
        <v>0</v>
      </c>
      <c r="X567" s="278">
        <f>SUBTOTAL(9,E567:W567)</f>
        <v>1</v>
      </c>
      <c r="Y567" s="223"/>
      <c r="Z567" s="224" t="s">
        <v>663</v>
      </c>
      <c r="AA567" s="157" t="s">
        <v>649</v>
      </c>
      <c r="AB567" s="259" t="s">
        <v>2821</v>
      </c>
      <c r="AC567" s="530" t="s">
        <v>3015</v>
      </c>
      <c r="AD567" s="159"/>
    </row>
    <row r="568" spans="1:30" x14ac:dyDescent="0.2">
      <c r="A568" s="270" t="s">
        <v>2821</v>
      </c>
      <c r="B568" s="270"/>
      <c r="C568" s="272" t="s">
        <v>2110</v>
      </c>
      <c r="D568" s="273" t="s">
        <v>2111</v>
      </c>
      <c r="E568" s="274">
        <v>0</v>
      </c>
      <c r="F568" s="274">
        <v>0</v>
      </c>
      <c r="G568" s="274">
        <v>1</v>
      </c>
      <c r="H568" s="274">
        <v>0</v>
      </c>
      <c r="I568" s="274">
        <v>0</v>
      </c>
      <c r="J568" s="274">
        <v>0</v>
      </c>
      <c r="K568" s="274">
        <v>0</v>
      </c>
      <c r="L568" s="274">
        <v>0</v>
      </c>
      <c r="M568" s="274">
        <v>0</v>
      </c>
      <c r="N568" s="274">
        <v>0</v>
      </c>
      <c r="O568" s="274">
        <v>0</v>
      </c>
      <c r="P568" s="274">
        <v>0</v>
      </c>
      <c r="Q568" s="274">
        <v>0</v>
      </c>
      <c r="R568" s="274">
        <v>0</v>
      </c>
      <c r="S568" s="274">
        <v>0</v>
      </c>
      <c r="T568" s="274">
        <v>0</v>
      </c>
      <c r="U568" s="274">
        <v>0</v>
      </c>
      <c r="V568" s="274">
        <v>0</v>
      </c>
      <c r="W568" s="274">
        <v>0</v>
      </c>
      <c r="X568" s="274">
        <f>SUBTOTAL(9,E568:W568)</f>
        <v>1</v>
      </c>
      <c r="Y568" s="223"/>
      <c r="Z568" s="224" t="s">
        <v>663</v>
      </c>
      <c r="AA568" s="157" t="s">
        <v>649</v>
      </c>
      <c r="AB568" s="259" t="s">
        <v>2821</v>
      </c>
      <c r="AC568" s="530" t="s">
        <v>3015</v>
      </c>
      <c r="AD568" s="159"/>
    </row>
    <row r="569" spans="1:30" x14ac:dyDescent="0.2">
      <c r="A569" s="326" t="s">
        <v>1101</v>
      </c>
      <c r="B569" s="326"/>
      <c r="C569" s="241" t="s">
        <v>2112</v>
      </c>
      <c r="D569" s="242" t="s">
        <v>2113</v>
      </c>
      <c r="E569" s="262">
        <v>0.7</v>
      </c>
      <c r="F569" s="262">
        <v>0</v>
      </c>
      <c r="G569" s="262">
        <v>0</v>
      </c>
      <c r="H569" s="262">
        <v>0</v>
      </c>
      <c r="I569" s="262">
        <v>0</v>
      </c>
      <c r="J569" s="262">
        <v>0</v>
      </c>
      <c r="K569" s="262">
        <v>0</v>
      </c>
      <c r="L569" s="262">
        <v>0.3</v>
      </c>
      <c r="M569" s="262">
        <v>0</v>
      </c>
      <c r="N569" s="262">
        <v>0</v>
      </c>
      <c r="O569" s="262">
        <v>0</v>
      </c>
      <c r="P569" s="262">
        <v>0</v>
      </c>
      <c r="Q569" s="262">
        <v>0</v>
      </c>
      <c r="R569" s="262">
        <v>0</v>
      </c>
      <c r="S569" s="262">
        <v>0</v>
      </c>
      <c r="T569" s="262">
        <v>0</v>
      </c>
      <c r="U569" s="262">
        <v>0</v>
      </c>
      <c r="V569" s="262">
        <v>0</v>
      </c>
      <c r="W569" s="262">
        <v>0</v>
      </c>
      <c r="X569" s="232">
        <f>SUM(E569:W569)</f>
        <v>1</v>
      </c>
      <c r="Y569" s="223"/>
      <c r="Z569" s="224" t="s">
        <v>663</v>
      </c>
      <c r="AA569" s="157" t="s">
        <v>663</v>
      </c>
      <c r="AB569" s="282" t="s">
        <v>1101</v>
      </c>
      <c r="AC569" s="530" t="s">
        <v>3015</v>
      </c>
      <c r="AD569" s="159"/>
    </row>
    <row r="570" spans="1:30" x14ac:dyDescent="0.2">
      <c r="A570" s="316" t="s">
        <v>2821</v>
      </c>
      <c r="B570" s="316"/>
      <c r="C570" s="331" t="s">
        <v>2114</v>
      </c>
      <c r="D570" s="332" t="s">
        <v>2115</v>
      </c>
      <c r="E570" s="278">
        <v>0</v>
      </c>
      <c r="F570" s="278">
        <v>0</v>
      </c>
      <c r="G570" s="278">
        <v>0</v>
      </c>
      <c r="H570" s="278">
        <v>1</v>
      </c>
      <c r="I570" s="278">
        <v>0</v>
      </c>
      <c r="J570" s="278">
        <v>0</v>
      </c>
      <c r="K570" s="278">
        <v>0</v>
      </c>
      <c r="L570" s="278">
        <v>0</v>
      </c>
      <c r="M570" s="278">
        <v>0</v>
      </c>
      <c r="N570" s="278">
        <v>0</v>
      </c>
      <c r="O570" s="278">
        <v>0</v>
      </c>
      <c r="P570" s="278">
        <v>0</v>
      </c>
      <c r="Q570" s="278">
        <v>0</v>
      </c>
      <c r="R570" s="278">
        <v>0</v>
      </c>
      <c r="S570" s="278">
        <v>0</v>
      </c>
      <c r="T570" s="278">
        <v>0</v>
      </c>
      <c r="U570" s="278">
        <v>0</v>
      </c>
      <c r="V570" s="278">
        <v>0</v>
      </c>
      <c r="W570" s="278">
        <v>0</v>
      </c>
      <c r="X570" s="278">
        <f>SUBTOTAL(9,E570:W570)</f>
        <v>1</v>
      </c>
      <c r="Y570" s="223"/>
      <c r="Z570" s="224" t="s">
        <v>663</v>
      </c>
      <c r="AA570" s="157" t="s">
        <v>649</v>
      </c>
      <c r="AB570" s="259" t="s">
        <v>2821</v>
      </c>
      <c r="AC570" s="530" t="s">
        <v>3015</v>
      </c>
      <c r="AD570" s="159"/>
    </row>
    <row r="571" spans="1:30" x14ac:dyDescent="0.2">
      <c r="A571" s="270" t="s">
        <v>2821</v>
      </c>
      <c r="B571" s="270"/>
      <c r="C571" s="272" t="s">
        <v>2116</v>
      </c>
      <c r="D571" s="273" t="s">
        <v>769</v>
      </c>
      <c r="E571" s="274">
        <v>0</v>
      </c>
      <c r="F571" s="274">
        <v>0</v>
      </c>
      <c r="G571" s="274">
        <v>0</v>
      </c>
      <c r="H571" s="274">
        <v>1</v>
      </c>
      <c r="I571" s="274">
        <v>0</v>
      </c>
      <c r="J571" s="274">
        <v>0</v>
      </c>
      <c r="K571" s="274">
        <v>0</v>
      </c>
      <c r="L571" s="274">
        <v>0</v>
      </c>
      <c r="M571" s="274">
        <v>0</v>
      </c>
      <c r="N571" s="274">
        <v>0</v>
      </c>
      <c r="O571" s="274">
        <v>0</v>
      </c>
      <c r="P571" s="274">
        <v>0</v>
      </c>
      <c r="Q571" s="274">
        <v>0</v>
      </c>
      <c r="R571" s="274">
        <v>0</v>
      </c>
      <c r="S571" s="274">
        <v>0</v>
      </c>
      <c r="T571" s="274">
        <v>0</v>
      </c>
      <c r="U571" s="274">
        <v>0</v>
      </c>
      <c r="V571" s="274">
        <v>0</v>
      </c>
      <c r="W571" s="274">
        <v>0</v>
      </c>
      <c r="X571" s="274">
        <f>SUBTOTAL(9,E571:W571)</f>
        <v>1</v>
      </c>
      <c r="Y571" s="223"/>
      <c r="Z571" s="224" t="s">
        <v>663</v>
      </c>
      <c r="AA571" s="157" t="s">
        <v>649</v>
      </c>
      <c r="AB571" s="259" t="s">
        <v>2821</v>
      </c>
      <c r="AC571" s="530" t="s">
        <v>3015</v>
      </c>
      <c r="AD571" s="159"/>
    </row>
    <row r="572" spans="1:30" ht="22.5" x14ac:dyDescent="0.2">
      <c r="A572" s="292" t="s">
        <v>2821</v>
      </c>
      <c r="B572" s="292"/>
      <c r="C572" s="342" t="s">
        <v>2117</v>
      </c>
      <c r="D572" s="343" t="s">
        <v>2118</v>
      </c>
      <c r="E572" s="278">
        <v>0</v>
      </c>
      <c r="F572" s="278">
        <v>0</v>
      </c>
      <c r="G572" s="278">
        <v>0</v>
      </c>
      <c r="H572" s="278">
        <v>1</v>
      </c>
      <c r="I572" s="278">
        <v>0</v>
      </c>
      <c r="J572" s="278">
        <v>0</v>
      </c>
      <c r="K572" s="278">
        <v>0</v>
      </c>
      <c r="L572" s="278">
        <v>0</v>
      </c>
      <c r="M572" s="278">
        <v>0</v>
      </c>
      <c r="N572" s="278">
        <v>0</v>
      </c>
      <c r="O572" s="278">
        <v>0</v>
      </c>
      <c r="P572" s="278">
        <v>0</v>
      </c>
      <c r="Q572" s="278">
        <v>0</v>
      </c>
      <c r="R572" s="278">
        <v>0</v>
      </c>
      <c r="S572" s="278">
        <v>0</v>
      </c>
      <c r="T572" s="278">
        <v>0</v>
      </c>
      <c r="U572" s="278">
        <v>0</v>
      </c>
      <c r="V572" s="278">
        <v>0</v>
      </c>
      <c r="W572" s="278">
        <v>0</v>
      </c>
      <c r="X572" s="278">
        <f>SUBTOTAL(9,E572:W572)</f>
        <v>1</v>
      </c>
      <c r="Y572" s="223"/>
      <c r="Z572" s="224" t="s">
        <v>663</v>
      </c>
      <c r="AA572" s="157" t="s">
        <v>649</v>
      </c>
      <c r="AB572" s="259" t="s">
        <v>2821</v>
      </c>
      <c r="AC572" s="530" t="s">
        <v>3015</v>
      </c>
      <c r="AD572" s="159"/>
    </row>
    <row r="573" spans="1:30" x14ac:dyDescent="0.2">
      <c r="A573" s="259" t="s">
        <v>2821</v>
      </c>
      <c r="B573" s="259"/>
      <c r="C573" s="272" t="s">
        <v>2119</v>
      </c>
      <c r="D573" s="273" t="s">
        <v>2120</v>
      </c>
      <c r="E573" s="278">
        <v>0</v>
      </c>
      <c r="F573" s="278">
        <v>0</v>
      </c>
      <c r="G573" s="278">
        <v>0</v>
      </c>
      <c r="H573" s="278">
        <v>1</v>
      </c>
      <c r="I573" s="278">
        <v>0</v>
      </c>
      <c r="J573" s="278">
        <v>0</v>
      </c>
      <c r="K573" s="278">
        <v>0</v>
      </c>
      <c r="L573" s="278">
        <v>0</v>
      </c>
      <c r="M573" s="278">
        <v>0</v>
      </c>
      <c r="N573" s="278">
        <v>0</v>
      </c>
      <c r="O573" s="278">
        <v>0</v>
      </c>
      <c r="P573" s="278">
        <v>0</v>
      </c>
      <c r="Q573" s="278">
        <v>0</v>
      </c>
      <c r="R573" s="278">
        <v>0</v>
      </c>
      <c r="S573" s="278">
        <v>0</v>
      </c>
      <c r="T573" s="278">
        <v>0</v>
      </c>
      <c r="U573" s="278">
        <v>0</v>
      </c>
      <c r="V573" s="278">
        <v>0</v>
      </c>
      <c r="W573" s="278">
        <v>0</v>
      </c>
      <c r="X573" s="278">
        <f>SUBTOTAL(9,E573:W573)</f>
        <v>1</v>
      </c>
      <c r="Y573" s="223"/>
      <c r="Z573" s="224" t="s">
        <v>663</v>
      </c>
      <c r="AA573" s="157" t="s">
        <v>649</v>
      </c>
      <c r="AB573" s="259" t="s">
        <v>2821</v>
      </c>
      <c r="AC573" s="530" t="s">
        <v>3015</v>
      </c>
      <c r="AD573" s="159"/>
    </row>
    <row r="574" spans="1:30" x14ac:dyDescent="0.2">
      <c r="A574" s="259" t="s">
        <v>2821</v>
      </c>
      <c r="B574" s="259"/>
      <c r="C574" s="272" t="s">
        <v>2121</v>
      </c>
      <c r="D574" s="273" t="s">
        <v>2122</v>
      </c>
      <c r="E574" s="278">
        <v>0</v>
      </c>
      <c r="F574" s="278">
        <v>0</v>
      </c>
      <c r="G574" s="278">
        <v>0</v>
      </c>
      <c r="H574" s="278">
        <v>1</v>
      </c>
      <c r="I574" s="278">
        <v>0</v>
      </c>
      <c r="J574" s="278">
        <v>0</v>
      </c>
      <c r="K574" s="278">
        <v>0</v>
      </c>
      <c r="L574" s="278">
        <v>0</v>
      </c>
      <c r="M574" s="278">
        <v>0</v>
      </c>
      <c r="N574" s="278">
        <v>0</v>
      </c>
      <c r="O574" s="278">
        <v>0</v>
      </c>
      <c r="P574" s="278">
        <v>0</v>
      </c>
      <c r="Q574" s="278">
        <v>0</v>
      </c>
      <c r="R574" s="278">
        <v>0</v>
      </c>
      <c r="S574" s="278">
        <v>0</v>
      </c>
      <c r="T574" s="278">
        <v>0</v>
      </c>
      <c r="U574" s="278">
        <v>0</v>
      </c>
      <c r="V574" s="278">
        <v>0</v>
      </c>
      <c r="W574" s="278">
        <v>0</v>
      </c>
      <c r="X574" s="278">
        <f>SUBTOTAL(9,E574:W574)</f>
        <v>1</v>
      </c>
      <c r="Y574" s="223"/>
      <c r="Z574" s="224" t="s">
        <v>663</v>
      </c>
      <c r="AA574" s="157" t="s">
        <v>649</v>
      </c>
      <c r="AB574" s="259" t="s">
        <v>2821</v>
      </c>
      <c r="AC574" s="530" t="s">
        <v>3015</v>
      </c>
      <c r="AD574" s="159"/>
    </row>
    <row r="575" spans="1:30" x14ac:dyDescent="0.2">
      <c r="A575" s="290" t="s">
        <v>1101</v>
      </c>
      <c r="B575" s="290"/>
      <c r="C575" s="238" t="s">
        <v>2123</v>
      </c>
      <c r="D575" s="239" t="s">
        <v>2124</v>
      </c>
      <c r="E575" s="359">
        <v>0</v>
      </c>
      <c r="F575" s="359">
        <v>7.4155306018889589E-3</v>
      </c>
      <c r="G575" s="359">
        <v>0.96444768286804161</v>
      </c>
      <c r="H575" s="359">
        <v>0</v>
      </c>
      <c r="I575" s="359">
        <v>0</v>
      </c>
      <c r="J575" s="359">
        <v>0</v>
      </c>
      <c r="K575" s="359">
        <v>0</v>
      </c>
      <c r="L575" s="359">
        <v>0</v>
      </c>
      <c r="M575" s="359">
        <v>0</v>
      </c>
      <c r="N575" s="359">
        <v>0</v>
      </c>
      <c r="O575" s="359">
        <v>0</v>
      </c>
      <c r="P575" s="359">
        <v>0</v>
      </c>
      <c r="Q575" s="359">
        <v>0</v>
      </c>
      <c r="R575" s="359">
        <v>0</v>
      </c>
      <c r="S575" s="359">
        <v>2.8136786530069402E-2</v>
      </c>
      <c r="T575" s="359">
        <v>0</v>
      </c>
      <c r="U575" s="359">
        <v>0</v>
      </c>
      <c r="V575" s="359">
        <v>0</v>
      </c>
      <c r="W575" s="359">
        <v>0</v>
      </c>
      <c r="X575" s="351">
        <f>SUM(E575:W575)</f>
        <v>1</v>
      </c>
      <c r="Y575" s="223"/>
      <c r="Z575" s="224" t="s">
        <v>663</v>
      </c>
      <c r="AA575" s="157" t="s">
        <v>663</v>
      </c>
      <c r="AB575" s="282" t="s">
        <v>1101</v>
      </c>
      <c r="AC575" s="530" t="s">
        <v>3015</v>
      </c>
      <c r="AD575" s="159"/>
    </row>
    <row r="576" spans="1:30" x14ac:dyDescent="0.2">
      <c r="A576" s="316" t="s">
        <v>2821</v>
      </c>
      <c r="B576" s="316"/>
      <c r="C576" s="331" t="s">
        <v>2125</v>
      </c>
      <c r="D576" s="332" t="s">
        <v>2126</v>
      </c>
      <c r="E576" s="278">
        <v>1</v>
      </c>
      <c r="F576" s="278">
        <v>0</v>
      </c>
      <c r="G576" s="278">
        <v>0</v>
      </c>
      <c r="H576" s="278">
        <v>0</v>
      </c>
      <c r="I576" s="278">
        <v>0</v>
      </c>
      <c r="J576" s="278">
        <v>0</v>
      </c>
      <c r="K576" s="278">
        <v>0</v>
      </c>
      <c r="L576" s="278">
        <v>0</v>
      </c>
      <c r="M576" s="278">
        <v>0</v>
      </c>
      <c r="N576" s="278">
        <v>0</v>
      </c>
      <c r="O576" s="278">
        <v>0</v>
      </c>
      <c r="P576" s="278">
        <v>0</v>
      </c>
      <c r="Q576" s="278">
        <v>0</v>
      </c>
      <c r="R576" s="278">
        <v>0</v>
      </c>
      <c r="S576" s="278">
        <v>0</v>
      </c>
      <c r="T576" s="278">
        <v>0</v>
      </c>
      <c r="U576" s="278">
        <v>0</v>
      </c>
      <c r="V576" s="278">
        <v>0</v>
      </c>
      <c r="W576" s="278">
        <v>0</v>
      </c>
      <c r="X576" s="278">
        <f>SUBTOTAL(9,E576:W576)</f>
        <v>1</v>
      </c>
      <c r="Y576" s="223"/>
      <c r="Z576" s="224" t="s">
        <v>663</v>
      </c>
      <c r="AA576" s="157" t="s">
        <v>649</v>
      </c>
      <c r="AB576" s="259" t="s">
        <v>2821</v>
      </c>
      <c r="AC576" s="530" t="s">
        <v>3015</v>
      </c>
      <c r="AD576" s="159"/>
    </row>
    <row r="577" spans="1:30" x14ac:dyDescent="0.2">
      <c r="A577" s="270" t="s">
        <v>2821</v>
      </c>
      <c r="B577" s="270"/>
      <c r="C577" s="272" t="s">
        <v>2127</v>
      </c>
      <c r="D577" s="273" t="s">
        <v>2128</v>
      </c>
      <c r="E577" s="274">
        <v>0.69957081545064381</v>
      </c>
      <c r="F577" s="274">
        <v>0</v>
      </c>
      <c r="G577" s="274">
        <v>0</v>
      </c>
      <c r="H577" s="274">
        <v>0</v>
      </c>
      <c r="I577" s="274">
        <v>0</v>
      </c>
      <c r="J577" s="274">
        <v>0</v>
      </c>
      <c r="K577" s="274">
        <v>0</v>
      </c>
      <c r="L577" s="274">
        <v>0.30042918454935619</v>
      </c>
      <c r="M577" s="274">
        <v>0</v>
      </c>
      <c r="N577" s="274">
        <v>0</v>
      </c>
      <c r="O577" s="274">
        <v>0</v>
      </c>
      <c r="P577" s="274">
        <v>0</v>
      </c>
      <c r="Q577" s="274">
        <v>0</v>
      </c>
      <c r="R577" s="274">
        <v>0</v>
      </c>
      <c r="S577" s="274">
        <v>0</v>
      </c>
      <c r="T577" s="274">
        <v>0</v>
      </c>
      <c r="U577" s="274">
        <v>0</v>
      </c>
      <c r="V577" s="274">
        <v>0</v>
      </c>
      <c r="W577" s="274">
        <v>0</v>
      </c>
      <c r="X577" s="274">
        <f>SUBTOTAL(9,E577:W577)</f>
        <v>1</v>
      </c>
      <c r="Y577" s="223"/>
      <c r="Z577" s="224" t="s">
        <v>663</v>
      </c>
      <c r="AA577" s="157" t="s">
        <v>649</v>
      </c>
      <c r="AB577" s="259" t="s">
        <v>2821</v>
      </c>
      <c r="AC577" s="530" t="s">
        <v>3015</v>
      </c>
      <c r="AD577" s="159"/>
    </row>
    <row r="578" spans="1:30" x14ac:dyDescent="0.2">
      <c r="A578" s="282" t="s">
        <v>1101</v>
      </c>
      <c r="B578" s="282"/>
      <c r="C578" s="238" t="s">
        <v>2129</v>
      </c>
      <c r="D578" s="239" t="s">
        <v>2130</v>
      </c>
      <c r="E578" s="240">
        <v>0.4</v>
      </c>
      <c r="F578" s="240">
        <v>0</v>
      </c>
      <c r="G578" s="240">
        <v>0</v>
      </c>
      <c r="H578" s="240">
        <v>0</v>
      </c>
      <c r="I578" s="240">
        <v>0</v>
      </c>
      <c r="J578" s="240">
        <v>0</v>
      </c>
      <c r="K578" s="240">
        <v>0</v>
      </c>
      <c r="L578" s="240">
        <v>0.6</v>
      </c>
      <c r="M578" s="240">
        <v>0</v>
      </c>
      <c r="N578" s="240">
        <v>0</v>
      </c>
      <c r="O578" s="240">
        <v>0</v>
      </c>
      <c r="P578" s="240">
        <v>0</v>
      </c>
      <c r="Q578" s="240">
        <v>0</v>
      </c>
      <c r="R578" s="240">
        <v>0</v>
      </c>
      <c r="S578" s="240">
        <v>0</v>
      </c>
      <c r="T578" s="240">
        <v>0</v>
      </c>
      <c r="U578" s="240">
        <v>0</v>
      </c>
      <c r="V578" s="240">
        <v>0</v>
      </c>
      <c r="W578" s="240">
        <v>0</v>
      </c>
      <c r="X578" s="221">
        <f>SUM(E578:W578)</f>
        <v>1</v>
      </c>
      <c r="Y578" s="223"/>
      <c r="Z578" s="224" t="s">
        <v>663</v>
      </c>
      <c r="AA578" s="157" t="s">
        <v>663</v>
      </c>
      <c r="AB578" s="282" t="s">
        <v>1101</v>
      </c>
      <c r="AC578" s="530" t="s">
        <v>3015</v>
      </c>
      <c r="AD578" s="159"/>
    </row>
    <row r="579" spans="1:30" x14ac:dyDescent="0.2">
      <c r="A579" s="292" t="s">
        <v>2821</v>
      </c>
      <c r="B579" s="292"/>
      <c r="C579" s="342" t="s">
        <v>2131</v>
      </c>
      <c r="D579" s="343" t="s">
        <v>2132</v>
      </c>
      <c r="E579" s="278">
        <v>0</v>
      </c>
      <c r="F579" s="278">
        <v>0</v>
      </c>
      <c r="G579" s="278">
        <v>0</v>
      </c>
      <c r="H579" s="278">
        <v>0</v>
      </c>
      <c r="I579" s="278">
        <v>0</v>
      </c>
      <c r="J579" s="278">
        <v>0</v>
      </c>
      <c r="K579" s="278">
        <v>0</v>
      </c>
      <c r="L579" s="278">
        <v>1</v>
      </c>
      <c r="M579" s="278">
        <v>0</v>
      </c>
      <c r="N579" s="278">
        <v>0</v>
      </c>
      <c r="O579" s="278">
        <v>0</v>
      </c>
      <c r="P579" s="278">
        <v>0</v>
      </c>
      <c r="Q579" s="278">
        <v>0</v>
      </c>
      <c r="R579" s="278">
        <v>0</v>
      </c>
      <c r="S579" s="278">
        <v>0</v>
      </c>
      <c r="T579" s="278">
        <v>0</v>
      </c>
      <c r="U579" s="278">
        <v>0</v>
      </c>
      <c r="V579" s="278">
        <v>0</v>
      </c>
      <c r="W579" s="278">
        <v>0</v>
      </c>
      <c r="X579" s="278">
        <f>SUBTOTAL(9,E579:W579)</f>
        <v>1</v>
      </c>
      <c r="Y579" s="223"/>
      <c r="Z579" s="224" t="s">
        <v>663</v>
      </c>
      <c r="AA579" s="157" t="s">
        <v>649</v>
      </c>
      <c r="AB579" s="259" t="s">
        <v>2821</v>
      </c>
      <c r="AC579" s="530" t="s">
        <v>3015</v>
      </c>
      <c r="AD579" s="159"/>
    </row>
    <row r="580" spans="1:30" x14ac:dyDescent="0.2">
      <c r="A580" s="316" t="s">
        <v>2821</v>
      </c>
      <c r="B580" s="316"/>
      <c r="C580" s="331" t="s">
        <v>2133</v>
      </c>
      <c r="D580" s="332" t="s">
        <v>2134</v>
      </c>
      <c r="E580" s="278">
        <v>0</v>
      </c>
      <c r="F580" s="278">
        <v>0</v>
      </c>
      <c r="G580" s="278">
        <v>0</v>
      </c>
      <c r="H580" s="278">
        <v>1</v>
      </c>
      <c r="I580" s="278">
        <v>0</v>
      </c>
      <c r="J580" s="278">
        <v>0</v>
      </c>
      <c r="K580" s="278">
        <v>0</v>
      </c>
      <c r="L580" s="278">
        <v>0</v>
      </c>
      <c r="M580" s="278">
        <v>0</v>
      </c>
      <c r="N580" s="278">
        <v>0</v>
      </c>
      <c r="O580" s="278">
        <v>0</v>
      </c>
      <c r="P580" s="278">
        <v>0</v>
      </c>
      <c r="Q580" s="278">
        <v>0</v>
      </c>
      <c r="R580" s="278">
        <v>0</v>
      </c>
      <c r="S580" s="278">
        <v>0</v>
      </c>
      <c r="T580" s="278">
        <v>0</v>
      </c>
      <c r="U580" s="278">
        <v>0</v>
      </c>
      <c r="V580" s="278">
        <v>0</v>
      </c>
      <c r="W580" s="278">
        <v>0</v>
      </c>
      <c r="X580" s="278">
        <f>SUBTOTAL(9,E580:W580)</f>
        <v>1</v>
      </c>
      <c r="Y580" s="223"/>
      <c r="Z580" s="224" t="s">
        <v>663</v>
      </c>
      <c r="AA580" s="157" t="s">
        <v>649</v>
      </c>
      <c r="AB580" s="259" t="s">
        <v>2821</v>
      </c>
      <c r="AC580" s="530" t="s">
        <v>3015</v>
      </c>
      <c r="AD580" s="159"/>
    </row>
    <row r="581" spans="1:30" x14ac:dyDescent="0.2">
      <c r="A581" s="270" t="s">
        <v>2821</v>
      </c>
      <c r="B581" s="270"/>
      <c r="C581" s="272" t="s">
        <v>2135</v>
      </c>
      <c r="D581" s="273" t="s">
        <v>2136</v>
      </c>
      <c r="E581" s="274">
        <v>0</v>
      </c>
      <c r="F581" s="274">
        <v>0</v>
      </c>
      <c r="G581" s="274">
        <v>0</v>
      </c>
      <c r="H581" s="274">
        <v>1</v>
      </c>
      <c r="I581" s="274">
        <v>0</v>
      </c>
      <c r="J581" s="274">
        <v>0</v>
      </c>
      <c r="K581" s="274">
        <v>0</v>
      </c>
      <c r="L581" s="274">
        <v>0</v>
      </c>
      <c r="M581" s="274">
        <v>0</v>
      </c>
      <c r="N581" s="274">
        <v>0</v>
      </c>
      <c r="O581" s="274">
        <v>0</v>
      </c>
      <c r="P581" s="274">
        <v>0</v>
      </c>
      <c r="Q581" s="274">
        <v>0</v>
      </c>
      <c r="R581" s="274">
        <v>0</v>
      </c>
      <c r="S581" s="274">
        <v>0</v>
      </c>
      <c r="T581" s="274">
        <v>0</v>
      </c>
      <c r="U581" s="274">
        <v>0</v>
      </c>
      <c r="V581" s="274">
        <v>0</v>
      </c>
      <c r="W581" s="274">
        <v>0</v>
      </c>
      <c r="X581" s="274">
        <f>SUBTOTAL(9,E581:W581)</f>
        <v>1</v>
      </c>
      <c r="Y581" s="223"/>
      <c r="Z581" s="224" t="s">
        <v>663</v>
      </c>
      <c r="AA581" s="157" t="s">
        <v>649</v>
      </c>
      <c r="AB581" s="259" t="s">
        <v>2821</v>
      </c>
      <c r="AC581" s="530" t="s">
        <v>3015</v>
      </c>
      <c r="AD581" s="159"/>
    </row>
    <row r="582" spans="1:30" x14ac:dyDescent="0.2">
      <c r="A582" s="276" t="s">
        <v>2821</v>
      </c>
      <c r="B582" s="276"/>
      <c r="C582" s="344" t="s">
        <v>2137</v>
      </c>
      <c r="D582" s="345" t="s">
        <v>2138</v>
      </c>
      <c r="E582" s="278">
        <v>0</v>
      </c>
      <c r="F582" s="278">
        <v>0</v>
      </c>
      <c r="G582" s="278">
        <v>0</v>
      </c>
      <c r="H582" s="278">
        <v>1</v>
      </c>
      <c r="I582" s="278">
        <v>0</v>
      </c>
      <c r="J582" s="278">
        <v>0</v>
      </c>
      <c r="K582" s="278">
        <v>0</v>
      </c>
      <c r="L582" s="278">
        <v>0</v>
      </c>
      <c r="M582" s="278">
        <v>0</v>
      </c>
      <c r="N582" s="278">
        <v>0</v>
      </c>
      <c r="O582" s="278">
        <v>0</v>
      </c>
      <c r="P582" s="278">
        <v>0</v>
      </c>
      <c r="Q582" s="278">
        <v>0</v>
      </c>
      <c r="R582" s="278">
        <v>0</v>
      </c>
      <c r="S582" s="278">
        <v>0</v>
      </c>
      <c r="T582" s="278">
        <v>0</v>
      </c>
      <c r="U582" s="278">
        <v>0</v>
      </c>
      <c r="V582" s="278">
        <v>0</v>
      </c>
      <c r="W582" s="278">
        <v>0</v>
      </c>
      <c r="X582" s="278">
        <f>SUBTOTAL(9,E582:W582)</f>
        <v>1</v>
      </c>
      <c r="Y582" s="223"/>
      <c r="Z582" s="224" t="s">
        <v>663</v>
      </c>
      <c r="AA582" s="157" t="s">
        <v>649</v>
      </c>
      <c r="AB582" s="259" t="s">
        <v>2821</v>
      </c>
      <c r="AC582" s="530" t="s">
        <v>3015</v>
      </c>
      <c r="AD582" s="159"/>
    </row>
    <row r="583" spans="1:30" x14ac:dyDescent="0.2">
      <c r="A583" s="270" t="s">
        <v>2821</v>
      </c>
      <c r="B583" s="270"/>
      <c r="C583" s="360" t="s">
        <v>2832</v>
      </c>
      <c r="D583" s="361" t="s">
        <v>409</v>
      </c>
      <c r="E583" s="274">
        <v>0</v>
      </c>
      <c r="F583" s="274">
        <v>0</v>
      </c>
      <c r="G583" s="274">
        <v>0</v>
      </c>
      <c r="H583" s="274">
        <v>1</v>
      </c>
      <c r="I583" s="274">
        <v>0</v>
      </c>
      <c r="J583" s="274">
        <v>0</v>
      </c>
      <c r="K583" s="274">
        <v>0</v>
      </c>
      <c r="L583" s="274">
        <v>0</v>
      </c>
      <c r="M583" s="274">
        <v>0</v>
      </c>
      <c r="N583" s="274">
        <v>0</v>
      </c>
      <c r="O583" s="274">
        <v>0</v>
      </c>
      <c r="P583" s="274">
        <v>0</v>
      </c>
      <c r="Q583" s="274">
        <v>0</v>
      </c>
      <c r="R583" s="274">
        <v>0</v>
      </c>
      <c r="S583" s="274">
        <v>0</v>
      </c>
      <c r="T583" s="274">
        <v>0</v>
      </c>
      <c r="U583" s="274">
        <v>0</v>
      </c>
      <c r="V583" s="274">
        <v>0</v>
      </c>
      <c r="W583" s="274">
        <v>0</v>
      </c>
      <c r="X583" s="274">
        <f>SUBTOTAL(9,E583:W583)</f>
        <v>1</v>
      </c>
      <c r="Y583" s="223"/>
      <c r="Z583" s="224" t="s">
        <v>663</v>
      </c>
      <c r="AA583" s="157" t="s">
        <v>649</v>
      </c>
      <c r="AB583" s="259" t="s">
        <v>2821</v>
      </c>
      <c r="AC583" s="530" t="s">
        <v>3015</v>
      </c>
      <c r="AD583" s="159"/>
    </row>
    <row r="584" spans="1:30" x14ac:dyDescent="0.2">
      <c r="A584" s="326" t="s">
        <v>1101</v>
      </c>
      <c r="B584" s="326"/>
      <c r="C584" s="241" t="s">
        <v>2139</v>
      </c>
      <c r="D584" s="242" t="s">
        <v>2140</v>
      </c>
      <c r="E584" s="232">
        <v>0</v>
      </c>
      <c r="F584" s="232">
        <v>0</v>
      </c>
      <c r="G584" s="232">
        <v>0</v>
      </c>
      <c r="H584" s="232">
        <v>1</v>
      </c>
      <c r="I584" s="232">
        <v>0</v>
      </c>
      <c r="J584" s="232">
        <v>0</v>
      </c>
      <c r="K584" s="232">
        <v>0</v>
      </c>
      <c r="L584" s="232">
        <v>0</v>
      </c>
      <c r="M584" s="232">
        <v>0</v>
      </c>
      <c r="N584" s="232">
        <v>0</v>
      </c>
      <c r="O584" s="232">
        <v>0</v>
      </c>
      <c r="P584" s="232">
        <v>0</v>
      </c>
      <c r="Q584" s="232">
        <v>0</v>
      </c>
      <c r="R584" s="232">
        <v>0</v>
      </c>
      <c r="S584" s="232">
        <v>0</v>
      </c>
      <c r="T584" s="232">
        <v>0</v>
      </c>
      <c r="U584" s="232">
        <v>0</v>
      </c>
      <c r="V584" s="232">
        <v>0</v>
      </c>
      <c r="W584" s="232">
        <v>0</v>
      </c>
      <c r="X584" s="232">
        <f>SUM(E584:W584)</f>
        <v>1</v>
      </c>
      <c r="Y584" s="223"/>
      <c r="Z584" s="224" t="s">
        <v>663</v>
      </c>
      <c r="AA584" s="157" t="s">
        <v>663</v>
      </c>
      <c r="AB584" s="282" t="s">
        <v>1101</v>
      </c>
      <c r="AC584" s="530" t="s">
        <v>3015</v>
      </c>
      <c r="AD584" s="159"/>
    </row>
    <row r="585" spans="1:30" x14ac:dyDescent="0.2">
      <c r="A585" s="290" t="s">
        <v>1101</v>
      </c>
      <c r="B585" s="290"/>
      <c r="C585" s="238" t="s">
        <v>2141</v>
      </c>
      <c r="D585" s="239" t="s">
        <v>2142</v>
      </c>
      <c r="E585" s="262">
        <v>0</v>
      </c>
      <c r="F585" s="262">
        <v>0</v>
      </c>
      <c r="G585" s="262">
        <v>1.3770487580632224E-2</v>
      </c>
      <c r="H585" s="262">
        <v>0</v>
      </c>
      <c r="I585" s="262">
        <v>0</v>
      </c>
      <c r="J585" s="262">
        <v>0</v>
      </c>
      <c r="K585" s="262">
        <v>0</v>
      </c>
      <c r="L585" s="262">
        <v>0</v>
      </c>
      <c r="M585" s="262">
        <v>0</v>
      </c>
      <c r="N585" s="262">
        <v>0.76543365427749077</v>
      </c>
      <c r="O585" s="262">
        <v>1.1704914450677388E-3</v>
      </c>
      <c r="P585" s="262">
        <v>0.11597828175966718</v>
      </c>
      <c r="Q585" s="262">
        <v>1.1016390071673317E-2</v>
      </c>
      <c r="R585" s="262">
        <v>0</v>
      </c>
      <c r="S585" s="262">
        <v>4.3528512646536517E-2</v>
      </c>
      <c r="T585" s="262">
        <v>0</v>
      </c>
      <c r="U585" s="262">
        <v>4.9102182218932068E-2</v>
      </c>
      <c r="V585" s="262">
        <v>0</v>
      </c>
      <c r="W585" s="262">
        <v>0</v>
      </c>
      <c r="X585" s="232">
        <f>SUM(E585:W585)</f>
        <v>0.99999999999999989</v>
      </c>
      <c r="Y585" s="223"/>
      <c r="Z585" s="224" t="s">
        <v>663</v>
      </c>
      <c r="AA585" s="157" t="s">
        <v>663</v>
      </c>
      <c r="AB585" s="282" t="s">
        <v>1101</v>
      </c>
      <c r="AC585" s="530" t="s">
        <v>3015</v>
      </c>
      <c r="AD585" s="159"/>
    </row>
    <row r="586" spans="1:30" x14ac:dyDescent="0.2">
      <c r="A586" s="259" t="s">
        <v>2821</v>
      </c>
      <c r="B586" s="254"/>
      <c r="C586" s="272" t="s">
        <v>2143</v>
      </c>
      <c r="D586" s="273" t="s">
        <v>2144</v>
      </c>
      <c r="E586" s="278">
        <v>1</v>
      </c>
      <c r="F586" s="278">
        <v>0</v>
      </c>
      <c r="G586" s="278">
        <v>0</v>
      </c>
      <c r="H586" s="278">
        <v>0</v>
      </c>
      <c r="I586" s="278">
        <v>0</v>
      </c>
      <c r="J586" s="278">
        <v>0</v>
      </c>
      <c r="K586" s="278">
        <v>0</v>
      </c>
      <c r="L586" s="278">
        <v>0</v>
      </c>
      <c r="M586" s="278">
        <v>0</v>
      </c>
      <c r="N586" s="278">
        <v>0</v>
      </c>
      <c r="O586" s="278">
        <v>0</v>
      </c>
      <c r="P586" s="278">
        <v>0</v>
      </c>
      <c r="Q586" s="278">
        <v>0</v>
      </c>
      <c r="R586" s="278">
        <v>0</v>
      </c>
      <c r="S586" s="278">
        <v>0</v>
      </c>
      <c r="T586" s="278">
        <v>0</v>
      </c>
      <c r="U586" s="278">
        <v>0</v>
      </c>
      <c r="V586" s="278">
        <v>0</v>
      </c>
      <c r="W586" s="278">
        <v>0</v>
      </c>
      <c r="X586" s="278">
        <f>SUBTOTAL(9,E586:W586)</f>
        <v>1</v>
      </c>
      <c r="Y586" s="223"/>
      <c r="Z586" s="224" t="s">
        <v>663</v>
      </c>
      <c r="AA586" s="157" t="s">
        <v>649</v>
      </c>
      <c r="AB586" s="259" t="s">
        <v>2821</v>
      </c>
      <c r="AC586" s="530" t="s">
        <v>3015</v>
      </c>
      <c r="AD586" s="159"/>
    </row>
    <row r="587" spans="1:30" x14ac:dyDescent="0.2">
      <c r="A587" s="259" t="s">
        <v>2821</v>
      </c>
      <c r="B587" s="254"/>
      <c r="C587" s="272" t="s">
        <v>2145</v>
      </c>
      <c r="D587" s="273" t="s">
        <v>2146</v>
      </c>
      <c r="E587" s="278">
        <v>0.76326530612244892</v>
      </c>
      <c r="F587" s="278">
        <v>0</v>
      </c>
      <c r="G587" s="278">
        <v>0</v>
      </c>
      <c r="H587" s="278">
        <v>0</v>
      </c>
      <c r="I587" s="278">
        <v>0</v>
      </c>
      <c r="J587" s="278">
        <v>0</v>
      </c>
      <c r="K587" s="278">
        <v>0</v>
      </c>
      <c r="L587" s="278">
        <v>0.23673469387755106</v>
      </c>
      <c r="M587" s="278">
        <v>0</v>
      </c>
      <c r="N587" s="278">
        <v>0</v>
      </c>
      <c r="O587" s="278">
        <v>0</v>
      </c>
      <c r="P587" s="278">
        <v>0</v>
      </c>
      <c r="Q587" s="278">
        <v>0</v>
      </c>
      <c r="R587" s="278">
        <v>0</v>
      </c>
      <c r="S587" s="278">
        <v>0</v>
      </c>
      <c r="T587" s="278">
        <v>0</v>
      </c>
      <c r="U587" s="278">
        <v>0</v>
      </c>
      <c r="V587" s="278">
        <v>0</v>
      </c>
      <c r="W587" s="278">
        <v>0</v>
      </c>
      <c r="X587" s="278">
        <f>SUBTOTAL(9,E587:W587)</f>
        <v>1</v>
      </c>
      <c r="Y587" s="223"/>
      <c r="Z587" s="224" t="s">
        <v>663</v>
      </c>
      <c r="AA587" s="157" t="s">
        <v>649</v>
      </c>
      <c r="AB587" s="259" t="s">
        <v>2821</v>
      </c>
      <c r="AC587" s="530" t="s">
        <v>3015</v>
      </c>
      <c r="AD587" s="159"/>
    </row>
    <row r="588" spans="1:30" x14ac:dyDescent="0.2">
      <c r="A588" s="327" t="s">
        <v>1101</v>
      </c>
      <c r="B588" s="327"/>
      <c r="C588" s="225" t="s">
        <v>2147</v>
      </c>
      <c r="D588" s="226" t="s">
        <v>2148</v>
      </c>
      <c r="E588" s="232">
        <v>0.39999999999999997</v>
      </c>
      <c r="F588" s="232">
        <v>0</v>
      </c>
      <c r="G588" s="232">
        <v>0</v>
      </c>
      <c r="H588" s="232">
        <v>0</v>
      </c>
      <c r="I588" s="232">
        <v>0</v>
      </c>
      <c r="J588" s="232">
        <v>0</v>
      </c>
      <c r="K588" s="232">
        <v>0</v>
      </c>
      <c r="L588" s="232">
        <v>0.60000000000000009</v>
      </c>
      <c r="M588" s="232">
        <v>0</v>
      </c>
      <c r="N588" s="232">
        <v>0</v>
      </c>
      <c r="O588" s="232">
        <v>0</v>
      </c>
      <c r="P588" s="232">
        <v>0</v>
      </c>
      <c r="Q588" s="232">
        <v>0</v>
      </c>
      <c r="R588" s="232">
        <v>0</v>
      </c>
      <c r="S588" s="232">
        <v>0</v>
      </c>
      <c r="T588" s="232">
        <v>0</v>
      </c>
      <c r="U588" s="232">
        <v>0</v>
      </c>
      <c r="V588" s="232">
        <v>0</v>
      </c>
      <c r="W588" s="232">
        <v>0</v>
      </c>
      <c r="X588" s="232">
        <f>SUM(E588:W588)</f>
        <v>1</v>
      </c>
      <c r="Y588" s="223"/>
      <c r="Z588" s="224" t="s">
        <v>663</v>
      </c>
      <c r="AA588" s="157" t="s">
        <v>663</v>
      </c>
      <c r="AB588" s="282" t="s">
        <v>1101</v>
      </c>
      <c r="AC588" s="530" t="s">
        <v>3015</v>
      </c>
      <c r="AD588" s="159"/>
    </row>
    <row r="589" spans="1:30" x14ac:dyDescent="0.2">
      <c r="A589" s="270" t="s">
        <v>2821</v>
      </c>
      <c r="B589" s="270"/>
      <c r="C589" s="272" t="s">
        <v>2149</v>
      </c>
      <c r="D589" s="273" t="s">
        <v>2150</v>
      </c>
      <c r="E589" s="274">
        <v>1</v>
      </c>
      <c r="F589" s="274">
        <v>0</v>
      </c>
      <c r="G589" s="274">
        <v>0</v>
      </c>
      <c r="H589" s="274">
        <v>0</v>
      </c>
      <c r="I589" s="274">
        <v>0</v>
      </c>
      <c r="J589" s="274">
        <v>0</v>
      </c>
      <c r="K589" s="274">
        <v>0</v>
      </c>
      <c r="L589" s="274">
        <v>0</v>
      </c>
      <c r="M589" s="274">
        <v>0</v>
      </c>
      <c r="N589" s="274">
        <v>0</v>
      </c>
      <c r="O589" s="274">
        <v>0</v>
      </c>
      <c r="P589" s="274">
        <v>0</v>
      </c>
      <c r="Q589" s="274">
        <v>0</v>
      </c>
      <c r="R589" s="274">
        <v>0</v>
      </c>
      <c r="S589" s="274">
        <v>0</v>
      </c>
      <c r="T589" s="274">
        <v>0</v>
      </c>
      <c r="U589" s="274">
        <v>0</v>
      </c>
      <c r="V589" s="274">
        <v>0</v>
      </c>
      <c r="W589" s="274">
        <v>0</v>
      </c>
      <c r="X589" s="274">
        <f>SUBTOTAL(9,E589:W589)</f>
        <v>1</v>
      </c>
      <c r="Y589" s="223"/>
      <c r="Z589" s="224" t="s">
        <v>663</v>
      </c>
      <c r="AA589" s="157" t="s">
        <v>649</v>
      </c>
      <c r="AB589" s="259" t="s">
        <v>2821</v>
      </c>
      <c r="AC589" s="530" t="s">
        <v>3015</v>
      </c>
      <c r="AD589" s="159"/>
    </row>
    <row r="590" spans="1:30" x14ac:dyDescent="0.2">
      <c r="A590" s="338" t="s">
        <v>1101</v>
      </c>
      <c r="B590" s="338"/>
      <c r="C590" s="279" t="s">
        <v>2151</v>
      </c>
      <c r="D590" s="280" t="s">
        <v>2152</v>
      </c>
      <c r="E590" s="232">
        <v>0.39999999999999991</v>
      </c>
      <c r="F590" s="232">
        <v>0</v>
      </c>
      <c r="G590" s="232">
        <v>0</v>
      </c>
      <c r="H590" s="232">
        <v>0</v>
      </c>
      <c r="I590" s="232">
        <v>0</v>
      </c>
      <c r="J590" s="232">
        <v>0</v>
      </c>
      <c r="K590" s="232">
        <v>0</v>
      </c>
      <c r="L590" s="232">
        <v>0.60000000000000009</v>
      </c>
      <c r="M590" s="232">
        <v>0</v>
      </c>
      <c r="N590" s="232">
        <v>0</v>
      </c>
      <c r="O590" s="232">
        <v>0</v>
      </c>
      <c r="P590" s="232">
        <v>0</v>
      </c>
      <c r="Q590" s="232">
        <v>0</v>
      </c>
      <c r="R590" s="232">
        <v>0</v>
      </c>
      <c r="S590" s="232">
        <v>0</v>
      </c>
      <c r="T590" s="232">
        <v>0</v>
      </c>
      <c r="U590" s="232">
        <v>0</v>
      </c>
      <c r="V590" s="232">
        <v>0</v>
      </c>
      <c r="W590" s="232">
        <v>0</v>
      </c>
      <c r="X590" s="232">
        <f>SUM(E590:W590)</f>
        <v>1</v>
      </c>
      <c r="Y590" s="223"/>
      <c r="Z590" s="224" t="s">
        <v>663</v>
      </c>
      <c r="AA590" s="157" t="s">
        <v>663</v>
      </c>
      <c r="AB590" s="282" t="s">
        <v>1101</v>
      </c>
      <c r="AC590" s="530" t="s">
        <v>3015</v>
      </c>
      <c r="AD590" s="159"/>
    </row>
    <row r="591" spans="1:30" x14ac:dyDescent="0.2">
      <c r="A591" s="270" t="s">
        <v>2821</v>
      </c>
      <c r="B591" s="270"/>
      <c r="C591" s="272" t="s">
        <v>2153</v>
      </c>
      <c r="D591" s="273" t="s">
        <v>2154</v>
      </c>
      <c r="E591" s="274">
        <v>1</v>
      </c>
      <c r="F591" s="274">
        <v>0</v>
      </c>
      <c r="G591" s="274">
        <v>0</v>
      </c>
      <c r="H591" s="274">
        <v>0</v>
      </c>
      <c r="I591" s="274">
        <v>0</v>
      </c>
      <c r="J591" s="274">
        <v>0</v>
      </c>
      <c r="K591" s="274">
        <v>0</v>
      </c>
      <c r="L591" s="274">
        <v>0</v>
      </c>
      <c r="M591" s="274">
        <v>0</v>
      </c>
      <c r="N591" s="274">
        <v>0</v>
      </c>
      <c r="O591" s="274">
        <v>0</v>
      </c>
      <c r="P591" s="274">
        <v>0</v>
      </c>
      <c r="Q591" s="274">
        <v>0</v>
      </c>
      <c r="R591" s="274">
        <v>0</v>
      </c>
      <c r="S591" s="274">
        <v>0</v>
      </c>
      <c r="T591" s="274">
        <v>0</v>
      </c>
      <c r="U591" s="274">
        <v>0</v>
      </c>
      <c r="V591" s="274">
        <v>0</v>
      </c>
      <c r="W591" s="274">
        <v>0</v>
      </c>
      <c r="X591" s="274">
        <f>SUBTOTAL(9,E591:W591)</f>
        <v>1</v>
      </c>
      <c r="Y591" s="223"/>
      <c r="Z591" s="224" t="s">
        <v>663</v>
      </c>
      <c r="AA591" s="157" t="s">
        <v>649</v>
      </c>
      <c r="AB591" s="259" t="s">
        <v>2821</v>
      </c>
      <c r="AC591" s="530" t="s">
        <v>3015</v>
      </c>
      <c r="AD591" s="159"/>
    </row>
    <row r="592" spans="1:30" x14ac:dyDescent="0.2">
      <c r="A592" s="270" t="s">
        <v>2821</v>
      </c>
      <c r="B592" s="270"/>
      <c r="C592" s="272" t="s">
        <v>2155</v>
      </c>
      <c r="D592" s="273" t="s">
        <v>2156</v>
      </c>
      <c r="E592" s="274">
        <v>0</v>
      </c>
      <c r="F592" s="274">
        <v>0</v>
      </c>
      <c r="G592" s="274">
        <v>0</v>
      </c>
      <c r="H592" s="274">
        <v>0</v>
      </c>
      <c r="I592" s="274">
        <v>0</v>
      </c>
      <c r="J592" s="274">
        <v>0</v>
      </c>
      <c r="K592" s="274">
        <v>0</v>
      </c>
      <c r="L592" s="274">
        <v>1</v>
      </c>
      <c r="M592" s="274">
        <v>0</v>
      </c>
      <c r="N592" s="274">
        <v>0</v>
      </c>
      <c r="O592" s="274">
        <v>0</v>
      </c>
      <c r="P592" s="274">
        <v>0</v>
      </c>
      <c r="Q592" s="274">
        <v>0</v>
      </c>
      <c r="R592" s="274">
        <v>0</v>
      </c>
      <c r="S592" s="274">
        <v>0</v>
      </c>
      <c r="T592" s="274">
        <v>0</v>
      </c>
      <c r="U592" s="274">
        <v>0</v>
      </c>
      <c r="V592" s="274">
        <v>0</v>
      </c>
      <c r="W592" s="274">
        <v>0</v>
      </c>
      <c r="X592" s="274">
        <f>SUBTOTAL(9,E592:W592)</f>
        <v>1</v>
      </c>
      <c r="Y592" s="223"/>
      <c r="Z592" s="224" t="s">
        <v>663</v>
      </c>
      <c r="AA592" s="157" t="s">
        <v>649</v>
      </c>
      <c r="AB592" s="259" t="s">
        <v>2821</v>
      </c>
      <c r="AC592" s="530" t="s">
        <v>3015</v>
      </c>
      <c r="AD592" s="159"/>
    </row>
    <row r="593" spans="1:30" x14ac:dyDescent="0.2">
      <c r="A593" s="270" t="s">
        <v>2821</v>
      </c>
      <c r="B593" s="270"/>
      <c r="C593" s="272" t="s">
        <v>2157</v>
      </c>
      <c r="D593" s="273" t="s">
        <v>2158</v>
      </c>
      <c r="E593" s="274">
        <v>0</v>
      </c>
      <c r="F593" s="274">
        <v>0</v>
      </c>
      <c r="G593" s="274">
        <v>0</v>
      </c>
      <c r="H593" s="274">
        <v>1</v>
      </c>
      <c r="I593" s="274">
        <v>0</v>
      </c>
      <c r="J593" s="274">
        <v>0</v>
      </c>
      <c r="K593" s="274">
        <v>0</v>
      </c>
      <c r="L593" s="274">
        <v>0</v>
      </c>
      <c r="M593" s="274">
        <v>0</v>
      </c>
      <c r="N593" s="274">
        <v>0</v>
      </c>
      <c r="O593" s="274">
        <v>0</v>
      </c>
      <c r="P593" s="274">
        <v>0</v>
      </c>
      <c r="Q593" s="274">
        <v>0</v>
      </c>
      <c r="R593" s="274">
        <v>0</v>
      </c>
      <c r="S593" s="274">
        <v>0</v>
      </c>
      <c r="T593" s="274">
        <v>0</v>
      </c>
      <c r="U593" s="274">
        <v>0</v>
      </c>
      <c r="V593" s="274">
        <v>0</v>
      </c>
      <c r="W593" s="274">
        <v>0</v>
      </c>
      <c r="X593" s="274">
        <f>SUBTOTAL(9,E593:W593)</f>
        <v>1</v>
      </c>
      <c r="Y593" s="223"/>
      <c r="Z593" s="224" t="s">
        <v>663</v>
      </c>
      <c r="AA593" s="157" t="s">
        <v>649</v>
      </c>
      <c r="AB593" s="259" t="s">
        <v>2821</v>
      </c>
      <c r="AC593" s="530" t="s">
        <v>3015</v>
      </c>
      <c r="AD593" s="159"/>
    </row>
    <row r="594" spans="1:30" x14ac:dyDescent="0.2">
      <c r="A594" s="270" t="s">
        <v>2821</v>
      </c>
      <c r="B594" s="270"/>
      <c r="C594" s="272" t="s">
        <v>2159</v>
      </c>
      <c r="D594" s="273" t="s">
        <v>2160</v>
      </c>
      <c r="E594" s="274">
        <v>1</v>
      </c>
      <c r="F594" s="274">
        <v>0</v>
      </c>
      <c r="G594" s="274">
        <v>0</v>
      </c>
      <c r="H594" s="274">
        <v>0</v>
      </c>
      <c r="I594" s="274">
        <v>0</v>
      </c>
      <c r="J594" s="274">
        <v>0</v>
      </c>
      <c r="K594" s="274">
        <v>0</v>
      </c>
      <c r="L594" s="274">
        <v>0</v>
      </c>
      <c r="M594" s="274">
        <v>0</v>
      </c>
      <c r="N594" s="274">
        <v>0</v>
      </c>
      <c r="O594" s="274">
        <v>0</v>
      </c>
      <c r="P594" s="274">
        <v>0</v>
      </c>
      <c r="Q594" s="274">
        <v>0</v>
      </c>
      <c r="R594" s="274">
        <v>0</v>
      </c>
      <c r="S594" s="274">
        <v>0</v>
      </c>
      <c r="T594" s="274">
        <v>0</v>
      </c>
      <c r="U594" s="274">
        <v>0</v>
      </c>
      <c r="V594" s="274">
        <v>0</v>
      </c>
      <c r="W594" s="274">
        <v>0</v>
      </c>
      <c r="X594" s="274">
        <f>SUBTOTAL(9,E594:W594)</f>
        <v>1</v>
      </c>
      <c r="Y594" s="223"/>
      <c r="Z594" s="224" t="s">
        <v>663</v>
      </c>
      <c r="AA594" s="157" t="s">
        <v>649</v>
      </c>
      <c r="AB594" s="259" t="s">
        <v>2821</v>
      </c>
      <c r="AC594" s="530" t="s">
        <v>3015</v>
      </c>
      <c r="AD594" s="159"/>
    </row>
    <row r="595" spans="1:30" x14ac:dyDescent="0.2">
      <c r="A595" s="270" t="s">
        <v>2821</v>
      </c>
      <c r="B595" s="270"/>
      <c r="C595" s="272" t="s">
        <v>2161</v>
      </c>
      <c r="D595" s="273" t="s">
        <v>2162</v>
      </c>
      <c r="E595" s="274">
        <v>0.76171875000000011</v>
      </c>
      <c r="F595" s="274">
        <v>0</v>
      </c>
      <c r="G595" s="274">
        <v>0</v>
      </c>
      <c r="H595" s="274">
        <v>0</v>
      </c>
      <c r="I595" s="274">
        <v>0</v>
      </c>
      <c r="J595" s="274">
        <v>0</v>
      </c>
      <c r="K595" s="274">
        <v>0</v>
      </c>
      <c r="L595" s="274">
        <v>0.23828125</v>
      </c>
      <c r="M595" s="274">
        <v>0</v>
      </c>
      <c r="N595" s="274">
        <v>0</v>
      </c>
      <c r="O595" s="274">
        <v>0</v>
      </c>
      <c r="P595" s="274">
        <v>0</v>
      </c>
      <c r="Q595" s="274">
        <v>0</v>
      </c>
      <c r="R595" s="274">
        <v>0</v>
      </c>
      <c r="S595" s="274">
        <v>0</v>
      </c>
      <c r="T595" s="274">
        <v>0</v>
      </c>
      <c r="U595" s="274">
        <v>0</v>
      </c>
      <c r="V595" s="274">
        <v>0</v>
      </c>
      <c r="W595" s="274">
        <v>0</v>
      </c>
      <c r="X595" s="274">
        <f>SUBTOTAL(9,E595:W595)</f>
        <v>1</v>
      </c>
      <c r="Y595" s="223"/>
      <c r="Z595" s="224" t="s">
        <v>663</v>
      </c>
      <c r="AA595" s="157" t="s">
        <v>649</v>
      </c>
      <c r="AB595" s="259" t="s">
        <v>2821</v>
      </c>
      <c r="AC595" s="530" t="s">
        <v>3015</v>
      </c>
      <c r="AD595" s="159"/>
    </row>
    <row r="596" spans="1:30" x14ac:dyDescent="0.2">
      <c r="A596" s="282" t="s">
        <v>1101</v>
      </c>
      <c r="B596" s="282"/>
      <c r="C596" s="238" t="s">
        <v>2163</v>
      </c>
      <c r="D596" s="239" t="s">
        <v>2164</v>
      </c>
      <c r="E596" s="221">
        <v>0.4</v>
      </c>
      <c r="F596" s="221">
        <v>0</v>
      </c>
      <c r="G596" s="221">
        <v>0</v>
      </c>
      <c r="H596" s="221">
        <v>0</v>
      </c>
      <c r="I596" s="221">
        <v>0</v>
      </c>
      <c r="J596" s="221">
        <v>0</v>
      </c>
      <c r="K596" s="221">
        <v>0</v>
      </c>
      <c r="L596" s="221">
        <v>0.6</v>
      </c>
      <c r="M596" s="221">
        <v>0</v>
      </c>
      <c r="N596" s="221">
        <v>0</v>
      </c>
      <c r="O596" s="221">
        <v>0</v>
      </c>
      <c r="P596" s="221">
        <v>0</v>
      </c>
      <c r="Q596" s="221">
        <v>0</v>
      </c>
      <c r="R596" s="221">
        <v>0</v>
      </c>
      <c r="S596" s="221">
        <v>0</v>
      </c>
      <c r="T596" s="221">
        <v>0</v>
      </c>
      <c r="U596" s="221">
        <v>0</v>
      </c>
      <c r="V596" s="221">
        <v>0</v>
      </c>
      <c r="W596" s="221">
        <v>0</v>
      </c>
      <c r="X596" s="221">
        <f>SUM(E596:W596)</f>
        <v>1</v>
      </c>
      <c r="Y596" s="223"/>
      <c r="Z596" s="224" t="s">
        <v>663</v>
      </c>
      <c r="AA596" s="157" t="s">
        <v>663</v>
      </c>
      <c r="AB596" s="282" t="s">
        <v>1101</v>
      </c>
      <c r="AC596" s="530" t="s">
        <v>3015</v>
      </c>
      <c r="AD596" s="159"/>
    </row>
    <row r="597" spans="1:30" x14ac:dyDescent="0.2">
      <c r="A597" s="270" t="s">
        <v>2821</v>
      </c>
      <c r="B597" s="270"/>
      <c r="C597" s="272" t="s">
        <v>2165</v>
      </c>
      <c r="D597" s="273" t="s">
        <v>2166</v>
      </c>
      <c r="E597" s="274">
        <v>0</v>
      </c>
      <c r="F597" s="274">
        <v>0</v>
      </c>
      <c r="G597" s="274">
        <v>0</v>
      </c>
      <c r="H597" s="274">
        <v>0</v>
      </c>
      <c r="I597" s="274">
        <v>0</v>
      </c>
      <c r="J597" s="274">
        <v>0</v>
      </c>
      <c r="K597" s="274">
        <v>0</v>
      </c>
      <c r="L597" s="274">
        <v>1</v>
      </c>
      <c r="M597" s="274">
        <v>0</v>
      </c>
      <c r="N597" s="274">
        <v>0</v>
      </c>
      <c r="O597" s="274">
        <v>0</v>
      </c>
      <c r="P597" s="274">
        <v>0</v>
      </c>
      <c r="Q597" s="274">
        <v>0</v>
      </c>
      <c r="R597" s="274">
        <v>0</v>
      </c>
      <c r="S597" s="274">
        <v>0</v>
      </c>
      <c r="T597" s="274">
        <v>0</v>
      </c>
      <c r="U597" s="274">
        <v>0</v>
      </c>
      <c r="V597" s="274">
        <v>0</v>
      </c>
      <c r="W597" s="274">
        <v>0</v>
      </c>
      <c r="X597" s="274">
        <f>SUBTOTAL(9,E597:W597)</f>
        <v>1</v>
      </c>
      <c r="Y597" s="223"/>
      <c r="Z597" s="224" t="s">
        <v>663</v>
      </c>
      <c r="AA597" s="157" t="s">
        <v>649</v>
      </c>
      <c r="AB597" s="259" t="s">
        <v>2821</v>
      </c>
      <c r="AC597" s="530" t="s">
        <v>3015</v>
      </c>
      <c r="AD597" s="159"/>
    </row>
    <row r="598" spans="1:30" x14ac:dyDescent="0.2">
      <c r="A598" s="282" t="s">
        <v>1101</v>
      </c>
      <c r="B598" s="282"/>
      <c r="C598" s="238" t="s">
        <v>2167</v>
      </c>
      <c r="D598" s="239" t="s">
        <v>2168</v>
      </c>
      <c r="E598" s="240">
        <v>0</v>
      </c>
      <c r="F598" s="240">
        <v>5.8458079356652634E-2</v>
      </c>
      <c r="G598" s="240">
        <v>0.20127561199010083</v>
      </c>
      <c r="H598" s="240">
        <v>0</v>
      </c>
      <c r="I598" s="240">
        <v>0</v>
      </c>
      <c r="J598" s="240">
        <v>3.8589540478922518E-2</v>
      </c>
      <c r="K598" s="240">
        <v>0</v>
      </c>
      <c r="L598" s="240">
        <v>0</v>
      </c>
      <c r="M598" s="240">
        <v>0</v>
      </c>
      <c r="N598" s="240">
        <v>0.24300530309730867</v>
      </c>
      <c r="O598" s="240">
        <v>4.2990443785161966E-2</v>
      </c>
      <c r="P598" s="240">
        <v>0.1333342796891081</v>
      </c>
      <c r="Q598" s="240">
        <v>7.3349811171043323E-3</v>
      </c>
      <c r="R598" s="240">
        <v>0</v>
      </c>
      <c r="S598" s="240">
        <v>0.18744127403063937</v>
      </c>
      <c r="T598" s="240">
        <v>8.7570486455001484E-2</v>
      </c>
      <c r="U598" s="240">
        <v>0</v>
      </c>
      <c r="V598" s="240">
        <v>0</v>
      </c>
      <c r="W598" s="240">
        <v>0</v>
      </c>
      <c r="X598" s="221">
        <f t="shared" ref="X598:X617" si="21">SUM(E598:W598)</f>
        <v>0.99999999999999978</v>
      </c>
      <c r="Y598" s="223"/>
      <c r="Z598" s="224" t="s">
        <v>663</v>
      </c>
      <c r="AA598" s="157" t="s">
        <v>663</v>
      </c>
      <c r="AB598" s="282" t="s">
        <v>1101</v>
      </c>
      <c r="AC598" s="530" t="s">
        <v>3015</v>
      </c>
      <c r="AD598" s="159"/>
    </row>
    <row r="599" spans="1:30" x14ac:dyDescent="0.2">
      <c r="A599" s="282" t="s">
        <v>1101</v>
      </c>
      <c r="B599" s="282"/>
      <c r="C599" s="238" t="s">
        <v>2169</v>
      </c>
      <c r="D599" s="239" t="s">
        <v>2170</v>
      </c>
      <c r="E599" s="240">
        <v>0</v>
      </c>
      <c r="F599" s="240">
        <v>0</v>
      </c>
      <c r="G599" s="240">
        <v>0</v>
      </c>
      <c r="H599" s="240">
        <v>0</v>
      </c>
      <c r="I599" s="240">
        <v>0</v>
      </c>
      <c r="J599" s="240">
        <v>7.5075271507818994E-2</v>
      </c>
      <c r="K599" s="240">
        <v>0</v>
      </c>
      <c r="L599" s="240">
        <v>0</v>
      </c>
      <c r="M599" s="240">
        <v>0</v>
      </c>
      <c r="N599" s="240">
        <v>0.40432211362734893</v>
      </c>
      <c r="O599" s="240">
        <v>4.060320934122745E-2</v>
      </c>
      <c r="P599" s="240">
        <v>0.19665966742387228</v>
      </c>
      <c r="Q599" s="240">
        <v>1.2367399726250412E-2</v>
      </c>
      <c r="R599" s="240">
        <v>0</v>
      </c>
      <c r="S599" s="240">
        <v>0.15050089803403974</v>
      </c>
      <c r="T599" s="240">
        <v>0.12047144033944221</v>
      </c>
      <c r="U599" s="240">
        <v>0</v>
      </c>
      <c r="V599" s="240">
        <v>0</v>
      </c>
      <c r="W599" s="240">
        <v>0</v>
      </c>
      <c r="X599" s="221">
        <f t="shared" si="21"/>
        <v>1</v>
      </c>
      <c r="Y599" s="223"/>
      <c r="Z599" s="224" t="s">
        <v>663</v>
      </c>
      <c r="AA599" s="157" t="s">
        <v>663</v>
      </c>
      <c r="AB599" s="282" t="s">
        <v>1101</v>
      </c>
      <c r="AC599" s="530" t="s">
        <v>3015</v>
      </c>
      <c r="AD599" s="159"/>
    </row>
    <row r="600" spans="1:30" x14ac:dyDescent="0.2">
      <c r="A600" s="282" t="s">
        <v>1101</v>
      </c>
      <c r="B600" s="282"/>
      <c r="C600" s="238" t="s">
        <v>2171</v>
      </c>
      <c r="D600" s="239" t="s">
        <v>2172</v>
      </c>
      <c r="E600" s="240">
        <v>0</v>
      </c>
      <c r="F600" s="240">
        <v>0</v>
      </c>
      <c r="G600" s="240">
        <v>0</v>
      </c>
      <c r="H600" s="240">
        <v>0</v>
      </c>
      <c r="I600" s="240">
        <v>0</v>
      </c>
      <c r="J600" s="240">
        <v>5.1384474277712672E-2</v>
      </c>
      <c r="K600" s="240">
        <v>0</v>
      </c>
      <c r="L600" s="240">
        <v>0</v>
      </c>
      <c r="M600" s="240">
        <v>0</v>
      </c>
      <c r="N600" s="240">
        <v>0.46429315208702998</v>
      </c>
      <c r="O600" s="240">
        <v>3.0316839824409487E-2</v>
      </c>
      <c r="P600" s="240">
        <v>0.20393450437450267</v>
      </c>
      <c r="Q600" s="240">
        <v>1.2709716146697287E-2</v>
      </c>
      <c r="R600" s="240">
        <v>0</v>
      </c>
      <c r="S600" s="240">
        <v>0.12711584999937833</v>
      </c>
      <c r="T600" s="240">
        <v>0.11024546329026945</v>
      </c>
      <c r="U600" s="240">
        <v>0</v>
      </c>
      <c r="V600" s="240">
        <v>0</v>
      </c>
      <c r="W600" s="240">
        <v>0</v>
      </c>
      <c r="X600" s="221">
        <f t="shared" si="21"/>
        <v>0.99999999999999978</v>
      </c>
      <c r="Y600" s="223"/>
      <c r="Z600" s="224" t="s">
        <v>663</v>
      </c>
      <c r="AA600" s="157" t="s">
        <v>663</v>
      </c>
      <c r="AB600" s="282" t="s">
        <v>1101</v>
      </c>
      <c r="AC600" s="530" t="s">
        <v>3015</v>
      </c>
      <c r="AD600" s="159"/>
    </row>
    <row r="601" spans="1:30" x14ac:dyDescent="0.2">
      <c r="A601" s="282" t="s">
        <v>1101</v>
      </c>
      <c r="B601" s="282"/>
      <c r="C601" s="238" t="s">
        <v>2173</v>
      </c>
      <c r="D601" s="239" t="s">
        <v>2174</v>
      </c>
      <c r="E601" s="240">
        <v>0</v>
      </c>
      <c r="F601" s="240">
        <v>3.1937668436580143E-3</v>
      </c>
      <c r="G601" s="240">
        <v>1.7180138275306185E-2</v>
      </c>
      <c r="H601" s="240">
        <v>0</v>
      </c>
      <c r="I601" s="240">
        <v>3.0368028343667505E-3</v>
      </c>
      <c r="J601" s="240">
        <v>1.0471733911609485E-2</v>
      </c>
      <c r="K601" s="240">
        <v>0</v>
      </c>
      <c r="L601" s="240">
        <v>0</v>
      </c>
      <c r="M601" s="240">
        <v>0</v>
      </c>
      <c r="N601" s="240">
        <v>0.13153548748818406</v>
      </c>
      <c r="O601" s="240">
        <v>1.3391401791397769E-2</v>
      </c>
      <c r="P601" s="240">
        <v>5.977495367678904E-2</v>
      </c>
      <c r="Q601" s="240">
        <v>1.0524092581665987E-2</v>
      </c>
      <c r="R601" s="240">
        <v>0</v>
      </c>
      <c r="S601" s="240">
        <v>5.7986180302751981E-2</v>
      </c>
      <c r="T601" s="240">
        <v>0.68385786419464012</v>
      </c>
      <c r="U601" s="240">
        <v>9.0475780996305943E-3</v>
      </c>
      <c r="V601" s="240">
        <v>0</v>
      </c>
      <c r="W601" s="240">
        <v>0</v>
      </c>
      <c r="X601" s="221">
        <f t="shared" si="21"/>
        <v>1</v>
      </c>
      <c r="Y601" s="223"/>
      <c r="Z601" s="224" t="s">
        <v>663</v>
      </c>
      <c r="AA601" s="157" t="s">
        <v>663</v>
      </c>
      <c r="AB601" s="282" t="s">
        <v>1101</v>
      </c>
      <c r="AC601" s="530" t="s">
        <v>3015</v>
      </c>
      <c r="AD601" s="159"/>
    </row>
    <row r="602" spans="1:30" x14ac:dyDescent="0.2">
      <c r="A602" s="282" t="s">
        <v>1101</v>
      </c>
      <c r="B602" s="282"/>
      <c r="C602" s="238" t="s">
        <v>2175</v>
      </c>
      <c r="D602" s="239" t="s">
        <v>2176</v>
      </c>
      <c r="E602" s="240">
        <v>0</v>
      </c>
      <c r="F602" s="240">
        <v>9.256545364691263E-3</v>
      </c>
      <c r="G602" s="240">
        <v>2.9362718085306543E-2</v>
      </c>
      <c r="H602" s="240">
        <v>0</v>
      </c>
      <c r="I602" s="240">
        <v>0</v>
      </c>
      <c r="J602" s="240">
        <v>4.8042087678458245E-2</v>
      </c>
      <c r="K602" s="240">
        <v>0</v>
      </c>
      <c r="L602" s="240">
        <v>0</v>
      </c>
      <c r="M602" s="240">
        <v>0</v>
      </c>
      <c r="N602" s="240">
        <v>0.43112968901593163</v>
      </c>
      <c r="O602" s="240">
        <v>2.196827233474425E-2</v>
      </c>
      <c r="P602" s="240">
        <v>0.23599935481264589</v>
      </c>
      <c r="Q602" s="240">
        <v>2.6006783464469916E-2</v>
      </c>
      <c r="R602" s="240">
        <v>0</v>
      </c>
      <c r="S602" s="240">
        <v>8.4803894929928292E-2</v>
      </c>
      <c r="T602" s="240">
        <v>0.11343065431382394</v>
      </c>
      <c r="U602" s="240">
        <v>0</v>
      </c>
      <c r="V602" s="240">
        <v>0</v>
      </c>
      <c r="W602" s="240">
        <v>0</v>
      </c>
      <c r="X602" s="221">
        <f t="shared" si="21"/>
        <v>1</v>
      </c>
      <c r="Y602" s="223"/>
      <c r="Z602" s="224" t="s">
        <v>663</v>
      </c>
      <c r="AA602" s="157" t="s">
        <v>663</v>
      </c>
      <c r="AB602" s="282" t="s">
        <v>1101</v>
      </c>
      <c r="AC602" s="530" t="s">
        <v>3015</v>
      </c>
      <c r="AD602" s="159"/>
    </row>
    <row r="603" spans="1:30" x14ac:dyDescent="0.2">
      <c r="A603" s="325" t="s">
        <v>1101</v>
      </c>
      <c r="B603" s="338"/>
      <c r="C603" s="279" t="s">
        <v>2177</v>
      </c>
      <c r="D603" s="280" t="s">
        <v>2178</v>
      </c>
      <c r="E603" s="362">
        <v>0</v>
      </c>
      <c r="F603" s="362">
        <v>0</v>
      </c>
      <c r="G603" s="362">
        <v>0</v>
      </c>
      <c r="H603" s="362">
        <v>0</v>
      </c>
      <c r="I603" s="362">
        <v>0</v>
      </c>
      <c r="J603" s="362">
        <v>0</v>
      </c>
      <c r="K603" s="362">
        <v>0</v>
      </c>
      <c r="L603" s="362">
        <v>0</v>
      </c>
      <c r="M603" s="362">
        <v>0</v>
      </c>
      <c r="N603" s="362">
        <v>1.0774446608556466E-2</v>
      </c>
      <c r="O603" s="362">
        <v>0</v>
      </c>
      <c r="P603" s="362">
        <v>2.2827539477671866E-3</v>
      </c>
      <c r="Q603" s="362">
        <v>0</v>
      </c>
      <c r="R603" s="362">
        <v>0</v>
      </c>
      <c r="S603" s="362">
        <v>3.1019365725648675E-3</v>
      </c>
      <c r="T603" s="362">
        <v>0</v>
      </c>
      <c r="U603" s="362">
        <v>0.9838408628711115</v>
      </c>
      <c r="V603" s="362">
        <v>0</v>
      </c>
      <c r="W603" s="362">
        <v>0</v>
      </c>
      <c r="X603" s="252">
        <f t="shared" si="21"/>
        <v>1</v>
      </c>
      <c r="Y603" s="223"/>
      <c r="Z603" s="224" t="s">
        <v>663</v>
      </c>
      <c r="AA603" s="157" t="s">
        <v>663</v>
      </c>
      <c r="AB603" s="282" t="s">
        <v>1101</v>
      </c>
      <c r="AC603" s="530" t="s">
        <v>3015</v>
      </c>
      <c r="AD603" s="159"/>
    </row>
    <row r="604" spans="1:30" x14ac:dyDescent="0.2">
      <c r="A604" s="282" t="s">
        <v>1101</v>
      </c>
      <c r="B604" s="282"/>
      <c r="C604" s="238" t="s">
        <v>2179</v>
      </c>
      <c r="D604" s="239" t="s">
        <v>2180</v>
      </c>
      <c r="E604" s="221">
        <v>0</v>
      </c>
      <c r="F604" s="221">
        <v>0</v>
      </c>
      <c r="G604" s="221">
        <v>2.0050483144596381E-2</v>
      </c>
      <c r="H604" s="221">
        <v>0</v>
      </c>
      <c r="I604" s="221">
        <v>0</v>
      </c>
      <c r="J604" s="221">
        <v>0</v>
      </c>
      <c r="K604" s="221">
        <v>0</v>
      </c>
      <c r="L604" s="221">
        <v>0</v>
      </c>
      <c r="M604" s="221">
        <v>0</v>
      </c>
      <c r="N604" s="221">
        <v>0.81333491669740399</v>
      </c>
      <c r="O604" s="221">
        <v>0</v>
      </c>
      <c r="P604" s="221">
        <v>2.3985390475659753E-2</v>
      </c>
      <c r="Q604" s="221">
        <v>0</v>
      </c>
      <c r="R604" s="221">
        <v>0</v>
      </c>
      <c r="S604" s="221">
        <v>5.0567320025448753E-2</v>
      </c>
      <c r="T604" s="221">
        <v>0</v>
      </c>
      <c r="U604" s="221">
        <v>9.2061889656891119E-2</v>
      </c>
      <c r="V604" s="221">
        <v>0</v>
      </c>
      <c r="W604" s="221">
        <v>0</v>
      </c>
      <c r="X604" s="221">
        <f t="shared" si="21"/>
        <v>0.99999999999999989</v>
      </c>
      <c r="Y604" s="223"/>
      <c r="Z604" s="224" t="s">
        <v>663</v>
      </c>
      <c r="AA604" s="157" t="s">
        <v>663</v>
      </c>
      <c r="AB604" s="282" t="s">
        <v>1101</v>
      </c>
      <c r="AC604" s="530" t="s">
        <v>3015</v>
      </c>
      <c r="AD604" s="159"/>
    </row>
    <row r="605" spans="1:30" x14ac:dyDescent="0.2">
      <c r="A605" s="282" t="s">
        <v>1101</v>
      </c>
      <c r="B605" s="282"/>
      <c r="C605" s="238" t="s">
        <v>2181</v>
      </c>
      <c r="D605" s="239" t="s">
        <v>2182</v>
      </c>
      <c r="E605" s="240">
        <v>0</v>
      </c>
      <c r="F605" s="240">
        <v>3.5874797117277223E-2</v>
      </c>
      <c r="G605" s="240">
        <v>2.3808346451751242E-2</v>
      </c>
      <c r="H605" s="240">
        <v>0</v>
      </c>
      <c r="I605" s="240">
        <v>0.12501234022001539</v>
      </c>
      <c r="J605" s="240">
        <v>2.6987436178185317E-2</v>
      </c>
      <c r="K605" s="240">
        <v>0</v>
      </c>
      <c r="L605" s="240">
        <v>0</v>
      </c>
      <c r="M605" s="240">
        <v>0</v>
      </c>
      <c r="N605" s="240">
        <v>0.26278850383708402</v>
      </c>
      <c r="O605" s="240">
        <v>1.8886529568798448E-2</v>
      </c>
      <c r="P605" s="240">
        <v>0.28949392385184941</v>
      </c>
      <c r="Q605" s="240">
        <v>1.0448332901207837E-2</v>
      </c>
      <c r="R605" s="240">
        <v>0</v>
      </c>
      <c r="S605" s="240">
        <v>0.20254411958884808</v>
      </c>
      <c r="T605" s="240">
        <v>4.1556702849829446E-3</v>
      </c>
      <c r="U605" s="240">
        <v>0</v>
      </c>
      <c r="V605" s="240">
        <v>0</v>
      </c>
      <c r="W605" s="240">
        <v>0</v>
      </c>
      <c r="X605" s="221">
        <f t="shared" si="21"/>
        <v>1</v>
      </c>
      <c r="Y605" s="223"/>
      <c r="Z605" s="224" t="s">
        <v>663</v>
      </c>
      <c r="AA605" s="157" t="s">
        <v>663</v>
      </c>
      <c r="AB605" s="282" t="s">
        <v>1101</v>
      </c>
      <c r="AC605" s="530" t="s">
        <v>3015</v>
      </c>
      <c r="AD605" s="159"/>
    </row>
    <row r="606" spans="1:30" x14ac:dyDescent="0.2">
      <c r="A606" s="282" t="s">
        <v>1101</v>
      </c>
      <c r="B606" s="282"/>
      <c r="C606" s="238" t="s">
        <v>2183</v>
      </c>
      <c r="D606" s="239" t="s">
        <v>2184</v>
      </c>
      <c r="E606" s="240">
        <v>0</v>
      </c>
      <c r="F606" s="240">
        <v>0</v>
      </c>
      <c r="G606" s="240">
        <v>0</v>
      </c>
      <c r="H606" s="240">
        <v>0</v>
      </c>
      <c r="I606" s="240">
        <v>0</v>
      </c>
      <c r="J606" s="240">
        <v>0</v>
      </c>
      <c r="K606" s="240">
        <v>0</v>
      </c>
      <c r="L606" s="240">
        <v>0</v>
      </c>
      <c r="M606" s="240">
        <v>0</v>
      </c>
      <c r="N606" s="240">
        <v>0.70678894587670316</v>
      </c>
      <c r="O606" s="240">
        <v>0</v>
      </c>
      <c r="P606" s="240">
        <v>0.12390850976378552</v>
      </c>
      <c r="Q606" s="240">
        <v>1.11955487104098E-2</v>
      </c>
      <c r="R606" s="240">
        <v>0</v>
      </c>
      <c r="S606" s="240">
        <v>0.13718230125896475</v>
      </c>
      <c r="T606" s="240">
        <v>2.0924694390136864E-2</v>
      </c>
      <c r="U606" s="240">
        <v>0</v>
      </c>
      <c r="V606" s="240">
        <v>0</v>
      </c>
      <c r="W606" s="240">
        <v>0</v>
      </c>
      <c r="X606" s="221">
        <f t="shared" si="21"/>
        <v>1.0000000000000002</v>
      </c>
      <c r="Y606" s="223"/>
      <c r="Z606" s="224" t="s">
        <v>663</v>
      </c>
      <c r="AA606" s="157" t="s">
        <v>663</v>
      </c>
      <c r="AB606" s="282" t="s">
        <v>1101</v>
      </c>
      <c r="AC606" s="530" t="s">
        <v>3015</v>
      </c>
      <c r="AD606" s="159"/>
    </row>
    <row r="607" spans="1:30" x14ac:dyDescent="0.2">
      <c r="A607" s="282" t="s">
        <v>1101</v>
      </c>
      <c r="B607" s="282"/>
      <c r="C607" s="238" t="s">
        <v>2185</v>
      </c>
      <c r="D607" s="239" t="s">
        <v>2186</v>
      </c>
      <c r="E607" s="240">
        <v>0</v>
      </c>
      <c r="F607" s="240">
        <v>5.6770824009062084E-3</v>
      </c>
      <c r="G607" s="240">
        <v>1.4448188754050168E-2</v>
      </c>
      <c r="H607" s="240">
        <v>0</v>
      </c>
      <c r="I607" s="240">
        <v>0</v>
      </c>
      <c r="J607" s="240">
        <v>2.0973141900410677E-2</v>
      </c>
      <c r="K607" s="240">
        <v>0</v>
      </c>
      <c r="L607" s="240">
        <v>0</v>
      </c>
      <c r="M607" s="240">
        <v>0</v>
      </c>
      <c r="N607" s="240">
        <v>0.42795830919049144</v>
      </c>
      <c r="O607" s="240">
        <v>2.5258577813638664E-2</v>
      </c>
      <c r="P607" s="240">
        <v>0.18680494886824217</v>
      </c>
      <c r="Q607" s="240">
        <v>1.1546793727163013E-2</v>
      </c>
      <c r="R607" s="240">
        <v>0</v>
      </c>
      <c r="S607" s="240">
        <v>0.14232869996244751</v>
      </c>
      <c r="T607" s="240">
        <v>0.16500425738265023</v>
      </c>
      <c r="U607" s="240">
        <v>0</v>
      </c>
      <c r="V607" s="240">
        <v>0</v>
      </c>
      <c r="W607" s="240">
        <v>0</v>
      </c>
      <c r="X607" s="221">
        <f t="shared" si="21"/>
        <v>1</v>
      </c>
      <c r="Y607" s="223"/>
      <c r="Z607" s="224" t="s">
        <v>663</v>
      </c>
      <c r="AA607" s="157" t="s">
        <v>663</v>
      </c>
      <c r="AB607" s="282" t="s">
        <v>1101</v>
      </c>
      <c r="AC607" s="530" t="s">
        <v>3015</v>
      </c>
      <c r="AD607" s="159"/>
    </row>
    <row r="608" spans="1:30" x14ac:dyDescent="0.2">
      <c r="A608" s="282" t="s">
        <v>1101</v>
      </c>
      <c r="B608" s="282"/>
      <c r="C608" s="238" t="s">
        <v>2187</v>
      </c>
      <c r="D608" s="239" t="s">
        <v>2188</v>
      </c>
      <c r="E608" s="221">
        <v>0</v>
      </c>
      <c r="F608" s="221">
        <v>0</v>
      </c>
      <c r="G608" s="221">
        <v>1.053883052959762E-2</v>
      </c>
      <c r="H608" s="221">
        <v>0</v>
      </c>
      <c r="I608" s="221">
        <v>0</v>
      </c>
      <c r="J608" s="221">
        <v>0</v>
      </c>
      <c r="K608" s="221">
        <v>0</v>
      </c>
      <c r="L608" s="221">
        <v>0</v>
      </c>
      <c r="M608" s="221">
        <v>0</v>
      </c>
      <c r="N608" s="221">
        <v>8.298467076600255E-2</v>
      </c>
      <c r="O608" s="221">
        <v>0</v>
      </c>
      <c r="P608" s="221">
        <v>1.9045352932649955E-2</v>
      </c>
      <c r="Q608" s="221">
        <v>0</v>
      </c>
      <c r="R608" s="221">
        <v>0</v>
      </c>
      <c r="S608" s="221">
        <v>1.2191319480238974E-2</v>
      </c>
      <c r="T608" s="221">
        <v>0.87523982629151087</v>
      </c>
      <c r="U608" s="221">
        <v>0</v>
      </c>
      <c r="V608" s="221">
        <v>0</v>
      </c>
      <c r="W608" s="221">
        <v>0</v>
      </c>
      <c r="X608" s="221">
        <f t="shared" si="21"/>
        <v>1</v>
      </c>
      <c r="Y608" s="223"/>
      <c r="Z608" s="224" t="s">
        <v>663</v>
      </c>
      <c r="AA608" s="157" t="s">
        <v>663</v>
      </c>
      <c r="AB608" s="282" t="s">
        <v>1101</v>
      </c>
      <c r="AC608" s="530" t="s">
        <v>3015</v>
      </c>
      <c r="AD608" s="159"/>
    </row>
    <row r="609" spans="1:30" x14ac:dyDescent="0.2">
      <c r="A609" s="325" t="s">
        <v>1101</v>
      </c>
      <c r="B609" s="338"/>
      <c r="C609" s="279" t="s">
        <v>2189</v>
      </c>
      <c r="D609" s="280" t="s">
        <v>2190</v>
      </c>
      <c r="E609" s="252">
        <v>0</v>
      </c>
      <c r="F609" s="252">
        <v>0</v>
      </c>
      <c r="G609" s="252">
        <v>3.6071293474744582E-3</v>
      </c>
      <c r="H609" s="252">
        <v>0</v>
      </c>
      <c r="I609" s="252">
        <v>0</v>
      </c>
      <c r="J609" s="252">
        <v>0</v>
      </c>
      <c r="K609" s="252">
        <v>0</v>
      </c>
      <c r="L609" s="252">
        <v>0</v>
      </c>
      <c r="M609" s="252">
        <v>0</v>
      </c>
      <c r="N609" s="252">
        <v>3.2756183456837396E-2</v>
      </c>
      <c r="O609" s="252">
        <v>0</v>
      </c>
      <c r="P609" s="252">
        <v>7.0958005513723056E-3</v>
      </c>
      <c r="Q609" s="252">
        <v>0</v>
      </c>
      <c r="R609" s="252">
        <v>0</v>
      </c>
      <c r="S609" s="252">
        <v>3.9000283249914823E-3</v>
      </c>
      <c r="T609" s="252">
        <v>0.95264085831932432</v>
      </c>
      <c r="U609" s="252">
        <v>0</v>
      </c>
      <c r="V609" s="252">
        <v>0</v>
      </c>
      <c r="W609" s="252">
        <v>0</v>
      </c>
      <c r="X609" s="252">
        <f t="shared" si="21"/>
        <v>1</v>
      </c>
      <c r="Y609" s="223"/>
      <c r="Z609" s="224" t="s">
        <v>663</v>
      </c>
      <c r="AA609" s="157" t="s">
        <v>663</v>
      </c>
      <c r="AB609" s="282" t="s">
        <v>1101</v>
      </c>
      <c r="AC609" s="530" t="s">
        <v>3015</v>
      </c>
      <c r="AD609" s="159"/>
    </row>
    <row r="610" spans="1:30" x14ac:dyDescent="0.2">
      <c r="A610" s="293" t="s">
        <v>2597</v>
      </c>
      <c r="B610" s="363"/>
      <c r="C610" s="313" t="s">
        <v>2222</v>
      </c>
      <c r="D610" s="314" t="s">
        <v>453</v>
      </c>
      <c r="E610" s="302"/>
      <c r="F610" s="302"/>
      <c r="G610" s="302"/>
      <c r="H610" s="302">
        <v>1</v>
      </c>
      <c r="I610" s="302"/>
      <c r="J610" s="302"/>
      <c r="K610" s="302"/>
      <c r="L610" s="302"/>
      <c r="M610" s="302"/>
      <c r="N610" s="302"/>
      <c r="O610" s="302"/>
      <c r="P610" s="302"/>
      <c r="Q610" s="302"/>
      <c r="R610" s="302"/>
      <c r="S610" s="302"/>
      <c r="T610" s="302"/>
      <c r="U610" s="302"/>
      <c r="V610" s="302"/>
      <c r="W610" s="302"/>
      <c r="X610" s="302">
        <f t="shared" si="21"/>
        <v>1</v>
      </c>
      <c r="Y610" s="223"/>
      <c r="Z610" s="224" t="s">
        <v>663</v>
      </c>
      <c r="AA610" s="157" t="s">
        <v>663</v>
      </c>
      <c r="AB610" s="293" t="s">
        <v>2597</v>
      </c>
      <c r="AC610" s="530" t="s">
        <v>3015</v>
      </c>
      <c r="AD610" s="159"/>
    </row>
    <row r="611" spans="1:30" x14ac:dyDescent="0.2">
      <c r="A611" s="293" t="s">
        <v>2597</v>
      </c>
      <c r="B611" s="363"/>
      <c r="C611" s="313">
        <v>14009</v>
      </c>
      <c r="D611" s="314" t="s">
        <v>456</v>
      </c>
      <c r="E611" s="302"/>
      <c r="F611" s="302"/>
      <c r="G611" s="302"/>
      <c r="H611" s="302">
        <v>1</v>
      </c>
      <c r="I611" s="302"/>
      <c r="J611" s="302"/>
      <c r="K611" s="302"/>
      <c r="L611" s="302"/>
      <c r="M611" s="302"/>
      <c r="N611" s="302"/>
      <c r="O611" s="302"/>
      <c r="P611" s="302"/>
      <c r="Q611" s="302"/>
      <c r="R611" s="302"/>
      <c r="S611" s="302"/>
      <c r="T611" s="302"/>
      <c r="U611" s="302"/>
      <c r="V611" s="302"/>
      <c r="W611" s="302"/>
      <c r="X611" s="303">
        <f t="shared" si="21"/>
        <v>1</v>
      </c>
      <c r="Y611" s="223"/>
      <c r="Z611" s="224" t="s">
        <v>663</v>
      </c>
      <c r="AA611" s="157" t="s">
        <v>663</v>
      </c>
      <c r="AB611" s="293" t="s">
        <v>2597</v>
      </c>
      <c r="AC611" s="530" t="s">
        <v>3015</v>
      </c>
      <c r="AD611" s="159"/>
    </row>
    <row r="612" spans="1:30" x14ac:dyDescent="0.2">
      <c r="A612" s="293" t="s">
        <v>2597</v>
      </c>
      <c r="B612" s="363"/>
      <c r="C612" s="313" t="s">
        <v>2204</v>
      </c>
      <c r="D612" s="314" t="s">
        <v>456</v>
      </c>
      <c r="E612" s="302"/>
      <c r="F612" s="302"/>
      <c r="G612" s="302"/>
      <c r="H612" s="302"/>
      <c r="I612" s="302"/>
      <c r="J612" s="302"/>
      <c r="K612" s="302">
        <v>1</v>
      </c>
      <c r="L612" s="302"/>
      <c r="M612" s="302"/>
      <c r="N612" s="302"/>
      <c r="O612" s="302"/>
      <c r="P612" s="302"/>
      <c r="Q612" s="302"/>
      <c r="R612" s="302"/>
      <c r="S612" s="302"/>
      <c r="T612" s="302"/>
      <c r="U612" s="302"/>
      <c r="V612" s="302"/>
      <c r="W612" s="302"/>
      <c r="X612" s="303">
        <f t="shared" si="21"/>
        <v>1</v>
      </c>
      <c r="Y612" s="223"/>
      <c r="Z612" s="224" t="s">
        <v>663</v>
      </c>
      <c r="AA612" s="157" t="s">
        <v>663</v>
      </c>
      <c r="AB612" s="293" t="s">
        <v>2597</v>
      </c>
      <c r="AC612" s="530" t="s">
        <v>3015</v>
      </c>
      <c r="AD612" s="159"/>
    </row>
    <row r="613" spans="1:30" x14ac:dyDescent="0.2">
      <c r="A613" s="293" t="s">
        <v>2597</v>
      </c>
      <c r="B613" s="364"/>
      <c r="C613" s="365" t="s">
        <v>2199</v>
      </c>
      <c r="D613" s="366" t="s">
        <v>462</v>
      </c>
      <c r="E613" s="297"/>
      <c r="F613" s="297"/>
      <c r="G613" s="297"/>
      <c r="H613" s="297">
        <v>1</v>
      </c>
      <c r="I613" s="297"/>
      <c r="J613" s="297"/>
      <c r="K613" s="297"/>
      <c r="L613" s="297"/>
      <c r="M613" s="297"/>
      <c r="N613" s="297"/>
      <c r="O613" s="297"/>
      <c r="P613" s="297"/>
      <c r="Q613" s="297"/>
      <c r="R613" s="297"/>
      <c r="S613" s="297"/>
      <c r="T613" s="297"/>
      <c r="U613" s="297"/>
      <c r="V613" s="297"/>
      <c r="W613" s="297"/>
      <c r="X613" s="298">
        <f t="shared" si="21"/>
        <v>1</v>
      </c>
      <c r="Y613" s="223"/>
      <c r="Z613" s="224" t="s">
        <v>663</v>
      </c>
      <c r="AA613" s="157" t="s">
        <v>663</v>
      </c>
      <c r="AB613" s="293" t="s">
        <v>2597</v>
      </c>
      <c r="AC613" s="530" t="s">
        <v>3015</v>
      </c>
      <c r="AD613" s="159"/>
    </row>
    <row r="614" spans="1:30" x14ac:dyDescent="0.2">
      <c r="A614" s="293" t="s">
        <v>2597</v>
      </c>
      <c r="B614" s="363"/>
      <c r="C614" s="367" t="s">
        <v>2228</v>
      </c>
      <c r="D614" s="368" t="s">
        <v>2229</v>
      </c>
      <c r="E614" s="302"/>
      <c r="F614" s="302"/>
      <c r="G614" s="302"/>
      <c r="H614" s="302">
        <v>1</v>
      </c>
      <c r="I614" s="302"/>
      <c r="J614" s="302"/>
      <c r="K614" s="302"/>
      <c r="L614" s="302"/>
      <c r="M614" s="302"/>
      <c r="N614" s="302"/>
      <c r="O614" s="302"/>
      <c r="P614" s="302"/>
      <c r="Q614" s="302"/>
      <c r="R614" s="302"/>
      <c r="S614" s="302"/>
      <c r="T614" s="302"/>
      <c r="U614" s="302"/>
      <c r="V614" s="302"/>
      <c r="W614" s="302"/>
      <c r="X614" s="302">
        <f t="shared" si="21"/>
        <v>1</v>
      </c>
      <c r="Y614" s="223"/>
      <c r="Z614" s="224" t="s">
        <v>663</v>
      </c>
      <c r="AA614" s="157" t="s">
        <v>663</v>
      </c>
      <c r="AB614" s="293" t="s">
        <v>2597</v>
      </c>
      <c r="AC614" s="530" t="s">
        <v>3015</v>
      </c>
      <c r="AD614" s="159"/>
    </row>
    <row r="615" spans="1:30" x14ac:dyDescent="0.2">
      <c r="A615" s="293" t="s">
        <v>2597</v>
      </c>
      <c r="B615" s="363"/>
      <c r="C615" s="313" t="s">
        <v>2216</v>
      </c>
      <c r="D615" s="314" t="s">
        <v>488</v>
      </c>
      <c r="E615" s="302">
        <v>1</v>
      </c>
      <c r="F615" s="302"/>
      <c r="G615" s="302"/>
      <c r="H615" s="302"/>
      <c r="I615" s="302"/>
      <c r="J615" s="302"/>
      <c r="K615" s="302"/>
      <c r="L615" s="302"/>
      <c r="M615" s="302"/>
      <c r="N615" s="302"/>
      <c r="O615" s="302"/>
      <c r="P615" s="302"/>
      <c r="Q615" s="302"/>
      <c r="R615" s="302"/>
      <c r="S615" s="302"/>
      <c r="T615" s="302"/>
      <c r="U615" s="302"/>
      <c r="V615" s="302"/>
      <c r="W615" s="302"/>
      <c r="X615" s="303">
        <f t="shared" si="21"/>
        <v>1</v>
      </c>
      <c r="Y615" s="223"/>
      <c r="Z615" s="224" t="s">
        <v>663</v>
      </c>
      <c r="AA615" s="157" t="s">
        <v>663</v>
      </c>
      <c r="AB615" s="293" t="s">
        <v>2597</v>
      </c>
      <c r="AC615" s="530" t="s">
        <v>3015</v>
      </c>
      <c r="AD615" s="159"/>
    </row>
    <row r="616" spans="1:30" x14ac:dyDescent="0.2">
      <c r="A616" s="293" t="s">
        <v>2597</v>
      </c>
      <c r="B616" s="369"/>
      <c r="C616" s="370" t="s">
        <v>2230</v>
      </c>
      <c r="D616" s="371" t="s">
        <v>490</v>
      </c>
      <c r="E616" s="297"/>
      <c r="F616" s="297"/>
      <c r="G616" s="297"/>
      <c r="H616" s="297"/>
      <c r="I616" s="297"/>
      <c r="J616" s="297"/>
      <c r="K616" s="297"/>
      <c r="L616" s="297">
        <v>1</v>
      </c>
      <c r="M616" s="297"/>
      <c r="N616" s="297"/>
      <c r="O616" s="297"/>
      <c r="P616" s="297"/>
      <c r="Q616" s="297"/>
      <c r="R616" s="297"/>
      <c r="S616" s="297"/>
      <c r="T616" s="297"/>
      <c r="U616" s="297"/>
      <c r="V616" s="297"/>
      <c r="W616" s="297"/>
      <c r="X616" s="297">
        <f t="shared" si="21"/>
        <v>1</v>
      </c>
      <c r="Y616" s="223"/>
      <c r="Z616" s="224" t="s">
        <v>663</v>
      </c>
      <c r="AA616" s="157" t="s">
        <v>663</v>
      </c>
      <c r="AB616" s="293" t="s">
        <v>2597</v>
      </c>
      <c r="AC616" s="530" t="s">
        <v>3015</v>
      </c>
      <c r="AD616" s="159"/>
    </row>
    <row r="617" spans="1:30" x14ac:dyDescent="0.2">
      <c r="A617" s="293" t="s">
        <v>2597</v>
      </c>
      <c r="B617" s="372"/>
      <c r="C617" s="373" t="s">
        <v>2225</v>
      </c>
      <c r="D617" s="374" t="s">
        <v>501</v>
      </c>
      <c r="E617" s="297"/>
      <c r="F617" s="297"/>
      <c r="G617" s="297"/>
      <c r="H617" s="297"/>
      <c r="I617" s="297"/>
      <c r="J617" s="297"/>
      <c r="K617" s="297"/>
      <c r="L617" s="297"/>
      <c r="M617" s="297"/>
      <c r="N617" s="297"/>
      <c r="O617" s="297"/>
      <c r="P617" s="297"/>
      <c r="Q617" s="297"/>
      <c r="R617" s="297"/>
      <c r="S617" s="297"/>
      <c r="T617" s="446">
        <f>100%*0</f>
        <v>0</v>
      </c>
      <c r="U617" s="297"/>
      <c r="V617" s="297"/>
      <c r="W617" s="446">
        <v>1</v>
      </c>
      <c r="X617" s="298">
        <f t="shared" si="21"/>
        <v>1</v>
      </c>
      <c r="Y617" s="223"/>
      <c r="Z617" s="224" t="s">
        <v>663</v>
      </c>
      <c r="AA617" s="157" t="s">
        <v>663</v>
      </c>
      <c r="AB617" s="293" t="s">
        <v>2597</v>
      </c>
      <c r="AC617" s="530" t="s">
        <v>3015</v>
      </c>
      <c r="AD617" s="159"/>
    </row>
    <row r="618" spans="1:30" x14ac:dyDescent="0.2">
      <c r="A618" s="270" t="s">
        <v>2821</v>
      </c>
      <c r="B618" s="270"/>
      <c r="C618" s="272" t="s">
        <v>2217</v>
      </c>
      <c r="D618" s="273" t="s">
        <v>503</v>
      </c>
      <c r="E618" s="274">
        <v>0</v>
      </c>
      <c r="F618" s="274">
        <v>0</v>
      </c>
      <c r="G618" s="274">
        <v>0</v>
      </c>
      <c r="H618" s="274">
        <v>0</v>
      </c>
      <c r="I618" s="274">
        <v>0</v>
      </c>
      <c r="J618" s="274">
        <v>0</v>
      </c>
      <c r="K618" s="274">
        <v>0</v>
      </c>
      <c r="L618" s="274">
        <v>0</v>
      </c>
      <c r="M618" s="274">
        <v>0</v>
      </c>
      <c r="N618" s="274">
        <v>0</v>
      </c>
      <c r="O618" s="274">
        <v>0</v>
      </c>
      <c r="P618" s="428">
        <f>0.971724628345721%*0</f>
        <v>0</v>
      </c>
      <c r="Q618" s="428">
        <f>0.109758052900496%*0</f>
        <v>0</v>
      </c>
      <c r="R618" s="274">
        <v>0</v>
      </c>
      <c r="S618" s="274">
        <v>0</v>
      </c>
      <c r="T618" s="274">
        <f>73.0387026038282%*0</f>
        <v>0</v>
      </c>
      <c r="U618" s="428">
        <v>0</v>
      </c>
      <c r="V618" s="274">
        <v>0</v>
      </c>
      <c r="W618" s="428">
        <f>25.8798147149255%*0+1</f>
        <v>1</v>
      </c>
      <c r="X618" s="274">
        <f>SUBTOTAL(9,E618:W618)</f>
        <v>1</v>
      </c>
      <c r="Y618" s="346"/>
      <c r="Z618" s="224" t="s">
        <v>663</v>
      </c>
      <c r="AA618" s="157" t="s">
        <v>649</v>
      </c>
      <c r="AB618" s="259" t="s">
        <v>2821</v>
      </c>
      <c r="AC618" s="530" t="s">
        <v>3015</v>
      </c>
      <c r="AD618" s="159"/>
    </row>
    <row r="619" spans="1:30" x14ac:dyDescent="0.2">
      <c r="A619" s="293" t="s">
        <v>2597</v>
      </c>
      <c r="B619" s="364"/>
      <c r="C619" s="365" t="s">
        <v>2218</v>
      </c>
      <c r="D619" s="366" t="s">
        <v>505</v>
      </c>
      <c r="E619" s="297"/>
      <c r="F619" s="297"/>
      <c r="G619" s="297"/>
      <c r="H619" s="297"/>
      <c r="I619" s="297"/>
      <c r="J619" s="297"/>
      <c r="K619" s="297"/>
      <c r="L619" s="297"/>
      <c r="M619" s="297"/>
      <c r="N619" s="297"/>
      <c r="O619" s="297"/>
      <c r="P619" s="297"/>
      <c r="Q619" s="297"/>
      <c r="R619" s="297"/>
      <c r="S619" s="297"/>
      <c r="T619" s="446">
        <f>100%*0</f>
        <v>0</v>
      </c>
      <c r="U619" s="297"/>
      <c r="V619" s="297"/>
      <c r="W619" s="446">
        <v>1</v>
      </c>
      <c r="X619" s="298">
        <f>SUM(E619:W619)</f>
        <v>1</v>
      </c>
      <c r="Y619" s="346"/>
      <c r="Z619" s="224" t="s">
        <v>663</v>
      </c>
      <c r="AA619" s="157" t="s">
        <v>663</v>
      </c>
      <c r="AB619" s="293" t="s">
        <v>2597</v>
      </c>
      <c r="AC619" s="530" t="s">
        <v>3015</v>
      </c>
      <c r="AD619" s="159"/>
    </row>
    <row r="620" spans="1:30" x14ac:dyDescent="0.2">
      <c r="A620" s="282"/>
      <c r="B620" s="282"/>
      <c r="C620" s="238" t="s">
        <v>2213</v>
      </c>
      <c r="D620" s="239" t="s">
        <v>522</v>
      </c>
      <c r="E620" s="221"/>
      <c r="F620" s="221"/>
      <c r="G620" s="221"/>
      <c r="H620" s="221"/>
      <c r="I620" s="221"/>
      <c r="J620" s="221"/>
      <c r="K620" s="221"/>
      <c r="L620" s="221"/>
      <c r="M620" s="221"/>
      <c r="N620" s="221"/>
      <c r="O620" s="221"/>
      <c r="P620" s="221"/>
      <c r="Q620" s="221"/>
      <c r="R620" s="221"/>
      <c r="S620" s="221">
        <v>1</v>
      </c>
      <c r="T620" s="221"/>
      <c r="U620" s="221"/>
      <c r="V620" s="221"/>
      <c r="W620" s="221"/>
      <c r="X620" s="222">
        <f>SUM(E620:W620)</f>
        <v>1</v>
      </c>
      <c r="Y620" s="346"/>
      <c r="Z620" s="224" t="s">
        <v>663</v>
      </c>
      <c r="AA620" s="157" t="s">
        <v>663</v>
      </c>
      <c r="AB620" s="282"/>
      <c r="AC620" s="530" t="s">
        <v>3015</v>
      </c>
      <c r="AD620" s="159"/>
    </row>
    <row r="621" spans="1:30" x14ac:dyDescent="0.2">
      <c r="A621" s="270" t="s">
        <v>2821</v>
      </c>
      <c r="B621" s="270"/>
      <c r="C621" s="272" t="s">
        <v>2220</v>
      </c>
      <c r="D621" s="273" t="s">
        <v>524</v>
      </c>
      <c r="E621" s="274">
        <v>0</v>
      </c>
      <c r="F621" s="274">
        <v>0</v>
      </c>
      <c r="G621" s="274">
        <v>0</v>
      </c>
      <c r="H621" s="274">
        <v>1</v>
      </c>
      <c r="I621" s="274">
        <v>0</v>
      </c>
      <c r="J621" s="274">
        <v>0</v>
      </c>
      <c r="K621" s="274">
        <v>0</v>
      </c>
      <c r="L621" s="274">
        <v>0</v>
      </c>
      <c r="M621" s="274">
        <v>0</v>
      </c>
      <c r="N621" s="274">
        <v>0</v>
      </c>
      <c r="O621" s="274">
        <v>0</v>
      </c>
      <c r="P621" s="274">
        <v>0</v>
      </c>
      <c r="Q621" s="274">
        <v>0</v>
      </c>
      <c r="R621" s="274">
        <v>0</v>
      </c>
      <c r="S621" s="274">
        <v>0</v>
      </c>
      <c r="T621" s="274">
        <v>0</v>
      </c>
      <c r="U621" s="274">
        <v>0</v>
      </c>
      <c r="V621" s="274">
        <v>0</v>
      </c>
      <c r="W621" s="274">
        <v>0</v>
      </c>
      <c r="X621" s="274">
        <f>SUBTOTAL(9,E621:W621)</f>
        <v>1</v>
      </c>
      <c r="Y621" s="346"/>
      <c r="Z621" s="224" t="s">
        <v>663</v>
      </c>
      <c r="AA621" s="157" t="s">
        <v>649</v>
      </c>
      <c r="AB621" s="259" t="s">
        <v>2821</v>
      </c>
      <c r="AC621" s="530" t="s">
        <v>3015</v>
      </c>
      <c r="AD621" s="159"/>
    </row>
    <row r="622" spans="1:30" x14ac:dyDescent="0.2">
      <c r="A622" s="254" t="s">
        <v>2821</v>
      </c>
      <c r="B622" s="276"/>
      <c r="C622" s="344" t="s">
        <v>2214</v>
      </c>
      <c r="D622" s="345" t="s">
        <v>531</v>
      </c>
      <c r="E622" s="258">
        <v>1</v>
      </c>
      <c r="F622" s="258">
        <v>0</v>
      </c>
      <c r="G622" s="258">
        <v>0</v>
      </c>
      <c r="H622" s="258">
        <v>0</v>
      </c>
      <c r="I622" s="258">
        <v>0</v>
      </c>
      <c r="J622" s="258">
        <v>0</v>
      </c>
      <c r="K622" s="258">
        <v>0</v>
      </c>
      <c r="L622" s="258">
        <v>0</v>
      </c>
      <c r="M622" s="258">
        <v>0</v>
      </c>
      <c r="N622" s="258">
        <v>0</v>
      </c>
      <c r="O622" s="258">
        <v>0</v>
      </c>
      <c r="P622" s="258">
        <v>0</v>
      </c>
      <c r="Q622" s="258">
        <v>0</v>
      </c>
      <c r="R622" s="258">
        <v>0</v>
      </c>
      <c r="S622" s="258">
        <v>0</v>
      </c>
      <c r="T622" s="258">
        <v>0</v>
      </c>
      <c r="U622" s="258">
        <v>0</v>
      </c>
      <c r="V622" s="258">
        <v>0</v>
      </c>
      <c r="W622" s="258">
        <v>0</v>
      </c>
      <c r="X622" s="258">
        <f>SUBTOTAL(9,E622:W622)</f>
        <v>1</v>
      </c>
      <c r="Y622" s="346"/>
      <c r="Z622" s="224" t="s">
        <v>663</v>
      </c>
      <c r="AA622" s="157" t="s">
        <v>649</v>
      </c>
      <c r="AB622" s="259" t="s">
        <v>2821</v>
      </c>
      <c r="AC622" s="530" t="s">
        <v>3015</v>
      </c>
      <c r="AD622" s="159"/>
    </row>
    <row r="623" spans="1:30" x14ac:dyDescent="0.2">
      <c r="A623" s="293" t="s">
        <v>2597</v>
      </c>
      <c r="B623" s="363"/>
      <c r="C623" s="313" t="s">
        <v>2215</v>
      </c>
      <c r="D623" s="314" t="s">
        <v>533</v>
      </c>
      <c r="E623" s="302">
        <v>1</v>
      </c>
      <c r="F623" s="302"/>
      <c r="G623" s="302"/>
      <c r="H623" s="302"/>
      <c r="I623" s="302"/>
      <c r="J623" s="302"/>
      <c r="K623" s="302"/>
      <c r="L623" s="302"/>
      <c r="M623" s="302"/>
      <c r="N623" s="302"/>
      <c r="O623" s="302"/>
      <c r="P623" s="302"/>
      <c r="Q623" s="302"/>
      <c r="R623" s="302"/>
      <c r="S623" s="302"/>
      <c r="T623" s="302"/>
      <c r="U623" s="302"/>
      <c r="V623" s="302"/>
      <c r="W623" s="302"/>
      <c r="X623" s="303">
        <f>SUM(E623:W623)</f>
        <v>1</v>
      </c>
      <c r="Y623" s="346"/>
      <c r="Z623" s="224" t="s">
        <v>663</v>
      </c>
      <c r="AA623" s="157" t="s">
        <v>663</v>
      </c>
      <c r="AB623" s="293" t="s">
        <v>2597</v>
      </c>
      <c r="AC623" s="530" t="s">
        <v>3015</v>
      </c>
      <c r="AD623" s="159"/>
    </row>
    <row r="624" spans="1:30" x14ac:dyDescent="0.2">
      <c r="A624" s="254" t="s">
        <v>2821</v>
      </c>
      <c r="B624" s="276"/>
      <c r="C624" s="375" t="s">
        <v>2833</v>
      </c>
      <c r="D624" s="376" t="s">
        <v>546</v>
      </c>
      <c r="E624" s="258">
        <v>0</v>
      </c>
      <c r="F624" s="258">
        <v>0</v>
      </c>
      <c r="G624" s="258">
        <v>7.9009741412236476E-2</v>
      </c>
      <c r="H624" s="258">
        <v>0</v>
      </c>
      <c r="I624" s="258">
        <v>0</v>
      </c>
      <c r="J624" s="258">
        <v>0</v>
      </c>
      <c r="K624" s="258">
        <v>0</v>
      </c>
      <c r="L624" s="258">
        <v>0</v>
      </c>
      <c r="M624" s="258">
        <v>0</v>
      </c>
      <c r="N624" s="258">
        <v>0</v>
      </c>
      <c r="O624" s="258">
        <v>0</v>
      </c>
      <c r="P624" s="258">
        <v>0</v>
      </c>
      <c r="Q624" s="258">
        <v>0</v>
      </c>
      <c r="R624" s="258">
        <v>0</v>
      </c>
      <c r="S624" s="258">
        <v>0.92099025858776351</v>
      </c>
      <c r="T624" s="258">
        <v>0</v>
      </c>
      <c r="U624" s="258">
        <v>0</v>
      </c>
      <c r="V624" s="258">
        <v>0</v>
      </c>
      <c r="W624" s="258">
        <v>0</v>
      </c>
      <c r="X624" s="258">
        <f>SUBTOTAL(9,E624:W624)</f>
        <v>1</v>
      </c>
      <c r="Y624" s="346"/>
      <c r="Z624" s="224" t="s">
        <v>663</v>
      </c>
      <c r="AA624" s="157" t="s">
        <v>649</v>
      </c>
      <c r="AB624" s="259" t="s">
        <v>2821</v>
      </c>
      <c r="AC624" s="530" t="s">
        <v>3015</v>
      </c>
      <c r="AD624" s="159"/>
    </row>
    <row r="625" spans="1:30" x14ac:dyDescent="0.2">
      <c r="A625" s="293" t="s">
        <v>2597</v>
      </c>
      <c r="B625" s="363"/>
      <c r="C625" s="313" t="s">
        <v>2221</v>
      </c>
      <c r="D625" s="314" t="s">
        <v>576</v>
      </c>
      <c r="E625" s="302"/>
      <c r="F625" s="302"/>
      <c r="G625" s="302"/>
      <c r="H625" s="302"/>
      <c r="I625" s="302"/>
      <c r="J625" s="302"/>
      <c r="K625" s="302"/>
      <c r="L625" s="302"/>
      <c r="M625" s="302"/>
      <c r="N625" s="302">
        <v>0.42</v>
      </c>
      <c r="O625" s="302">
        <v>0.15</v>
      </c>
      <c r="P625" s="302">
        <v>0.2</v>
      </c>
      <c r="Q625" s="302"/>
      <c r="R625" s="302"/>
      <c r="S625" s="302">
        <v>0.23</v>
      </c>
      <c r="T625" s="302"/>
      <c r="U625" s="302"/>
      <c r="V625" s="302"/>
      <c r="W625" s="302"/>
      <c r="X625" s="302">
        <f>SUM(E625:W625)</f>
        <v>1</v>
      </c>
      <c r="Y625" s="346"/>
      <c r="Z625" s="224" t="s">
        <v>663</v>
      </c>
      <c r="AA625" s="157" t="s">
        <v>663</v>
      </c>
      <c r="AB625" s="293" t="s">
        <v>2597</v>
      </c>
      <c r="AC625" s="530">
        <v>4221377.6513825478</v>
      </c>
      <c r="AD625" s="159"/>
    </row>
    <row r="626" spans="1:30" x14ac:dyDescent="0.2">
      <c r="A626" s="293" t="s">
        <v>2597</v>
      </c>
      <c r="B626" s="369"/>
      <c r="C626" s="377" t="s">
        <v>2226</v>
      </c>
      <c r="D626" s="371" t="s">
        <v>578</v>
      </c>
      <c r="E626" s="297"/>
      <c r="F626" s="297"/>
      <c r="G626" s="297"/>
      <c r="H626" s="297"/>
      <c r="I626" s="297"/>
      <c r="J626" s="297"/>
      <c r="K626" s="297"/>
      <c r="L626" s="297"/>
      <c r="M626" s="297"/>
      <c r="N626" s="297">
        <v>0.35</v>
      </c>
      <c r="O626" s="297"/>
      <c r="P626" s="297">
        <v>0.5</v>
      </c>
      <c r="Q626" s="297"/>
      <c r="R626" s="297"/>
      <c r="S626" s="297">
        <v>0.15</v>
      </c>
      <c r="T626" s="297"/>
      <c r="U626" s="297"/>
      <c r="V626" s="297"/>
      <c r="W626" s="297"/>
      <c r="X626" s="298">
        <f>SUM(E626:W626)</f>
        <v>1</v>
      </c>
      <c r="Y626" s="346"/>
      <c r="Z626" s="224" t="s">
        <v>663</v>
      </c>
      <c r="AA626" s="157" t="s">
        <v>663</v>
      </c>
      <c r="AB626" s="293" t="s">
        <v>2597</v>
      </c>
      <c r="AC626" s="530">
        <v>2125138.2120584468</v>
      </c>
      <c r="AD626" s="159"/>
    </row>
    <row r="627" spans="1:30" x14ac:dyDescent="0.2">
      <c r="A627" s="290"/>
      <c r="B627" s="290"/>
      <c r="C627" s="378" t="s">
        <v>2223</v>
      </c>
      <c r="D627" s="348" t="s">
        <v>609</v>
      </c>
      <c r="E627" s="232"/>
      <c r="F627" s="232"/>
      <c r="G627" s="232"/>
      <c r="H627" s="232"/>
      <c r="I627" s="232"/>
      <c r="J627" s="232">
        <v>1</v>
      </c>
      <c r="K627" s="232"/>
      <c r="L627" s="232"/>
      <c r="M627" s="232"/>
      <c r="N627" s="232"/>
      <c r="O627" s="232"/>
      <c r="P627" s="232"/>
      <c r="Q627" s="232"/>
      <c r="R627" s="232"/>
      <c r="S627" s="232"/>
      <c r="T627" s="232"/>
      <c r="U627" s="232"/>
      <c r="V627" s="232"/>
      <c r="W627" s="232"/>
      <c r="X627" s="232">
        <f>SUM(E627:W627)</f>
        <v>1</v>
      </c>
      <c r="Y627" s="346"/>
      <c r="Z627" s="224" t="s">
        <v>663</v>
      </c>
      <c r="AA627" s="157" t="s">
        <v>663</v>
      </c>
      <c r="AB627" s="259" t="s">
        <v>2821</v>
      </c>
      <c r="AC627" s="530">
        <v>0</v>
      </c>
      <c r="AD627" s="159"/>
    </row>
    <row r="628" spans="1:30" x14ac:dyDescent="0.2">
      <c r="A628" s="293" t="s">
        <v>2597</v>
      </c>
      <c r="B628" s="372"/>
      <c r="C628" s="379" t="s">
        <v>2231</v>
      </c>
      <c r="D628" s="374" t="s">
        <v>618</v>
      </c>
      <c r="E628" s="297">
        <v>0.4</v>
      </c>
      <c r="F628" s="297"/>
      <c r="G628" s="297"/>
      <c r="H628" s="297">
        <v>0.2</v>
      </c>
      <c r="I628" s="297"/>
      <c r="J628" s="297"/>
      <c r="K628" s="297">
        <v>0.4</v>
      </c>
      <c r="L628" s="297"/>
      <c r="M628" s="297"/>
      <c r="N628" s="297"/>
      <c r="O628" s="297"/>
      <c r="P628" s="297"/>
      <c r="Q628" s="297"/>
      <c r="R628" s="297"/>
      <c r="S628" s="297"/>
      <c r="T628" s="297"/>
      <c r="U628" s="297"/>
      <c r="V628" s="297"/>
      <c r="W628" s="297"/>
      <c r="X628" s="297">
        <f>SUM(E628:W628)</f>
        <v>1</v>
      </c>
      <c r="Y628" s="346"/>
      <c r="Z628" s="224" t="s">
        <v>663</v>
      </c>
      <c r="AA628" s="157" t="s">
        <v>663</v>
      </c>
      <c r="AB628" s="293" t="s">
        <v>2597</v>
      </c>
      <c r="AC628" s="530">
        <v>3036740.4822414946</v>
      </c>
      <c r="AD628" s="159"/>
    </row>
    <row r="629" spans="1:30" x14ac:dyDescent="0.2">
      <c r="A629" s="270" t="s">
        <v>2821</v>
      </c>
      <c r="B629" s="270"/>
      <c r="C629" s="328" t="s">
        <v>2235</v>
      </c>
      <c r="D629" s="329" t="s">
        <v>622</v>
      </c>
      <c r="E629" s="274">
        <v>0</v>
      </c>
      <c r="F629" s="274">
        <v>0</v>
      </c>
      <c r="G629" s="274">
        <v>0</v>
      </c>
      <c r="H629" s="274">
        <v>0</v>
      </c>
      <c r="I629" s="274">
        <v>0</v>
      </c>
      <c r="J629" s="274">
        <v>0</v>
      </c>
      <c r="K629" s="274">
        <v>0</v>
      </c>
      <c r="L629" s="274">
        <v>0</v>
      </c>
      <c r="M629" s="274">
        <v>0</v>
      </c>
      <c r="N629" s="274">
        <v>0</v>
      </c>
      <c r="O629" s="274">
        <v>0</v>
      </c>
      <c r="P629" s="274">
        <v>0</v>
      </c>
      <c r="Q629" s="274">
        <v>0</v>
      </c>
      <c r="R629" s="274">
        <v>0</v>
      </c>
      <c r="S629" s="274">
        <v>0.93819530475393786</v>
      </c>
      <c r="T629" s="274">
        <v>6.1804695246062157E-2</v>
      </c>
      <c r="U629" s="274">
        <v>0</v>
      </c>
      <c r="V629" s="274">
        <v>0</v>
      </c>
      <c r="W629" s="274">
        <v>0</v>
      </c>
      <c r="X629" s="274">
        <f>SUBTOTAL(9,E629:W629)</f>
        <v>1</v>
      </c>
      <c r="Y629" s="346"/>
      <c r="Z629" s="224" t="s">
        <v>663</v>
      </c>
      <c r="AA629" s="157" t="s">
        <v>649</v>
      </c>
      <c r="AB629" s="259" t="s">
        <v>2821</v>
      </c>
      <c r="AC629" s="530">
        <v>29471.98</v>
      </c>
      <c r="AD629" s="159"/>
    </row>
    <row r="630" spans="1:30" x14ac:dyDescent="0.2">
      <c r="A630" s="292" t="s">
        <v>2821</v>
      </c>
      <c r="B630" s="292"/>
      <c r="C630" s="380" t="s">
        <v>2834</v>
      </c>
      <c r="D630" s="381" t="s">
        <v>624</v>
      </c>
      <c r="E630" s="278">
        <v>0</v>
      </c>
      <c r="F630" s="278">
        <v>0</v>
      </c>
      <c r="G630" s="278">
        <v>0</v>
      </c>
      <c r="H630" s="278">
        <v>0</v>
      </c>
      <c r="I630" s="278">
        <v>0</v>
      </c>
      <c r="J630" s="278">
        <v>0</v>
      </c>
      <c r="K630" s="278">
        <v>0</v>
      </c>
      <c r="L630" s="278">
        <v>0</v>
      </c>
      <c r="M630" s="278">
        <v>0</v>
      </c>
      <c r="N630" s="278">
        <v>0</v>
      </c>
      <c r="O630" s="278">
        <v>0</v>
      </c>
      <c r="P630" s="278">
        <v>0</v>
      </c>
      <c r="Q630" s="278">
        <v>0</v>
      </c>
      <c r="R630" s="278">
        <v>0</v>
      </c>
      <c r="S630" s="278">
        <v>1</v>
      </c>
      <c r="T630" s="278">
        <v>0</v>
      </c>
      <c r="U630" s="278">
        <v>0</v>
      </c>
      <c r="V630" s="278">
        <v>0</v>
      </c>
      <c r="W630" s="278">
        <v>0</v>
      </c>
      <c r="X630" s="278">
        <f>SUBTOTAL(9,E630:W630)</f>
        <v>1</v>
      </c>
      <c r="Y630" s="346"/>
      <c r="Z630" s="224" t="s">
        <v>663</v>
      </c>
      <c r="AA630" s="157" t="s">
        <v>649</v>
      </c>
      <c r="AB630" s="259" t="s">
        <v>2821</v>
      </c>
      <c r="AC630" s="530">
        <v>1796901.1962367881</v>
      </c>
      <c r="AD630" s="159"/>
    </row>
    <row r="631" spans="1:30" x14ac:dyDescent="0.2">
      <c r="A631" s="259" t="s">
        <v>2821</v>
      </c>
      <c r="B631" s="259"/>
      <c r="C631" s="328" t="s">
        <v>2835</v>
      </c>
      <c r="D631" s="329" t="s">
        <v>626</v>
      </c>
      <c r="E631" s="278">
        <v>0</v>
      </c>
      <c r="F631" s="278">
        <v>0</v>
      </c>
      <c r="G631" s="278">
        <v>0</v>
      </c>
      <c r="H631" s="278">
        <v>0</v>
      </c>
      <c r="I631" s="278">
        <v>0</v>
      </c>
      <c r="J631" s="278">
        <v>0</v>
      </c>
      <c r="K631" s="278">
        <v>0</v>
      </c>
      <c r="L631" s="278">
        <v>0</v>
      </c>
      <c r="M631" s="278">
        <v>0</v>
      </c>
      <c r="N631" s="278">
        <v>0</v>
      </c>
      <c r="O631" s="278">
        <v>0</v>
      </c>
      <c r="P631" s="278">
        <v>0</v>
      </c>
      <c r="Q631" s="278">
        <v>0</v>
      </c>
      <c r="R631" s="278">
        <v>0</v>
      </c>
      <c r="S631" s="278">
        <v>1</v>
      </c>
      <c r="T631" s="278">
        <v>0</v>
      </c>
      <c r="U631" s="278">
        <v>0</v>
      </c>
      <c r="V631" s="278">
        <v>0</v>
      </c>
      <c r="W631" s="278">
        <v>0</v>
      </c>
      <c r="X631" s="278">
        <f>SUBTOTAL(9,E631:W631)</f>
        <v>1</v>
      </c>
      <c r="Y631" s="346"/>
      <c r="Z631" s="224" t="s">
        <v>663</v>
      </c>
      <c r="AA631" s="157" t="s">
        <v>649</v>
      </c>
      <c r="AB631" s="259" t="s">
        <v>2821</v>
      </c>
      <c r="AC631" s="530">
        <v>2498481.180346543</v>
      </c>
      <c r="AD631" s="159"/>
    </row>
    <row r="632" spans="1:30" x14ac:dyDescent="0.2">
      <c r="A632" s="293" t="s">
        <v>2597</v>
      </c>
      <c r="B632" s="372"/>
      <c r="C632" s="379" t="s">
        <v>2236</v>
      </c>
      <c r="D632" s="382" t="s">
        <v>630</v>
      </c>
      <c r="E632" s="383"/>
      <c r="F632" s="383"/>
      <c r="G632" s="383"/>
      <c r="H632" s="383"/>
      <c r="I632" s="383"/>
      <c r="J632" s="383"/>
      <c r="K632" s="384">
        <v>1</v>
      </c>
      <c r="L632" s="383"/>
      <c r="M632" s="383"/>
      <c r="N632" s="383"/>
      <c r="O632" s="383"/>
      <c r="P632" s="383"/>
      <c r="Q632" s="383"/>
      <c r="R632" s="383"/>
      <c r="S632" s="383"/>
      <c r="T632" s="383"/>
      <c r="U632" s="383"/>
      <c r="V632" s="383"/>
      <c r="W632" s="383"/>
      <c r="X632" s="384">
        <f>SUM(E632:W632)</f>
        <v>1</v>
      </c>
      <c r="Y632" s="346"/>
      <c r="Z632" s="224" t="s">
        <v>663</v>
      </c>
      <c r="AA632" s="157" t="s">
        <v>663</v>
      </c>
      <c r="AB632" s="293" t="s">
        <v>2597</v>
      </c>
      <c r="AC632" s="530">
        <v>62007.65</v>
      </c>
      <c r="AD632" s="159"/>
    </row>
    <row r="633" spans="1:30" x14ac:dyDescent="0.2">
      <c r="A633" s="270" t="s">
        <v>2821</v>
      </c>
      <c r="B633" s="270"/>
      <c r="C633" s="360" t="s">
        <v>2836</v>
      </c>
      <c r="D633" s="361" t="s">
        <v>632</v>
      </c>
      <c r="E633" s="274">
        <v>0</v>
      </c>
      <c r="F633" s="274">
        <v>0</v>
      </c>
      <c r="G633" s="274">
        <v>0</v>
      </c>
      <c r="H633" s="274">
        <v>0</v>
      </c>
      <c r="I633" s="274">
        <v>0</v>
      </c>
      <c r="J633" s="274">
        <v>0</v>
      </c>
      <c r="K633" s="274">
        <v>0</v>
      </c>
      <c r="L633" s="274">
        <v>0</v>
      </c>
      <c r="M633" s="274">
        <v>0</v>
      </c>
      <c r="N633" s="274">
        <v>1</v>
      </c>
      <c r="O633" s="274">
        <v>0</v>
      </c>
      <c r="P633" s="274">
        <v>0</v>
      </c>
      <c r="Q633" s="274">
        <v>0</v>
      </c>
      <c r="R633" s="274">
        <v>0</v>
      </c>
      <c r="S633" s="274">
        <v>0</v>
      </c>
      <c r="T633" s="274">
        <v>0</v>
      </c>
      <c r="U633" s="274">
        <v>0</v>
      </c>
      <c r="V633" s="274">
        <v>0</v>
      </c>
      <c r="W633" s="274">
        <v>0</v>
      </c>
      <c r="X633" s="274">
        <f>SUBTOTAL(9,E633:W633)</f>
        <v>1</v>
      </c>
      <c r="Y633" s="346"/>
      <c r="Z633" s="224" t="s">
        <v>663</v>
      </c>
      <c r="AA633" s="157" t="s">
        <v>649</v>
      </c>
      <c r="AB633" s="259" t="s">
        <v>2821</v>
      </c>
      <c r="AC633" s="530">
        <v>1777564.2246178275</v>
      </c>
      <c r="AD633" s="159"/>
    </row>
    <row r="634" spans="1:30" x14ac:dyDescent="0.2">
      <c r="A634" s="270" t="s">
        <v>2821</v>
      </c>
      <c r="B634" s="270"/>
      <c r="C634" s="328" t="s">
        <v>2621</v>
      </c>
      <c r="D634" s="329" t="s">
        <v>634</v>
      </c>
      <c r="E634" s="274">
        <v>0</v>
      </c>
      <c r="F634" s="274">
        <v>0</v>
      </c>
      <c r="G634" s="274">
        <v>0</v>
      </c>
      <c r="H634" s="274">
        <v>0</v>
      </c>
      <c r="I634" s="274">
        <v>0</v>
      </c>
      <c r="J634" s="274">
        <v>0</v>
      </c>
      <c r="K634" s="274">
        <v>0</v>
      </c>
      <c r="L634" s="274">
        <v>0</v>
      </c>
      <c r="M634" s="274">
        <v>0</v>
      </c>
      <c r="N634" s="274">
        <v>0.53950080701675884</v>
      </c>
      <c r="O634" s="274">
        <v>0</v>
      </c>
      <c r="P634" s="274">
        <v>4.3465636144460681E-3</v>
      </c>
      <c r="Q634" s="274">
        <v>0</v>
      </c>
      <c r="R634" s="274">
        <v>0</v>
      </c>
      <c r="S634" s="274">
        <v>0.45615262936879514</v>
      </c>
      <c r="T634" s="274">
        <v>0</v>
      </c>
      <c r="U634" s="274">
        <v>0</v>
      </c>
      <c r="V634" s="274">
        <v>0</v>
      </c>
      <c r="W634" s="274">
        <v>0</v>
      </c>
      <c r="X634" s="274">
        <f>SUBTOTAL(9,E634:W634)</f>
        <v>1</v>
      </c>
      <c r="Y634" s="346"/>
      <c r="Z634" s="224" t="s">
        <v>663</v>
      </c>
      <c r="AA634" s="157" t="s">
        <v>649</v>
      </c>
      <c r="AB634" s="259" t="s">
        <v>2821</v>
      </c>
      <c r="AC634" s="530">
        <v>11533513.687010823</v>
      </c>
      <c r="AD634" s="159"/>
    </row>
    <row r="635" spans="1:30" x14ac:dyDescent="0.2">
      <c r="A635" s="270" t="s">
        <v>2821</v>
      </c>
      <c r="B635" s="270"/>
      <c r="C635" s="328" t="s">
        <v>2622</v>
      </c>
      <c r="D635" s="329" t="s">
        <v>636</v>
      </c>
      <c r="E635" s="274">
        <v>0</v>
      </c>
      <c r="F635" s="274">
        <v>0</v>
      </c>
      <c r="G635" s="274">
        <v>0</v>
      </c>
      <c r="H635" s="274">
        <v>0</v>
      </c>
      <c r="I635" s="274">
        <v>0</v>
      </c>
      <c r="J635" s="274">
        <v>0</v>
      </c>
      <c r="K635" s="274">
        <v>0</v>
      </c>
      <c r="L635" s="274">
        <v>0</v>
      </c>
      <c r="M635" s="274">
        <v>0</v>
      </c>
      <c r="N635" s="274">
        <v>0.80302042797577333</v>
      </c>
      <c r="O635" s="274">
        <v>0</v>
      </c>
      <c r="P635" s="274">
        <v>0</v>
      </c>
      <c r="Q635" s="274">
        <v>0</v>
      </c>
      <c r="R635" s="274">
        <v>0</v>
      </c>
      <c r="S635" s="274">
        <v>3.7904425834167359E-2</v>
      </c>
      <c r="T635" s="274">
        <v>0.15907514619005939</v>
      </c>
      <c r="U635" s="274">
        <v>0</v>
      </c>
      <c r="V635" s="274">
        <v>0</v>
      </c>
      <c r="W635" s="274">
        <v>0</v>
      </c>
      <c r="X635" s="274">
        <f>SUBTOTAL(9,E635:W635)</f>
        <v>1</v>
      </c>
      <c r="Y635" s="346"/>
      <c r="Z635" s="224" t="s">
        <v>663</v>
      </c>
      <c r="AA635" s="157" t="s">
        <v>649</v>
      </c>
      <c r="AB635" s="259" t="s">
        <v>2821</v>
      </c>
      <c r="AC635" s="530">
        <v>1806641.9193196259</v>
      </c>
      <c r="AD635" s="159"/>
    </row>
    <row r="636" spans="1:30" x14ac:dyDescent="0.2">
      <c r="A636" s="293" t="s">
        <v>2597</v>
      </c>
      <c r="B636" s="369"/>
      <c r="C636" s="385" t="s">
        <v>2237</v>
      </c>
      <c r="D636" s="386" t="s">
        <v>638</v>
      </c>
      <c r="E636" s="383"/>
      <c r="F636" s="383"/>
      <c r="G636" s="383"/>
      <c r="H636" s="383"/>
      <c r="I636" s="383"/>
      <c r="J636" s="383"/>
      <c r="K636" s="383"/>
      <c r="L636" s="383"/>
      <c r="M636" s="383"/>
      <c r="N636" s="384">
        <v>1</v>
      </c>
      <c r="O636" s="383"/>
      <c r="P636" s="383"/>
      <c r="Q636" s="383"/>
      <c r="R636" s="383"/>
      <c r="S636" s="383"/>
      <c r="T636" s="383"/>
      <c r="U636" s="383"/>
      <c r="V636" s="383"/>
      <c r="W636" s="383"/>
      <c r="X636" s="387">
        <f>SUM(E636:W636)</f>
        <v>1</v>
      </c>
      <c r="Y636" s="346"/>
      <c r="Z636" s="224" t="s">
        <v>663</v>
      </c>
      <c r="AA636" s="157" t="s">
        <v>663</v>
      </c>
      <c r="AB636" s="293" t="s">
        <v>2597</v>
      </c>
      <c r="AC636" s="530">
        <v>2983932.0171360779</v>
      </c>
      <c r="AD636" s="159"/>
    </row>
    <row r="637" spans="1:30" x14ac:dyDescent="0.2">
      <c r="A637" s="293" t="s">
        <v>2597</v>
      </c>
      <c r="B637" s="372"/>
      <c r="C637" s="388" t="s">
        <v>2578</v>
      </c>
      <c r="D637" s="386" t="s">
        <v>2837</v>
      </c>
      <c r="E637" s="389">
        <v>0.3</v>
      </c>
      <c r="F637" s="389"/>
      <c r="G637" s="389"/>
      <c r="H637" s="389"/>
      <c r="I637" s="389"/>
      <c r="J637" s="389"/>
      <c r="K637" s="389"/>
      <c r="L637" s="389">
        <v>0.7</v>
      </c>
      <c r="M637" s="389"/>
      <c r="N637" s="389"/>
      <c r="O637" s="389"/>
      <c r="P637" s="389"/>
      <c r="Q637" s="389"/>
      <c r="R637" s="389"/>
      <c r="S637" s="389"/>
      <c r="T637" s="389"/>
      <c r="U637" s="389"/>
      <c r="V637" s="389"/>
      <c r="W637" s="389"/>
      <c r="X637" s="390">
        <f>SUM(E637:W637)</f>
        <v>1</v>
      </c>
      <c r="Y637" s="346"/>
      <c r="Z637" s="224" t="s">
        <v>663</v>
      </c>
      <c r="AA637" s="157" t="s">
        <v>663</v>
      </c>
      <c r="AB637" s="293" t="s">
        <v>2597</v>
      </c>
      <c r="AC637" s="530">
        <v>185471.46</v>
      </c>
      <c r="AD637" s="159"/>
    </row>
    <row r="638" spans="1:30" x14ac:dyDescent="0.2">
      <c r="A638" s="282"/>
      <c r="B638" s="282"/>
      <c r="C638" s="238" t="s">
        <v>2232</v>
      </c>
      <c r="D638" s="348" t="s">
        <v>2233</v>
      </c>
      <c r="E638" s="391">
        <v>0</v>
      </c>
      <c r="F638" s="391">
        <v>5.7400584606765734E-3</v>
      </c>
      <c r="G638" s="391">
        <v>1.5528084018823466E-2</v>
      </c>
      <c r="H638" s="391">
        <v>0</v>
      </c>
      <c r="I638" s="391">
        <v>0</v>
      </c>
      <c r="J638" s="391">
        <v>0</v>
      </c>
      <c r="K638" s="391">
        <v>0</v>
      </c>
      <c r="L638" s="391">
        <v>0</v>
      </c>
      <c r="M638" s="391">
        <v>0</v>
      </c>
      <c r="N638" s="391">
        <v>0.58960966564926298</v>
      </c>
      <c r="O638" s="391">
        <v>2.9423991588269634E-3</v>
      </c>
      <c r="P638" s="391">
        <v>5.385952699257171E-2</v>
      </c>
      <c r="Q638" s="391">
        <v>1.3432690289350006E-2</v>
      </c>
      <c r="R638" s="391">
        <v>0</v>
      </c>
      <c r="S638" s="391">
        <v>0.12634335750505657</v>
      </c>
      <c r="T638" s="391">
        <v>0.15105328267038085</v>
      </c>
      <c r="U638" s="391">
        <v>4.149093525505089E-2</v>
      </c>
      <c r="V638" s="391">
        <v>0</v>
      </c>
      <c r="W638" s="391">
        <v>0</v>
      </c>
      <c r="X638" s="391">
        <f>SUM(E638:W638)</f>
        <v>1</v>
      </c>
      <c r="Y638" s="346"/>
      <c r="Z638" s="224" t="s">
        <v>663</v>
      </c>
      <c r="AA638" s="157" t="s">
        <v>663</v>
      </c>
      <c r="AB638" s="282"/>
      <c r="AC638" s="530" t="s">
        <v>3015</v>
      </c>
      <c r="AD638" s="159"/>
    </row>
    <row r="639" spans="1:30" x14ac:dyDescent="0.2">
      <c r="A639" s="325"/>
      <c r="B639" s="326"/>
      <c r="C639" s="392" t="s">
        <v>1604</v>
      </c>
      <c r="D639" s="393" t="s">
        <v>1605</v>
      </c>
      <c r="E639" s="232">
        <v>0</v>
      </c>
      <c r="F639" s="232">
        <v>0</v>
      </c>
      <c r="G639" s="232">
        <v>0.03</v>
      </c>
      <c r="H639" s="232">
        <v>0</v>
      </c>
      <c r="I639" s="232">
        <v>0</v>
      </c>
      <c r="J639" s="232">
        <v>0</v>
      </c>
      <c r="K639" s="232">
        <v>0</v>
      </c>
      <c r="L639" s="232">
        <v>0</v>
      </c>
      <c r="M639" s="232"/>
      <c r="N639" s="232">
        <v>0.18</v>
      </c>
      <c r="O639" s="232">
        <v>0</v>
      </c>
      <c r="P639" s="232">
        <v>0.01</v>
      </c>
      <c r="Q639" s="232">
        <v>0</v>
      </c>
      <c r="R639" s="232">
        <v>0</v>
      </c>
      <c r="S639" s="232">
        <v>0.02</v>
      </c>
      <c r="T639" s="232">
        <v>0.76</v>
      </c>
      <c r="U639" s="232">
        <v>0</v>
      </c>
      <c r="V639" s="232"/>
      <c r="W639" s="232"/>
      <c r="X639" s="394">
        <f>SUM(E639:W639)</f>
        <v>1</v>
      </c>
      <c r="Y639" s="346"/>
      <c r="Z639" s="224" t="s">
        <v>663</v>
      </c>
      <c r="AA639" s="157" t="s">
        <v>663</v>
      </c>
      <c r="AB639" s="151" t="s">
        <v>2602</v>
      </c>
      <c r="AC639" s="530" t="s">
        <v>3015</v>
      </c>
      <c r="AD639" s="159"/>
    </row>
    <row r="640" spans="1:30" x14ac:dyDescent="0.2">
      <c r="A640" s="259" t="s">
        <v>2821</v>
      </c>
      <c r="B640" s="259"/>
      <c r="C640" s="395" t="s">
        <v>2838</v>
      </c>
      <c r="D640" s="396" t="s">
        <v>2301</v>
      </c>
      <c r="E640" s="278">
        <v>0</v>
      </c>
      <c r="F640" s="278">
        <v>0</v>
      </c>
      <c r="G640" s="278">
        <v>0</v>
      </c>
      <c r="H640" s="278">
        <v>1</v>
      </c>
      <c r="I640" s="278">
        <v>0</v>
      </c>
      <c r="J640" s="278">
        <v>0</v>
      </c>
      <c r="K640" s="278">
        <v>0</v>
      </c>
      <c r="L640" s="278">
        <v>0</v>
      </c>
      <c r="M640" s="278">
        <v>0</v>
      </c>
      <c r="N640" s="278">
        <v>0</v>
      </c>
      <c r="O640" s="278">
        <v>0</v>
      </c>
      <c r="P640" s="278">
        <v>0</v>
      </c>
      <c r="Q640" s="278">
        <v>0</v>
      </c>
      <c r="R640" s="278">
        <v>0</v>
      </c>
      <c r="S640" s="278">
        <v>0</v>
      </c>
      <c r="T640" s="278">
        <v>0</v>
      </c>
      <c r="U640" s="278">
        <v>0</v>
      </c>
      <c r="V640" s="278">
        <v>0</v>
      </c>
      <c r="W640" s="278">
        <v>0</v>
      </c>
      <c r="X640" s="278">
        <f t="shared" ref="X640:X664" si="22">SUBTOTAL(9,E640:W640)</f>
        <v>1</v>
      </c>
      <c r="Y640" s="346"/>
      <c r="Z640" s="224" t="s">
        <v>663</v>
      </c>
      <c r="AA640" s="157" t="s">
        <v>649</v>
      </c>
      <c r="AB640" s="259" t="s">
        <v>2821</v>
      </c>
      <c r="AC640" s="530" t="s">
        <v>3015</v>
      </c>
      <c r="AD640" s="159"/>
    </row>
    <row r="641" spans="1:30" x14ac:dyDescent="0.2">
      <c r="A641" s="259" t="s">
        <v>2821</v>
      </c>
      <c r="B641" s="259"/>
      <c r="C641" s="395" t="s">
        <v>2839</v>
      </c>
      <c r="D641" s="396" t="s">
        <v>265</v>
      </c>
      <c r="E641" s="278">
        <v>0</v>
      </c>
      <c r="F641" s="278">
        <v>0</v>
      </c>
      <c r="G641" s="278">
        <v>0</v>
      </c>
      <c r="H641" s="278">
        <v>0</v>
      </c>
      <c r="I641" s="278">
        <v>0</v>
      </c>
      <c r="J641" s="278">
        <v>0</v>
      </c>
      <c r="K641" s="278">
        <v>0</v>
      </c>
      <c r="L641" s="278">
        <v>0</v>
      </c>
      <c r="M641" s="278">
        <v>0</v>
      </c>
      <c r="N641" s="278">
        <v>0</v>
      </c>
      <c r="O641" s="278">
        <v>0</v>
      </c>
      <c r="P641" s="278">
        <v>0</v>
      </c>
      <c r="Q641" s="278">
        <v>0</v>
      </c>
      <c r="R641" s="278">
        <v>0</v>
      </c>
      <c r="S641" s="278">
        <v>1</v>
      </c>
      <c r="T641" s="278">
        <v>0</v>
      </c>
      <c r="U641" s="278">
        <v>0</v>
      </c>
      <c r="V641" s="278">
        <v>0</v>
      </c>
      <c r="W641" s="278">
        <v>0</v>
      </c>
      <c r="X641" s="278">
        <f t="shared" si="22"/>
        <v>1</v>
      </c>
      <c r="Y641" s="346"/>
      <c r="Z641" s="224" t="s">
        <v>663</v>
      </c>
      <c r="AA641" s="157" t="s">
        <v>649</v>
      </c>
      <c r="AB641" s="259" t="s">
        <v>2821</v>
      </c>
      <c r="AC641" s="530" t="s">
        <v>3015</v>
      </c>
      <c r="AD641" s="159"/>
    </row>
    <row r="642" spans="1:30" x14ac:dyDescent="0.2">
      <c r="A642" s="259" t="s">
        <v>2821</v>
      </c>
      <c r="B642" s="259"/>
      <c r="C642" s="395" t="s">
        <v>2840</v>
      </c>
      <c r="D642" s="396" t="s">
        <v>2302</v>
      </c>
      <c r="E642" s="278">
        <v>0</v>
      </c>
      <c r="F642" s="278">
        <v>0</v>
      </c>
      <c r="G642" s="278">
        <v>0</v>
      </c>
      <c r="H642" s="278">
        <v>1</v>
      </c>
      <c r="I642" s="278">
        <v>0</v>
      </c>
      <c r="J642" s="278">
        <v>0</v>
      </c>
      <c r="K642" s="278">
        <v>0</v>
      </c>
      <c r="L642" s="278">
        <v>0</v>
      </c>
      <c r="M642" s="278">
        <v>0</v>
      </c>
      <c r="N642" s="278">
        <v>0</v>
      </c>
      <c r="O642" s="278">
        <v>0</v>
      </c>
      <c r="P642" s="278">
        <v>0</v>
      </c>
      <c r="Q642" s="278">
        <v>0</v>
      </c>
      <c r="R642" s="278">
        <v>0</v>
      </c>
      <c r="S642" s="278">
        <v>0</v>
      </c>
      <c r="T642" s="278">
        <v>0</v>
      </c>
      <c r="U642" s="278">
        <v>0</v>
      </c>
      <c r="V642" s="278">
        <v>0</v>
      </c>
      <c r="W642" s="278">
        <v>0</v>
      </c>
      <c r="X642" s="278">
        <f t="shared" si="22"/>
        <v>1</v>
      </c>
      <c r="Y642" s="346"/>
      <c r="Z642" s="224" t="s">
        <v>663</v>
      </c>
      <c r="AA642" s="157" t="s">
        <v>649</v>
      </c>
      <c r="AB642" s="259" t="s">
        <v>2821</v>
      </c>
      <c r="AC642" s="530" t="s">
        <v>3015</v>
      </c>
      <c r="AD642" s="159"/>
    </row>
    <row r="643" spans="1:30" x14ac:dyDescent="0.2">
      <c r="A643" s="259" t="s">
        <v>2821</v>
      </c>
      <c r="B643" s="259"/>
      <c r="C643" s="395" t="s">
        <v>2239</v>
      </c>
      <c r="D643" s="396" t="s">
        <v>337</v>
      </c>
      <c r="E643" s="278">
        <v>0</v>
      </c>
      <c r="F643" s="278">
        <v>0</v>
      </c>
      <c r="G643" s="278">
        <v>0</v>
      </c>
      <c r="H643" s="278">
        <v>1</v>
      </c>
      <c r="I643" s="278">
        <v>0</v>
      </c>
      <c r="J643" s="278">
        <v>0</v>
      </c>
      <c r="K643" s="278">
        <v>0</v>
      </c>
      <c r="L643" s="278">
        <v>0</v>
      </c>
      <c r="M643" s="278">
        <v>0</v>
      </c>
      <c r="N643" s="278">
        <v>0</v>
      </c>
      <c r="O643" s="278">
        <v>0</v>
      </c>
      <c r="P643" s="278">
        <v>0</v>
      </c>
      <c r="Q643" s="278">
        <v>0</v>
      </c>
      <c r="R643" s="278">
        <v>0</v>
      </c>
      <c r="S643" s="278">
        <v>0</v>
      </c>
      <c r="T643" s="278">
        <v>0</v>
      </c>
      <c r="U643" s="278">
        <v>0</v>
      </c>
      <c r="V643" s="278">
        <v>0</v>
      </c>
      <c r="W643" s="278">
        <v>0</v>
      </c>
      <c r="X643" s="278">
        <f t="shared" si="22"/>
        <v>1</v>
      </c>
      <c r="Y643" s="346"/>
      <c r="Z643" s="224" t="s">
        <v>663</v>
      </c>
      <c r="AA643" s="157" t="s">
        <v>649</v>
      </c>
      <c r="AB643" s="259" t="s">
        <v>2821</v>
      </c>
      <c r="AC643" s="530" t="s">
        <v>3015</v>
      </c>
      <c r="AD643" s="159"/>
    </row>
    <row r="644" spans="1:30" x14ac:dyDescent="0.2">
      <c r="A644" s="259" t="s">
        <v>2821</v>
      </c>
      <c r="B644" s="259"/>
      <c r="C644" s="395" t="s">
        <v>2841</v>
      </c>
      <c r="D644" s="396" t="s">
        <v>2383</v>
      </c>
      <c r="E644" s="278">
        <v>0</v>
      </c>
      <c r="F644" s="278">
        <v>0</v>
      </c>
      <c r="G644" s="278">
        <v>0</v>
      </c>
      <c r="H644" s="278">
        <v>1</v>
      </c>
      <c r="I644" s="278">
        <v>0</v>
      </c>
      <c r="J644" s="278">
        <v>0</v>
      </c>
      <c r="K644" s="278">
        <v>0</v>
      </c>
      <c r="L644" s="278">
        <v>0</v>
      </c>
      <c r="M644" s="278">
        <v>0</v>
      </c>
      <c r="N644" s="278">
        <v>0</v>
      </c>
      <c r="O644" s="278">
        <v>0</v>
      </c>
      <c r="P644" s="278">
        <v>0</v>
      </c>
      <c r="Q644" s="278">
        <v>0</v>
      </c>
      <c r="R644" s="278">
        <v>0</v>
      </c>
      <c r="S644" s="278">
        <v>0</v>
      </c>
      <c r="T644" s="278">
        <v>0</v>
      </c>
      <c r="U644" s="278">
        <v>0</v>
      </c>
      <c r="V644" s="278">
        <v>0</v>
      </c>
      <c r="W644" s="278">
        <v>0</v>
      </c>
      <c r="X644" s="278">
        <f t="shared" si="22"/>
        <v>1</v>
      </c>
      <c r="Y644" s="346"/>
      <c r="Z644" s="224" t="s">
        <v>663</v>
      </c>
      <c r="AA644" s="157" t="s">
        <v>649</v>
      </c>
      <c r="AB644" s="259" t="s">
        <v>2821</v>
      </c>
      <c r="AC644" s="530" t="s">
        <v>3015</v>
      </c>
      <c r="AD644" s="159"/>
    </row>
    <row r="645" spans="1:30" x14ac:dyDescent="0.2">
      <c r="A645" s="259" t="s">
        <v>2821</v>
      </c>
      <c r="B645" s="259"/>
      <c r="C645" s="395" t="s">
        <v>2842</v>
      </c>
      <c r="D645" s="396" t="s">
        <v>2306</v>
      </c>
      <c r="E645" s="278">
        <v>0</v>
      </c>
      <c r="F645" s="278">
        <v>0</v>
      </c>
      <c r="G645" s="278">
        <v>0</v>
      </c>
      <c r="H645" s="278">
        <v>1</v>
      </c>
      <c r="I645" s="278">
        <v>0</v>
      </c>
      <c r="J645" s="278">
        <v>0</v>
      </c>
      <c r="K645" s="278">
        <v>0</v>
      </c>
      <c r="L645" s="278">
        <v>0</v>
      </c>
      <c r="M645" s="278">
        <v>0</v>
      </c>
      <c r="N645" s="278">
        <v>0</v>
      </c>
      <c r="O645" s="278">
        <v>0</v>
      </c>
      <c r="P645" s="278">
        <v>0</v>
      </c>
      <c r="Q645" s="278">
        <v>0</v>
      </c>
      <c r="R645" s="278">
        <v>0</v>
      </c>
      <c r="S645" s="278">
        <v>0</v>
      </c>
      <c r="T645" s="278">
        <v>0</v>
      </c>
      <c r="U645" s="278">
        <v>0</v>
      </c>
      <c r="V645" s="278">
        <v>0</v>
      </c>
      <c r="W645" s="278">
        <v>0</v>
      </c>
      <c r="X645" s="278">
        <f t="shared" si="22"/>
        <v>1</v>
      </c>
      <c r="Y645" s="346"/>
      <c r="Z645" s="224" t="s">
        <v>663</v>
      </c>
      <c r="AA645" s="157" t="s">
        <v>649</v>
      </c>
      <c r="AB645" s="259" t="s">
        <v>2821</v>
      </c>
      <c r="AC645" s="530" t="s">
        <v>3015</v>
      </c>
      <c r="AD645" s="159"/>
    </row>
    <row r="646" spans="1:30" x14ac:dyDescent="0.2">
      <c r="A646" s="259" t="s">
        <v>2821</v>
      </c>
      <c r="B646" s="259"/>
      <c r="C646" s="395" t="s">
        <v>2240</v>
      </c>
      <c r="D646" s="396" t="s">
        <v>377</v>
      </c>
      <c r="E646" s="278">
        <v>0</v>
      </c>
      <c r="F646" s="278">
        <v>0</v>
      </c>
      <c r="G646" s="278">
        <v>0</v>
      </c>
      <c r="H646" s="278">
        <v>0</v>
      </c>
      <c r="I646" s="278">
        <v>0</v>
      </c>
      <c r="J646" s="278">
        <v>0</v>
      </c>
      <c r="K646" s="278">
        <v>0</v>
      </c>
      <c r="L646" s="278">
        <v>1</v>
      </c>
      <c r="M646" s="278">
        <v>0</v>
      </c>
      <c r="N646" s="278">
        <v>0</v>
      </c>
      <c r="O646" s="278">
        <v>0</v>
      </c>
      <c r="P646" s="278">
        <v>0</v>
      </c>
      <c r="Q646" s="278">
        <v>0</v>
      </c>
      <c r="R646" s="278">
        <v>0</v>
      </c>
      <c r="S646" s="278">
        <v>0</v>
      </c>
      <c r="T646" s="278">
        <v>0</v>
      </c>
      <c r="U646" s="278">
        <v>0</v>
      </c>
      <c r="V646" s="278">
        <v>0</v>
      </c>
      <c r="W646" s="278">
        <v>0</v>
      </c>
      <c r="X646" s="278">
        <f t="shared" si="22"/>
        <v>1</v>
      </c>
      <c r="Y646" s="346"/>
      <c r="Z646" s="224" t="s">
        <v>663</v>
      </c>
      <c r="AA646" s="157" t="s">
        <v>649</v>
      </c>
      <c r="AB646" s="259" t="s">
        <v>2821</v>
      </c>
      <c r="AC646" s="530" t="s">
        <v>3015</v>
      </c>
      <c r="AD646" s="159"/>
    </row>
    <row r="647" spans="1:30" x14ac:dyDescent="0.2">
      <c r="A647" s="259" t="s">
        <v>2821</v>
      </c>
      <c r="B647" s="259"/>
      <c r="C647" s="395" t="s">
        <v>2843</v>
      </c>
      <c r="D647" s="396" t="s">
        <v>380</v>
      </c>
      <c r="E647" s="278">
        <v>0</v>
      </c>
      <c r="F647" s="278">
        <v>0</v>
      </c>
      <c r="G647" s="278">
        <v>0</v>
      </c>
      <c r="H647" s="278">
        <v>0</v>
      </c>
      <c r="I647" s="278">
        <v>0</v>
      </c>
      <c r="J647" s="278">
        <v>0</v>
      </c>
      <c r="K647" s="278">
        <v>0</v>
      </c>
      <c r="L647" s="278">
        <v>0</v>
      </c>
      <c r="M647" s="278">
        <v>0</v>
      </c>
      <c r="N647" s="278">
        <v>1</v>
      </c>
      <c r="O647" s="278">
        <v>0</v>
      </c>
      <c r="P647" s="278">
        <v>0</v>
      </c>
      <c r="Q647" s="278">
        <v>0</v>
      </c>
      <c r="R647" s="278">
        <v>0</v>
      </c>
      <c r="S647" s="278">
        <v>0</v>
      </c>
      <c r="T647" s="278">
        <v>0</v>
      </c>
      <c r="U647" s="278">
        <v>0</v>
      </c>
      <c r="V647" s="278">
        <v>0</v>
      </c>
      <c r="W647" s="278">
        <v>0</v>
      </c>
      <c r="X647" s="278">
        <f t="shared" si="22"/>
        <v>1</v>
      </c>
      <c r="Y647" s="346"/>
      <c r="Z647" s="224" t="s">
        <v>663</v>
      </c>
      <c r="AA647" s="157" t="s">
        <v>649</v>
      </c>
      <c r="AB647" s="259" t="s">
        <v>2821</v>
      </c>
      <c r="AC647" s="530" t="s">
        <v>3015</v>
      </c>
      <c r="AD647" s="159"/>
    </row>
    <row r="648" spans="1:30" x14ac:dyDescent="0.2">
      <c r="A648" s="259" t="s">
        <v>2821</v>
      </c>
      <c r="B648" s="396"/>
      <c r="C648" s="395" t="s">
        <v>2844</v>
      </c>
      <c r="D648" s="396" t="s">
        <v>2308</v>
      </c>
      <c r="E648" s="278">
        <v>0</v>
      </c>
      <c r="F648" s="278">
        <v>0</v>
      </c>
      <c r="G648" s="278">
        <v>0</v>
      </c>
      <c r="H648" s="278">
        <v>1</v>
      </c>
      <c r="I648" s="278">
        <v>0</v>
      </c>
      <c r="J648" s="278">
        <v>0</v>
      </c>
      <c r="K648" s="278">
        <v>0</v>
      </c>
      <c r="L648" s="278">
        <v>0</v>
      </c>
      <c r="M648" s="278">
        <v>0</v>
      </c>
      <c r="N648" s="278">
        <v>0</v>
      </c>
      <c r="O648" s="278">
        <v>0</v>
      </c>
      <c r="P648" s="278">
        <v>0</v>
      </c>
      <c r="Q648" s="278">
        <v>0</v>
      </c>
      <c r="R648" s="278">
        <v>0</v>
      </c>
      <c r="S648" s="278">
        <v>0</v>
      </c>
      <c r="T648" s="278">
        <v>0</v>
      </c>
      <c r="U648" s="278">
        <v>0</v>
      </c>
      <c r="V648" s="278">
        <v>0</v>
      </c>
      <c r="W648" s="278">
        <v>0</v>
      </c>
      <c r="X648" s="278">
        <f t="shared" si="22"/>
        <v>1</v>
      </c>
      <c r="Y648" s="346"/>
      <c r="Z648" s="224" t="s">
        <v>663</v>
      </c>
      <c r="AA648" s="157" t="s">
        <v>649</v>
      </c>
      <c r="AB648" s="259" t="s">
        <v>2821</v>
      </c>
      <c r="AC648" s="530" t="s">
        <v>3015</v>
      </c>
      <c r="AD648" s="159"/>
    </row>
    <row r="649" spans="1:30" x14ac:dyDescent="0.2">
      <c r="A649" s="259" t="s">
        <v>2821</v>
      </c>
      <c r="B649" s="396"/>
      <c r="C649" s="395" t="s">
        <v>2845</v>
      </c>
      <c r="D649" s="396" t="s">
        <v>384</v>
      </c>
      <c r="E649" s="278">
        <v>0</v>
      </c>
      <c r="F649" s="278">
        <v>0</v>
      </c>
      <c r="G649" s="278">
        <v>0</v>
      </c>
      <c r="H649" s="278">
        <v>1</v>
      </c>
      <c r="I649" s="278">
        <v>0</v>
      </c>
      <c r="J649" s="278">
        <v>0</v>
      </c>
      <c r="K649" s="278">
        <v>0</v>
      </c>
      <c r="L649" s="278">
        <v>0</v>
      </c>
      <c r="M649" s="278">
        <v>0</v>
      </c>
      <c r="N649" s="278">
        <v>0</v>
      </c>
      <c r="O649" s="278">
        <v>0</v>
      </c>
      <c r="P649" s="278">
        <v>0</v>
      </c>
      <c r="Q649" s="278">
        <v>0</v>
      </c>
      <c r="R649" s="278">
        <v>0</v>
      </c>
      <c r="S649" s="278">
        <v>0</v>
      </c>
      <c r="T649" s="278">
        <v>0</v>
      </c>
      <c r="U649" s="278">
        <v>0</v>
      </c>
      <c r="V649" s="278">
        <v>0</v>
      </c>
      <c r="W649" s="278">
        <v>0</v>
      </c>
      <c r="X649" s="278">
        <f t="shared" si="22"/>
        <v>1</v>
      </c>
      <c r="Y649" s="346"/>
      <c r="Z649" s="224" t="s">
        <v>663</v>
      </c>
      <c r="AA649" s="157" t="s">
        <v>649</v>
      </c>
      <c r="AB649" s="259" t="s">
        <v>2821</v>
      </c>
      <c r="AC649" s="530" t="s">
        <v>3015</v>
      </c>
      <c r="AD649" s="159"/>
    </row>
    <row r="650" spans="1:30" x14ac:dyDescent="0.2">
      <c r="A650" s="259" t="s">
        <v>2821</v>
      </c>
      <c r="B650" s="396"/>
      <c r="C650" s="395" t="s">
        <v>2241</v>
      </c>
      <c r="D650" s="396" t="s">
        <v>389</v>
      </c>
      <c r="E650" s="278">
        <v>0</v>
      </c>
      <c r="F650" s="278">
        <v>0</v>
      </c>
      <c r="G650" s="278">
        <v>0</v>
      </c>
      <c r="H650" s="278">
        <v>0</v>
      </c>
      <c r="I650" s="278">
        <v>0</v>
      </c>
      <c r="J650" s="278">
        <v>0</v>
      </c>
      <c r="K650" s="278">
        <v>0</v>
      </c>
      <c r="L650" s="278">
        <v>1</v>
      </c>
      <c r="M650" s="278">
        <v>0</v>
      </c>
      <c r="N650" s="278">
        <v>0</v>
      </c>
      <c r="O650" s="278">
        <v>0</v>
      </c>
      <c r="P650" s="278">
        <v>0</v>
      </c>
      <c r="Q650" s="278">
        <v>0</v>
      </c>
      <c r="R650" s="278">
        <v>0</v>
      </c>
      <c r="S650" s="278">
        <v>0</v>
      </c>
      <c r="T650" s="278">
        <v>0</v>
      </c>
      <c r="U650" s="278">
        <v>0</v>
      </c>
      <c r="V650" s="278">
        <v>0</v>
      </c>
      <c r="W650" s="278">
        <v>0</v>
      </c>
      <c r="X650" s="278">
        <f t="shared" si="22"/>
        <v>1</v>
      </c>
      <c r="Y650" s="346"/>
      <c r="Z650" s="224" t="s">
        <v>663</v>
      </c>
      <c r="AA650" s="157" t="s">
        <v>649</v>
      </c>
      <c r="AB650" s="259" t="s">
        <v>2821</v>
      </c>
      <c r="AC650" s="530" t="s">
        <v>3015</v>
      </c>
      <c r="AD650" s="159"/>
    </row>
    <row r="651" spans="1:30" x14ac:dyDescent="0.2">
      <c r="A651" s="259" t="s">
        <v>2821</v>
      </c>
      <c r="B651" s="396"/>
      <c r="C651" s="395" t="s">
        <v>2846</v>
      </c>
      <c r="D651" s="396" t="s">
        <v>391</v>
      </c>
      <c r="E651" s="278">
        <v>0</v>
      </c>
      <c r="F651" s="278">
        <v>0</v>
      </c>
      <c r="G651" s="278">
        <v>0</v>
      </c>
      <c r="H651" s="278">
        <v>1</v>
      </c>
      <c r="I651" s="278">
        <v>0</v>
      </c>
      <c r="J651" s="278">
        <v>0</v>
      </c>
      <c r="K651" s="278">
        <v>0</v>
      </c>
      <c r="L651" s="278">
        <v>0</v>
      </c>
      <c r="M651" s="278">
        <v>0</v>
      </c>
      <c r="N651" s="278">
        <v>0</v>
      </c>
      <c r="O651" s="278">
        <v>0</v>
      </c>
      <c r="P651" s="278">
        <v>0</v>
      </c>
      <c r="Q651" s="278">
        <v>0</v>
      </c>
      <c r="R651" s="278">
        <v>0</v>
      </c>
      <c r="S651" s="278">
        <v>0</v>
      </c>
      <c r="T651" s="278">
        <v>0</v>
      </c>
      <c r="U651" s="278">
        <v>0</v>
      </c>
      <c r="V651" s="278">
        <v>0</v>
      </c>
      <c r="W651" s="278">
        <v>0</v>
      </c>
      <c r="X651" s="278">
        <f t="shared" si="22"/>
        <v>1</v>
      </c>
      <c r="Y651" s="346"/>
      <c r="Z651" s="224" t="s">
        <v>663</v>
      </c>
      <c r="AA651" s="157" t="s">
        <v>649</v>
      </c>
      <c r="AB651" s="259" t="s">
        <v>2821</v>
      </c>
      <c r="AC651" s="530" t="s">
        <v>3015</v>
      </c>
      <c r="AD651" s="159"/>
    </row>
    <row r="652" spans="1:30" x14ac:dyDescent="0.2">
      <c r="A652" s="259" t="s">
        <v>2821</v>
      </c>
      <c r="B652" s="396"/>
      <c r="C652" s="395" t="s">
        <v>2847</v>
      </c>
      <c r="D652" s="396" t="s">
        <v>2311</v>
      </c>
      <c r="E652" s="278">
        <v>0</v>
      </c>
      <c r="F652" s="278">
        <v>0</v>
      </c>
      <c r="G652" s="278">
        <v>0</v>
      </c>
      <c r="H652" s="278">
        <v>1</v>
      </c>
      <c r="I652" s="278">
        <v>0</v>
      </c>
      <c r="J652" s="278">
        <v>0</v>
      </c>
      <c r="K652" s="278">
        <v>0</v>
      </c>
      <c r="L652" s="278">
        <v>0</v>
      </c>
      <c r="M652" s="278">
        <v>0</v>
      </c>
      <c r="N652" s="278">
        <v>0</v>
      </c>
      <c r="O652" s="278">
        <v>0</v>
      </c>
      <c r="P652" s="278">
        <v>0</v>
      </c>
      <c r="Q652" s="278">
        <v>0</v>
      </c>
      <c r="R652" s="278">
        <v>0</v>
      </c>
      <c r="S652" s="278">
        <v>0</v>
      </c>
      <c r="T652" s="278">
        <v>0</v>
      </c>
      <c r="U652" s="278">
        <v>0</v>
      </c>
      <c r="V652" s="278">
        <v>0</v>
      </c>
      <c r="W652" s="278">
        <v>0</v>
      </c>
      <c r="X652" s="278">
        <f t="shared" si="22"/>
        <v>1</v>
      </c>
      <c r="Y652" s="346"/>
      <c r="Z652" s="224" t="s">
        <v>663</v>
      </c>
      <c r="AA652" s="157" t="s">
        <v>649</v>
      </c>
      <c r="AB652" s="259" t="s">
        <v>2821</v>
      </c>
      <c r="AC652" s="530" t="s">
        <v>3015</v>
      </c>
      <c r="AD652" s="159"/>
    </row>
    <row r="653" spans="1:30" x14ac:dyDescent="0.2">
      <c r="A653" s="259" t="s">
        <v>2821</v>
      </c>
      <c r="B653" s="396"/>
      <c r="C653" s="395" t="s">
        <v>2848</v>
      </c>
      <c r="D653" s="396" t="s">
        <v>2312</v>
      </c>
      <c r="E653" s="278">
        <v>0</v>
      </c>
      <c r="F653" s="278">
        <v>0</v>
      </c>
      <c r="G653" s="278">
        <v>0</v>
      </c>
      <c r="H653" s="278">
        <v>1</v>
      </c>
      <c r="I653" s="278">
        <v>0</v>
      </c>
      <c r="J653" s="278">
        <v>0</v>
      </c>
      <c r="K653" s="278">
        <v>0</v>
      </c>
      <c r="L653" s="278">
        <v>0</v>
      </c>
      <c r="M653" s="278">
        <v>0</v>
      </c>
      <c r="N653" s="278">
        <v>0</v>
      </c>
      <c r="O653" s="278">
        <v>0</v>
      </c>
      <c r="P653" s="278">
        <v>0</v>
      </c>
      <c r="Q653" s="278">
        <v>0</v>
      </c>
      <c r="R653" s="278">
        <v>0</v>
      </c>
      <c r="S653" s="278">
        <v>0</v>
      </c>
      <c r="T653" s="278">
        <v>0</v>
      </c>
      <c r="U653" s="278">
        <v>0</v>
      </c>
      <c r="V653" s="278">
        <v>0</v>
      </c>
      <c r="W653" s="278">
        <v>0</v>
      </c>
      <c r="X653" s="278">
        <f t="shared" si="22"/>
        <v>1</v>
      </c>
      <c r="Y653" s="346"/>
      <c r="Z653" s="224" t="s">
        <v>663</v>
      </c>
      <c r="AA653" s="157" t="s">
        <v>649</v>
      </c>
      <c r="AB653" s="259" t="s">
        <v>2821</v>
      </c>
      <c r="AC653" s="530" t="s">
        <v>3015</v>
      </c>
      <c r="AD653" s="159"/>
    </row>
    <row r="654" spans="1:30" x14ac:dyDescent="0.2">
      <c r="A654" s="259" t="s">
        <v>2821</v>
      </c>
      <c r="B654" s="396"/>
      <c r="C654" s="395" t="s">
        <v>2849</v>
      </c>
      <c r="D654" s="396" t="s">
        <v>403</v>
      </c>
      <c r="E654" s="278">
        <v>0</v>
      </c>
      <c r="F654" s="278">
        <v>0</v>
      </c>
      <c r="G654" s="278">
        <v>0</v>
      </c>
      <c r="H654" s="278">
        <v>1</v>
      </c>
      <c r="I654" s="278">
        <v>0</v>
      </c>
      <c r="J654" s="278">
        <v>0</v>
      </c>
      <c r="K654" s="278">
        <v>0</v>
      </c>
      <c r="L654" s="278">
        <v>0</v>
      </c>
      <c r="M654" s="278">
        <v>0</v>
      </c>
      <c r="N654" s="278">
        <v>0</v>
      </c>
      <c r="O654" s="278">
        <v>0</v>
      </c>
      <c r="P654" s="278">
        <v>0</v>
      </c>
      <c r="Q654" s="278">
        <v>0</v>
      </c>
      <c r="R654" s="278">
        <v>0</v>
      </c>
      <c r="S654" s="278">
        <v>0</v>
      </c>
      <c r="T654" s="278">
        <v>0</v>
      </c>
      <c r="U654" s="278">
        <v>0</v>
      </c>
      <c r="V654" s="278">
        <v>0</v>
      </c>
      <c r="W654" s="278">
        <v>0</v>
      </c>
      <c r="X654" s="278">
        <f t="shared" si="22"/>
        <v>1</v>
      </c>
      <c r="Y654" s="346"/>
      <c r="Z654" s="224" t="s">
        <v>663</v>
      </c>
      <c r="AA654" s="157" t="s">
        <v>649</v>
      </c>
      <c r="AB654" s="259" t="s">
        <v>2821</v>
      </c>
      <c r="AC654" s="530" t="s">
        <v>3015</v>
      </c>
      <c r="AD654" s="159"/>
    </row>
    <row r="655" spans="1:30" x14ac:dyDescent="0.2">
      <c r="A655" s="259" t="s">
        <v>2821</v>
      </c>
      <c r="B655" s="396"/>
      <c r="C655" s="395" t="s">
        <v>2850</v>
      </c>
      <c r="D655" s="396" t="s">
        <v>407</v>
      </c>
      <c r="E655" s="278">
        <v>0</v>
      </c>
      <c r="F655" s="278">
        <v>0</v>
      </c>
      <c r="G655" s="278">
        <v>0</v>
      </c>
      <c r="H655" s="278">
        <v>0</v>
      </c>
      <c r="I655" s="278">
        <v>0</v>
      </c>
      <c r="J655" s="278">
        <v>0</v>
      </c>
      <c r="K655" s="278">
        <v>0</v>
      </c>
      <c r="L655" s="278">
        <v>0</v>
      </c>
      <c r="M655" s="278">
        <v>0</v>
      </c>
      <c r="N655" s="278">
        <v>1</v>
      </c>
      <c r="O655" s="278">
        <v>0</v>
      </c>
      <c r="P655" s="278">
        <v>0</v>
      </c>
      <c r="Q655" s="278">
        <v>0</v>
      </c>
      <c r="R655" s="278">
        <v>0</v>
      </c>
      <c r="S655" s="278">
        <v>0</v>
      </c>
      <c r="T655" s="278">
        <v>0</v>
      </c>
      <c r="U655" s="278">
        <v>0</v>
      </c>
      <c r="V655" s="278">
        <v>0</v>
      </c>
      <c r="W655" s="278">
        <v>0</v>
      </c>
      <c r="X655" s="278">
        <f t="shared" si="22"/>
        <v>1</v>
      </c>
      <c r="Y655" s="346"/>
      <c r="Z655" s="224" t="s">
        <v>663</v>
      </c>
      <c r="AA655" s="157" t="s">
        <v>649</v>
      </c>
      <c r="AB655" s="259" t="s">
        <v>2821</v>
      </c>
      <c r="AC655" s="530" t="s">
        <v>3015</v>
      </c>
      <c r="AD655" s="159"/>
    </row>
    <row r="656" spans="1:30" x14ac:dyDescent="0.2">
      <c r="A656" s="259" t="s">
        <v>2821</v>
      </c>
      <c r="B656" s="396"/>
      <c r="C656" s="395" t="s">
        <v>2851</v>
      </c>
      <c r="D656" s="396" t="s">
        <v>421</v>
      </c>
      <c r="E656" s="278">
        <v>0</v>
      </c>
      <c r="F656" s="278">
        <v>0</v>
      </c>
      <c r="G656" s="278">
        <v>1</v>
      </c>
      <c r="H656" s="278">
        <v>0</v>
      </c>
      <c r="I656" s="278">
        <v>0</v>
      </c>
      <c r="J656" s="278">
        <v>0</v>
      </c>
      <c r="K656" s="278">
        <v>0</v>
      </c>
      <c r="L656" s="278">
        <v>0</v>
      </c>
      <c r="M656" s="278">
        <v>0</v>
      </c>
      <c r="N656" s="278">
        <v>0</v>
      </c>
      <c r="O656" s="278">
        <v>0</v>
      </c>
      <c r="P656" s="278">
        <v>0</v>
      </c>
      <c r="Q656" s="278">
        <v>0</v>
      </c>
      <c r="R656" s="278">
        <v>0</v>
      </c>
      <c r="S656" s="278">
        <v>0</v>
      </c>
      <c r="T656" s="278">
        <v>0</v>
      </c>
      <c r="U656" s="278">
        <v>0</v>
      </c>
      <c r="V656" s="278">
        <v>0</v>
      </c>
      <c r="W656" s="278">
        <v>0</v>
      </c>
      <c r="X656" s="278">
        <f t="shared" si="22"/>
        <v>1</v>
      </c>
      <c r="Y656" s="346"/>
      <c r="Z656" s="224" t="s">
        <v>663</v>
      </c>
      <c r="AA656" s="157" t="s">
        <v>649</v>
      </c>
      <c r="AB656" s="259" t="s">
        <v>2821</v>
      </c>
      <c r="AC656" s="530" t="s">
        <v>3015</v>
      </c>
      <c r="AD656" s="159"/>
    </row>
    <row r="657" spans="1:30" x14ac:dyDescent="0.2">
      <c r="A657" s="259" t="s">
        <v>2821</v>
      </c>
      <c r="B657" s="396"/>
      <c r="C657" s="395" t="s">
        <v>2852</v>
      </c>
      <c r="D657" s="396" t="s">
        <v>423</v>
      </c>
      <c r="E657" s="278">
        <v>0</v>
      </c>
      <c r="F657" s="278">
        <v>0</v>
      </c>
      <c r="G657" s="278">
        <v>0</v>
      </c>
      <c r="H657" s="278">
        <v>1</v>
      </c>
      <c r="I657" s="278">
        <v>0</v>
      </c>
      <c r="J657" s="278">
        <v>0</v>
      </c>
      <c r="K657" s="278">
        <v>0</v>
      </c>
      <c r="L657" s="278">
        <v>0</v>
      </c>
      <c r="M657" s="278">
        <v>0</v>
      </c>
      <c r="N657" s="278">
        <v>0</v>
      </c>
      <c r="O657" s="278">
        <v>0</v>
      </c>
      <c r="P657" s="278">
        <v>0</v>
      </c>
      <c r="Q657" s="278">
        <v>0</v>
      </c>
      <c r="R657" s="278">
        <v>0</v>
      </c>
      <c r="S657" s="278">
        <v>0</v>
      </c>
      <c r="T657" s="278">
        <v>0</v>
      </c>
      <c r="U657" s="278">
        <v>0</v>
      </c>
      <c r="V657" s="278">
        <v>0</v>
      </c>
      <c r="W657" s="278">
        <v>0</v>
      </c>
      <c r="X657" s="278">
        <f t="shared" si="22"/>
        <v>1</v>
      </c>
      <c r="Y657" s="346"/>
      <c r="Z657" s="224" t="s">
        <v>663</v>
      </c>
      <c r="AA657" s="157" t="s">
        <v>649</v>
      </c>
      <c r="AB657" s="259" t="s">
        <v>2821</v>
      </c>
      <c r="AC657" s="530" t="s">
        <v>3015</v>
      </c>
      <c r="AD657" s="159"/>
    </row>
    <row r="658" spans="1:30" x14ac:dyDescent="0.2">
      <c r="A658" s="259" t="s">
        <v>2821</v>
      </c>
      <c r="B658" s="396"/>
      <c r="C658" s="395" t="s">
        <v>2853</v>
      </c>
      <c r="D658" s="396" t="s">
        <v>2385</v>
      </c>
      <c r="E658" s="278">
        <v>0</v>
      </c>
      <c r="F658" s="278">
        <v>0</v>
      </c>
      <c r="G658" s="278">
        <v>0</v>
      </c>
      <c r="H658" s="278">
        <v>1</v>
      </c>
      <c r="I658" s="278">
        <v>0</v>
      </c>
      <c r="J658" s="278">
        <v>0</v>
      </c>
      <c r="K658" s="278">
        <v>0</v>
      </c>
      <c r="L658" s="278">
        <v>0</v>
      </c>
      <c r="M658" s="278">
        <v>0</v>
      </c>
      <c r="N658" s="278">
        <v>0</v>
      </c>
      <c r="O658" s="278">
        <v>0</v>
      </c>
      <c r="P658" s="278">
        <v>0</v>
      </c>
      <c r="Q658" s="278">
        <v>0</v>
      </c>
      <c r="R658" s="278">
        <v>0</v>
      </c>
      <c r="S658" s="278">
        <v>0</v>
      </c>
      <c r="T658" s="278">
        <v>0</v>
      </c>
      <c r="U658" s="278">
        <v>0</v>
      </c>
      <c r="V658" s="278">
        <v>0</v>
      </c>
      <c r="W658" s="278">
        <v>0</v>
      </c>
      <c r="X658" s="278">
        <f t="shared" si="22"/>
        <v>1</v>
      </c>
      <c r="Y658" s="346"/>
      <c r="Z658" s="224" t="s">
        <v>663</v>
      </c>
      <c r="AA658" s="157" t="s">
        <v>649</v>
      </c>
      <c r="AB658" s="259" t="s">
        <v>2821</v>
      </c>
      <c r="AC658" s="530" t="s">
        <v>3015</v>
      </c>
      <c r="AD658" s="159"/>
    </row>
    <row r="659" spans="1:30" x14ac:dyDescent="0.2">
      <c r="A659" s="259" t="s">
        <v>2821</v>
      </c>
      <c r="B659" s="396"/>
      <c r="C659" s="395" t="s">
        <v>2854</v>
      </c>
      <c r="D659" s="396" t="s">
        <v>2315</v>
      </c>
      <c r="E659" s="278">
        <v>0</v>
      </c>
      <c r="F659" s="278">
        <v>0</v>
      </c>
      <c r="G659" s="278">
        <v>0</v>
      </c>
      <c r="H659" s="278">
        <v>1</v>
      </c>
      <c r="I659" s="278">
        <v>0</v>
      </c>
      <c r="J659" s="278">
        <v>0</v>
      </c>
      <c r="K659" s="278">
        <v>0</v>
      </c>
      <c r="L659" s="278">
        <v>0</v>
      </c>
      <c r="M659" s="278">
        <v>0</v>
      </c>
      <c r="N659" s="278">
        <v>0</v>
      </c>
      <c r="O659" s="278">
        <v>0</v>
      </c>
      <c r="P659" s="278">
        <v>0</v>
      </c>
      <c r="Q659" s="278">
        <v>0</v>
      </c>
      <c r="R659" s="278">
        <v>0</v>
      </c>
      <c r="S659" s="278">
        <v>0</v>
      </c>
      <c r="T659" s="278">
        <v>0</v>
      </c>
      <c r="U659" s="278">
        <v>0</v>
      </c>
      <c r="V659" s="278">
        <v>0</v>
      </c>
      <c r="W659" s="278">
        <v>0</v>
      </c>
      <c r="X659" s="278">
        <f t="shared" si="22"/>
        <v>1</v>
      </c>
      <c r="Y659" s="346"/>
      <c r="Z659" s="224" t="s">
        <v>663</v>
      </c>
      <c r="AA659" s="157" t="s">
        <v>649</v>
      </c>
      <c r="AB659" s="259" t="s">
        <v>2821</v>
      </c>
      <c r="AC659" s="530" t="s">
        <v>3015</v>
      </c>
      <c r="AD659" s="159"/>
    </row>
    <row r="660" spans="1:30" x14ac:dyDescent="0.2">
      <c r="A660" s="259" t="s">
        <v>2821</v>
      </c>
      <c r="B660" s="396"/>
      <c r="C660" s="395" t="s">
        <v>2242</v>
      </c>
      <c r="D660" s="396" t="s">
        <v>433</v>
      </c>
      <c r="E660" s="278">
        <v>0</v>
      </c>
      <c r="F660" s="278">
        <v>0</v>
      </c>
      <c r="G660" s="278">
        <v>0</v>
      </c>
      <c r="H660" s="278">
        <v>1</v>
      </c>
      <c r="I660" s="278">
        <v>0</v>
      </c>
      <c r="J660" s="278">
        <v>0</v>
      </c>
      <c r="K660" s="278">
        <v>0</v>
      </c>
      <c r="L660" s="278">
        <v>0</v>
      </c>
      <c r="M660" s="278">
        <v>0</v>
      </c>
      <c r="N660" s="278">
        <v>0</v>
      </c>
      <c r="O660" s="278">
        <v>0</v>
      </c>
      <c r="P660" s="278">
        <v>0</v>
      </c>
      <c r="Q660" s="278">
        <v>0</v>
      </c>
      <c r="R660" s="278">
        <v>0</v>
      </c>
      <c r="S660" s="278">
        <v>0</v>
      </c>
      <c r="T660" s="278">
        <v>0</v>
      </c>
      <c r="U660" s="278">
        <v>0</v>
      </c>
      <c r="V660" s="278">
        <v>0</v>
      </c>
      <c r="W660" s="278">
        <v>0</v>
      </c>
      <c r="X660" s="278">
        <f t="shared" si="22"/>
        <v>1</v>
      </c>
      <c r="Y660" s="346"/>
      <c r="Z660" s="224" t="s">
        <v>663</v>
      </c>
      <c r="AA660" s="157" t="s">
        <v>649</v>
      </c>
      <c r="AB660" s="259" t="s">
        <v>2821</v>
      </c>
      <c r="AC660" s="530" t="s">
        <v>3015</v>
      </c>
      <c r="AD660" s="159"/>
    </row>
    <row r="661" spans="1:30" x14ac:dyDescent="0.2">
      <c r="A661" s="259" t="s">
        <v>2821</v>
      </c>
      <c r="B661" s="396"/>
      <c r="C661" s="395" t="s">
        <v>2855</v>
      </c>
      <c r="D661" s="396" t="s">
        <v>435</v>
      </c>
      <c r="E661" s="278">
        <v>0</v>
      </c>
      <c r="F661" s="278">
        <v>0.12332278275832378</v>
      </c>
      <c r="G661" s="278">
        <v>0.50480138362441784</v>
      </c>
      <c r="H661" s="278">
        <v>0</v>
      </c>
      <c r="I661" s="278">
        <v>0</v>
      </c>
      <c r="J661" s="278">
        <v>0</v>
      </c>
      <c r="K661" s="278">
        <v>0</v>
      </c>
      <c r="L661" s="278">
        <v>0</v>
      </c>
      <c r="M661" s="278">
        <v>0</v>
      </c>
      <c r="N661" s="278">
        <v>0</v>
      </c>
      <c r="O661" s="278">
        <v>0</v>
      </c>
      <c r="P661" s="278">
        <v>0</v>
      </c>
      <c r="Q661" s="278">
        <v>0</v>
      </c>
      <c r="R661" s="278">
        <v>0</v>
      </c>
      <c r="S661" s="278">
        <v>0.37187583361725846</v>
      </c>
      <c r="T661" s="278">
        <v>0</v>
      </c>
      <c r="U661" s="278">
        <v>0</v>
      </c>
      <c r="V661" s="278">
        <v>0</v>
      </c>
      <c r="W661" s="278">
        <v>0</v>
      </c>
      <c r="X661" s="278">
        <f t="shared" si="22"/>
        <v>1</v>
      </c>
      <c r="Y661" s="346"/>
      <c r="Z661" s="224" t="s">
        <v>663</v>
      </c>
      <c r="AA661" s="157" t="s">
        <v>649</v>
      </c>
      <c r="AB661" s="259" t="s">
        <v>2821</v>
      </c>
      <c r="AC661" s="530" t="s">
        <v>3015</v>
      </c>
      <c r="AD661" s="159"/>
    </row>
    <row r="662" spans="1:30" x14ac:dyDescent="0.2">
      <c r="A662" s="259" t="s">
        <v>2821</v>
      </c>
      <c r="B662" s="396"/>
      <c r="C662" s="395" t="s">
        <v>2856</v>
      </c>
      <c r="D662" s="396" t="s">
        <v>437</v>
      </c>
      <c r="E662" s="278">
        <v>0.69872958257713258</v>
      </c>
      <c r="F662" s="278">
        <v>0</v>
      </c>
      <c r="G662" s="278">
        <v>0</v>
      </c>
      <c r="H662" s="278">
        <v>0</v>
      </c>
      <c r="I662" s="278">
        <v>0</v>
      </c>
      <c r="J662" s="278">
        <v>0</v>
      </c>
      <c r="K662" s="278">
        <v>0</v>
      </c>
      <c r="L662" s="278">
        <v>0.30127041742286753</v>
      </c>
      <c r="M662" s="278">
        <v>0</v>
      </c>
      <c r="N662" s="278">
        <v>0</v>
      </c>
      <c r="O662" s="278">
        <v>0</v>
      </c>
      <c r="P662" s="278">
        <v>0</v>
      </c>
      <c r="Q662" s="278">
        <v>0</v>
      </c>
      <c r="R662" s="278">
        <v>0</v>
      </c>
      <c r="S662" s="278">
        <v>0</v>
      </c>
      <c r="T662" s="278">
        <v>0</v>
      </c>
      <c r="U662" s="278">
        <v>0</v>
      </c>
      <c r="V662" s="278">
        <v>0</v>
      </c>
      <c r="W662" s="278">
        <v>0</v>
      </c>
      <c r="X662" s="278">
        <f t="shared" si="22"/>
        <v>1</v>
      </c>
      <c r="Y662" s="346"/>
      <c r="Z662" s="224" t="s">
        <v>663</v>
      </c>
      <c r="AA662" s="157" t="s">
        <v>649</v>
      </c>
      <c r="AB662" s="259" t="s">
        <v>2821</v>
      </c>
      <c r="AC662" s="530" t="s">
        <v>3015</v>
      </c>
      <c r="AD662" s="159"/>
    </row>
    <row r="663" spans="1:30" x14ac:dyDescent="0.2">
      <c r="A663" s="259" t="s">
        <v>2821</v>
      </c>
      <c r="B663" s="396"/>
      <c r="C663" s="395" t="s">
        <v>2857</v>
      </c>
      <c r="D663" s="396" t="s">
        <v>439</v>
      </c>
      <c r="E663" s="278">
        <v>0</v>
      </c>
      <c r="F663" s="278">
        <v>0</v>
      </c>
      <c r="G663" s="278">
        <v>0</v>
      </c>
      <c r="H663" s="278">
        <v>0</v>
      </c>
      <c r="I663" s="278">
        <v>0</v>
      </c>
      <c r="J663" s="278">
        <v>0</v>
      </c>
      <c r="K663" s="278">
        <v>0</v>
      </c>
      <c r="L663" s="278">
        <v>1</v>
      </c>
      <c r="M663" s="278">
        <v>0</v>
      </c>
      <c r="N663" s="278">
        <v>0</v>
      </c>
      <c r="O663" s="278">
        <v>0</v>
      </c>
      <c r="P663" s="278">
        <v>0</v>
      </c>
      <c r="Q663" s="278">
        <v>0</v>
      </c>
      <c r="R663" s="278">
        <v>0</v>
      </c>
      <c r="S663" s="278">
        <v>0</v>
      </c>
      <c r="T663" s="278">
        <v>0</v>
      </c>
      <c r="U663" s="278">
        <v>0</v>
      </c>
      <c r="V663" s="278">
        <v>0</v>
      </c>
      <c r="W663" s="278">
        <v>0</v>
      </c>
      <c r="X663" s="278">
        <f t="shared" si="22"/>
        <v>1</v>
      </c>
      <c r="Y663" s="346"/>
      <c r="Z663" s="224" t="s">
        <v>663</v>
      </c>
      <c r="AA663" s="157" t="s">
        <v>649</v>
      </c>
      <c r="AB663" s="259" t="s">
        <v>2821</v>
      </c>
      <c r="AC663" s="530" t="s">
        <v>3015</v>
      </c>
      <c r="AD663" s="159"/>
    </row>
    <row r="664" spans="1:30" x14ac:dyDescent="0.2">
      <c r="A664" s="316" t="s">
        <v>2821</v>
      </c>
      <c r="B664" s="396"/>
      <c r="C664" s="395" t="s">
        <v>2858</v>
      </c>
      <c r="D664" s="396" t="s">
        <v>441</v>
      </c>
      <c r="E664" s="278">
        <v>0</v>
      </c>
      <c r="F664" s="278">
        <v>0</v>
      </c>
      <c r="G664" s="278">
        <v>0</v>
      </c>
      <c r="H664" s="278">
        <v>0</v>
      </c>
      <c r="I664" s="278">
        <v>0</v>
      </c>
      <c r="J664" s="278">
        <v>0</v>
      </c>
      <c r="K664" s="278">
        <v>0</v>
      </c>
      <c r="L664" s="278">
        <v>1</v>
      </c>
      <c r="M664" s="278">
        <v>0</v>
      </c>
      <c r="N664" s="278">
        <v>0</v>
      </c>
      <c r="O664" s="278">
        <v>0</v>
      </c>
      <c r="P664" s="278">
        <v>0</v>
      </c>
      <c r="Q664" s="278">
        <v>0</v>
      </c>
      <c r="R664" s="278">
        <v>0</v>
      </c>
      <c r="S664" s="278">
        <v>0</v>
      </c>
      <c r="T664" s="278">
        <v>0</v>
      </c>
      <c r="U664" s="278">
        <v>0</v>
      </c>
      <c r="V664" s="278">
        <v>0</v>
      </c>
      <c r="W664" s="278">
        <v>0</v>
      </c>
      <c r="X664" s="278">
        <f t="shared" si="22"/>
        <v>1</v>
      </c>
      <c r="Y664" s="346"/>
      <c r="Z664" s="224" t="s">
        <v>663</v>
      </c>
      <c r="AA664" s="157" t="s">
        <v>649</v>
      </c>
      <c r="AB664" s="259" t="s">
        <v>2821</v>
      </c>
      <c r="AC664" s="530" t="s">
        <v>3015</v>
      </c>
      <c r="AD664" s="159"/>
    </row>
    <row r="665" spans="1:30" x14ac:dyDescent="0.2">
      <c r="A665" s="397"/>
      <c r="B665" s="397"/>
      <c r="C665" s="398" t="s">
        <v>2859</v>
      </c>
      <c r="D665" s="397" t="s">
        <v>1089</v>
      </c>
      <c r="E665" s="399"/>
      <c r="F665" s="399"/>
      <c r="G665" s="399"/>
      <c r="H665" s="399"/>
      <c r="I665" s="399"/>
      <c r="J665" s="399"/>
      <c r="K665" s="399"/>
      <c r="L665" s="399"/>
      <c r="M665" s="399"/>
      <c r="N665" s="399"/>
      <c r="O665" s="399"/>
      <c r="P665" s="399"/>
      <c r="Q665" s="399"/>
      <c r="R665" s="399"/>
      <c r="S665" s="399"/>
      <c r="T665" s="399"/>
      <c r="U665" s="399"/>
      <c r="V665" s="399"/>
      <c r="W665" s="399"/>
      <c r="X665" s="400">
        <f>SUM(E665:W665)</f>
        <v>0</v>
      </c>
      <c r="Y665" s="346"/>
      <c r="Z665" s="224" t="s">
        <v>663</v>
      </c>
      <c r="AA665" s="157" t="s">
        <v>663</v>
      </c>
      <c r="AB665" s="397"/>
      <c r="AC665" s="530" t="s">
        <v>3015</v>
      </c>
      <c r="AD665" s="159"/>
    </row>
    <row r="666" spans="1:30" x14ac:dyDescent="0.2">
      <c r="A666" s="397"/>
      <c r="B666" s="397"/>
      <c r="C666" s="398" t="s">
        <v>2860</v>
      </c>
      <c r="D666" s="397" t="s">
        <v>1090</v>
      </c>
      <c r="E666" s="399"/>
      <c r="F666" s="399"/>
      <c r="G666" s="399"/>
      <c r="H666" s="399"/>
      <c r="I666" s="399"/>
      <c r="J666" s="399"/>
      <c r="K666" s="399"/>
      <c r="L666" s="399"/>
      <c r="M666" s="399"/>
      <c r="N666" s="399"/>
      <c r="O666" s="399"/>
      <c r="P666" s="399"/>
      <c r="Q666" s="399"/>
      <c r="R666" s="399"/>
      <c r="S666" s="399"/>
      <c r="T666" s="399"/>
      <c r="U666" s="399"/>
      <c r="V666" s="399"/>
      <c r="W666" s="399"/>
      <c r="X666" s="400">
        <f>SUM(E666:W666)</f>
        <v>0</v>
      </c>
      <c r="Y666" s="346"/>
      <c r="Z666" s="224" t="s">
        <v>663</v>
      </c>
      <c r="AA666" s="157" t="s">
        <v>663</v>
      </c>
      <c r="AB666" s="397"/>
      <c r="AC666" s="530" t="s">
        <v>3015</v>
      </c>
      <c r="AD666" s="159"/>
    </row>
    <row r="667" spans="1:30" x14ac:dyDescent="0.2">
      <c r="A667" s="276" t="s">
        <v>2821</v>
      </c>
      <c r="B667" s="396"/>
      <c r="C667" s="395" t="s">
        <v>2861</v>
      </c>
      <c r="D667" s="396" t="s">
        <v>443</v>
      </c>
      <c r="E667" s="278">
        <v>0</v>
      </c>
      <c r="F667" s="278">
        <v>0</v>
      </c>
      <c r="G667" s="278">
        <v>0</v>
      </c>
      <c r="H667" s="278">
        <v>1</v>
      </c>
      <c r="I667" s="278">
        <v>0</v>
      </c>
      <c r="J667" s="278">
        <v>0</v>
      </c>
      <c r="K667" s="278">
        <v>0</v>
      </c>
      <c r="L667" s="278">
        <v>0</v>
      </c>
      <c r="M667" s="278">
        <v>0</v>
      </c>
      <c r="N667" s="278">
        <v>0</v>
      </c>
      <c r="O667" s="278">
        <v>0</v>
      </c>
      <c r="P667" s="278">
        <v>0</v>
      </c>
      <c r="Q667" s="278">
        <v>0</v>
      </c>
      <c r="R667" s="278">
        <v>0</v>
      </c>
      <c r="S667" s="278">
        <v>0</v>
      </c>
      <c r="T667" s="278">
        <v>0</v>
      </c>
      <c r="U667" s="278">
        <v>0</v>
      </c>
      <c r="V667" s="278">
        <v>0</v>
      </c>
      <c r="W667" s="278">
        <v>0</v>
      </c>
      <c r="X667" s="278">
        <f>SUBTOTAL(9,E667:W667)</f>
        <v>1</v>
      </c>
      <c r="Y667" s="346"/>
      <c r="Z667" s="224" t="s">
        <v>663</v>
      </c>
      <c r="AA667" s="157" t="s">
        <v>649</v>
      </c>
      <c r="AB667" s="259" t="s">
        <v>2821</v>
      </c>
      <c r="AC667" s="530" t="s">
        <v>3015</v>
      </c>
      <c r="AD667" s="159"/>
    </row>
    <row r="668" spans="1:30" x14ac:dyDescent="0.2">
      <c r="A668" s="397"/>
      <c r="B668" s="397"/>
      <c r="C668" s="398" t="s">
        <v>2862</v>
      </c>
      <c r="D668" s="397" t="s">
        <v>1091</v>
      </c>
      <c r="E668" s="399"/>
      <c r="F668" s="399"/>
      <c r="G668" s="399"/>
      <c r="H668" s="399"/>
      <c r="I668" s="399"/>
      <c r="J668" s="399"/>
      <c r="K668" s="399"/>
      <c r="L668" s="399"/>
      <c r="M668" s="399"/>
      <c r="N668" s="399"/>
      <c r="O668" s="399"/>
      <c r="P668" s="399"/>
      <c r="Q668" s="399"/>
      <c r="R668" s="399"/>
      <c r="S668" s="399"/>
      <c r="T668" s="399"/>
      <c r="U668" s="399"/>
      <c r="V668" s="399"/>
      <c r="W668" s="399"/>
      <c r="X668" s="400">
        <f>SUM(E668:W668)</f>
        <v>0</v>
      </c>
      <c r="Y668" s="346"/>
      <c r="Z668" s="224" t="s">
        <v>663</v>
      </c>
      <c r="AA668" s="157" t="s">
        <v>663</v>
      </c>
      <c r="AB668" s="397"/>
      <c r="AC668" s="530" t="s">
        <v>3015</v>
      </c>
      <c r="AD668" s="159"/>
    </row>
    <row r="669" spans="1:30" x14ac:dyDescent="0.2">
      <c r="A669" s="292" t="s">
        <v>2821</v>
      </c>
      <c r="B669" s="396"/>
      <c r="C669" s="395" t="s">
        <v>2863</v>
      </c>
      <c r="D669" s="396" t="s">
        <v>2386</v>
      </c>
      <c r="E669" s="278">
        <v>0</v>
      </c>
      <c r="F669" s="278">
        <v>0</v>
      </c>
      <c r="G669" s="278">
        <v>0</v>
      </c>
      <c r="H669" s="278">
        <v>1</v>
      </c>
      <c r="I669" s="278">
        <v>0</v>
      </c>
      <c r="J669" s="278">
        <v>0</v>
      </c>
      <c r="K669" s="278">
        <v>0</v>
      </c>
      <c r="L669" s="278">
        <v>0</v>
      </c>
      <c r="M669" s="278">
        <v>0</v>
      </c>
      <c r="N669" s="278">
        <v>0</v>
      </c>
      <c r="O669" s="278">
        <v>0</v>
      </c>
      <c r="P669" s="278">
        <v>0</v>
      </c>
      <c r="Q669" s="278">
        <v>0</v>
      </c>
      <c r="R669" s="278">
        <v>0</v>
      </c>
      <c r="S669" s="278">
        <v>0</v>
      </c>
      <c r="T669" s="278">
        <v>0</v>
      </c>
      <c r="U669" s="278">
        <v>0</v>
      </c>
      <c r="V669" s="278">
        <v>0</v>
      </c>
      <c r="W669" s="278">
        <v>0</v>
      </c>
      <c r="X669" s="278">
        <f>SUBTOTAL(9,E669:W669)</f>
        <v>1</v>
      </c>
      <c r="Y669" s="346"/>
      <c r="Z669" s="224" t="s">
        <v>663</v>
      </c>
      <c r="AA669" s="157" t="s">
        <v>649</v>
      </c>
      <c r="AB669" s="259" t="s">
        <v>2821</v>
      </c>
      <c r="AC669" s="530" t="s">
        <v>3015</v>
      </c>
      <c r="AD669" s="159"/>
    </row>
    <row r="670" spans="1:30" x14ac:dyDescent="0.2">
      <c r="A670" s="259" t="s">
        <v>2821</v>
      </c>
      <c r="B670" s="396"/>
      <c r="C670" s="395" t="s">
        <v>2864</v>
      </c>
      <c r="D670" s="396" t="s">
        <v>2316</v>
      </c>
      <c r="E670" s="278">
        <v>0</v>
      </c>
      <c r="F670" s="278">
        <v>0</v>
      </c>
      <c r="G670" s="278">
        <v>0</v>
      </c>
      <c r="H670" s="278">
        <v>1</v>
      </c>
      <c r="I670" s="278">
        <v>0</v>
      </c>
      <c r="J670" s="278">
        <v>0</v>
      </c>
      <c r="K670" s="278">
        <v>0</v>
      </c>
      <c r="L670" s="278">
        <v>0</v>
      </c>
      <c r="M670" s="278">
        <v>0</v>
      </c>
      <c r="N670" s="278">
        <v>0</v>
      </c>
      <c r="O670" s="278">
        <v>0</v>
      </c>
      <c r="P670" s="278">
        <v>0</v>
      </c>
      <c r="Q670" s="278">
        <v>0</v>
      </c>
      <c r="R670" s="278">
        <v>0</v>
      </c>
      <c r="S670" s="278">
        <v>0</v>
      </c>
      <c r="T670" s="278">
        <v>0</v>
      </c>
      <c r="U670" s="278">
        <v>0</v>
      </c>
      <c r="V670" s="278">
        <v>0</v>
      </c>
      <c r="W670" s="278">
        <v>0</v>
      </c>
      <c r="X670" s="278">
        <f>SUBTOTAL(9,E670:W670)</f>
        <v>1</v>
      </c>
      <c r="Y670" s="346"/>
      <c r="Z670" s="224" t="s">
        <v>663</v>
      </c>
      <c r="AA670" s="157" t="s">
        <v>649</v>
      </c>
      <c r="AB670" s="259" t="s">
        <v>2821</v>
      </c>
      <c r="AC670" s="530" t="s">
        <v>3015</v>
      </c>
      <c r="AD670" s="159"/>
    </row>
    <row r="671" spans="1:30" x14ac:dyDescent="0.2">
      <c r="A671" s="316" t="s">
        <v>2821</v>
      </c>
      <c r="B671" s="396"/>
      <c r="C671" s="395" t="s">
        <v>2865</v>
      </c>
      <c r="D671" s="396" t="s">
        <v>2317</v>
      </c>
      <c r="E671" s="278">
        <v>0</v>
      </c>
      <c r="F671" s="278">
        <v>0</v>
      </c>
      <c r="G671" s="278">
        <v>0</v>
      </c>
      <c r="H671" s="278">
        <v>1</v>
      </c>
      <c r="I671" s="278">
        <v>0</v>
      </c>
      <c r="J671" s="278">
        <v>0</v>
      </c>
      <c r="K671" s="278">
        <v>0</v>
      </c>
      <c r="L671" s="278">
        <v>0</v>
      </c>
      <c r="M671" s="278">
        <v>0</v>
      </c>
      <c r="N671" s="278">
        <v>0</v>
      </c>
      <c r="O671" s="278">
        <v>0</v>
      </c>
      <c r="P671" s="278">
        <v>0</v>
      </c>
      <c r="Q671" s="278">
        <v>0</v>
      </c>
      <c r="R671" s="278">
        <v>0</v>
      </c>
      <c r="S671" s="278">
        <v>0</v>
      </c>
      <c r="T671" s="278">
        <v>0</v>
      </c>
      <c r="U671" s="278">
        <v>0</v>
      </c>
      <c r="V671" s="278">
        <v>0</v>
      </c>
      <c r="W671" s="278">
        <v>0</v>
      </c>
      <c r="X671" s="278">
        <f>SUBTOTAL(9,E671:W671)</f>
        <v>1</v>
      </c>
      <c r="Y671" s="346"/>
      <c r="Z671" s="224" t="s">
        <v>663</v>
      </c>
      <c r="AA671" s="157" t="s">
        <v>649</v>
      </c>
      <c r="AB671" s="259" t="s">
        <v>2821</v>
      </c>
      <c r="AC671" s="530" t="s">
        <v>3015</v>
      </c>
      <c r="AD671" s="159"/>
    </row>
    <row r="672" spans="1:30" x14ac:dyDescent="0.2">
      <c r="A672" s="397"/>
      <c r="B672" s="397"/>
      <c r="C672" s="398" t="s">
        <v>2866</v>
      </c>
      <c r="D672" s="397" t="s">
        <v>2318</v>
      </c>
      <c r="E672" s="401">
        <v>0</v>
      </c>
      <c r="F672" s="401">
        <v>0</v>
      </c>
      <c r="G672" s="401">
        <v>0</v>
      </c>
      <c r="H672" s="401">
        <v>1</v>
      </c>
      <c r="I672" s="401">
        <v>0</v>
      </c>
      <c r="J672" s="401">
        <v>0</v>
      </c>
      <c r="K672" s="401">
        <v>0</v>
      </c>
      <c r="L672" s="401">
        <v>0</v>
      </c>
      <c r="M672" s="401">
        <v>0</v>
      </c>
      <c r="N672" s="401">
        <v>0</v>
      </c>
      <c r="O672" s="401">
        <v>0</v>
      </c>
      <c r="P672" s="401">
        <v>0</v>
      </c>
      <c r="Q672" s="401">
        <v>0</v>
      </c>
      <c r="R672" s="401">
        <v>0</v>
      </c>
      <c r="S672" s="401">
        <v>0</v>
      </c>
      <c r="T672" s="401">
        <v>0</v>
      </c>
      <c r="U672" s="401">
        <v>0</v>
      </c>
      <c r="V672" s="401">
        <v>0</v>
      </c>
      <c r="W672" s="401">
        <v>0</v>
      </c>
      <c r="X672" s="401">
        <f>SUM(E672:W672)</f>
        <v>1</v>
      </c>
      <c r="Y672" s="346"/>
      <c r="Z672" s="224" t="s">
        <v>663</v>
      </c>
      <c r="AA672" s="157" t="s">
        <v>663</v>
      </c>
      <c r="AB672" s="397"/>
      <c r="AC672" s="530" t="s">
        <v>3015</v>
      </c>
      <c r="AD672" s="159"/>
    </row>
    <row r="673" spans="1:30" x14ac:dyDescent="0.2">
      <c r="A673" s="276" t="s">
        <v>2821</v>
      </c>
      <c r="B673" s="396"/>
      <c r="C673" s="395" t="s">
        <v>2867</v>
      </c>
      <c r="D673" s="396" t="s">
        <v>2319</v>
      </c>
      <c r="E673" s="278">
        <v>0</v>
      </c>
      <c r="F673" s="278">
        <v>0</v>
      </c>
      <c r="G673" s="278">
        <v>0</v>
      </c>
      <c r="H673" s="278">
        <v>1</v>
      </c>
      <c r="I673" s="278">
        <v>0</v>
      </c>
      <c r="J673" s="278">
        <v>0</v>
      </c>
      <c r="K673" s="278">
        <v>0</v>
      </c>
      <c r="L673" s="278">
        <v>0</v>
      </c>
      <c r="M673" s="278">
        <v>0</v>
      </c>
      <c r="N673" s="278">
        <v>0</v>
      </c>
      <c r="O673" s="278">
        <v>0</v>
      </c>
      <c r="P673" s="278">
        <v>0</v>
      </c>
      <c r="Q673" s="278">
        <v>0</v>
      </c>
      <c r="R673" s="278">
        <v>0</v>
      </c>
      <c r="S673" s="278">
        <v>0</v>
      </c>
      <c r="T673" s="278">
        <v>0</v>
      </c>
      <c r="U673" s="278">
        <v>0</v>
      </c>
      <c r="V673" s="278">
        <v>0</v>
      </c>
      <c r="W673" s="278">
        <v>0</v>
      </c>
      <c r="X673" s="278">
        <f>SUBTOTAL(9,E673:W673)</f>
        <v>1</v>
      </c>
      <c r="Y673" s="346"/>
      <c r="Z673" s="224" t="s">
        <v>663</v>
      </c>
      <c r="AA673" s="157" t="s">
        <v>649</v>
      </c>
      <c r="AB673" s="259" t="s">
        <v>2821</v>
      </c>
      <c r="AC673" s="530" t="s">
        <v>3015</v>
      </c>
      <c r="AD673" s="159"/>
    </row>
    <row r="674" spans="1:30" x14ac:dyDescent="0.2">
      <c r="A674" s="397"/>
      <c r="B674" s="397"/>
      <c r="C674" s="398" t="s">
        <v>2868</v>
      </c>
      <c r="D674" s="397" t="s">
        <v>448</v>
      </c>
      <c r="E674" s="399"/>
      <c r="F674" s="399"/>
      <c r="G674" s="399"/>
      <c r="H674" s="399"/>
      <c r="I674" s="399"/>
      <c r="J674" s="399"/>
      <c r="K674" s="399"/>
      <c r="L674" s="399"/>
      <c r="M674" s="399"/>
      <c r="N674" s="399"/>
      <c r="O674" s="399"/>
      <c r="P674" s="399"/>
      <c r="Q674" s="399"/>
      <c r="R674" s="399"/>
      <c r="S674" s="399"/>
      <c r="T674" s="399"/>
      <c r="U674" s="399"/>
      <c r="V674" s="399"/>
      <c r="W674" s="399"/>
      <c r="X674" s="400">
        <f>SUM(E674:W674)</f>
        <v>0</v>
      </c>
      <c r="Y674" s="346"/>
      <c r="Z674" s="224" t="s">
        <v>663</v>
      </c>
      <c r="AA674" s="157" t="s">
        <v>663</v>
      </c>
      <c r="AB674" s="397"/>
      <c r="AC674" s="530" t="s">
        <v>3015</v>
      </c>
      <c r="AD674" s="159"/>
    </row>
    <row r="675" spans="1:30" x14ac:dyDescent="0.2">
      <c r="A675" s="276" t="s">
        <v>2821</v>
      </c>
      <c r="B675" s="396"/>
      <c r="C675" s="402" t="s">
        <v>2869</v>
      </c>
      <c r="D675" s="396" t="s">
        <v>2320</v>
      </c>
      <c r="E675" s="278">
        <v>0</v>
      </c>
      <c r="F675" s="278">
        <v>0</v>
      </c>
      <c r="G675" s="278">
        <v>0</v>
      </c>
      <c r="H675" s="278">
        <v>1</v>
      </c>
      <c r="I675" s="278">
        <v>0</v>
      </c>
      <c r="J675" s="278">
        <v>0</v>
      </c>
      <c r="K675" s="278">
        <v>0</v>
      </c>
      <c r="L675" s="278">
        <v>0</v>
      </c>
      <c r="M675" s="278">
        <v>0</v>
      </c>
      <c r="N675" s="278">
        <v>0</v>
      </c>
      <c r="O675" s="278">
        <v>0</v>
      </c>
      <c r="P675" s="278">
        <v>0</v>
      </c>
      <c r="Q675" s="278">
        <v>0</v>
      </c>
      <c r="R675" s="278">
        <v>0</v>
      </c>
      <c r="S675" s="278">
        <v>0</v>
      </c>
      <c r="T675" s="278">
        <v>0</v>
      </c>
      <c r="U675" s="278">
        <v>0</v>
      </c>
      <c r="V675" s="278">
        <v>0</v>
      </c>
      <c r="W675" s="278">
        <v>0</v>
      </c>
      <c r="X675" s="278">
        <f>SUBTOTAL(9,E675:W675)</f>
        <v>1</v>
      </c>
      <c r="Y675" s="346"/>
      <c r="Z675" s="224" t="s">
        <v>663</v>
      </c>
      <c r="AA675" s="157" t="s">
        <v>649</v>
      </c>
      <c r="AB675" s="259" t="s">
        <v>2821</v>
      </c>
      <c r="AC675" s="530" t="s">
        <v>3015</v>
      </c>
      <c r="AD675" s="159"/>
    </row>
    <row r="676" spans="1:30" x14ac:dyDescent="0.2">
      <c r="A676" s="397"/>
      <c r="B676" s="397"/>
      <c r="C676" s="398" t="s">
        <v>2870</v>
      </c>
      <c r="D676" s="397" t="s">
        <v>1092</v>
      </c>
      <c r="E676" s="399"/>
      <c r="F676" s="399"/>
      <c r="G676" s="399"/>
      <c r="H676" s="399"/>
      <c r="I676" s="399"/>
      <c r="J676" s="399"/>
      <c r="K676" s="399"/>
      <c r="L676" s="399"/>
      <c r="M676" s="399"/>
      <c r="N676" s="399"/>
      <c r="O676" s="399"/>
      <c r="P676" s="399"/>
      <c r="Q676" s="399"/>
      <c r="R676" s="399"/>
      <c r="S676" s="399"/>
      <c r="T676" s="399"/>
      <c r="U676" s="399"/>
      <c r="V676" s="399"/>
      <c r="W676" s="399"/>
      <c r="X676" s="400">
        <f>SUM(E676:W676)</f>
        <v>0</v>
      </c>
      <c r="Y676" s="346"/>
      <c r="Z676" s="224" t="s">
        <v>663</v>
      </c>
      <c r="AA676" s="157" t="s">
        <v>663</v>
      </c>
      <c r="AB676" s="397"/>
      <c r="AC676" s="530" t="s">
        <v>3015</v>
      </c>
      <c r="AD676" s="159"/>
    </row>
    <row r="677" spans="1:30" x14ac:dyDescent="0.2">
      <c r="A677" s="397"/>
      <c r="B677" s="397"/>
      <c r="C677" s="398" t="s">
        <v>2871</v>
      </c>
      <c r="D677" s="397" t="s">
        <v>1093</v>
      </c>
      <c r="E677" s="399"/>
      <c r="F677" s="399"/>
      <c r="G677" s="399"/>
      <c r="H677" s="399"/>
      <c r="I677" s="399"/>
      <c r="J677" s="399"/>
      <c r="K677" s="399"/>
      <c r="L677" s="399"/>
      <c r="M677" s="399"/>
      <c r="N677" s="399"/>
      <c r="O677" s="399"/>
      <c r="P677" s="399"/>
      <c r="Q677" s="399"/>
      <c r="R677" s="399"/>
      <c r="S677" s="399"/>
      <c r="T677" s="399"/>
      <c r="U677" s="399"/>
      <c r="V677" s="399"/>
      <c r="W677" s="399"/>
      <c r="X677" s="400">
        <f>SUM(E677:W677)</f>
        <v>0</v>
      </c>
      <c r="Y677" s="346"/>
      <c r="Z677" s="224" t="s">
        <v>663</v>
      </c>
      <c r="AA677" s="157" t="s">
        <v>663</v>
      </c>
      <c r="AB677" s="397"/>
      <c r="AC677" s="530" t="s">
        <v>3015</v>
      </c>
      <c r="AD677" s="159"/>
    </row>
    <row r="678" spans="1:30" x14ac:dyDescent="0.2">
      <c r="A678" s="397"/>
      <c r="B678" s="397"/>
      <c r="C678" s="398" t="s">
        <v>2872</v>
      </c>
      <c r="D678" s="397" t="s">
        <v>1094</v>
      </c>
      <c r="E678" s="399"/>
      <c r="F678" s="399"/>
      <c r="G678" s="399"/>
      <c r="H678" s="399"/>
      <c r="I678" s="399"/>
      <c r="J678" s="399"/>
      <c r="K678" s="399"/>
      <c r="L678" s="399"/>
      <c r="M678" s="399"/>
      <c r="N678" s="399"/>
      <c r="O678" s="399"/>
      <c r="P678" s="399"/>
      <c r="Q678" s="399"/>
      <c r="R678" s="399"/>
      <c r="S678" s="399"/>
      <c r="T678" s="399"/>
      <c r="U678" s="399"/>
      <c r="V678" s="399"/>
      <c r="W678" s="399"/>
      <c r="X678" s="400">
        <f>SUM(E678:W678)</f>
        <v>0</v>
      </c>
      <c r="Y678" s="346"/>
      <c r="Z678" s="224" t="s">
        <v>663</v>
      </c>
      <c r="AA678" s="157" t="s">
        <v>663</v>
      </c>
      <c r="AB678" s="397"/>
      <c r="AC678" s="530" t="s">
        <v>3015</v>
      </c>
      <c r="AD678" s="159"/>
    </row>
    <row r="679" spans="1:30" x14ac:dyDescent="0.2">
      <c r="A679" s="293" t="s">
        <v>2597</v>
      </c>
      <c r="B679" s="403"/>
      <c r="C679" s="404" t="s">
        <v>2243</v>
      </c>
      <c r="D679" s="403" t="s">
        <v>2388</v>
      </c>
      <c r="E679" s="405"/>
      <c r="F679" s="405"/>
      <c r="G679" s="405"/>
      <c r="H679" s="405"/>
      <c r="I679" s="405"/>
      <c r="J679" s="405"/>
      <c r="K679" s="405">
        <v>1</v>
      </c>
      <c r="L679" s="405"/>
      <c r="M679" s="405"/>
      <c r="N679" s="405"/>
      <c r="O679" s="405"/>
      <c r="P679" s="405"/>
      <c r="Q679" s="405"/>
      <c r="R679" s="405"/>
      <c r="S679" s="405"/>
      <c r="T679" s="405"/>
      <c r="U679" s="405"/>
      <c r="V679" s="405"/>
      <c r="W679" s="405"/>
      <c r="X679" s="405">
        <f>SUM(E679:W679)</f>
        <v>1</v>
      </c>
      <c r="Y679" s="346"/>
      <c r="Z679" s="224" t="s">
        <v>663</v>
      </c>
      <c r="AA679" s="157" t="s">
        <v>663</v>
      </c>
      <c r="AB679" s="293" t="s">
        <v>2597</v>
      </c>
      <c r="AC679" s="530" t="s">
        <v>3015</v>
      </c>
      <c r="AD679" s="159"/>
    </row>
    <row r="680" spans="1:30" x14ac:dyDescent="0.2">
      <c r="A680" s="292" t="s">
        <v>2821</v>
      </c>
      <c r="B680" s="396"/>
      <c r="C680" s="395" t="s">
        <v>2244</v>
      </c>
      <c r="D680" s="396" t="s">
        <v>458</v>
      </c>
      <c r="E680" s="278">
        <v>0</v>
      </c>
      <c r="F680" s="278">
        <v>0</v>
      </c>
      <c r="G680" s="278">
        <v>0</v>
      </c>
      <c r="H680" s="278">
        <v>1</v>
      </c>
      <c r="I680" s="278">
        <v>0</v>
      </c>
      <c r="J680" s="278">
        <v>0</v>
      </c>
      <c r="K680" s="278">
        <v>0</v>
      </c>
      <c r="L680" s="278">
        <v>0</v>
      </c>
      <c r="M680" s="278">
        <v>0</v>
      </c>
      <c r="N680" s="278">
        <v>0</v>
      </c>
      <c r="O680" s="278">
        <v>0</v>
      </c>
      <c r="P680" s="278">
        <v>0</v>
      </c>
      <c r="Q680" s="278">
        <v>0</v>
      </c>
      <c r="R680" s="278">
        <v>0</v>
      </c>
      <c r="S680" s="278">
        <v>0</v>
      </c>
      <c r="T680" s="278">
        <v>0</v>
      </c>
      <c r="U680" s="278">
        <v>0</v>
      </c>
      <c r="V680" s="278">
        <v>0</v>
      </c>
      <c r="W680" s="278">
        <v>0</v>
      </c>
      <c r="X680" s="278">
        <f t="shared" ref="X680:X688" si="23">SUBTOTAL(9,E680:W680)</f>
        <v>1</v>
      </c>
      <c r="Y680" s="346"/>
      <c r="Z680" s="224" t="s">
        <v>663</v>
      </c>
      <c r="AA680" s="157" t="s">
        <v>649</v>
      </c>
      <c r="AB680" s="259" t="s">
        <v>2821</v>
      </c>
      <c r="AC680" s="530" t="s">
        <v>3015</v>
      </c>
      <c r="AD680" s="159"/>
    </row>
    <row r="681" spans="1:30" x14ac:dyDescent="0.2">
      <c r="A681" s="259" t="s">
        <v>2821</v>
      </c>
      <c r="B681" s="396"/>
      <c r="C681" s="395" t="s">
        <v>2245</v>
      </c>
      <c r="D681" s="396" t="s">
        <v>460</v>
      </c>
      <c r="E681" s="278">
        <v>0</v>
      </c>
      <c r="F681" s="278">
        <v>0</v>
      </c>
      <c r="G681" s="278">
        <v>0</v>
      </c>
      <c r="H681" s="278">
        <v>1</v>
      </c>
      <c r="I681" s="278">
        <v>0</v>
      </c>
      <c r="J681" s="278">
        <v>0</v>
      </c>
      <c r="K681" s="278">
        <v>0</v>
      </c>
      <c r="L681" s="278">
        <v>0</v>
      </c>
      <c r="M681" s="278">
        <v>0</v>
      </c>
      <c r="N681" s="278">
        <v>0</v>
      </c>
      <c r="O681" s="278">
        <v>0</v>
      </c>
      <c r="P681" s="278">
        <v>0</v>
      </c>
      <c r="Q681" s="278">
        <v>0</v>
      </c>
      <c r="R681" s="278">
        <v>0</v>
      </c>
      <c r="S681" s="278">
        <v>0</v>
      </c>
      <c r="T681" s="278">
        <v>0</v>
      </c>
      <c r="U681" s="278">
        <v>0</v>
      </c>
      <c r="V681" s="278">
        <v>0</v>
      </c>
      <c r="W681" s="278">
        <v>0</v>
      </c>
      <c r="X681" s="278">
        <f t="shared" si="23"/>
        <v>1</v>
      </c>
      <c r="Y681" s="346"/>
      <c r="Z681" s="224" t="s">
        <v>663</v>
      </c>
      <c r="AA681" s="157" t="s">
        <v>649</v>
      </c>
      <c r="AB681" s="259" t="s">
        <v>2821</v>
      </c>
      <c r="AC681" s="530" t="s">
        <v>3015</v>
      </c>
      <c r="AD681" s="159"/>
    </row>
    <row r="682" spans="1:30" x14ac:dyDescent="0.2">
      <c r="A682" s="259" t="s">
        <v>2821</v>
      </c>
      <c r="B682" s="396"/>
      <c r="C682" s="395" t="s">
        <v>2246</v>
      </c>
      <c r="D682" s="396" t="s">
        <v>464</v>
      </c>
      <c r="E682" s="278">
        <v>0</v>
      </c>
      <c r="F682" s="278">
        <v>0</v>
      </c>
      <c r="G682" s="278">
        <v>0</v>
      </c>
      <c r="H682" s="278">
        <v>1</v>
      </c>
      <c r="I682" s="278">
        <v>0</v>
      </c>
      <c r="J682" s="278">
        <v>0</v>
      </c>
      <c r="K682" s="278">
        <v>0</v>
      </c>
      <c r="L682" s="278">
        <v>0</v>
      </c>
      <c r="M682" s="278">
        <v>0</v>
      </c>
      <c r="N682" s="278">
        <v>0</v>
      </c>
      <c r="O682" s="278">
        <v>0</v>
      </c>
      <c r="P682" s="278">
        <v>0</v>
      </c>
      <c r="Q682" s="278">
        <v>0</v>
      </c>
      <c r="R682" s="278">
        <v>0</v>
      </c>
      <c r="S682" s="278">
        <v>0</v>
      </c>
      <c r="T682" s="278">
        <v>0</v>
      </c>
      <c r="U682" s="278">
        <v>0</v>
      </c>
      <c r="V682" s="278">
        <v>0</v>
      </c>
      <c r="W682" s="278">
        <v>0</v>
      </c>
      <c r="X682" s="278">
        <f t="shared" si="23"/>
        <v>1</v>
      </c>
      <c r="Y682" s="346"/>
      <c r="Z682" s="224" t="s">
        <v>663</v>
      </c>
      <c r="AA682" s="157" t="s">
        <v>649</v>
      </c>
      <c r="AB682" s="259" t="s">
        <v>2821</v>
      </c>
      <c r="AC682" s="530" t="s">
        <v>3015</v>
      </c>
      <c r="AD682" s="159"/>
    </row>
    <row r="683" spans="1:30" x14ac:dyDescent="0.2">
      <c r="A683" s="259" t="s">
        <v>2821</v>
      </c>
      <c r="B683" s="396"/>
      <c r="C683" s="395" t="s">
        <v>2247</v>
      </c>
      <c r="D683" s="396" t="s">
        <v>466</v>
      </c>
      <c r="E683" s="278">
        <v>0</v>
      </c>
      <c r="F683" s="278">
        <v>0</v>
      </c>
      <c r="G683" s="278">
        <v>0</v>
      </c>
      <c r="H683" s="278">
        <f>1*0</f>
        <v>0</v>
      </c>
      <c r="I683" s="278">
        <v>0</v>
      </c>
      <c r="J683" s="278">
        <v>0</v>
      </c>
      <c r="K683" s="418">
        <v>1</v>
      </c>
      <c r="L683" s="278">
        <v>0</v>
      </c>
      <c r="M683" s="278">
        <v>0</v>
      </c>
      <c r="N683" s="278">
        <v>0</v>
      </c>
      <c r="O683" s="278">
        <v>0</v>
      </c>
      <c r="P683" s="278">
        <v>0</v>
      </c>
      <c r="Q683" s="278">
        <v>0</v>
      </c>
      <c r="R683" s="278">
        <v>0</v>
      </c>
      <c r="S683" s="278">
        <v>0</v>
      </c>
      <c r="T683" s="278">
        <v>0</v>
      </c>
      <c r="U683" s="278">
        <v>0</v>
      </c>
      <c r="V683" s="278">
        <v>0</v>
      </c>
      <c r="W683" s="278">
        <v>0</v>
      </c>
      <c r="X683" s="278">
        <f t="shared" si="23"/>
        <v>1</v>
      </c>
      <c r="Y683" s="346"/>
      <c r="Z683" s="224" t="s">
        <v>663</v>
      </c>
      <c r="AA683" s="157" t="s">
        <v>649</v>
      </c>
      <c r="AB683" s="259" t="s">
        <v>2821</v>
      </c>
      <c r="AC683" s="530" t="s">
        <v>3015</v>
      </c>
      <c r="AD683" s="159"/>
    </row>
    <row r="684" spans="1:30" x14ac:dyDescent="0.2">
      <c r="A684" s="259" t="s">
        <v>2821</v>
      </c>
      <c r="B684" s="396"/>
      <c r="C684" s="395" t="s">
        <v>2248</v>
      </c>
      <c r="D684" s="396" t="s">
        <v>2321</v>
      </c>
      <c r="E684" s="278">
        <v>0</v>
      </c>
      <c r="F684" s="278">
        <v>0</v>
      </c>
      <c r="G684" s="278">
        <v>0</v>
      </c>
      <c r="H684" s="278">
        <v>1</v>
      </c>
      <c r="I684" s="278">
        <v>0</v>
      </c>
      <c r="J684" s="278">
        <v>0</v>
      </c>
      <c r="K684" s="278">
        <v>0</v>
      </c>
      <c r="L684" s="278">
        <v>0</v>
      </c>
      <c r="M684" s="278">
        <v>0</v>
      </c>
      <c r="N684" s="278">
        <v>0</v>
      </c>
      <c r="O684" s="278">
        <v>0</v>
      </c>
      <c r="P684" s="278">
        <v>0</v>
      </c>
      <c r="Q684" s="278">
        <v>0</v>
      </c>
      <c r="R684" s="278">
        <v>0</v>
      </c>
      <c r="S684" s="278">
        <v>0</v>
      </c>
      <c r="T684" s="278">
        <v>0</v>
      </c>
      <c r="U684" s="278">
        <v>0</v>
      </c>
      <c r="V684" s="278">
        <v>0</v>
      </c>
      <c r="W684" s="278">
        <v>0</v>
      </c>
      <c r="X684" s="278">
        <f t="shared" si="23"/>
        <v>1</v>
      </c>
      <c r="Y684" s="346"/>
      <c r="Z684" s="224" t="s">
        <v>663</v>
      </c>
      <c r="AA684" s="157" t="s">
        <v>649</v>
      </c>
      <c r="AB684" s="259" t="s">
        <v>2821</v>
      </c>
      <c r="AC684" s="530" t="s">
        <v>3015</v>
      </c>
      <c r="AD684" s="159"/>
    </row>
    <row r="685" spans="1:30" x14ac:dyDescent="0.2">
      <c r="A685" s="259" t="s">
        <v>2821</v>
      </c>
      <c r="B685" s="396"/>
      <c r="C685" s="395" t="s">
        <v>2249</v>
      </c>
      <c r="D685" s="396" t="s">
        <v>471</v>
      </c>
      <c r="E685" s="278">
        <v>0</v>
      </c>
      <c r="F685" s="278">
        <v>0</v>
      </c>
      <c r="G685" s="278">
        <v>0</v>
      </c>
      <c r="H685" s="278">
        <v>1</v>
      </c>
      <c r="I685" s="278">
        <v>0</v>
      </c>
      <c r="J685" s="278">
        <v>0</v>
      </c>
      <c r="K685" s="278">
        <v>0</v>
      </c>
      <c r="L685" s="278">
        <v>0</v>
      </c>
      <c r="M685" s="278">
        <v>0</v>
      </c>
      <c r="N685" s="278">
        <v>0</v>
      </c>
      <c r="O685" s="278">
        <v>0</v>
      </c>
      <c r="P685" s="278">
        <v>0</v>
      </c>
      <c r="Q685" s="278">
        <v>0</v>
      </c>
      <c r="R685" s="278">
        <v>0</v>
      </c>
      <c r="S685" s="278">
        <v>0</v>
      </c>
      <c r="T685" s="278">
        <v>0</v>
      </c>
      <c r="U685" s="278">
        <v>0</v>
      </c>
      <c r="V685" s="278">
        <v>0</v>
      </c>
      <c r="W685" s="278">
        <v>0</v>
      </c>
      <c r="X685" s="278">
        <f t="shared" si="23"/>
        <v>1</v>
      </c>
      <c r="Y685" s="346"/>
      <c r="Z685" s="224" t="s">
        <v>663</v>
      </c>
      <c r="AA685" s="157" t="s">
        <v>649</v>
      </c>
      <c r="AB685" s="259" t="s">
        <v>2821</v>
      </c>
      <c r="AC685" s="530" t="s">
        <v>3015</v>
      </c>
      <c r="AD685" s="159"/>
    </row>
    <row r="686" spans="1:30" x14ac:dyDescent="0.2">
      <c r="A686" s="259" t="s">
        <v>2821</v>
      </c>
      <c r="B686" s="396"/>
      <c r="C686" s="395" t="s">
        <v>2250</v>
      </c>
      <c r="D686" s="396" t="s">
        <v>2322</v>
      </c>
      <c r="E686" s="278">
        <v>0</v>
      </c>
      <c r="F686" s="278">
        <v>0</v>
      </c>
      <c r="G686" s="278">
        <v>0</v>
      </c>
      <c r="H686" s="278">
        <v>1</v>
      </c>
      <c r="I686" s="278">
        <v>0</v>
      </c>
      <c r="J686" s="278">
        <v>0</v>
      </c>
      <c r="K686" s="278">
        <v>0</v>
      </c>
      <c r="L686" s="278">
        <v>0</v>
      </c>
      <c r="M686" s="278">
        <v>0</v>
      </c>
      <c r="N686" s="278">
        <v>0</v>
      </c>
      <c r="O686" s="278">
        <v>0</v>
      </c>
      <c r="P686" s="278">
        <v>0</v>
      </c>
      <c r="Q686" s="278">
        <v>0</v>
      </c>
      <c r="R686" s="278">
        <v>0</v>
      </c>
      <c r="S686" s="278">
        <v>0</v>
      </c>
      <c r="T686" s="278">
        <v>0</v>
      </c>
      <c r="U686" s="278">
        <v>0</v>
      </c>
      <c r="V686" s="278">
        <v>0</v>
      </c>
      <c r="W686" s="278">
        <v>0</v>
      </c>
      <c r="X686" s="278">
        <f t="shared" si="23"/>
        <v>1</v>
      </c>
      <c r="Y686" s="346"/>
      <c r="Z686" s="224" t="s">
        <v>663</v>
      </c>
      <c r="AA686" s="157" t="s">
        <v>649</v>
      </c>
      <c r="AB686" s="259" t="s">
        <v>2821</v>
      </c>
      <c r="AC686" s="530" t="s">
        <v>3015</v>
      </c>
      <c r="AD686" s="159"/>
    </row>
    <row r="687" spans="1:30" x14ac:dyDescent="0.2">
      <c r="A687" s="259" t="s">
        <v>2821</v>
      </c>
      <c r="B687" s="396"/>
      <c r="C687" s="395" t="s">
        <v>2873</v>
      </c>
      <c r="D687" s="396" t="s">
        <v>474</v>
      </c>
      <c r="E687" s="278">
        <v>0</v>
      </c>
      <c r="F687" s="278">
        <v>0</v>
      </c>
      <c r="G687" s="278">
        <v>0</v>
      </c>
      <c r="H687" s="278">
        <v>1</v>
      </c>
      <c r="I687" s="278">
        <v>0</v>
      </c>
      <c r="J687" s="278">
        <v>0</v>
      </c>
      <c r="K687" s="278">
        <v>0</v>
      </c>
      <c r="L687" s="278">
        <v>0</v>
      </c>
      <c r="M687" s="278">
        <v>0</v>
      </c>
      <c r="N687" s="278">
        <v>0</v>
      </c>
      <c r="O687" s="278">
        <v>0</v>
      </c>
      <c r="P687" s="278">
        <v>0</v>
      </c>
      <c r="Q687" s="278">
        <v>0</v>
      </c>
      <c r="R687" s="278">
        <v>0</v>
      </c>
      <c r="S687" s="278">
        <v>0</v>
      </c>
      <c r="T687" s="278">
        <v>0</v>
      </c>
      <c r="U687" s="278">
        <v>0</v>
      </c>
      <c r="V687" s="278">
        <v>0</v>
      </c>
      <c r="W687" s="278">
        <v>0</v>
      </c>
      <c r="X687" s="278">
        <f t="shared" si="23"/>
        <v>1</v>
      </c>
      <c r="Y687" s="346"/>
      <c r="Z687" s="224" t="s">
        <v>663</v>
      </c>
      <c r="AA687" s="157" t="s">
        <v>649</v>
      </c>
      <c r="AB687" s="259" t="s">
        <v>2821</v>
      </c>
      <c r="AC687" s="530" t="s">
        <v>3015</v>
      </c>
      <c r="AD687" s="159"/>
    </row>
    <row r="688" spans="1:30" x14ac:dyDescent="0.2">
      <c r="A688" s="316" t="s">
        <v>2821</v>
      </c>
      <c r="B688" s="396"/>
      <c r="C688" s="395" t="s">
        <v>2251</v>
      </c>
      <c r="D688" s="396" t="s">
        <v>2323</v>
      </c>
      <c r="E688" s="278">
        <v>0</v>
      </c>
      <c r="F688" s="278">
        <v>0</v>
      </c>
      <c r="G688" s="278">
        <v>0</v>
      </c>
      <c r="H688" s="278">
        <v>1</v>
      </c>
      <c r="I688" s="278">
        <v>0</v>
      </c>
      <c r="J688" s="278">
        <v>0</v>
      </c>
      <c r="K688" s="278">
        <v>0</v>
      </c>
      <c r="L688" s="278">
        <v>0</v>
      </c>
      <c r="M688" s="278">
        <v>0</v>
      </c>
      <c r="N688" s="278">
        <v>0</v>
      </c>
      <c r="O688" s="278">
        <v>0</v>
      </c>
      <c r="P688" s="278">
        <v>0</v>
      </c>
      <c r="Q688" s="278">
        <v>0</v>
      </c>
      <c r="R688" s="278">
        <v>0</v>
      </c>
      <c r="S688" s="278">
        <v>0</v>
      </c>
      <c r="T688" s="278">
        <v>0</v>
      </c>
      <c r="U688" s="278">
        <v>0</v>
      </c>
      <c r="V688" s="278">
        <v>0</v>
      </c>
      <c r="W688" s="278">
        <v>0</v>
      </c>
      <c r="X688" s="278">
        <f t="shared" si="23"/>
        <v>1</v>
      </c>
      <c r="Y688" s="346"/>
      <c r="Z688" s="224" t="s">
        <v>663</v>
      </c>
      <c r="AA688" s="157" t="s">
        <v>649</v>
      </c>
      <c r="AB688" s="259" t="s">
        <v>2821</v>
      </c>
      <c r="AC688" s="530" t="s">
        <v>3015</v>
      </c>
      <c r="AD688" s="159"/>
    </row>
    <row r="689" spans="1:30" x14ac:dyDescent="0.2">
      <c r="A689" s="397"/>
      <c r="B689" s="397"/>
      <c r="C689" s="398" t="s">
        <v>2874</v>
      </c>
      <c r="D689" s="397" t="s">
        <v>2314</v>
      </c>
      <c r="E689" s="401">
        <v>0</v>
      </c>
      <c r="F689" s="401">
        <v>0</v>
      </c>
      <c r="G689" s="401">
        <v>0</v>
      </c>
      <c r="H689" s="401">
        <v>1</v>
      </c>
      <c r="I689" s="401">
        <v>0</v>
      </c>
      <c r="J689" s="401">
        <v>0</v>
      </c>
      <c r="K689" s="401">
        <v>0</v>
      </c>
      <c r="L689" s="401">
        <v>0</v>
      </c>
      <c r="M689" s="401">
        <v>0</v>
      </c>
      <c r="N689" s="401">
        <v>0</v>
      </c>
      <c r="O689" s="401">
        <v>0</v>
      </c>
      <c r="P689" s="401">
        <v>0</v>
      </c>
      <c r="Q689" s="401">
        <v>0</v>
      </c>
      <c r="R689" s="401">
        <v>0</v>
      </c>
      <c r="S689" s="401">
        <v>0</v>
      </c>
      <c r="T689" s="401">
        <v>0</v>
      </c>
      <c r="U689" s="401">
        <v>0</v>
      </c>
      <c r="V689" s="401">
        <v>0</v>
      </c>
      <c r="W689" s="401">
        <v>0</v>
      </c>
      <c r="X689" s="401">
        <f>SUM(E689:W689)</f>
        <v>1</v>
      </c>
      <c r="Y689" s="346"/>
      <c r="Z689" s="224" t="s">
        <v>663</v>
      </c>
      <c r="AA689" s="157" t="s">
        <v>663</v>
      </c>
      <c r="AB689" s="397"/>
      <c r="AC689" s="530" t="s">
        <v>3015</v>
      </c>
      <c r="AD689" s="159"/>
    </row>
    <row r="690" spans="1:30" x14ac:dyDescent="0.2">
      <c r="A690" s="276" t="s">
        <v>2821</v>
      </c>
      <c r="B690" s="396"/>
      <c r="C690" s="395" t="s">
        <v>2252</v>
      </c>
      <c r="D690" s="396" t="s">
        <v>480</v>
      </c>
      <c r="E690" s="278">
        <v>0</v>
      </c>
      <c r="F690" s="278">
        <v>0</v>
      </c>
      <c r="G690" s="278">
        <v>0</v>
      </c>
      <c r="H690" s="278">
        <v>1</v>
      </c>
      <c r="I690" s="278">
        <v>0</v>
      </c>
      <c r="J690" s="278">
        <v>0</v>
      </c>
      <c r="K690" s="278">
        <v>0</v>
      </c>
      <c r="L690" s="278">
        <v>0</v>
      </c>
      <c r="M690" s="278">
        <v>0</v>
      </c>
      <c r="N690" s="278">
        <v>0</v>
      </c>
      <c r="O690" s="278">
        <v>0</v>
      </c>
      <c r="P690" s="278">
        <v>0</v>
      </c>
      <c r="Q690" s="278">
        <v>0</v>
      </c>
      <c r="R690" s="278">
        <v>0</v>
      </c>
      <c r="S690" s="278">
        <v>0</v>
      </c>
      <c r="T690" s="278">
        <v>0</v>
      </c>
      <c r="U690" s="278">
        <v>0</v>
      </c>
      <c r="V690" s="278">
        <v>0</v>
      </c>
      <c r="W690" s="278">
        <v>0</v>
      </c>
      <c r="X690" s="278">
        <f>SUBTOTAL(9,E690:W690)</f>
        <v>1</v>
      </c>
      <c r="Y690" s="346"/>
      <c r="Z690" s="224" t="s">
        <v>663</v>
      </c>
      <c r="AA690" s="157" t="s">
        <v>649</v>
      </c>
      <c r="AB690" s="259" t="s">
        <v>2821</v>
      </c>
      <c r="AC690" s="530" t="s">
        <v>3015</v>
      </c>
      <c r="AD690" s="159"/>
    </row>
    <row r="691" spans="1:30" x14ac:dyDescent="0.2">
      <c r="A691" s="397"/>
      <c r="B691" s="397"/>
      <c r="C691" s="398" t="s">
        <v>2875</v>
      </c>
      <c r="D691" s="397" t="s">
        <v>1095</v>
      </c>
      <c r="E691" s="399"/>
      <c r="F691" s="399"/>
      <c r="G691" s="399"/>
      <c r="H691" s="399"/>
      <c r="I691" s="399"/>
      <c r="J691" s="399"/>
      <c r="K691" s="399"/>
      <c r="L691" s="399"/>
      <c r="M691" s="399"/>
      <c r="N691" s="399"/>
      <c r="O691" s="399"/>
      <c r="P691" s="399"/>
      <c r="Q691" s="399"/>
      <c r="R691" s="399"/>
      <c r="S691" s="399"/>
      <c r="T691" s="399"/>
      <c r="U691" s="399"/>
      <c r="V691" s="399"/>
      <c r="W691" s="399"/>
      <c r="X691" s="400">
        <f>SUM(E691:W691)</f>
        <v>0</v>
      </c>
      <c r="Y691" s="346"/>
      <c r="Z691" s="224" t="s">
        <v>663</v>
      </c>
      <c r="AA691" s="157" t="s">
        <v>663</v>
      </c>
      <c r="AB691" s="397"/>
      <c r="AC691" s="530" t="s">
        <v>3015</v>
      </c>
      <c r="AD691" s="159"/>
    </row>
    <row r="692" spans="1:30" x14ac:dyDescent="0.2">
      <c r="A692" s="292" t="s">
        <v>2821</v>
      </c>
      <c r="B692" s="396"/>
      <c r="C692" s="395" t="s">
        <v>2876</v>
      </c>
      <c r="D692" s="396" t="s">
        <v>482</v>
      </c>
      <c r="E692" s="278">
        <v>0</v>
      </c>
      <c r="F692" s="278">
        <v>0</v>
      </c>
      <c r="G692" s="278">
        <v>0</v>
      </c>
      <c r="H692" s="278">
        <v>0</v>
      </c>
      <c r="I692" s="278">
        <v>0</v>
      </c>
      <c r="J692" s="278">
        <v>0</v>
      </c>
      <c r="K692" s="278">
        <v>0</v>
      </c>
      <c r="L692" s="278">
        <v>0</v>
      </c>
      <c r="M692" s="278">
        <v>0</v>
      </c>
      <c r="N692" s="278">
        <v>1</v>
      </c>
      <c r="O692" s="278">
        <v>0</v>
      </c>
      <c r="P692" s="278">
        <v>0</v>
      </c>
      <c r="Q692" s="278">
        <v>0</v>
      </c>
      <c r="R692" s="278">
        <v>0</v>
      </c>
      <c r="S692" s="278">
        <v>0</v>
      </c>
      <c r="T692" s="278">
        <v>0</v>
      </c>
      <c r="U692" s="278">
        <v>0</v>
      </c>
      <c r="V692" s="278">
        <v>0</v>
      </c>
      <c r="W692" s="278">
        <v>0</v>
      </c>
      <c r="X692" s="278">
        <f t="shared" ref="X692:X698" si="24">SUBTOTAL(9,E692:W692)</f>
        <v>1</v>
      </c>
      <c r="Y692" s="346"/>
      <c r="Z692" s="224" t="s">
        <v>663</v>
      </c>
      <c r="AA692" s="157" t="s">
        <v>649</v>
      </c>
      <c r="AB692" s="259" t="s">
        <v>2821</v>
      </c>
      <c r="AC692" s="530" t="s">
        <v>3015</v>
      </c>
      <c r="AD692" s="159"/>
    </row>
    <row r="693" spans="1:30" x14ac:dyDescent="0.2">
      <c r="A693" s="259" t="s">
        <v>2821</v>
      </c>
      <c r="B693" s="396"/>
      <c r="C693" s="395" t="s">
        <v>2877</v>
      </c>
      <c r="D693" s="396" t="s">
        <v>484</v>
      </c>
      <c r="E693" s="278">
        <v>0</v>
      </c>
      <c r="F693" s="278">
        <v>0</v>
      </c>
      <c r="G693" s="278">
        <v>0</v>
      </c>
      <c r="H693" s="278">
        <v>0</v>
      </c>
      <c r="I693" s="278">
        <v>0</v>
      </c>
      <c r="J693" s="278">
        <v>0</v>
      </c>
      <c r="K693" s="278">
        <v>0</v>
      </c>
      <c r="L693" s="278">
        <v>0</v>
      </c>
      <c r="M693" s="278">
        <v>0</v>
      </c>
      <c r="N693" s="278">
        <v>1</v>
      </c>
      <c r="O693" s="278">
        <v>0</v>
      </c>
      <c r="P693" s="278">
        <v>0</v>
      </c>
      <c r="Q693" s="278">
        <v>0</v>
      </c>
      <c r="R693" s="278">
        <v>0</v>
      </c>
      <c r="S693" s="278">
        <v>0</v>
      </c>
      <c r="T693" s="278">
        <v>0</v>
      </c>
      <c r="U693" s="278">
        <v>0</v>
      </c>
      <c r="V693" s="278">
        <v>0</v>
      </c>
      <c r="W693" s="278">
        <v>0</v>
      </c>
      <c r="X693" s="278">
        <f t="shared" si="24"/>
        <v>1</v>
      </c>
      <c r="Y693" s="346"/>
      <c r="Z693" s="224" t="s">
        <v>663</v>
      </c>
      <c r="AA693" s="157" t="s">
        <v>649</v>
      </c>
      <c r="AB693" s="259" t="s">
        <v>2821</v>
      </c>
      <c r="AC693" s="530" t="s">
        <v>3015</v>
      </c>
      <c r="AD693" s="159"/>
    </row>
    <row r="694" spans="1:30" x14ac:dyDescent="0.2">
      <c r="A694" s="259" t="s">
        <v>2821</v>
      </c>
      <c r="B694" s="396"/>
      <c r="C694" s="395" t="s">
        <v>2878</v>
      </c>
      <c r="D694" s="396" t="s">
        <v>486</v>
      </c>
      <c r="E694" s="278">
        <v>0</v>
      </c>
      <c r="F694" s="278">
        <v>0</v>
      </c>
      <c r="G694" s="278">
        <v>0</v>
      </c>
      <c r="H694" s="278">
        <v>0</v>
      </c>
      <c r="I694" s="278">
        <v>0</v>
      </c>
      <c r="J694" s="278">
        <v>0</v>
      </c>
      <c r="K694" s="278">
        <v>0</v>
      </c>
      <c r="L694" s="278">
        <v>0</v>
      </c>
      <c r="M694" s="278">
        <v>0</v>
      </c>
      <c r="N694" s="278">
        <v>1</v>
      </c>
      <c r="O694" s="278">
        <v>0</v>
      </c>
      <c r="P694" s="278">
        <v>0</v>
      </c>
      <c r="Q694" s="278">
        <v>0</v>
      </c>
      <c r="R694" s="278">
        <v>0</v>
      </c>
      <c r="S694" s="278">
        <v>0</v>
      </c>
      <c r="T694" s="278">
        <v>0</v>
      </c>
      <c r="U694" s="278">
        <v>0</v>
      </c>
      <c r="V694" s="278">
        <v>0</v>
      </c>
      <c r="W694" s="278">
        <v>0</v>
      </c>
      <c r="X694" s="278">
        <f t="shared" si="24"/>
        <v>1</v>
      </c>
      <c r="Y694" s="346"/>
      <c r="Z694" s="224" t="s">
        <v>663</v>
      </c>
      <c r="AA694" s="157" t="s">
        <v>649</v>
      </c>
      <c r="AB694" s="259" t="s">
        <v>2821</v>
      </c>
      <c r="AC694" s="530" t="s">
        <v>3015</v>
      </c>
      <c r="AD694" s="159"/>
    </row>
    <row r="695" spans="1:30" x14ac:dyDescent="0.2">
      <c r="A695" s="259" t="s">
        <v>2821</v>
      </c>
      <c r="B695" s="396"/>
      <c r="C695" s="395" t="s">
        <v>2879</v>
      </c>
      <c r="D695" s="396" t="s">
        <v>492</v>
      </c>
      <c r="E695" s="278">
        <v>0</v>
      </c>
      <c r="F695" s="278">
        <v>0</v>
      </c>
      <c r="G695" s="278">
        <v>1.9988195947275238E-2</v>
      </c>
      <c r="H695" s="278">
        <v>0</v>
      </c>
      <c r="I695" s="278">
        <v>0</v>
      </c>
      <c r="J695" s="278">
        <v>0</v>
      </c>
      <c r="K695" s="278">
        <v>0</v>
      </c>
      <c r="L695" s="278">
        <v>0</v>
      </c>
      <c r="M695" s="278">
        <v>0</v>
      </c>
      <c r="N695" s="278">
        <v>0</v>
      </c>
      <c r="O695" s="278">
        <v>0</v>
      </c>
      <c r="P695" s="278">
        <v>0</v>
      </c>
      <c r="Q695" s="278">
        <v>0</v>
      </c>
      <c r="R695" s="278">
        <v>0</v>
      </c>
      <c r="S695" s="278">
        <v>0.98001180405272481</v>
      </c>
      <c r="T695" s="278">
        <v>0</v>
      </c>
      <c r="U695" s="278">
        <v>0</v>
      </c>
      <c r="V695" s="278">
        <v>0</v>
      </c>
      <c r="W695" s="278">
        <v>0</v>
      </c>
      <c r="X695" s="278">
        <f t="shared" si="24"/>
        <v>1</v>
      </c>
      <c r="Y695" s="346"/>
      <c r="Z695" s="224" t="s">
        <v>663</v>
      </c>
      <c r="AA695" s="157" t="s">
        <v>649</v>
      </c>
      <c r="AB695" s="259" t="s">
        <v>2821</v>
      </c>
      <c r="AC695" s="530" t="s">
        <v>3015</v>
      </c>
      <c r="AD695" s="159"/>
    </row>
    <row r="696" spans="1:30" x14ac:dyDescent="0.2">
      <c r="A696" s="259" t="s">
        <v>2821</v>
      </c>
      <c r="B696" s="396"/>
      <c r="C696" s="395" t="s">
        <v>2880</v>
      </c>
      <c r="D696" s="396" t="s">
        <v>494</v>
      </c>
      <c r="E696" s="278">
        <v>0</v>
      </c>
      <c r="F696" s="278">
        <v>0</v>
      </c>
      <c r="G696" s="278">
        <v>0</v>
      </c>
      <c r="H696" s="278">
        <v>0</v>
      </c>
      <c r="I696" s="278">
        <v>0</v>
      </c>
      <c r="J696" s="278">
        <v>0</v>
      </c>
      <c r="K696" s="278">
        <v>0</v>
      </c>
      <c r="L696" s="278">
        <v>0</v>
      </c>
      <c r="M696" s="278">
        <v>0</v>
      </c>
      <c r="N696" s="278">
        <v>0.89952951762853728</v>
      </c>
      <c r="O696" s="278">
        <v>0</v>
      </c>
      <c r="P696" s="278">
        <v>6.3563388804275991E-2</v>
      </c>
      <c r="Q696" s="278">
        <v>0</v>
      </c>
      <c r="R696" s="278">
        <v>0</v>
      </c>
      <c r="S696" s="278">
        <v>3.6907093567186758E-2</v>
      </c>
      <c r="T696" s="278">
        <v>0</v>
      </c>
      <c r="U696" s="278">
        <v>0</v>
      </c>
      <c r="V696" s="278">
        <v>0</v>
      </c>
      <c r="W696" s="278">
        <v>0</v>
      </c>
      <c r="X696" s="278">
        <f t="shared" si="24"/>
        <v>1</v>
      </c>
      <c r="Y696" s="346"/>
      <c r="Z696" s="224" t="s">
        <v>663</v>
      </c>
      <c r="AA696" s="157" t="s">
        <v>649</v>
      </c>
      <c r="AB696" s="259" t="s">
        <v>2821</v>
      </c>
      <c r="AC696" s="530" t="s">
        <v>3015</v>
      </c>
      <c r="AD696" s="159"/>
    </row>
    <row r="697" spans="1:30" x14ac:dyDescent="0.2">
      <c r="A697" s="259" t="s">
        <v>2821</v>
      </c>
      <c r="B697" s="396"/>
      <c r="C697" s="395" t="s">
        <v>2881</v>
      </c>
      <c r="D697" s="396" t="s">
        <v>496</v>
      </c>
      <c r="E697" s="278">
        <v>0</v>
      </c>
      <c r="F697" s="278">
        <v>0</v>
      </c>
      <c r="G697" s="278">
        <v>0</v>
      </c>
      <c r="H697" s="278">
        <v>0</v>
      </c>
      <c r="I697" s="278">
        <v>0</v>
      </c>
      <c r="J697" s="278">
        <v>0</v>
      </c>
      <c r="K697" s="278">
        <v>0</v>
      </c>
      <c r="L697" s="278">
        <v>0</v>
      </c>
      <c r="M697" s="278">
        <v>0</v>
      </c>
      <c r="N697" s="278">
        <v>0.89892446125477488</v>
      </c>
      <c r="O697" s="278">
        <v>0</v>
      </c>
      <c r="P697" s="278">
        <v>2.2606986980922152E-2</v>
      </c>
      <c r="Q697" s="278">
        <v>0</v>
      </c>
      <c r="R697" s="278">
        <v>0</v>
      </c>
      <c r="S697" s="278">
        <v>7.8468551764303077E-2</v>
      </c>
      <c r="T697" s="278">
        <v>0</v>
      </c>
      <c r="U697" s="278">
        <v>0</v>
      </c>
      <c r="V697" s="278">
        <v>0</v>
      </c>
      <c r="W697" s="278">
        <v>0</v>
      </c>
      <c r="X697" s="278">
        <f t="shared" si="24"/>
        <v>1</v>
      </c>
      <c r="Y697" s="346"/>
      <c r="Z697" s="224" t="s">
        <v>663</v>
      </c>
      <c r="AA697" s="157" t="s">
        <v>649</v>
      </c>
      <c r="AB697" s="259" t="s">
        <v>2821</v>
      </c>
      <c r="AC697" s="530" t="s">
        <v>3015</v>
      </c>
      <c r="AD697" s="159"/>
    </row>
    <row r="698" spans="1:30" x14ac:dyDescent="0.2">
      <c r="A698" s="316" t="s">
        <v>2821</v>
      </c>
      <c r="B698" s="396"/>
      <c r="C698" s="395" t="s">
        <v>2882</v>
      </c>
      <c r="D698" s="396" t="s">
        <v>498</v>
      </c>
      <c r="E698" s="278">
        <v>0</v>
      </c>
      <c r="F698" s="278">
        <v>0</v>
      </c>
      <c r="G698" s="278">
        <v>0</v>
      </c>
      <c r="H698" s="278">
        <v>0</v>
      </c>
      <c r="I698" s="278">
        <v>0</v>
      </c>
      <c r="J698" s="278">
        <v>0</v>
      </c>
      <c r="K698" s="278">
        <v>0</v>
      </c>
      <c r="L698" s="278">
        <v>0</v>
      </c>
      <c r="M698" s="278">
        <v>0</v>
      </c>
      <c r="N698" s="278">
        <v>0.89724490948011804</v>
      </c>
      <c r="O698" s="278">
        <v>0</v>
      </c>
      <c r="P698" s="278">
        <v>3.4292091965193609E-2</v>
      </c>
      <c r="Q698" s="278">
        <v>0</v>
      </c>
      <c r="R698" s="278">
        <v>0</v>
      </c>
      <c r="S698" s="278">
        <v>6.8462998554688417E-2</v>
      </c>
      <c r="T698" s="278">
        <v>0</v>
      </c>
      <c r="U698" s="278">
        <v>0</v>
      </c>
      <c r="V698" s="278">
        <v>0</v>
      </c>
      <c r="W698" s="278">
        <v>0</v>
      </c>
      <c r="X698" s="278">
        <f t="shared" si="24"/>
        <v>1</v>
      </c>
      <c r="Y698" s="346"/>
      <c r="Z698" s="224" t="s">
        <v>663</v>
      </c>
      <c r="AA698" s="157" t="s">
        <v>649</v>
      </c>
      <c r="AB698" s="259" t="s">
        <v>2821</v>
      </c>
      <c r="AC698" s="530" t="s">
        <v>3015</v>
      </c>
      <c r="AD698" s="159"/>
    </row>
    <row r="699" spans="1:30" x14ac:dyDescent="0.2">
      <c r="A699" s="397"/>
      <c r="B699" s="397"/>
      <c r="C699" s="398" t="s">
        <v>2883</v>
      </c>
      <c r="D699" s="397" t="s">
        <v>499</v>
      </c>
      <c r="E699" s="399"/>
      <c r="F699" s="399"/>
      <c r="G699" s="399"/>
      <c r="H699" s="399"/>
      <c r="I699" s="399"/>
      <c r="J699" s="399"/>
      <c r="K699" s="399"/>
      <c r="L699" s="399"/>
      <c r="M699" s="399"/>
      <c r="N699" s="399"/>
      <c r="O699" s="399"/>
      <c r="P699" s="399"/>
      <c r="Q699" s="399"/>
      <c r="R699" s="399"/>
      <c r="S699" s="399"/>
      <c r="T699" s="399"/>
      <c r="U699" s="399"/>
      <c r="V699" s="399"/>
      <c r="W699" s="399"/>
      <c r="X699" s="400">
        <f>SUM(E699:W699)</f>
        <v>0</v>
      </c>
      <c r="Y699" s="346"/>
      <c r="Z699" s="224" t="s">
        <v>663</v>
      </c>
      <c r="AA699" s="157" t="s">
        <v>663</v>
      </c>
      <c r="AB699" s="397"/>
      <c r="AC699" s="530" t="s">
        <v>3015</v>
      </c>
      <c r="AD699" s="159"/>
    </row>
    <row r="700" spans="1:30" x14ac:dyDescent="0.2">
      <c r="A700" s="397"/>
      <c r="B700" s="397"/>
      <c r="C700" s="398" t="s">
        <v>2884</v>
      </c>
      <c r="D700" s="397" t="s">
        <v>1096</v>
      </c>
      <c r="E700" s="399"/>
      <c r="F700" s="399"/>
      <c r="G700" s="399"/>
      <c r="H700" s="399"/>
      <c r="I700" s="399"/>
      <c r="J700" s="399"/>
      <c r="K700" s="399"/>
      <c r="L700" s="399"/>
      <c r="M700" s="399"/>
      <c r="N700" s="399"/>
      <c r="O700" s="399"/>
      <c r="P700" s="399"/>
      <c r="Q700" s="399"/>
      <c r="R700" s="399"/>
      <c r="S700" s="399"/>
      <c r="T700" s="399"/>
      <c r="U700" s="399"/>
      <c r="V700" s="399"/>
      <c r="W700" s="399"/>
      <c r="X700" s="400">
        <f>SUM(E700:W700)</f>
        <v>0</v>
      </c>
      <c r="Y700" s="346"/>
      <c r="Z700" s="224" t="s">
        <v>663</v>
      </c>
      <c r="AA700" s="157" t="s">
        <v>663</v>
      </c>
      <c r="AB700" s="397"/>
      <c r="AC700" s="530" t="s">
        <v>3015</v>
      </c>
      <c r="AD700" s="159"/>
    </row>
    <row r="701" spans="1:30" x14ac:dyDescent="0.2">
      <c r="A701" s="293" t="s">
        <v>2976</v>
      </c>
      <c r="B701" s="403"/>
      <c r="C701" s="404" t="s">
        <v>2253</v>
      </c>
      <c r="D701" s="403" t="s">
        <v>507</v>
      </c>
      <c r="E701" s="405"/>
      <c r="F701" s="405"/>
      <c r="G701" s="405"/>
      <c r="H701" s="405"/>
      <c r="I701" s="405"/>
      <c r="J701" s="405"/>
      <c r="K701" s="405"/>
      <c r="L701" s="405"/>
      <c r="M701" s="405"/>
      <c r="N701" s="405">
        <v>0.3308004969943022</v>
      </c>
      <c r="O701" s="405"/>
      <c r="P701" s="405">
        <v>0.25522483196110085</v>
      </c>
      <c r="Q701" s="405"/>
      <c r="R701" s="405"/>
      <c r="S701" s="405">
        <v>0.4139746710445969</v>
      </c>
      <c r="T701" s="405"/>
      <c r="U701" s="405"/>
      <c r="V701" s="405"/>
      <c r="W701" s="405"/>
      <c r="X701" s="405">
        <f>SUM(E701:W701)</f>
        <v>1</v>
      </c>
      <c r="Y701" s="346"/>
      <c r="Z701" s="224" t="s">
        <v>663</v>
      </c>
      <c r="AA701" s="157" t="s">
        <v>663</v>
      </c>
      <c r="AB701" s="293" t="s">
        <v>2597</v>
      </c>
      <c r="AC701" s="530" t="s">
        <v>3015</v>
      </c>
      <c r="AD701" s="159"/>
    </row>
    <row r="702" spans="1:30" x14ac:dyDescent="0.2">
      <c r="A702" s="276" t="s">
        <v>2821</v>
      </c>
      <c r="B702" s="396"/>
      <c r="C702" s="395" t="s">
        <v>2885</v>
      </c>
      <c r="D702" s="396" t="s">
        <v>2389</v>
      </c>
      <c r="E702" s="278">
        <v>0</v>
      </c>
      <c r="F702" s="278">
        <v>0</v>
      </c>
      <c r="G702" s="278">
        <v>0</v>
      </c>
      <c r="H702" s="278">
        <v>0</v>
      </c>
      <c r="I702" s="278">
        <v>0</v>
      </c>
      <c r="J702" s="278">
        <v>0</v>
      </c>
      <c r="K702" s="278">
        <v>0</v>
      </c>
      <c r="L702" s="278">
        <v>0</v>
      </c>
      <c r="M702" s="278">
        <v>0</v>
      </c>
      <c r="N702" s="278">
        <v>0.50097729632133636</v>
      </c>
      <c r="O702" s="278">
        <v>0</v>
      </c>
      <c r="P702" s="278">
        <v>8.2609362025849176E-2</v>
      </c>
      <c r="Q702" s="278">
        <v>0</v>
      </c>
      <c r="R702" s="278">
        <v>0</v>
      </c>
      <c r="S702" s="278">
        <v>0.35886589335316527</v>
      </c>
      <c r="T702" s="278">
        <v>5.754744829964923E-2</v>
      </c>
      <c r="U702" s="278">
        <v>0</v>
      </c>
      <c r="V702" s="278">
        <v>0</v>
      </c>
      <c r="W702" s="278">
        <v>0</v>
      </c>
      <c r="X702" s="278">
        <f>SUBTOTAL(9,E702:W702)</f>
        <v>1</v>
      </c>
      <c r="Y702" s="346"/>
      <c r="Z702" s="224" t="s">
        <v>663</v>
      </c>
      <c r="AA702" s="157" t="s">
        <v>649</v>
      </c>
      <c r="AB702" s="259" t="s">
        <v>2821</v>
      </c>
      <c r="AC702" s="530" t="s">
        <v>3015</v>
      </c>
      <c r="AD702" s="159"/>
    </row>
    <row r="703" spans="1:30" x14ac:dyDescent="0.2">
      <c r="A703" s="397"/>
      <c r="B703" s="397"/>
      <c r="C703" s="398" t="s">
        <v>2886</v>
      </c>
      <c r="D703" s="397" t="s">
        <v>509</v>
      </c>
      <c r="E703" s="399"/>
      <c r="F703" s="399"/>
      <c r="G703" s="399"/>
      <c r="H703" s="399"/>
      <c r="I703" s="399"/>
      <c r="J703" s="399"/>
      <c r="K703" s="399"/>
      <c r="L703" s="399"/>
      <c r="M703" s="399"/>
      <c r="N703" s="399"/>
      <c r="O703" s="399"/>
      <c r="P703" s="399"/>
      <c r="Q703" s="399"/>
      <c r="R703" s="399"/>
      <c r="S703" s="399"/>
      <c r="T703" s="399"/>
      <c r="U703" s="399"/>
      <c r="V703" s="399"/>
      <c r="W703" s="399"/>
      <c r="X703" s="400">
        <f>SUM(E703:W703)</f>
        <v>0</v>
      </c>
      <c r="Y703" s="346"/>
      <c r="Z703" s="224" t="s">
        <v>663</v>
      </c>
      <c r="AA703" s="157" t="s">
        <v>663</v>
      </c>
      <c r="AB703" s="397"/>
      <c r="AC703" s="530" t="s">
        <v>3015</v>
      </c>
      <c r="AD703" s="159"/>
    </row>
    <row r="704" spans="1:30" x14ac:dyDescent="0.2">
      <c r="A704" s="292" t="s">
        <v>2821</v>
      </c>
      <c r="B704" s="396"/>
      <c r="C704" s="395" t="s">
        <v>2887</v>
      </c>
      <c r="D704" s="396" t="s">
        <v>511</v>
      </c>
      <c r="E704" s="278">
        <v>0</v>
      </c>
      <c r="F704" s="278">
        <v>0</v>
      </c>
      <c r="G704" s="278">
        <v>0</v>
      </c>
      <c r="H704" s="278">
        <v>0</v>
      </c>
      <c r="I704" s="278">
        <v>0</v>
      </c>
      <c r="J704" s="278">
        <v>0</v>
      </c>
      <c r="K704" s="278">
        <v>0</v>
      </c>
      <c r="L704" s="278">
        <v>0</v>
      </c>
      <c r="M704" s="278">
        <v>0</v>
      </c>
      <c r="N704" s="278">
        <v>0.15924946317816957</v>
      </c>
      <c r="O704" s="278">
        <v>0</v>
      </c>
      <c r="P704" s="278">
        <v>0</v>
      </c>
      <c r="Q704" s="278">
        <v>0</v>
      </c>
      <c r="R704" s="278">
        <v>0</v>
      </c>
      <c r="S704" s="278">
        <v>0.84075053682183043</v>
      </c>
      <c r="T704" s="278">
        <v>0</v>
      </c>
      <c r="U704" s="278">
        <v>0</v>
      </c>
      <c r="V704" s="278">
        <v>0</v>
      </c>
      <c r="W704" s="278">
        <v>0</v>
      </c>
      <c r="X704" s="278">
        <f>SUBTOTAL(9,E704:W704)</f>
        <v>1</v>
      </c>
      <c r="Y704" s="346"/>
      <c r="Z704" s="224" t="s">
        <v>663</v>
      </c>
      <c r="AA704" s="157" t="s">
        <v>649</v>
      </c>
      <c r="AB704" s="259" t="s">
        <v>2821</v>
      </c>
      <c r="AC704" s="530" t="s">
        <v>3015</v>
      </c>
      <c r="AD704" s="159"/>
    </row>
    <row r="705" spans="1:30" x14ac:dyDescent="0.2">
      <c r="A705" s="259" t="s">
        <v>2821</v>
      </c>
      <c r="B705" s="396"/>
      <c r="C705" s="406" t="s">
        <v>2888</v>
      </c>
      <c r="D705" s="407" t="s">
        <v>513</v>
      </c>
      <c r="E705" s="278">
        <v>0</v>
      </c>
      <c r="F705" s="278">
        <v>0</v>
      </c>
      <c r="G705" s="278">
        <v>0</v>
      </c>
      <c r="H705" s="278">
        <v>0</v>
      </c>
      <c r="I705" s="278">
        <v>0</v>
      </c>
      <c r="J705" s="278">
        <v>0</v>
      </c>
      <c r="K705" s="278">
        <v>0</v>
      </c>
      <c r="L705" s="278">
        <v>0</v>
      </c>
      <c r="M705" s="278">
        <v>0</v>
      </c>
      <c r="N705" s="278">
        <v>0.25864201435552758</v>
      </c>
      <c r="O705" s="278">
        <v>2.1247146556947979E-2</v>
      </c>
      <c r="P705" s="278">
        <v>0.68708624800095996</v>
      </c>
      <c r="Q705" s="278">
        <v>0</v>
      </c>
      <c r="R705" s="278">
        <v>0</v>
      </c>
      <c r="S705" s="278">
        <v>3.3024591086564484E-2</v>
      </c>
      <c r="T705" s="278">
        <v>0</v>
      </c>
      <c r="U705" s="278">
        <v>0</v>
      </c>
      <c r="V705" s="278">
        <v>0</v>
      </c>
      <c r="W705" s="278">
        <v>0</v>
      </c>
      <c r="X705" s="278">
        <f>SUBTOTAL(9,E705:W705)</f>
        <v>1</v>
      </c>
      <c r="Y705" s="346"/>
      <c r="Z705" s="224" t="s">
        <v>663</v>
      </c>
      <c r="AA705" s="157" t="s">
        <v>649</v>
      </c>
      <c r="AB705" s="259" t="s">
        <v>2821</v>
      </c>
      <c r="AC705" s="530" t="s">
        <v>3015</v>
      </c>
      <c r="AD705" s="159"/>
    </row>
    <row r="706" spans="1:30" x14ac:dyDescent="0.2">
      <c r="A706" s="259" t="s">
        <v>2821</v>
      </c>
      <c r="B706" s="396"/>
      <c r="C706" s="395" t="s">
        <v>2889</v>
      </c>
      <c r="D706" s="396" t="s">
        <v>515</v>
      </c>
      <c r="E706" s="278">
        <v>0</v>
      </c>
      <c r="F706" s="278">
        <v>0</v>
      </c>
      <c r="G706" s="278">
        <v>0</v>
      </c>
      <c r="H706" s="278">
        <v>0</v>
      </c>
      <c r="I706" s="278">
        <v>0</v>
      </c>
      <c r="J706" s="278">
        <v>0</v>
      </c>
      <c r="K706" s="278">
        <v>0</v>
      </c>
      <c r="L706" s="278">
        <v>0</v>
      </c>
      <c r="M706" s="278">
        <v>0</v>
      </c>
      <c r="N706" s="278">
        <v>0.96626699877923861</v>
      </c>
      <c r="O706" s="278">
        <v>0</v>
      </c>
      <c r="P706" s="278">
        <v>3.3733001220761359E-2</v>
      </c>
      <c r="Q706" s="278">
        <v>0</v>
      </c>
      <c r="R706" s="278">
        <v>0</v>
      </c>
      <c r="S706" s="278">
        <v>0</v>
      </c>
      <c r="T706" s="278">
        <v>0</v>
      </c>
      <c r="U706" s="278">
        <v>0</v>
      </c>
      <c r="V706" s="278">
        <v>0</v>
      </c>
      <c r="W706" s="278">
        <v>0</v>
      </c>
      <c r="X706" s="278">
        <f>SUBTOTAL(9,E706:W706)</f>
        <v>1</v>
      </c>
      <c r="Y706" s="346"/>
      <c r="Z706" s="224" t="s">
        <v>663</v>
      </c>
      <c r="AA706" s="157" t="s">
        <v>649</v>
      </c>
      <c r="AB706" s="259" t="s">
        <v>2821</v>
      </c>
      <c r="AC706" s="530" t="s">
        <v>3015</v>
      </c>
      <c r="AD706" s="159"/>
    </row>
    <row r="707" spans="1:30" x14ac:dyDescent="0.2">
      <c r="A707" s="316" t="s">
        <v>2821</v>
      </c>
      <c r="B707" s="396"/>
      <c r="C707" s="408" t="s">
        <v>2890</v>
      </c>
      <c r="D707" s="409" t="s">
        <v>2390</v>
      </c>
      <c r="E707" s="278">
        <v>0</v>
      </c>
      <c r="F707" s="278">
        <v>0</v>
      </c>
      <c r="G707" s="278">
        <v>0</v>
      </c>
      <c r="H707" s="278">
        <v>0</v>
      </c>
      <c r="I707" s="278">
        <v>0</v>
      </c>
      <c r="J707" s="278">
        <v>0</v>
      </c>
      <c r="K707" s="278">
        <v>0</v>
      </c>
      <c r="L707" s="278">
        <v>0</v>
      </c>
      <c r="M707" s="278">
        <v>0</v>
      </c>
      <c r="N707" s="278">
        <v>0.69836818000366996</v>
      </c>
      <c r="O707" s="278">
        <v>0</v>
      </c>
      <c r="P707" s="278">
        <v>0.12108815175037685</v>
      </c>
      <c r="Q707" s="278">
        <v>0</v>
      </c>
      <c r="R707" s="278">
        <v>0</v>
      </c>
      <c r="S707" s="278">
        <v>0.18054366824595322</v>
      </c>
      <c r="T707" s="278">
        <v>0</v>
      </c>
      <c r="U707" s="278">
        <v>0</v>
      </c>
      <c r="V707" s="278">
        <v>0</v>
      </c>
      <c r="W707" s="278">
        <v>0</v>
      </c>
      <c r="X707" s="278">
        <f>SUBTOTAL(9,E707:W707)</f>
        <v>1</v>
      </c>
      <c r="Y707" s="346"/>
      <c r="Z707" s="224" t="s">
        <v>663</v>
      </c>
      <c r="AA707" s="157" t="s">
        <v>649</v>
      </c>
      <c r="AB707" s="259" t="s">
        <v>2821</v>
      </c>
      <c r="AC707" s="530" t="s">
        <v>3015</v>
      </c>
      <c r="AD707" s="159"/>
    </row>
    <row r="708" spans="1:30" x14ac:dyDescent="0.2">
      <c r="A708" s="397"/>
      <c r="B708" s="397"/>
      <c r="C708" s="398" t="s">
        <v>2891</v>
      </c>
      <c r="D708" s="397" t="s">
        <v>519</v>
      </c>
      <c r="E708" s="399"/>
      <c r="F708" s="399"/>
      <c r="G708" s="399"/>
      <c r="H708" s="399"/>
      <c r="I708" s="399"/>
      <c r="J708" s="399"/>
      <c r="K708" s="399"/>
      <c r="L708" s="399"/>
      <c r="M708" s="399"/>
      <c r="N708" s="399"/>
      <c r="O708" s="399"/>
      <c r="P708" s="399"/>
      <c r="Q708" s="399"/>
      <c r="R708" s="399"/>
      <c r="S708" s="399"/>
      <c r="T708" s="399"/>
      <c r="U708" s="399"/>
      <c r="V708" s="399"/>
      <c r="W708" s="399"/>
      <c r="X708" s="400">
        <f>SUM(E708:W708)</f>
        <v>0</v>
      </c>
      <c r="Y708" s="346"/>
      <c r="Z708" s="224" t="s">
        <v>663</v>
      </c>
      <c r="AA708" s="157" t="s">
        <v>663</v>
      </c>
      <c r="AB708" s="397"/>
      <c r="AC708" s="530" t="s">
        <v>3015</v>
      </c>
      <c r="AD708" s="159"/>
    </row>
    <row r="709" spans="1:30" x14ac:dyDescent="0.2">
      <c r="A709" s="292" t="s">
        <v>2821</v>
      </c>
      <c r="B709" s="396"/>
      <c r="C709" s="395" t="s">
        <v>2892</v>
      </c>
      <c r="D709" s="396" t="s">
        <v>521</v>
      </c>
      <c r="E709" s="278">
        <v>0</v>
      </c>
      <c r="F709" s="278">
        <v>0</v>
      </c>
      <c r="G709" s="278">
        <v>0</v>
      </c>
      <c r="H709" s="278">
        <v>1</v>
      </c>
      <c r="I709" s="278">
        <v>0</v>
      </c>
      <c r="J709" s="278">
        <v>0</v>
      </c>
      <c r="K709" s="278">
        <v>0</v>
      </c>
      <c r="L709" s="278">
        <v>0</v>
      </c>
      <c r="M709" s="278">
        <v>0</v>
      </c>
      <c r="N709" s="278">
        <v>0</v>
      </c>
      <c r="O709" s="278">
        <v>0</v>
      </c>
      <c r="P709" s="278">
        <v>0</v>
      </c>
      <c r="Q709" s="278">
        <v>0</v>
      </c>
      <c r="R709" s="278">
        <v>0</v>
      </c>
      <c r="S709" s="278">
        <v>0</v>
      </c>
      <c r="T709" s="278">
        <v>0</v>
      </c>
      <c r="U709" s="278">
        <v>0</v>
      </c>
      <c r="V709" s="278">
        <v>0</v>
      </c>
      <c r="W709" s="278">
        <v>0</v>
      </c>
      <c r="X709" s="278">
        <f t="shared" ref="X709:X714" si="25">SUBTOTAL(9,E709:W709)</f>
        <v>1</v>
      </c>
      <c r="Y709" s="346"/>
      <c r="Z709" s="224" t="s">
        <v>663</v>
      </c>
      <c r="AA709" s="157" t="s">
        <v>649</v>
      </c>
      <c r="AB709" s="259" t="s">
        <v>2821</v>
      </c>
      <c r="AC709" s="530" t="s">
        <v>3015</v>
      </c>
      <c r="AD709" s="159"/>
    </row>
    <row r="710" spans="1:30" x14ac:dyDescent="0.2">
      <c r="A710" s="259" t="s">
        <v>2821</v>
      </c>
      <c r="B710" s="396"/>
      <c r="C710" s="395" t="s">
        <v>2893</v>
      </c>
      <c r="D710" s="396" t="s">
        <v>527</v>
      </c>
      <c r="E710" s="278">
        <v>0</v>
      </c>
      <c r="F710" s="278">
        <v>0</v>
      </c>
      <c r="G710" s="278">
        <v>9.8997133515637617E-3</v>
      </c>
      <c r="H710" s="278">
        <v>0</v>
      </c>
      <c r="I710" s="278">
        <v>0</v>
      </c>
      <c r="J710" s="278">
        <v>0</v>
      </c>
      <c r="K710" s="278">
        <v>0</v>
      </c>
      <c r="L710" s="278">
        <v>0</v>
      </c>
      <c r="M710" s="278">
        <v>0</v>
      </c>
      <c r="N710" s="278">
        <v>0.79697883928314239</v>
      </c>
      <c r="O710" s="278">
        <v>0</v>
      </c>
      <c r="P710" s="278">
        <v>0.1331291827838956</v>
      </c>
      <c r="Q710" s="278">
        <v>0</v>
      </c>
      <c r="R710" s="278">
        <v>0</v>
      </c>
      <c r="S710" s="278">
        <v>5.0092551223795662E-2</v>
      </c>
      <c r="T710" s="278">
        <v>6.5998089050683904E-3</v>
      </c>
      <c r="U710" s="278">
        <v>3.2999044525341952E-3</v>
      </c>
      <c r="V710" s="278">
        <v>0</v>
      </c>
      <c r="W710" s="278">
        <v>0</v>
      </c>
      <c r="X710" s="278">
        <f t="shared" si="25"/>
        <v>1</v>
      </c>
      <c r="Y710" s="346"/>
      <c r="Z710" s="224" t="s">
        <v>663</v>
      </c>
      <c r="AA710" s="157" t="s">
        <v>649</v>
      </c>
      <c r="AB710" s="259" t="s">
        <v>2821</v>
      </c>
      <c r="AC710" s="530" t="s">
        <v>3015</v>
      </c>
      <c r="AD710" s="159"/>
    </row>
    <row r="711" spans="1:30" x14ac:dyDescent="0.2">
      <c r="A711" s="259" t="s">
        <v>2821</v>
      </c>
      <c r="B711" s="396"/>
      <c r="C711" s="395" t="s">
        <v>2894</v>
      </c>
      <c r="D711" s="396" t="s">
        <v>529</v>
      </c>
      <c r="E711" s="278">
        <v>1</v>
      </c>
      <c r="F711" s="278">
        <v>0</v>
      </c>
      <c r="G711" s="278">
        <v>0</v>
      </c>
      <c r="H711" s="278">
        <v>0</v>
      </c>
      <c r="I711" s="278">
        <v>0</v>
      </c>
      <c r="J711" s="278">
        <v>0</v>
      </c>
      <c r="K711" s="278">
        <v>0</v>
      </c>
      <c r="L711" s="278">
        <v>0</v>
      </c>
      <c r="M711" s="278">
        <v>0</v>
      </c>
      <c r="N711" s="278">
        <v>0</v>
      </c>
      <c r="O711" s="278">
        <v>0</v>
      </c>
      <c r="P711" s="278">
        <v>0</v>
      </c>
      <c r="Q711" s="278">
        <v>0</v>
      </c>
      <c r="R711" s="278">
        <v>0</v>
      </c>
      <c r="S711" s="278">
        <v>0</v>
      </c>
      <c r="T711" s="278">
        <v>0</v>
      </c>
      <c r="U711" s="278">
        <v>0</v>
      </c>
      <c r="V711" s="278">
        <v>0</v>
      </c>
      <c r="W711" s="278">
        <v>0</v>
      </c>
      <c r="X711" s="278">
        <f t="shared" si="25"/>
        <v>1</v>
      </c>
      <c r="Y711" s="346"/>
      <c r="Z711" s="224" t="s">
        <v>663</v>
      </c>
      <c r="AA711" s="157" t="s">
        <v>649</v>
      </c>
      <c r="AB711" s="259" t="s">
        <v>2821</v>
      </c>
      <c r="AC711" s="530" t="s">
        <v>3015</v>
      </c>
      <c r="AD711" s="159"/>
    </row>
    <row r="712" spans="1:30" x14ac:dyDescent="0.2">
      <c r="A712" s="259" t="s">
        <v>2821</v>
      </c>
      <c r="B712" s="396"/>
      <c r="C712" s="395" t="s">
        <v>2895</v>
      </c>
      <c r="D712" s="396" t="s">
        <v>535</v>
      </c>
      <c r="E712" s="278">
        <v>0.69973890339425593</v>
      </c>
      <c r="F712" s="278">
        <v>0</v>
      </c>
      <c r="G712" s="278">
        <v>0</v>
      </c>
      <c r="H712" s="278">
        <v>0</v>
      </c>
      <c r="I712" s="278">
        <v>0</v>
      </c>
      <c r="J712" s="278">
        <v>0</v>
      </c>
      <c r="K712" s="278">
        <v>0</v>
      </c>
      <c r="L712" s="278">
        <v>0.30026109660574407</v>
      </c>
      <c r="M712" s="278">
        <v>0</v>
      </c>
      <c r="N712" s="278">
        <v>0</v>
      </c>
      <c r="O712" s="278">
        <v>0</v>
      </c>
      <c r="P712" s="278">
        <v>0</v>
      </c>
      <c r="Q712" s="278">
        <v>0</v>
      </c>
      <c r="R712" s="278">
        <v>0</v>
      </c>
      <c r="S712" s="278">
        <v>0</v>
      </c>
      <c r="T712" s="278">
        <v>0</v>
      </c>
      <c r="U712" s="278">
        <v>0</v>
      </c>
      <c r="V712" s="278">
        <v>0</v>
      </c>
      <c r="W712" s="278">
        <v>0</v>
      </c>
      <c r="X712" s="278">
        <f t="shared" si="25"/>
        <v>1</v>
      </c>
      <c r="Y712" s="346"/>
      <c r="Z712" s="224" t="s">
        <v>663</v>
      </c>
      <c r="AA712" s="157" t="s">
        <v>649</v>
      </c>
      <c r="AB712" s="259" t="s">
        <v>2821</v>
      </c>
      <c r="AC712" s="530" t="s">
        <v>3015</v>
      </c>
      <c r="AD712" s="159"/>
    </row>
    <row r="713" spans="1:30" x14ac:dyDescent="0.2">
      <c r="A713" s="259" t="s">
        <v>2821</v>
      </c>
      <c r="B713" s="396"/>
      <c r="C713" s="395" t="s">
        <v>2896</v>
      </c>
      <c r="D713" s="396" t="s">
        <v>537</v>
      </c>
      <c r="E713" s="278">
        <v>0.69973890339425582</v>
      </c>
      <c r="F713" s="278">
        <v>0</v>
      </c>
      <c r="G713" s="278">
        <v>0</v>
      </c>
      <c r="H713" s="278">
        <v>0</v>
      </c>
      <c r="I713" s="278">
        <v>0</v>
      </c>
      <c r="J713" s="278">
        <v>0</v>
      </c>
      <c r="K713" s="278">
        <v>0</v>
      </c>
      <c r="L713" s="278">
        <v>0.30026109660574413</v>
      </c>
      <c r="M713" s="278">
        <v>0</v>
      </c>
      <c r="N713" s="278">
        <v>0</v>
      </c>
      <c r="O713" s="278">
        <v>0</v>
      </c>
      <c r="P713" s="278">
        <v>0</v>
      </c>
      <c r="Q713" s="278">
        <v>0</v>
      </c>
      <c r="R713" s="278">
        <v>0</v>
      </c>
      <c r="S713" s="278">
        <v>0</v>
      </c>
      <c r="T713" s="278">
        <v>0</v>
      </c>
      <c r="U713" s="278">
        <v>0</v>
      </c>
      <c r="V713" s="278">
        <v>0</v>
      </c>
      <c r="W713" s="278">
        <v>0</v>
      </c>
      <c r="X713" s="278">
        <f t="shared" si="25"/>
        <v>1</v>
      </c>
      <c r="Y713" s="346"/>
      <c r="Z713" s="224" t="s">
        <v>663</v>
      </c>
      <c r="AA713" s="157" t="s">
        <v>649</v>
      </c>
      <c r="AB713" s="259" t="s">
        <v>2821</v>
      </c>
      <c r="AC713" s="530" t="s">
        <v>3015</v>
      </c>
      <c r="AD713" s="159"/>
    </row>
    <row r="714" spans="1:30" x14ac:dyDescent="0.2">
      <c r="A714" s="316" t="s">
        <v>2821</v>
      </c>
      <c r="B714" s="396"/>
      <c r="C714" s="395" t="s">
        <v>2897</v>
      </c>
      <c r="D714" s="396" t="s">
        <v>539</v>
      </c>
      <c r="E714" s="278">
        <v>0.69973890339425593</v>
      </c>
      <c r="F714" s="278">
        <v>0</v>
      </c>
      <c r="G714" s="278">
        <v>0</v>
      </c>
      <c r="H714" s="278">
        <v>0</v>
      </c>
      <c r="I714" s="278">
        <v>0</v>
      </c>
      <c r="J714" s="278">
        <v>0</v>
      </c>
      <c r="K714" s="278">
        <v>0</v>
      </c>
      <c r="L714" s="278">
        <v>0.30026109660574407</v>
      </c>
      <c r="M714" s="278">
        <v>0</v>
      </c>
      <c r="N714" s="278">
        <v>0</v>
      </c>
      <c r="O714" s="278">
        <v>0</v>
      </c>
      <c r="P714" s="278">
        <v>0</v>
      </c>
      <c r="Q714" s="278">
        <v>0</v>
      </c>
      <c r="R714" s="278">
        <v>0</v>
      </c>
      <c r="S714" s="278">
        <v>0</v>
      </c>
      <c r="T714" s="278">
        <v>0</v>
      </c>
      <c r="U714" s="278">
        <v>0</v>
      </c>
      <c r="V714" s="278">
        <v>0</v>
      </c>
      <c r="W714" s="278">
        <v>0</v>
      </c>
      <c r="X714" s="278">
        <f t="shared" si="25"/>
        <v>1</v>
      </c>
      <c r="Y714" s="346"/>
      <c r="Z714" s="224" t="s">
        <v>663</v>
      </c>
      <c r="AA714" s="157" t="s">
        <v>649</v>
      </c>
      <c r="AB714" s="259" t="s">
        <v>2821</v>
      </c>
      <c r="AC714" s="530" t="s">
        <v>3015</v>
      </c>
      <c r="AD714" s="159"/>
    </row>
    <row r="715" spans="1:30" x14ac:dyDescent="0.2">
      <c r="A715" s="293" t="s">
        <v>2976</v>
      </c>
      <c r="B715" s="403"/>
      <c r="C715" s="404" t="s">
        <v>2898</v>
      </c>
      <c r="D715" s="403" t="s">
        <v>2295</v>
      </c>
      <c r="E715" s="405"/>
      <c r="F715" s="405"/>
      <c r="G715" s="405"/>
      <c r="H715" s="405"/>
      <c r="I715" s="405"/>
      <c r="J715" s="405"/>
      <c r="K715" s="405"/>
      <c r="L715" s="405"/>
      <c r="M715" s="405"/>
      <c r="N715" s="405">
        <v>1</v>
      </c>
      <c r="O715" s="405"/>
      <c r="P715" s="405"/>
      <c r="Q715" s="405"/>
      <c r="R715" s="405"/>
      <c r="S715" s="405"/>
      <c r="T715" s="405"/>
      <c r="U715" s="405"/>
      <c r="V715" s="405"/>
      <c r="W715" s="405"/>
      <c r="X715" s="405">
        <f>SUM(E715:W715)</f>
        <v>1</v>
      </c>
      <c r="Y715" s="346"/>
      <c r="Z715" s="224" t="s">
        <v>663</v>
      </c>
      <c r="AA715" s="157" t="s">
        <v>663</v>
      </c>
      <c r="AB715" s="293" t="s">
        <v>2597</v>
      </c>
      <c r="AC715" s="530" t="s">
        <v>3015</v>
      </c>
      <c r="AD715" s="159"/>
    </row>
    <row r="716" spans="1:30" x14ac:dyDescent="0.2">
      <c r="A716" s="292" t="s">
        <v>2821</v>
      </c>
      <c r="B716" s="396"/>
      <c r="C716" s="395" t="s">
        <v>2899</v>
      </c>
      <c r="D716" s="396" t="s">
        <v>542</v>
      </c>
      <c r="E716" s="278">
        <v>0</v>
      </c>
      <c r="F716" s="278">
        <v>0.29999996499999831</v>
      </c>
      <c r="G716" s="278">
        <v>0.60000003000000146</v>
      </c>
      <c r="H716" s="278">
        <v>0</v>
      </c>
      <c r="I716" s="278">
        <v>0</v>
      </c>
      <c r="J716" s="278">
        <v>0</v>
      </c>
      <c r="K716" s="278">
        <v>0</v>
      </c>
      <c r="L716" s="278">
        <v>0</v>
      </c>
      <c r="M716" s="278">
        <v>0</v>
      </c>
      <c r="N716" s="278">
        <v>0</v>
      </c>
      <c r="O716" s="278">
        <v>0</v>
      </c>
      <c r="P716" s="278">
        <v>0</v>
      </c>
      <c r="Q716" s="278">
        <v>0</v>
      </c>
      <c r="R716" s="278">
        <v>0</v>
      </c>
      <c r="S716" s="278">
        <v>0</v>
      </c>
      <c r="T716" s="278">
        <v>0.10000000500000025</v>
      </c>
      <c r="U716" s="278">
        <v>0</v>
      </c>
      <c r="V716" s="278">
        <v>0</v>
      </c>
      <c r="W716" s="278">
        <v>0</v>
      </c>
      <c r="X716" s="278">
        <f t="shared" ref="X716:X724" si="26">SUBTOTAL(9,E716:W716)</f>
        <v>1</v>
      </c>
      <c r="Y716" s="346"/>
      <c r="Z716" s="224" t="s">
        <v>663</v>
      </c>
      <c r="AA716" s="157" t="s">
        <v>649</v>
      </c>
      <c r="AB716" s="259" t="s">
        <v>2821</v>
      </c>
      <c r="AC716" s="530" t="s">
        <v>3015</v>
      </c>
      <c r="AD716" s="159"/>
    </row>
    <row r="717" spans="1:30" x14ac:dyDescent="0.2">
      <c r="A717" s="259" t="s">
        <v>2821</v>
      </c>
      <c r="B717" s="396"/>
      <c r="C717" s="395" t="s">
        <v>2900</v>
      </c>
      <c r="D717" s="396" t="s">
        <v>544</v>
      </c>
      <c r="E717" s="278">
        <v>1</v>
      </c>
      <c r="F717" s="278">
        <v>0</v>
      </c>
      <c r="G717" s="278">
        <v>0</v>
      </c>
      <c r="H717" s="278">
        <v>0</v>
      </c>
      <c r="I717" s="278">
        <v>0</v>
      </c>
      <c r="J717" s="278">
        <v>0</v>
      </c>
      <c r="K717" s="278">
        <v>0</v>
      </c>
      <c r="L717" s="278">
        <v>0</v>
      </c>
      <c r="M717" s="278">
        <v>0</v>
      </c>
      <c r="N717" s="278">
        <v>0</v>
      </c>
      <c r="O717" s="278">
        <v>0</v>
      </c>
      <c r="P717" s="278">
        <v>0</v>
      </c>
      <c r="Q717" s="278">
        <v>0</v>
      </c>
      <c r="R717" s="278">
        <v>0</v>
      </c>
      <c r="S717" s="278">
        <v>0</v>
      </c>
      <c r="T717" s="278">
        <v>0</v>
      </c>
      <c r="U717" s="278">
        <v>0</v>
      </c>
      <c r="V717" s="278">
        <v>0</v>
      </c>
      <c r="W717" s="278">
        <v>0</v>
      </c>
      <c r="X717" s="278">
        <f t="shared" si="26"/>
        <v>1</v>
      </c>
      <c r="Y717" s="346"/>
      <c r="Z717" s="224" t="s">
        <v>663</v>
      </c>
      <c r="AA717" s="157" t="s">
        <v>649</v>
      </c>
      <c r="AB717" s="259" t="s">
        <v>2821</v>
      </c>
      <c r="AC717" s="530" t="s">
        <v>3015</v>
      </c>
      <c r="AD717" s="159"/>
    </row>
    <row r="718" spans="1:30" x14ac:dyDescent="0.2">
      <c r="A718" s="259" t="s">
        <v>2821</v>
      </c>
      <c r="B718" s="396"/>
      <c r="C718" s="395" t="s">
        <v>2901</v>
      </c>
      <c r="D718" s="396" t="s">
        <v>548</v>
      </c>
      <c r="E718" s="278">
        <v>0</v>
      </c>
      <c r="F718" s="278">
        <v>2.7623472828153802E-2</v>
      </c>
      <c r="G718" s="278">
        <v>0.97237652717184631</v>
      </c>
      <c r="H718" s="278">
        <v>0</v>
      </c>
      <c r="I718" s="278">
        <v>0</v>
      </c>
      <c r="J718" s="278">
        <v>0</v>
      </c>
      <c r="K718" s="278">
        <v>0</v>
      </c>
      <c r="L718" s="278">
        <v>0</v>
      </c>
      <c r="M718" s="278">
        <v>0</v>
      </c>
      <c r="N718" s="278">
        <v>0</v>
      </c>
      <c r="O718" s="278">
        <v>0</v>
      </c>
      <c r="P718" s="278">
        <v>0</v>
      </c>
      <c r="Q718" s="278">
        <v>0</v>
      </c>
      <c r="R718" s="278">
        <v>0</v>
      </c>
      <c r="S718" s="278">
        <v>0</v>
      </c>
      <c r="T718" s="278">
        <v>0</v>
      </c>
      <c r="U718" s="278">
        <v>0</v>
      </c>
      <c r="V718" s="278">
        <v>0</v>
      </c>
      <c r="W718" s="278">
        <v>0</v>
      </c>
      <c r="X718" s="278">
        <f t="shared" si="26"/>
        <v>1</v>
      </c>
      <c r="Y718" s="346"/>
      <c r="Z718" s="224" t="s">
        <v>663</v>
      </c>
      <c r="AA718" s="157" t="s">
        <v>649</v>
      </c>
      <c r="AB718" s="259" t="s">
        <v>2821</v>
      </c>
      <c r="AC718" s="530" t="s">
        <v>3015</v>
      </c>
      <c r="AD718" s="159"/>
    </row>
    <row r="719" spans="1:30" x14ac:dyDescent="0.2">
      <c r="A719" s="259" t="s">
        <v>2821</v>
      </c>
      <c r="B719" s="396"/>
      <c r="C719" s="395" t="s">
        <v>2902</v>
      </c>
      <c r="D719" s="396" t="s">
        <v>224</v>
      </c>
      <c r="E719" s="278">
        <v>0</v>
      </c>
      <c r="F719" s="278">
        <v>0</v>
      </c>
      <c r="G719" s="278">
        <v>0</v>
      </c>
      <c r="H719" s="278">
        <v>0</v>
      </c>
      <c r="I719" s="278">
        <v>0</v>
      </c>
      <c r="J719" s="278">
        <v>0</v>
      </c>
      <c r="K719" s="278">
        <v>0</v>
      </c>
      <c r="L719" s="278">
        <v>0</v>
      </c>
      <c r="M719" s="278">
        <v>0</v>
      </c>
      <c r="N719" s="278">
        <v>0</v>
      </c>
      <c r="O719" s="278">
        <v>0</v>
      </c>
      <c r="P719" s="278">
        <v>0</v>
      </c>
      <c r="Q719" s="278">
        <v>0</v>
      </c>
      <c r="R719" s="278">
        <v>0</v>
      </c>
      <c r="S719" s="278">
        <v>1</v>
      </c>
      <c r="T719" s="278">
        <v>0</v>
      </c>
      <c r="U719" s="278">
        <v>0</v>
      </c>
      <c r="V719" s="278">
        <v>0</v>
      </c>
      <c r="W719" s="278">
        <v>0</v>
      </c>
      <c r="X719" s="278">
        <f t="shared" si="26"/>
        <v>1</v>
      </c>
      <c r="Y719" s="346"/>
      <c r="Z719" s="224" t="s">
        <v>663</v>
      </c>
      <c r="AA719" s="157" t="s">
        <v>649</v>
      </c>
      <c r="AB719" s="259" t="s">
        <v>2821</v>
      </c>
      <c r="AC719" s="530" t="s">
        <v>3015</v>
      </c>
      <c r="AD719" s="159"/>
    </row>
    <row r="720" spans="1:30" x14ac:dyDescent="0.2">
      <c r="A720" s="259" t="s">
        <v>2821</v>
      </c>
      <c r="B720" s="396"/>
      <c r="C720" s="395" t="s">
        <v>2903</v>
      </c>
      <c r="D720" s="396" t="s">
        <v>551</v>
      </c>
      <c r="E720" s="278">
        <v>0</v>
      </c>
      <c r="F720" s="278">
        <v>0</v>
      </c>
      <c r="G720" s="278">
        <v>0</v>
      </c>
      <c r="H720" s="278">
        <v>0</v>
      </c>
      <c r="I720" s="278">
        <v>0</v>
      </c>
      <c r="J720" s="278">
        <v>1.5428917886504976E-2</v>
      </c>
      <c r="K720" s="278">
        <v>0</v>
      </c>
      <c r="L720" s="278">
        <v>0</v>
      </c>
      <c r="M720" s="278">
        <v>0</v>
      </c>
      <c r="N720" s="278">
        <v>0.40789629806647021</v>
      </c>
      <c r="O720" s="278">
        <v>0</v>
      </c>
      <c r="P720" s="278">
        <v>0.39913936504313302</v>
      </c>
      <c r="Q720" s="278">
        <v>3.08578357702456E-2</v>
      </c>
      <c r="R720" s="278">
        <v>0</v>
      </c>
      <c r="S720" s="278">
        <v>0.13382015166155883</v>
      </c>
      <c r="T720" s="278">
        <v>1.2857431572087477E-2</v>
      </c>
      <c r="U720" s="278">
        <v>0</v>
      </c>
      <c r="V720" s="278">
        <v>0</v>
      </c>
      <c r="W720" s="278">
        <v>0</v>
      </c>
      <c r="X720" s="278">
        <f t="shared" si="26"/>
        <v>1</v>
      </c>
      <c r="Y720" s="346"/>
      <c r="Z720" s="224" t="s">
        <v>663</v>
      </c>
      <c r="AA720" s="157" t="s">
        <v>649</v>
      </c>
      <c r="AB720" s="259" t="s">
        <v>2821</v>
      </c>
      <c r="AC720" s="530" t="s">
        <v>3015</v>
      </c>
      <c r="AD720" s="159"/>
    </row>
    <row r="721" spans="1:30" x14ac:dyDescent="0.2">
      <c r="A721" s="259" t="s">
        <v>2821</v>
      </c>
      <c r="B721" s="396"/>
      <c r="C721" s="395" t="s">
        <v>2904</v>
      </c>
      <c r="D721" s="396" t="s">
        <v>555</v>
      </c>
      <c r="E721" s="278">
        <v>0</v>
      </c>
      <c r="F721" s="278">
        <v>0</v>
      </c>
      <c r="G721" s="278">
        <v>0</v>
      </c>
      <c r="H721" s="278">
        <v>0</v>
      </c>
      <c r="I721" s="278">
        <v>0</v>
      </c>
      <c r="J721" s="278">
        <v>0</v>
      </c>
      <c r="K721" s="278">
        <v>0</v>
      </c>
      <c r="L721" s="278">
        <v>0</v>
      </c>
      <c r="M721" s="278">
        <v>0</v>
      </c>
      <c r="N721" s="278">
        <v>0.66377548122534002</v>
      </c>
      <c r="O721" s="278">
        <v>0</v>
      </c>
      <c r="P721" s="278">
        <v>0.14391876406700388</v>
      </c>
      <c r="Q721" s="278">
        <v>0</v>
      </c>
      <c r="R721" s="278">
        <v>0</v>
      </c>
      <c r="S721" s="278">
        <v>5.84531595595216E-2</v>
      </c>
      <c r="T721" s="278">
        <v>0.13385259514813455</v>
      </c>
      <c r="U721" s="278">
        <v>0</v>
      </c>
      <c r="V721" s="278">
        <v>0</v>
      </c>
      <c r="W721" s="278">
        <v>0</v>
      </c>
      <c r="X721" s="278">
        <f t="shared" si="26"/>
        <v>1</v>
      </c>
      <c r="Y721" s="346"/>
      <c r="Z721" s="224" t="s">
        <v>663</v>
      </c>
      <c r="AA721" s="157" t="s">
        <v>649</v>
      </c>
      <c r="AB721" s="259" t="s">
        <v>2821</v>
      </c>
      <c r="AC721" s="530" t="s">
        <v>3015</v>
      </c>
      <c r="AD721" s="159"/>
    </row>
    <row r="722" spans="1:30" x14ac:dyDescent="0.2">
      <c r="A722" s="259" t="s">
        <v>2821</v>
      </c>
      <c r="B722" s="396"/>
      <c r="C722" s="395" t="s">
        <v>2905</v>
      </c>
      <c r="D722" s="396" t="s">
        <v>557</v>
      </c>
      <c r="E722" s="278">
        <v>0</v>
      </c>
      <c r="F722" s="278">
        <v>0</v>
      </c>
      <c r="G722" s="278">
        <v>0</v>
      </c>
      <c r="H722" s="278">
        <v>0</v>
      </c>
      <c r="I722" s="278">
        <v>0</v>
      </c>
      <c r="J722" s="278">
        <v>0</v>
      </c>
      <c r="K722" s="278">
        <v>0</v>
      </c>
      <c r="L722" s="278">
        <v>0</v>
      </c>
      <c r="M722" s="278">
        <v>0</v>
      </c>
      <c r="N722" s="278">
        <v>0</v>
      </c>
      <c r="O722" s="278">
        <v>0.61092902936771587</v>
      </c>
      <c r="P722" s="278">
        <v>4.934701776225707E-2</v>
      </c>
      <c r="Q722" s="278">
        <v>0</v>
      </c>
      <c r="R722" s="278">
        <v>0</v>
      </c>
      <c r="S722" s="278">
        <v>0.3397239528700271</v>
      </c>
      <c r="T722" s="278">
        <v>0</v>
      </c>
      <c r="U722" s="278">
        <v>0</v>
      </c>
      <c r="V722" s="278">
        <v>0</v>
      </c>
      <c r="W722" s="278">
        <v>0</v>
      </c>
      <c r="X722" s="278">
        <f t="shared" si="26"/>
        <v>1</v>
      </c>
      <c r="Y722" s="346"/>
      <c r="Z722" s="224" t="s">
        <v>663</v>
      </c>
      <c r="AA722" s="157" t="s">
        <v>649</v>
      </c>
      <c r="AB722" s="259" t="s">
        <v>2821</v>
      </c>
      <c r="AC722" s="530" t="s">
        <v>3015</v>
      </c>
      <c r="AD722" s="159"/>
    </row>
    <row r="723" spans="1:30" x14ac:dyDescent="0.2">
      <c r="A723" s="259" t="s">
        <v>2821</v>
      </c>
      <c r="B723" s="396"/>
      <c r="C723" s="395" t="s">
        <v>2359</v>
      </c>
      <c r="D723" s="396" t="s">
        <v>559</v>
      </c>
      <c r="E723" s="278">
        <v>0</v>
      </c>
      <c r="F723" s="278">
        <v>0</v>
      </c>
      <c r="G723" s="278">
        <v>0</v>
      </c>
      <c r="H723" s="278">
        <v>0</v>
      </c>
      <c r="I723" s="278">
        <v>0</v>
      </c>
      <c r="J723" s="278">
        <v>0</v>
      </c>
      <c r="K723" s="278">
        <v>0</v>
      </c>
      <c r="L723" s="278">
        <v>0</v>
      </c>
      <c r="M723" s="278">
        <v>0</v>
      </c>
      <c r="N723" s="278">
        <v>7.8811296876605229E-4</v>
      </c>
      <c r="O723" s="278">
        <v>0</v>
      </c>
      <c r="P723" s="278">
        <v>0</v>
      </c>
      <c r="Q723" s="278">
        <v>0</v>
      </c>
      <c r="R723" s="278">
        <v>0</v>
      </c>
      <c r="S723" s="278">
        <v>0</v>
      </c>
      <c r="T723" s="278">
        <v>0.9876705994206223</v>
      </c>
      <c r="U723" s="278">
        <v>0</v>
      </c>
      <c r="V723" s="278">
        <v>0</v>
      </c>
      <c r="W723" s="278">
        <v>1.154128761061173E-2</v>
      </c>
      <c r="X723" s="278">
        <f t="shared" si="26"/>
        <v>1</v>
      </c>
      <c r="Y723" s="346"/>
      <c r="Z723" s="224" t="s">
        <v>663</v>
      </c>
      <c r="AA723" s="157" t="s">
        <v>649</v>
      </c>
      <c r="AB723" s="259" t="s">
        <v>2821</v>
      </c>
      <c r="AC723" s="530" t="s">
        <v>3015</v>
      </c>
      <c r="AD723" s="159"/>
    </row>
    <row r="724" spans="1:30" x14ac:dyDescent="0.2">
      <c r="A724" s="316" t="s">
        <v>2821</v>
      </c>
      <c r="B724" s="396"/>
      <c r="C724" s="408" t="s">
        <v>2906</v>
      </c>
      <c r="D724" s="409" t="s">
        <v>561</v>
      </c>
      <c r="E724" s="278">
        <v>0</v>
      </c>
      <c r="F724" s="278">
        <v>0</v>
      </c>
      <c r="G724" s="278">
        <v>0</v>
      </c>
      <c r="H724" s="278">
        <v>0</v>
      </c>
      <c r="I724" s="278">
        <v>0</v>
      </c>
      <c r="J724" s="278">
        <v>0</v>
      </c>
      <c r="K724" s="278">
        <v>0</v>
      </c>
      <c r="L724" s="278">
        <v>0</v>
      </c>
      <c r="M724" s="278">
        <v>0</v>
      </c>
      <c r="N724" s="278">
        <v>0.91754625676654367</v>
      </c>
      <c r="O724" s="278">
        <v>0</v>
      </c>
      <c r="P724" s="278">
        <v>6.3809595525689169E-2</v>
      </c>
      <c r="Q724" s="278">
        <v>0</v>
      </c>
      <c r="R724" s="278">
        <v>0</v>
      </c>
      <c r="S724" s="278">
        <v>1.3983110780825307E-2</v>
      </c>
      <c r="T724" s="278">
        <v>0</v>
      </c>
      <c r="U724" s="278">
        <v>4.6610369269417693E-3</v>
      </c>
      <c r="V724" s="278">
        <v>0</v>
      </c>
      <c r="W724" s="278">
        <v>0</v>
      </c>
      <c r="X724" s="278">
        <f t="shared" si="26"/>
        <v>0.99999999999999989</v>
      </c>
      <c r="Y724" s="346"/>
      <c r="Z724" s="224" t="s">
        <v>663</v>
      </c>
      <c r="AA724" s="157" t="s">
        <v>649</v>
      </c>
      <c r="AB724" s="259" t="s">
        <v>2821</v>
      </c>
      <c r="AC724" s="530" t="s">
        <v>3015</v>
      </c>
      <c r="AD724" s="159"/>
    </row>
    <row r="725" spans="1:30" x14ac:dyDescent="0.2">
      <c r="A725" s="397"/>
      <c r="B725" s="397"/>
      <c r="C725" s="398" t="s">
        <v>2594</v>
      </c>
      <c r="D725" s="397" t="s">
        <v>562</v>
      </c>
      <c r="E725" s="401">
        <v>0</v>
      </c>
      <c r="F725" s="401">
        <v>0</v>
      </c>
      <c r="G725" s="401">
        <v>0</v>
      </c>
      <c r="H725" s="401">
        <v>0</v>
      </c>
      <c r="I725" s="401">
        <v>0</v>
      </c>
      <c r="J725" s="401">
        <v>0</v>
      </c>
      <c r="K725" s="401">
        <v>0</v>
      </c>
      <c r="L725" s="401">
        <v>0</v>
      </c>
      <c r="M725" s="401">
        <v>0</v>
      </c>
      <c r="N725" s="401">
        <v>0.6</v>
      </c>
      <c r="O725" s="401">
        <v>0</v>
      </c>
      <c r="P725" s="401">
        <v>0</v>
      </c>
      <c r="Q725" s="401">
        <v>0</v>
      </c>
      <c r="R725" s="401">
        <v>0</v>
      </c>
      <c r="S725" s="401">
        <v>0.4</v>
      </c>
      <c r="T725" s="401">
        <v>0</v>
      </c>
      <c r="U725" s="401">
        <v>0</v>
      </c>
      <c r="V725" s="401">
        <v>0</v>
      </c>
      <c r="W725" s="401">
        <v>0</v>
      </c>
      <c r="X725" s="401">
        <f>SUM(E725:W725)</f>
        <v>1</v>
      </c>
      <c r="Y725" s="346"/>
      <c r="Z725" s="224" t="s">
        <v>663</v>
      </c>
      <c r="AA725" s="157" t="s">
        <v>663</v>
      </c>
      <c r="AB725" s="397"/>
      <c r="AC725" s="530" t="s">
        <v>3015</v>
      </c>
      <c r="AD725" s="159"/>
    </row>
    <row r="726" spans="1:30" x14ac:dyDescent="0.2">
      <c r="A726" s="292" t="s">
        <v>2821</v>
      </c>
      <c r="B726" s="396"/>
      <c r="C726" s="395" t="s">
        <v>2907</v>
      </c>
      <c r="D726" s="396" t="s">
        <v>564</v>
      </c>
      <c r="E726" s="278">
        <v>0</v>
      </c>
      <c r="F726" s="278">
        <v>0</v>
      </c>
      <c r="G726" s="278">
        <v>0</v>
      </c>
      <c r="H726" s="278">
        <v>0</v>
      </c>
      <c r="I726" s="278">
        <v>0</v>
      </c>
      <c r="J726" s="278">
        <v>0</v>
      </c>
      <c r="K726" s="278">
        <v>0</v>
      </c>
      <c r="L726" s="278">
        <v>0</v>
      </c>
      <c r="M726" s="278">
        <v>0</v>
      </c>
      <c r="N726" s="278">
        <v>0</v>
      </c>
      <c r="O726" s="278">
        <v>0.9508983126936974</v>
      </c>
      <c r="P726" s="278">
        <v>1.0706017054121249E-2</v>
      </c>
      <c r="Q726" s="278">
        <v>3.839567025218122E-2</v>
      </c>
      <c r="R726" s="278">
        <v>0</v>
      </c>
      <c r="S726" s="278">
        <v>0</v>
      </c>
      <c r="T726" s="278">
        <v>0</v>
      </c>
      <c r="U726" s="278">
        <v>0</v>
      </c>
      <c r="V726" s="278">
        <v>0</v>
      </c>
      <c r="W726" s="278">
        <v>0</v>
      </c>
      <c r="X726" s="278">
        <f>SUBTOTAL(9,E726:W726)</f>
        <v>0.99999999999999989</v>
      </c>
      <c r="Y726" s="346"/>
      <c r="Z726" s="224" t="s">
        <v>663</v>
      </c>
      <c r="AA726" s="157" t="s">
        <v>649</v>
      </c>
      <c r="AB726" s="259" t="s">
        <v>2821</v>
      </c>
      <c r="AC726" s="530" t="s">
        <v>3015</v>
      </c>
      <c r="AD726" s="159"/>
    </row>
    <row r="727" spans="1:30" x14ac:dyDescent="0.2">
      <c r="A727" s="316" t="s">
        <v>2821</v>
      </c>
      <c r="B727" s="396"/>
      <c r="C727" s="408" t="s">
        <v>2356</v>
      </c>
      <c r="D727" s="409" t="s">
        <v>566</v>
      </c>
      <c r="E727" s="278">
        <v>0</v>
      </c>
      <c r="F727" s="278">
        <v>0</v>
      </c>
      <c r="G727" s="278">
        <v>0</v>
      </c>
      <c r="H727" s="278">
        <v>0</v>
      </c>
      <c r="I727" s="278">
        <v>0</v>
      </c>
      <c r="J727" s="278">
        <v>9.8711046751252304E-3</v>
      </c>
      <c r="K727" s="278">
        <v>0</v>
      </c>
      <c r="L727" s="278">
        <v>0</v>
      </c>
      <c r="M727" s="278">
        <v>0</v>
      </c>
      <c r="N727" s="278">
        <v>0</v>
      </c>
      <c r="O727" s="278">
        <v>0</v>
      </c>
      <c r="P727" s="278">
        <v>0.2708504374340589</v>
      </c>
      <c r="Q727" s="278">
        <v>0.7192784578908159</v>
      </c>
      <c r="R727" s="278">
        <v>0</v>
      </c>
      <c r="S727" s="278">
        <v>0</v>
      </c>
      <c r="T727" s="278">
        <v>0</v>
      </c>
      <c r="U727" s="278">
        <v>0</v>
      </c>
      <c r="V727" s="278">
        <v>0</v>
      </c>
      <c r="W727" s="278">
        <v>0</v>
      </c>
      <c r="X727" s="278">
        <f>SUBTOTAL(9,E727:W727)</f>
        <v>1</v>
      </c>
      <c r="Y727" s="346"/>
      <c r="Z727" s="224" t="s">
        <v>663</v>
      </c>
      <c r="AA727" s="157" t="s">
        <v>649</v>
      </c>
      <c r="AB727" s="259" t="s">
        <v>2821</v>
      </c>
      <c r="AC727" s="530" t="s">
        <v>3015</v>
      </c>
      <c r="AD727" s="159"/>
    </row>
    <row r="728" spans="1:30" x14ac:dyDescent="0.2">
      <c r="A728" s="293" t="s">
        <v>2597</v>
      </c>
      <c r="B728" s="403"/>
      <c r="C728" s="404" t="s">
        <v>2355</v>
      </c>
      <c r="D728" s="403" t="s">
        <v>568</v>
      </c>
      <c r="E728" s="405"/>
      <c r="F728" s="405"/>
      <c r="G728" s="405"/>
      <c r="H728" s="405"/>
      <c r="I728" s="405"/>
      <c r="J728" s="405"/>
      <c r="K728" s="405"/>
      <c r="L728" s="405"/>
      <c r="M728" s="405"/>
      <c r="N728" s="405"/>
      <c r="O728" s="405"/>
      <c r="P728" s="405"/>
      <c r="Q728" s="405"/>
      <c r="R728" s="405"/>
      <c r="S728" s="405"/>
      <c r="T728" s="405"/>
      <c r="U728" s="405"/>
      <c r="V728" s="405"/>
      <c r="W728" s="405">
        <v>1</v>
      </c>
      <c r="X728" s="405">
        <f>SUM(E728:W728)</f>
        <v>1</v>
      </c>
      <c r="Y728" s="346"/>
      <c r="Z728" s="224" t="s">
        <v>663</v>
      </c>
      <c r="AA728" s="157" t="s">
        <v>663</v>
      </c>
      <c r="AB728" s="293" t="s">
        <v>2597</v>
      </c>
      <c r="AC728" s="530" t="s">
        <v>3015</v>
      </c>
      <c r="AD728" s="159"/>
    </row>
    <row r="729" spans="1:30" x14ac:dyDescent="0.2">
      <c r="A729" s="293" t="s">
        <v>2597</v>
      </c>
      <c r="B729" s="403"/>
      <c r="C729" s="404" t="s">
        <v>2254</v>
      </c>
      <c r="D729" s="403" t="s">
        <v>570</v>
      </c>
      <c r="E729" s="405"/>
      <c r="F729" s="405"/>
      <c r="G729" s="405"/>
      <c r="H729" s="405"/>
      <c r="I729" s="405"/>
      <c r="J729" s="405"/>
      <c r="K729" s="405"/>
      <c r="L729" s="405"/>
      <c r="M729" s="405"/>
      <c r="N729" s="405"/>
      <c r="O729" s="405"/>
      <c r="P729" s="405"/>
      <c r="Q729" s="405"/>
      <c r="R729" s="405"/>
      <c r="S729" s="405"/>
      <c r="T729" s="417">
        <f>99.2861203922573%*0</f>
        <v>0</v>
      </c>
      <c r="U729" s="405"/>
      <c r="V729" s="405"/>
      <c r="W729" s="417">
        <f>0.713879607742739%*0+1</f>
        <v>1</v>
      </c>
      <c r="X729" s="405">
        <f>SUM(E729:W729)</f>
        <v>1</v>
      </c>
      <c r="Y729" s="346" t="s">
        <v>2975</v>
      </c>
      <c r="Z729" s="224" t="s">
        <v>663</v>
      </c>
      <c r="AA729" s="157" t="s">
        <v>663</v>
      </c>
      <c r="AB729" s="293" t="s">
        <v>2597</v>
      </c>
      <c r="AC729" s="530">
        <v>9111404.5713539328</v>
      </c>
      <c r="AD729" s="159"/>
    </row>
    <row r="730" spans="1:30" x14ac:dyDescent="0.2">
      <c r="A730" s="292" t="s">
        <v>2821</v>
      </c>
      <c r="B730" s="396"/>
      <c r="C730" s="395" t="s">
        <v>2908</v>
      </c>
      <c r="D730" s="396" t="s">
        <v>572</v>
      </c>
      <c r="E730" s="278">
        <v>0</v>
      </c>
      <c r="F730" s="278">
        <v>2.6106899965632317E-2</v>
      </c>
      <c r="G730" s="278">
        <v>0.16177074430254343</v>
      </c>
      <c r="H730" s="278">
        <v>0</v>
      </c>
      <c r="I730" s="278">
        <v>0</v>
      </c>
      <c r="J730" s="278">
        <v>0</v>
      </c>
      <c r="K730" s="278">
        <v>0</v>
      </c>
      <c r="L730" s="278">
        <v>0</v>
      </c>
      <c r="M730" s="278">
        <v>0</v>
      </c>
      <c r="N730" s="278">
        <v>0.44869940966227667</v>
      </c>
      <c r="O730" s="278">
        <v>0</v>
      </c>
      <c r="P730" s="278">
        <v>9.3520351622760664E-2</v>
      </c>
      <c r="Q730" s="278">
        <v>0</v>
      </c>
      <c r="R730" s="278">
        <v>0</v>
      </c>
      <c r="S730" s="278">
        <v>0.19533586128296904</v>
      </c>
      <c r="T730" s="278">
        <v>7.3249299715693883E-2</v>
      </c>
      <c r="U730" s="278">
        <v>1.3174334481239906E-3</v>
      </c>
      <c r="V730" s="278">
        <v>0</v>
      </c>
      <c r="W730" s="278">
        <v>0</v>
      </c>
      <c r="X730" s="278">
        <f>SUBTOTAL(9,E730:W730)</f>
        <v>0.99999999999999989</v>
      </c>
      <c r="Y730" s="346"/>
      <c r="Z730" s="224" t="s">
        <v>663</v>
      </c>
      <c r="AA730" s="157" t="s">
        <v>649</v>
      </c>
      <c r="AB730" s="259" t="s">
        <v>2821</v>
      </c>
      <c r="AC730" s="530">
        <v>6679792.4555619564</v>
      </c>
      <c r="AD730" s="159"/>
    </row>
    <row r="731" spans="1:30" x14ac:dyDescent="0.2">
      <c r="A731" s="316" t="s">
        <v>2821</v>
      </c>
      <c r="B731" s="396"/>
      <c r="C731" s="395" t="s">
        <v>2909</v>
      </c>
      <c r="D731" s="396" t="s">
        <v>2324</v>
      </c>
      <c r="E731" s="278">
        <v>0</v>
      </c>
      <c r="F731" s="278">
        <v>0</v>
      </c>
      <c r="G731" s="278">
        <v>0</v>
      </c>
      <c r="H731" s="278">
        <v>1</v>
      </c>
      <c r="I731" s="278">
        <v>0</v>
      </c>
      <c r="J731" s="278">
        <v>0</v>
      </c>
      <c r="K731" s="278">
        <v>0</v>
      </c>
      <c r="L731" s="278">
        <v>0</v>
      </c>
      <c r="M731" s="278">
        <v>0</v>
      </c>
      <c r="N731" s="278">
        <v>0</v>
      </c>
      <c r="O731" s="278">
        <v>0</v>
      </c>
      <c r="P731" s="278">
        <v>0</v>
      </c>
      <c r="Q731" s="278">
        <v>0</v>
      </c>
      <c r="R731" s="278">
        <v>0</v>
      </c>
      <c r="S731" s="278">
        <v>0</v>
      </c>
      <c r="T731" s="278">
        <v>0</v>
      </c>
      <c r="U731" s="278">
        <v>0</v>
      </c>
      <c r="V731" s="278">
        <v>0</v>
      </c>
      <c r="W731" s="278">
        <v>0</v>
      </c>
      <c r="X731" s="278">
        <f>SUBTOTAL(9,E731:W731)</f>
        <v>1</v>
      </c>
      <c r="Y731" s="346"/>
      <c r="Z731" s="224" t="s">
        <v>663</v>
      </c>
      <c r="AA731" s="157" t="s">
        <v>649</v>
      </c>
      <c r="AB731" s="259" t="s">
        <v>2821</v>
      </c>
      <c r="AC731" s="530">
        <v>353979.99840062123</v>
      </c>
      <c r="AD731" s="159"/>
    </row>
    <row r="732" spans="1:30" x14ac:dyDescent="0.2">
      <c r="A732" s="397"/>
      <c r="B732" s="397"/>
      <c r="C732" s="398" t="s">
        <v>2910</v>
      </c>
      <c r="D732" s="397" t="s">
        <v>574</v>
      </c>
      <c r="E732" s="399"/>
      <c r="F732" s="399"/>
      <c r="G732" s="399"/>
      <c r="H732" s="399"/>
      <c r="I732" s="399"/>
      <c r="J732" s="399"/>
      <c r="K732" s="399"/>
      <c r="L732" s="399"/>
      <c r="M732" s="399"/>
      <c r="N732" s="399"/>
      <c r="O732" s="399"/>
      <c r="P732" s="399"/>
      <c r="Q732" s="399"/>
      <c r="R732" s="399"/>
      <c r="S732" s="399"/>
      <c r="T732" s="399"/>
      <c r="U732" s="399"/>
      <c r="V732" s="399"/>
      <c r="W732" s="399"/>
      <c r="X732" s="400">
        <f>SUM(E732:W732)</f>
        <v>0</v>
      </c>
      <c r="Y732" s="346"/>
      <c r="Z732" s="224" t="s">
        <v>663</v>
      </c>
      <c r="AA732" s="157" t="s">
        <v>663</v>
      </c>
      <c r="AB732" s="397"/>
      <c r="AC732" s="530" t="s">
        <v>3015</v>
      </c>
      <c r="AD732" s="159"/>
    </row>
    <row r="733" spans="1:30" x14ac:dyDescent="0.2">
      <c r="A733" s="292" t="s">
        <v>2821</v>
      </c>
      <c r="B733" s="396"/>
      <c r="C733" s="410" t="s">
        <v>2911</v>
      </c>
      <c r="D733" s="411" t="s">
        <v>580</v>
      </c>
      <c r="E733" s="278">
        <v>0</v>
      </c>
      <c r="F733" s="278">
        <v>0</v>
      </c>
      <c r="G733" s="278">
        <v>0</v>
      </c>
      <c r="H733" s="278">
        <v>0</v>
      </c>
      <c r="I733" s="278">
        <v>0</v>
      </c>
      <c r="J733" s="278">
        <v>0</v>
      </c>
      <c r="K733" s="278">
        <v>0</v>
      </c>
      <c r="L733" s="278">
        <v>0</v>
      </c>
      <c r="M733" s="278">
        <v>0</v>
      </c>
      <c r="N733" s="278">
        <v>0.7151102790576227</v>
      </c>
      <c r="O733" s="278">
        <v>0</v>
      </c>
      <c r="P733" s="278">
        <v>0.13870410379401654</v>
      </c>
      <c r="Q733" s="278">
        <v>0</v>
      </c>
      <c r="R733" s="278">
        <v>0</v>
      </c>
      <c r="S733" s="278">
        <v>0.11245924314241502</v>
      </c>
      <c r="T733" s="278">
        <v>3.3726374005945664E-2</v>
      </c>
      <c r="U733" s="278">
        <v>0</v>
      </c>
      <c r="V733" s="278">
        <v>0</v>
      </c>
      <c r="W733" s="278">
        <v>0</v>
      </c>
      <c r="X733" s="278">
        <f>SUBTOTAL(9,E733:W733)</f>
        <v>1</v>
      </c>
      <c r="Y733" s="346"/>
      <c r="Z733" s="224" t="s">
        <v>663</v>
      </c>
      <c r="AA733" s="157" t="s">
        <v>649</v>
      </c>
      <c r="AB733" s="259" t="s">
        <v>2821</v>
      </c>
      <c r="AC733" s="530">
        <v>2224855.3933574934</v>
      </c>
      <c r="AD733" s="159"/>
    </row>
    <row r="734" spans="1:30" x14ac:dyDescent="0.2">
      <c r="A734" s="316" t="s">
        <v>2821</v>
      </c>
      <c r="B734" s="396"/>
      <c r="C734" s="408" t="s">
        <v>2912</v>
      </c>
      <c r="D734" s="409" t="s">
        <v>582</v>
      </c>
      <c r="E734" s="278">
        <v>0</v>
      </c>
      <c r="F734" s="278">
        <v>0</v>
      </c>
      <c r="G734" s="278">
        <v>0</v>
      </c>
      <c r="H734" s="278">
        <v>0</v>
      </c>
      <c r="I734" s="278">
        <v>0</v>
      </c>
      <c r="J734" s="278">
        <v>0</v>
      </c>
      <c r="K734" s="278">
        <v>0</v>
      </c>
      <c r="L734" s="278">
        <v>0</v>
      </c>
      <c r="M734" s="278">
        <v>0</v>
      </c>
      <c r="N734" s="278">
        <v>9.1665507593874859E-2</v>
      </c>
      <c r="O734" s="278">
        <v>0</v>
      </c>
      <c r="P734" s="278">
        <v>1.443234156225855E-3</v>
      </c>
      <c r="Q734" s="278">
        <v>0</v>
      </c>
      <c r="R734" s="278">
        <v>0</v>
      </c>
      <c r="S734" s="278">
        <v>0.90689125824989925</v>
      </c>
      <c r="T734" s="278">
        <v>0</v>
      </c>
      <c r="U734" s="278">
        <v>0</v>
      </c>
      <c r="V734" s="278">
        <v>0</v>
      </c>
      <c r="W734" s="278">
        <v>0</v>
      </c>
      <c r="X734" s="278">
        <f>SUBTOTAL(9,E734:W734)</f>
        <v>1</v>
      </c>
      <c r="Y734" s="346"/>
      <c r="Z734" s="224" t="s">
        <v>663</v>
      </c>
      <c r="AA734" s="157" t="s">
        <v>649</v>
      </c>
      <c r="AB734" s="259" t="s">
        <v>2821</v>
      </c>
      <c r="AC734" s="530">
        <v>5539513.7228702214</v>
      </c>
      <c r="AD734" s="159"/>
    </row>
    <row r="735" spans="1:30" x14ac:dyDescent="0.2">
      <c r="A735" s="397"/>
      <c r="B735" s="397"/>
      <c r="C735" s="398" t="s">
        <v>2913</v>
      </c>
      <c r="D735" s="397" t="s">
        <v>583</v>
      </c>
      <c r="E735" s="399"/>
      <c r="F735" s="399"/>
      <c r="G735" s="399"/>
      <c r="H735" s="399"/>
      <c r="I735" s="399"/>
      <c r="J735" s="399"/>
      <c r="K735" s="399"/>
      <c r="L735" s="399"/>
      <c r="M735" s="399"/>
      <c r="N735" s="399"/>
      <c r="O735" s="399"/>
      <c r="P735" s="399"/>
      <c r="Q735" s="399"/>
      <c r="R735" s="399"/>
      <c r="S735" s="399"/>
      <c r="T735" s="399"/>
      <c r="U735" s="399"/>
      <c r="V735" s="399"/>
      <c r="W735" s="399"/>
      <c r="X735" s="400">
        <f>SUM(E735:W735)</f>
        <v>0</v>
      </c>
      <c r="Y735" s="346"/>
      <c r="Z735" s="224" t="s">
        <v>663</v>
      </c>
      <c r="AA735" s="157" t="s">
        <v>663</v>
      </c>
      <c r="AB735" s="397"/>
      <c r="AC735" s="530" t="s">
        <v>3015</v>
      </c>
      <c r="AD735" s="159"/>
    </row>
    <row r="736" spans="1:30" x14ac:dyDescent="0.2">
      <c r="A736" s="397"/>
      <c r="B736" s="397"/>
      <c r="C736" s="398" t="s">
        <v>2255</v>
      </c>
      <c r="D736" s="397" t="s">
        <v>2325</v>
      </c>
      <c r="E736" s="399"/>
      <c r="F736" s="399"/>
      <c r="G736" s="399"/>
      <c r="H736" s="399"/>
      <c r="I736" s="399"/>
      <c r="J736" s="399"/>
      <c r="K736" s="399"/>
      <c r="L736" s="399"/>
      <c r="M736" s="399"/>
      <c r="N736" s="399"/>
      <c r="O736" s="399"/>
      <c r="P736" s="399"/>
      <c r="Q736" s="399"/>
      <c r="R736" s="399"/>
      <c r="S736" s="399"/>
      <c r="T736" s="399"/>
      <c r="U736" s="399"/>
      <c r="V736" s="399"/>
      <c r="W736" s="399"/>
      <c r="X736" s="400">
        <f>SUM(E736:W736)</f>
        <v>0</v>
      </c>
      <c r="Y736" s="346"/>
      <c r="Z736" s="224" t="s">
        <v>663</v>
      </c>
      <c r="AA736" s="157" t="s">
        <v>663</v>
      </c>
      <c r="AB736" s="397"/>
      <c r="AC736" s="530" t="s">
        <v>3015</v>
      </c>
      <c r="AD736" s="159"/>
    </row>
    <row r="737" spans="1:30" x14ac:dyDescent="0.2">
      <c r="A737" s="276" t="s">
        <v>2821</v>
      </c>
      <c r="B737" s="396"/>
      <c r="C737" s="395" t="s">
        <v>2914</v>
      </c>
      <c r="D737" s="396" t="s">
        <v>2326</v>
      </c>
      <c r="E737" s="278">
        <v>0</v>
      </c>
      <c r="F737" s="278">
        <v>0</v>
      </c>
      <c r="G737" s="278">
        <v>0</v>
      </c>
      <c r="H737" s="278">
        <v>1</v>
      </c>
      <c r="I737" s="278">
        <v>0</v>
      </c>
      <c r="J737" s="278">
        <v>0</v>
      </c>
      <c r="K737" s="278">
        <v>0</v>
      </c>
      <c r="L737" s="278">
        <v>0</v>
      </c>
      <c r="M737" s="278">
        <v>0</v>
      </c>
      <c r="N737" s="278">
        <v>0</v>
      </c>
      <c r="O737" s="278">
        <v>0</v>
      </c>
      <c r="P737" s="278">
        <v>0</v>
      </c>
      <c r="Q737" s="278">
        <v>0</v>
      </c>
      <c r="R737" s="278">
        <v>0</v>
      </c>
      <c r="S737" s="278">
        <v>0</v>
      </c>
      <c r="T737" s="278">
        <v>0</v>
      </c>
      <c r="U737" s="278">
        <v>0</v>
      </c>
      <c r="V737" s="278">
        <v>0</v>
      </c>
      <c r="W737" s="278">
        <v>0</v>
      </c>
      <c r="X737" s="278">
        <f>SUBTOTAL(9,E737:W737)</f>
        <v>1</v>
      </c>
      <c r="Y737" s="346"/>
      <c r="Z737" s="224" t="s">
        <v>663</v>
      </c>
      <c r="AA737" s="157" t="s">
        <v>649</v>
      </c>
      <c r="AB737" s="259" t="s">
        <v>2821</v>
      </c>
      <c r="AC737" s="530">
        <v>19751.939258321909</v>
      </c>
      <c r="AD737" s="159"/>
    </row>
    <row r="738" spans="1:30" x14ac:dyDescent="0.2">
      <c r="A738" s="293" t="s">
        <v>2597</v>
      </c>
      <c r="B738" s="403"/>
      <c r="C738" s="404" t="s">
        <v>2256</v>
      </c>
      <c r="D738" s="403" t="s">
        <v>587</v>
      </c>
      <c r="E738" s="297"/>
      <c r="F738" s="297"/>
      <c r="G738" s="297"/>
      <c r="H738" s="297">
        <v>1</v>
      </c>
      <c r="I738" s="297"/>
      <c r="J738" s="297"/>
      <c r="K738" s="297"/>
      <c r="L738" s="297"/>
      <c r="M738" s="297"/>
      <c r="N738" s="297"/>
      <c r="O738" s="297"/>
      <c r="P738" s="297"/>
      <c r="Q738" s="297"/>
      <c r="R738" s="297"/>
      <c r="S738" s="297"/>
      <c r="T738" s="297"/>
      <c r="U738" s="297"/>
      <c r="V738" s="297"/>
      <c r="W738" s="297"/>
      <c r="X738" s="412">
        <f>SUM(E738:W738)</f>
        <v>1</v>
      </c>
      <c r="Y738" s="346"/>
      <c r="Z738" s="224" t="s">
        <v>663</v>
      </c>
      <c r="AA738" s="157" t="s">
        <v>663</v>
      </c>
      <c r="AB738" s="293" t="s">
        <v>2597</v>
      </c>
      <c r="AC738" s="530">
        <v>1286434.9339215504</v>
      </c>
      <c r="AD738" s="159"/>
    </row>
    <row r="739" spans="1:30" x14ac:dyDescent="0.2">
      <c r="A739" s="292" t="s">
        <v>2821</v>
      </c>
      <c r="B739" s="396"/>
      <c r="C739" s="395" t="s">
        <v>2915</v>
      </c>
      <c r="D739" s="396" t="s">
        <v>591</v>
      </c>
      <c r="E739" s="278">
        <v>0</v>
      </c>
      <c r="F739" s="278">
        <v>0</v>
      </c>
      <c r="G739" s="278">
        <v>0</v>
      </c>
      <c r="H739" s="278">
        <v>1</v>
      </c>
      <c r="I739" s="278">
        <v>0</v>
      </c>
      <c r="J739" s="278">
        <v>0</v>
      </c>
      <c r="K739" s="278">
        <v>0</v>
      </c>
      <c r="L739" s="278">
        <v>0</v>
      </c>
      <c r="M739" s="278">
        <v>0</v>
      </c>
      <c r="N739" s="278">
        <v>0</v>
      </c>
      <c r="O739" s="278">
        <v>0</v>
      </c>
      <c r="P739" s="278">
        <v>0</v>
      </c>
      <c r="Q739" s="278">
        <v>0</v>
      </c>
      <c r="R739" s="278">
        <v>0</v>
      </c>
      <c r="S739" s="278">
        <v>0</v>
      </c>
      <c r="T739" s="278">
        <v>0</v>
      </c>
      <c r="U739" s="278">
        <v>0</v>
      </c>
      <c r="V739" s="278">
        <v>0</v>
      </c>
      <c r="W739" s="278">
        <v>0</v>
      </c>
      <c r="X739" s="278">
        <f>SUBTOTAL(9,E739:W739)</f>
        <v>1</v>
      </c>
      <c r="Y739" s="346"/>
      <c r="Z739" s="224" t="s">
        <v>663</v>
      </c>
      <c r="AA739" s="157" t="s">
        <v>649</v>
      </c>
      <c r="AB739" s="259" t="s">
        <v>2821</v>
      </c>
      <c r="AC739" s="530">
        <v>1136445.3853390829</v>
      </c>
      <c r="AD739" s="159"/>
    </row>
    <row r="740" spans="1:30" x14ac:dyDescent="0.2">
      <c r="A740" s="259" t="s">
        <v>2821</v>
      </c>
      <c r="B740" s="396"/>
      <c r="C740" s="395" t="s">
        <v>2916</v>
      </c>
      <c r="D740" s="396" t="s">
        <v>593</v>
      </c>
      <c r="E740" s="278">
        <v>0</v>
      </c>
      <c r="F740" s="278">
        <v>0</v>
      </c>
      <c r="G740" s="278">
        <v>0</v>
      </c>
      <c r="H740" s="278">
        <v>1</v>
      </c>
      <c r="I740" s="278">
        <v>0</v>
      </c>
      <c r="J740" s="278">
        <v>0</v>
      </c>
      <c r="K740" s="278">
        <v>0</v>
      </c>
      <c r="L740" s="278">
        <v>0</v>
      </c>
      <c r="M740" s="278">
        <v>0</v>
      </c>
      <c r="N740" s="278">
        <v>0</v>
      </c>
      <c r="O740" s="278">
        <v>0</v>
      </c>
      <c r="P740" s="278">
        <v>0</v>
      </c>
      <c r="Q740" s="278">
        <v>0</v>
      </c>
      <c r="R740" s="278">
        <v>0</v>
      </c>
      <c r="S740" s="278">
        <v>0</v>
      </c>
      <c r="T740" s="278">
        <v>0</v>
      </c>
      <c r="U740" s="278">
        <v>0</v>
      </c>
      <c r="V740" s="278">
        <v>0</v>
      </c>
      <c r="W740" s="278">
        <v>0</v>
      </c>
      <c r="X740" s="278">
        <f>SUBTOTAL(9,E740:W740)</f>
        <v>1</v>
      </c>
      <c r="Y740" s="346"/>
      <c r="Z740" s="224" t="s">
        <v>663</v>
      </c>
      <c r="AA740" s="157" t="s">
        <v>649</v>
      </c>
      <c r="AB740" s="259" t="s">
        <v>2821</v>
      </c>
      <c r="AC740" s="530">
        <v>1252132.2199146822</v>
      </c>
      <c r="AD740" s="159"/>
    </row>
    <row r="741" spans="1:30" x14ac:dyDescent="0.2">
      <c r="A741" s="259" t="s">
        <v>2821</v>
      </c>
      <c r="B741" s="396"/>
      <c r="C741" s="395" t="s">
        <v>2917</v>
      </c>
      <c r="D741" s="396" t="s">
        <v>595</v>
      </c>
      <c r="E741" s="278">
        <v>0</v>
      </c>
      <c r="F741" s="278">
        <v>0</v>
      </c>
      <c r="G741" s="278">
        <v>0</v>
      </c>
      <c r="H741" s="278">
        <v>1</v>
      </c>
      <c r="I741" s="278">
        <v>0</v>
      </c>
      <c r="J741" s="278">
        <v>0</v>
      </c>
      <c r="K741" s="278">
        <v>0</v>
      </c>
      <c r="L741" s="278">
        <v>0</v>
      </c>
      <c r="M741" s="278">
        <v>0</v>
      </c>
      <c r="N741" s="278">
        <v>0</v>
      </c>
      <c r="O741" s="278">
        <v>0</v>
      </c>
      <c r="P741" s="278">
        <v>0</v>
      </c>
      <c r="Q741" s="278">
        <v>0</v>
      </c>
      <c r="R741" s="278">
        <v>0</v>
      </c>
      <c r="S741" s="278">
        <v>0</v>
      </c>
      <c r="T741" s="278">
        <v>0</v>
      </c>
      <c r="U741" s="278">
        <v>0</v>
      </c>
      <c r="V741" s="278">
        <v>0</v>
      </c>
      <c r="W741" s="278">
        <v>0</v>
      </c>
      <c r="X741" s="278">
        <f>SUBTOTAL(9,E741:W741)</f>
        <v>1</v>
      </c>
      <c r="Y741" s="346"/>
      <c r="Z741" s="224" t="s">
        <v>663</v>
      </c>
      <c r="AA741" s="157" t="s">
        <v>649</v>
      </c>
      <c r="AB741" s="259" t="s">
        <v>2821</v>
      </c>
      <c r="AC741" s="530">
        <v>452904.40380415641</v>
      </c>
      <c r="AD741" s="159"/>
    </row>
    <row r="742" spans="1:30" x14ac:dyDescent="0.2">
      <c r="A742" s="316" t="s">
        <v>2821</v>
      </c>
      <c r="B742" s="396"/>
      <c r="C742" s="413" t="s">
        <v>2357</v>
      </c>
      <c r="D742" s="414" t="s">
        <v>597</v>
      </c>
      <c r="E742" s="278">
        <v>0</v>
      </c>
      <c r="F742" s="278">
        <v>6.6625178811027128E-2</v>
      </c>
      <c r="G742" s="278">
        <v>2.4623727083152296E-2</v>
      </c>
      <c r="H742" s="278">
        <v>0</v>
      </c>
      <c r="I742" s="278">
        <v>0</v>
      </c>
      <c r="J742" s="278">
        <v>0</v>
      </c>
      <c r="K742" s="278">
        <v>0</v>
      </c>
      <c r="L742" s="278">
        <v>0</v>
      </c>
      <c r="M742" s="278">
        <v>0</v>
      </c>
      <c r="N742" s="278">
        <v>1.5448232602996638E-2</v>
      </c>
      <c r="O742" s="278">
        <v>0</v>
      </c>
      <c r="P742" s="278">
        <v>1.4233026516009572E-3</v>
      </c>
      <c r="Q742" s="278">
        <v>0</v>
      </c>
      <c r="R742" s="278">
        <v>0</v>
      </c>
      <c r="S742" s="278">
        <v>0</v>
      </c>
      <c r="T742" s="278">
        <v>0.8686433753275592</v>
      </c>
      <c r="U742" s="278">
        <v>0</v>
      </c>
      <c r="V742" s="278">
        <v>0</v>
      </c>
      <c r="W742" s="278">
        <v>2.3236183523663752E-2</v>
      </c>
      <c r="X742" s="278">
        <f>SUBTOTAL(9,E742:W742)</f>
        <v>0.99999999999999989</v>
      </c>
      <c r="Y742" s="346"/>
      <c r="Z742" s="224" t="s">
        <v>663</v>
      </c>
      <c r="AA742" s="157" t="s">
        <v>649</v>
      </c>
      <c r="AB742" s="259" t="s">
        <v>2821</v>
      </c>
      <c r="AC742" s="530">
        <v>11994468.35462879</v>
      </c>
      <c r="AD742" s="159"/>
    </row>
    <row r="743" spans="1:30" x14ac:dyDescent="0.2">
      <c r="A743" s="397"/>
      <c r="B743" s="397"/>
      <c r="C743" s="398" t="s">
        <v>2918</v>
      </c>
      <c r="D743" s="397" t="s">
        <v>599</v>
      </c>
      <c r="E743" s="401">
        <v>0</v>
      </c>
      <c r="F743" s="401">
        <v>0</v>
      </c>
      <c r="G743" s="401">
        <v>0</v>
      </c>
      <c r="H743" s="401">
        <v>1</v>
      </c>
      <c r="I743" s="401">
        <v>0</v>
      </c>
      <c r="J743" s="401">
        <v>0</v>
      </c>
      <c r="K743" s="401">
        <v>0</v>
      </c>
      <c r="L743" s="401">
        <v>0</v>
      </c>
      <c r="M743" s="401">
        <v>0</v>
      </c>
      <c r="N743" s="401">
        <v>0</v>
      </c>
      <c r="O743" s="401">
        <v>0</v>
      </c>
      <c r="P743" s="401">
        <v>0</v>
      </c>
      <c r="Q743" s="401">
        <v>0</v>
      </c>
      <c r="R743" s="401">
        <v>0</v>
      </c>
      <c r="S743" s="401">
        <v>0</v>
      </c>
      <c r="T743" s="401">
        <v>0</v>
      </c>
      <c r="U743" s="401">
        <v>0</v>
      </c>
      <c r="V743" s="401">
        <v>0</v>
      </c>
      <c r="W743" s="401">
        <v>0</v>
      </c>
      <c r="X743" s="401">
        <f>SUM(E743:W743)</f>
        <v>1</v>
      </c>
      <c r="Y743" s="346"/>
      <c r="Z743" s="224" t="s">
        <v>663</v>
      </c>
      <c r="AA743" s="157" t="s">
        <v>663</v>
      </c>
      <c r="AB743" s="397"/>
      <c r="AC743" s="530" t="s">
        <v>3015</v>
      </c>
      <c r="AD743" s="159"/>
    </row>
    <row r="744" spans="1:30" x14ac:dyDescent="0.2">
      <c r="A744" s="397"/>
      <c r="B744" s="397"/>
      <c r="C744" s="398" t="s">
        <v>2257</v>
      </c>
      <c r="D744" s="397" t="s">
        <v>2327</v>
      </c>
      <c r="E744" s="399"/>
      <c r="F744" s="399"/>
      <c r="G744" s="399"/>
      <c r="H744" s="399"/>
      <c r="I744" s="399"/>
      <c r="J744" s="399"/>
      <c r="K744" s="399"/>
      <c r="L744" s="399"/>
      <c r="M744" s="399"/>
      <c r="N744" s="399"/>
      <c r="O744" s="399"/>
      <c r="P744" s="399"/>
      <c r="Q744" s="399"/>
      <c r="R744" s="399"/>
      <c r="S744" s="399"/>
      <c r="T744" s="399"/>
      <c r="U744" s="399"/>
      <c r="V744" s="399"/>
      <c r="W744" s="399"/>
      <c r="X744" s="400">
        <f>SUM(E744:W744)</f>
        <v>0</v>
      </c>
      <c r="Y744" s="346"/>
      <c r="Z744" s="224" t="s">
        <v>663</v>
      </c>
      <c r="AA744" s="157" t="s">
        <v>663</v>
      </c>
      <c r="AB744" s="397"/>
      <c r="AC744" s="530" t="s">
        <v>3015</v>
      </c>
      <c r="AD744" s="159"/>
    </row>
    <row r="745" spans="1:30" x14ac:dyDescent="0.2">
      <c r="A745" s="276" t="s">
        <v>2821</v>
      </c>
      <c r="B745" s="396"/>
      <c r="C745" s="395" t="s">
        <v>2258</v>
      </c>
      <c r="D745" s="396" t="s">
        <v>2328</v>
      </c>
      <c r="E745" s="278">
        <v>0</v>
      </c>
      <c r="F745" s="278">
        <v>0</v>
      </c>
      <c r="G745" s="278">
        <v>0</v>
      </c>
      <c r="H745" s="278">
        <v>1</v>
      </c>
      <c r="I745" s="278">
        <v>0</v>
      </c>
      <c r="J745" s="278">
        <v>0</v>
      </c>
      <c r="K745" s="278">
        <v>0</v>
      </c>
      <c r="L745" s="278">
        <v>0</v>
      </c>
      <c r="M745" s="278">
        <v>0</v>
      </c>
      <c r="N745" s="278">
        <v>0</v>
      </c>
      <c r="O745" s="278">
        <v>0</v>
      </c>
      <c r="P745" s="278">
        <v>0</v>
      </c>
      <c r="Q745" s="278">
        <v>0</v>
      </c>
      <c r="R745" s="278">
        <v>0</v>
      </c>
      <c r="S745" s="278">
        <v>0</v>
      </c>
      <c r="T745" s="278">
        <v>0</v>
      </c>
      <c r="U745" s="278">
        <v>0</v>
      </c>
      <c r="V745" s="278">
        <v>0</v>
      </c>
      <c r="W745" s="278">
        <v>0</v>
      </c>
      <c r="X745" s="278">
        <f>SUBTOTAL(9,E745:W745)</f>
        <v>1</v>
      </c>
      <c r="Y745" s="346"/>
      <c r="Z745" s="224" t="s">
        <v>663</v>
      </c>
      <c r="AA745" s="157" t="s">
        <v>649</v>
      </c>
      <c r="AB745" s="259" t="s">
        <v>2821</v>
      </c>
      <c r="AC745" s="530">
        <v>770863.92824992095</v>
      </c>
      <c r="AD745" s="159"/>
    </row>
    <row r="746" spans="1:30" x14ac:dyDescent="0.2">
      <c r="A746" s="397"/>
      <c r="B746" s="397"/>
      <c r="C746" s="398" t="s">
        <v>2259</v>
      </c>
      <c r="D746" s="397" t="s">
        <v>2329</v>
      </c>
      <c r="E746" s="399"/>
      <c r="F746" s="399"/>
      <c r="G746" s="399"/>
      <c r="H746" s="399"/>
      <c r="I746" s="399"/>
      <c r="J746" s="399"/>
      <c r="K746" s="399"/>
      <c r="L746" s="399"/>
      <c r="M746" s="399"/>
      <c r="N746" s="399"/>
      <c r="O746" s="399"/>
      <c r="P746" s="399"/>
      <c r="Q746" s="399"/>
      <c r="R746" s="399"/>
      <c r="S746" s="399"/>
      <c r="T746" s="399"/>
      <c r="U746" s="399"/>
      <c r="V746" s="399"/>
      <c r="W746" s="399"/>
      <c r="X746" s="400">
        <f>SUM(E746:W746)</f>
        <v>0</v>
      </c>
      <c r="Y746" s="346"/>
      <c r="Z746" s="224" t="s">
        <v>663</v>
      </c>
      <c r="AA746" s="157" t="s">
        <v>663</v>
      </c>
      <c r="AB746" s="397"/>
      <c r="AC746" s="530" t="s">
        <v>3015</v>
      </c>
      <c r="AD746" s="159"/>
    </row>
    <row r="747" spans="1:30" x14ac:dyDescent="0.2">
      <c r="A747" s="397"/>
      <c r="B747" s="397"/>
      <c r="C747" s="398" t="s">
        <v>2919</v>
      </c>
      <c r="D747" s="397" t="s">
        <v>604</v>
      </c>
      <c r="E747" s="401">
        <v>0</v>
      </c>
      <c r="F747" s="401">
        <v>0</v>
      </c>
      <c r="G747" s="401">
        <v>0</v>
      </c>
      <c r="H747" s="401">
        <v>1</v>
      </c>
      <c r="I747" s="401">
        <v>0</v>
      </c>
      <c r="J747" s="401">
        <v>0</v>
      </c>
      <c r="K747" s="401">
        <v>0</v>
      </c>
      <c r="L747" s="401">
        <v>0</v>
      </c>
      <c r="M747" s="401">
        <v>0</v>
      </c>
      <c r="N747" s="401">
        <v>0</v>
      </c>
      <c r="O747" s="401">
        <v>0</v>
      </c>
      <c r="P747" s="401">
        <v>0</v>
      </c>
      <c r="Q747" s="401">
        <v>0</v>
      </c>
      <c r="R747" s="401">
        <v>0</v>
      </c>
      <c r="S747" s="401">
        <v>0</v>
      </c>
      <c r="T747" s="401">
        <v>0</v>
      </c>
      <c r="U747" s="401">
        <v>0</v>
      </c>
      <c r="V747" s="401">
        <v>0</v>
      </c>
      <c r="W747" s="401">
        <v>0</v>
      </c>
      <c r="X747" s="401">
        <f>SUM(E747:W747)</f>
        <v>1</v>
      </c>
      <c r="Y747" s="346"/>
      <c r="Z747" s="224" t="s">
        <v>663</v>
      </c>
      <c r="AA747" s="157" t="s">
        <v>663</v>
      </c>
      <c r="AB747" s="397"/>
      <c r="AC747" s="530" t="s">
        <v>3015</v>
      </c>
      <c r="AD747" s="159"/>
    </row>
    <row r="748" spans="1:30" x14ac:dyDescent="0.2">
      <c r="A748" s="276" t="s">
        <v>2821</v>
      </c>
      <c r="B748" s="396"/>
      <c r="C748" s="395" t="s">
        <v>2920</v>
      </c>
      <c r="D748" s="396" t="s">
        <v>2330</v>
      </c>
      <c r="E748" s="278">
        <v>0</v>
      </c>
      <c r="F748" s="278">
        <v>0</v>
      </c>
      <c r="G748" s="278">
        <v>0</v>
      </c>
      <c r="H748" s="278">
        <v>1</v>
      </c>
      <c r="I748" s="278">
        <v>0</v>
      </c>
      <c r="J748" s="278">
        <v>0</v>
      </c>
      <c r="K748" s="278">
        <v>0</v>
      </c>
      <c r="L748" s="278">
        <v>0</v>
      </c>
      <c r="M748" s="278">
        <v>0</v>
      </c>
      <c r="N748" s="278">
        <v>0</v>
      </c>
      <c r="O748" s="278">
        <v>0</v>
      </c>
      <c r="P748" s="278">
        <v>0</v>
      </c>
      <c r="Q748" s="278">
        <v>0</v>
      </c>
      <c r="R748" s="278">
        <v>0</v>
      </c>
      <c r="S748" s="278">
        <v>0</v>
      </c>
      <c r="T748" s="278">
        <v>0</v>
      </c>
      <c r="U748" s="278">
        <v>0</v>
      </c>
      <c r="V748" s="278">
        <v>0</v>
      </c>
      <c r="W748" s="278">
        <v>0</v>
      </c>
      <c r="X748" s="278">
        <f>SUBTOTAL(9,E748:W748)</f>
        <v>1</v>
      </c>
      <c r="Y748" s="346"/>
      <c r="Z748" s="224" t="s">
        <v>663</v>
      </c>
      <c r="AA748" s="157" t="s">
        <v>649</v>
      </c>
      <c r="AB748" s="259" t="s">
        <v>2821</v>
      </c>
      <c r="AC748" s="530">
        <v>534832.42107666261</v>
      </c>
      <c r="AD748" s="159"/>
    </row>
    <row r="749" spans="1:30" x14ac:dyDescent="0.2">
      <c r="A749" s="397"/>
      <c r="B749" s="397"/>
      <c r="C749" s="398" t="s">
        <v>2921</v>
      </c>
      <c r="D749" s="397" t="s">
        <v>2331</v>
      </c>
      <c r="E749" s="401">
        <v>0</v>
      </c>
      <c r="F749" s="401">
        <v>0</v>
      </c>
      <c r="G749" s="401">
        <v>0</v>
      </c>
      <c r="H749" s="401">
        <v>1</v>
      </c>
      <c r="I749" s="401">
        <v>0</v>
      </c>
      <c r="J749" s="401">
        <v>0</v>
      </c>
      <c r="K749" s="401">
        <v>0</v>
      </c>
      <c r="L749" s="401">
        <v>0</v>
      </c>
      <c r="M749" s="401">
        <v>0</v>
      </c>
      <c r="N749" s="401">
        <v>0</v>
      </c>
      <c r="O749" s="401">
        <v>0</v>
      </c>
      <c r="P749" s="401">
        <v>0</v>
      </c>
      <c r="Q749" s="401">
        <v>0</v>
      </c>
      <c r="R749" s="401">
        <v>0</v>
      </c>
      <c r="S749" s="401">
        <v>0</v>
      </c>
      <c r="T749" s="401">
        <v>0</v>
      </c>
      <c r="U749" s="401">
        <v>0</v>
      </c>
      <c r="V749" s="401">
        <v>0</v>
      </c>
      <c r="W749" s="401">
        <v>0</v>
      </c>
      <c r="X749" s="401">
        <f>SUM(E749:W749)</f>
        <v>1</v>
      </c>
      <c r="Y749" s="346"/>
      <c r="Z749" s="224" t="s">
        <v>663</v>
      </c>
      <c r="AA749" s="157" t="s">
        <v>663</v>
      </c>
      <c r="AB749" s="397"/>
      <c r="AC749" s="530" t="s">
        <v>3015</v>
      </c>
      <c r="AD749" s="159"/>
    </row>
    <row r="750" spans="1:30" x14ac:dyDescent="0.2">
      <c r="A750" s="292" t="s">
        <v>2821</v>
      </c>
      <c r="B750" s="396"/>
      <c r="C750" s="395" t="s">
        <v>2922</v>
      </c>
      <c r="D750" s="396" t="s">
        <v>2332</v>
      </c>
      <c r="E750" s="278">
        <v>0</v>
      </c>
      <c r="F750" s="278">
        <v>0</v>
      </c>
      <c r="G750" s="278">
        <v>0</v>
      </c>
      <c r="H750" s="278">
        <v>1</v>
      </c>
      <c r="I750" s="278">
        <v>0</v>
      </c>
      <c r="J750" s="278">
        <v>0</v>
      </c>
      <c r="K750" s="278">
        <v>0</v>
      </c>
      <c r="L750" s="278">
        <v>0</v>
      </c>
      <c r="M750" s="278">
        <v>0</v>
      </c>
      <c r="N750" s="278">
        <v>0</v>
      </c>
      <c r="O750" s="278">
        <v>0</v>
      </c>
      <c r="P750" s="278">
        <v>0</v>
      </c>
      <c r="Q750" s="278">
        <v>0</v>
      </c>
      <c r="R750" s="278">
        <v>0</v>
      </c>
      <c r="S750" s="278">
        <v>0</v>
      </c>
      <c r="T750" s="278">
        <v>0</v>
      </c>
      <c r="U750" s="278">
        <v>0</v>
      </c>
      <c r="V750" s="278">
        <v>0</v>
      </c>
      <c r="W750" s="278">
        <v>0</v>
      </c>
      <c r="X750" s="278">
        <f>SUBTOTAL(9,E750:W750)</f>
        <v>1</v>
      </c>
      <c r="Y750" s="346"/>
      <c r="Z750" s="224" t="s">
        <v>663</v>
      </c>
      <c r="AA750" s="157" t="s">
        <v>649</v>
      </c>
      <c r="AB750" s="259" t="s">
        <v>2821</v>
      </c>
      <c r="AC750" s="530">
        <v>285589.00470923074</v>
      </c>
      <c r="AD750" s="159"/>
    </row>
    <row r="751" spans="1:30" x14ac:dyDescent="0.2">
      <c r="A751" s="259" t="s">
        <v>2821</v>
      </c>
      <c r="B751" s="396"/>
      <c r="C751" s="395" t="s">
        <v>2923</v>
      </c>
      <c r="D751" s="396" t="s">
        <v>2333</v>
      </c>
      <c r="E751" s="278">
        <v>0</v>
      </c>
      <c r="F751" s="278">
        <v>0</v>
      </c>
      <c r="G751" s="278">
        <v>0</v>
      </c>
      <c r="H751" s="278">
        <v>1</v>
      </c>
      <c r="I751" s="278">
        <v>0</v>
      </c>
      <c r="J751" s="278">
        <v>0</v>
      </c>
      <c r="K751" s="278">
        <v>0</v>
      </c>
      <c r="L751" s="278">
        <v>0</v>
      </c>
      <c r="M751" s="278">
        <v>0</v>
      </c>
      <c r="N751" s="278">
        <v>0</v>
      </c>
      <c r="O751" s="278">
        <v>0</v>
      </c>
      <c r="P751" s="278">
        <v>0</v>
      </c>
      <c r="Q751" s="278">
        <v>0</v>
      </c>
      <c r="R751" s="278">
        <v>0</v>
      </c>
      <c r="S751" s="278">
        <v>0</v>
      </c>
      <c r="T751" s="278">
        <v>0</v>
      </c>
      <c r="U751" s="278">
        <v>0</v>
      </c>
      <c r="V751" s="278">
        <v>0</v>
      </c>
      <c r="W751" s="278">
        <v>0</v>
      </c>
      <c r="X751" s="278">
        <f>SUBTOTAL(9,E751:W751)</f>
        <v>1</v>
      </c>
      <c r="Y751" s="346"/>
      <c r="Z751" s="224" t="s">
        <v>663</v>
      </c>
      <c r="AA751" s="157" t="s">
        <v>649</v>
      </c>
      <c r="AB751" s="259" t="s">
        <v>2821</v>
      </c>
      <c r="AC751" s="530">
        <v>691658.59378153947</v>
      </c>
      <c r="AD751" s="159"/>
    </row>
    <row r="752" spans="1:30" x14ac:dyDescent="0.2">
      <c r="A752" s="316" t="s">
        <v>2821</v>
      </c>
      <c r="B752" s="396"/>
      <c r="C752" s="395" t="s">
        <v>2924</v>
      </c>
      <c r="D752" s="396" t="s">
        <v>2334</v>
      </c>
      <c r="E752" s="278">
        <v>0</v>
      </c>
      <c r="F752" s="278">
        <v>0</v>
      </c>
      <c r="G752" s="278">
        <v>0</v>
      </c>
      <c r="H752" s="278">
        <v>1</v>
      </c>
      <c r="I752" s="278">
        <v>0</v>
      </c>
      <c r="J752" s="278">
        <v>0</v>
      </c>
      <c r="K752" s="278">
        <v>0</v>
      </c>
      <c r="L752" s="278">
        <v>0</v>
      </c>
      <c r="M752" s="278">
        <v>0</v>
      </c>
      <c r="N752" s="278">
        <v>0</v>
      </c>
      <c r="O752" s="278">
        <v>0</v>
      </c>
      <c r="P752" s="278">
        <v>0</v>
      </c>
      <c r="Q752" s="278">
        <v>0</v>
      </c>
      <c r="R752" s="278">
        <v>0</v>
      </c>
      <c r="S752" s="278">
        <v>0</v>
      </c>
      <c r="T752" s="278">
        <v>0</v>
      </c>
      <c r="U752" s="278">
        <v>0</v>
      </c>
      <c r="V752" s="278">
        <v>0</v>
      </c>
      <c r="W752" s="278">
        <v>0</v>
      </c>
      <c r="X752" s="278">
        <f>SUBTOTAL(9,E752:W752)</f>
        <v>1</v>
      </c>
      <c r="Y752" s="346"/>
      <c r="Z752" s="224" t="s">
        <v>663</v>
      </c>
      <c r="AA752" s="157" t="s">
        <v>649</v>
      </c>
      <c r="AB752" s="259" t="s">
        <v>2821</v>
      </c>
      <c r="AC752" s="530">
        <v>904748.0136626988</v>
      </c>
      <c r="AD752" s="159"/>
    </row>
    <row r="753" spans="1:30" x14ac:dyDescent="0.2">
      <c r="A753" s="397"/>
      <c r="B753" s="397"/>
      <c r="C753" s="398" t="s">
        <v>2925</v>
      </c>
      <c r="D753" s="397" t="s">
        <v>613</v>
      </c>
      <c r="E753" s="399"/>
      <c r="F753" s="399"/>
      <c r="G753" s="399"/>
      <c r="H753" s="399"/>
      <c r="I753" s="399"/>
      <c r="J753" s="399"/>
      <c r="K753" s="399"/>
      <c r="L753" s="399"/>
      <c r="M753" s="399"/>
      <c r="N753" s="399"/>
      <c r="O753" s="399"/>
      <c r="P753" s="399"/>
      <c r="Q753" s="399"/>
      <c r="R753" s="399"/>
      <c r="S753" s="399"/>
      <c r="T753" s="399"/>
      <c r="U753" s="399"/>
      <c r="V753" s="399"/>
      <c r="W753" s="399"/>
      <c r="X753" s="400">
        <f>SUM(E753:W753)</f>
        <v>0</v>
      </c>
      <c r="Y753" s="346"/>
      <c r="Z753" s="224" t="s">
        <v>663</v>
      </c>
      <c r="AA753" s="157" t="s">
        <v>663</v>
      </c>
      <c r="AB753" s="397"/>
      <c r="AC753" s="530" t="s">
        <v>3015</v>
      </c>
      <c r="AD753" s="159"/>
    </row>
    <row r="754" spans="1:30" x14ac:dyDescent="0.2">
      <c r="A754" s="292" t="s">
        <v>2821</v>
      </c>
      <c r="B754" s="396"/>
      <c r="C754" s="395" t="s">
        <v>2926</v>
      </c>
      <c r="D754" s="396" t="s">
        <v>2335</v>
      </c>
      <c r="E754" s="278">
        <v>0</v>
      </c>
      <c r="F754" s="278">
        <v>0</v>
      </c>
      <c r="G754" s="278">
        <v>0</v>
      </c>
      <c r="H754" s="278">
        <v>1</v>
      </c>
      <c r="I754" s="278">
        <v>0</v>
      </c>
      <c r="J754" s="278">
        <v>0</v>
      </c>
      <c r="K754" s="278">
        <v>0</v>
      </c>
      <c r="L754" s="278">
        <v>0</v>
      </c>
      <c r="M754" s="278">
        <v>0</v>
      </c>
      <c r="N754" s="278">
        <v>0</v>
      </c>
      <c r="O754" s="278">
        <v>0</v>
      </c>
      <c r="P754" s="278">
        <v>0</v>
      </c>
      <c r="Q754" s="278">
        <v>0</v>
      </c>
      <c r="R754" s="278">
        <v>0</v>
      </c>
      <c r="S754" s="278">
        <v>0</v>
      </c>
      <c r="T754" s="278">
        <v>0</v>
      </c>
      <c r="U754" s="278">
        <v>0</v>
      </c>
      <c r="V754" s="278">
        <v>0</v>
      </c>
      <c r="W754" s="278">
        <v>0</v>
      </c>
      <c r="X754" s="278">
        <f>SUBTOTAL(9,E754:W754)</f>
        <v>1</v>
      </c>
      <c r="Y754" s="346"/>
      <c r="Z754" s="224" t="s">
        <v>663</v>
      </c>
      <c r="AA754" s="157" t="s">
        <v>649</v>
      </c>
      <c r="AB754" s="259" t="s">
        <v>2821</v>
      </c>
      <c r="AC754" s="530">
        <v>3055225.3373861029</v>
      </c>
      <c r="AD754" s="159"/>
    </row>
    <row r="755" spans="1:30" x14ac:dyDescent="0.2">
      <c r="A755" s="259" t="s">
        <v>2821</v>
      </c>
      <c r="B755" s="396"/>
      <c r="C755" s="395" t="s">
        <v>2260</v>
      </c>
      <c r="D755" s="396" t="s">
        <v>620</v>
      </c>
      <c r="E755" s="278">
        <v>0</v>
      </c>
      <c r="F755" s="278">
        <v>0</v>
      </c>
      <c r="G755" s="278">
        <v>0</v>
      </c>
      <c r="H755" s="278">
        <v>0</v>
      </c>
      <c r="I755" s="278">
        <v>0</v>
      </c>
      <c r="J755" s="278">
        <v>0</v>
      </c>
      <c r="K755" s="278">
        <v>0</v>
      </c>
      <c r="L755" s="278">
        <v>1</v>
      </c>
      <c r="M755" s="278">
        <v>0</v>
      </c>
      <c r="N755" s="278">
        <v>0</v>
      </c>
      <c r="O755" s="278">
        <v>0</v>
      </c>
      <c r="P755" s="278">
        <v>0</v>
      </c>
      <c r="Q755" s="278">
        <v>0</v>
      </c>
      <c r="R755" s="278">
        <v>0</v>
      </c>
      <c r="S755" s="278">
        <v>0</v>
      </c>
      <c r="T755" s="278">
        <v>0</v>
      </c>
      <c r="U755" s="278">
        <v>0</v>
      </c>
      <c r="V755" s="278">
        <v>0</v>
      </c>
      <c r="W755" s="278">
        <v>0</v>
      </c>
      <c r="X755" s="278">
        <f>SUBTOTAL(9,E755:W755)</f>
        <v>1</v>
      </c>
      <c r="Y755" s="346"/>
      <c r="Z755" s="224" t="s">
        <v>663</v>
      </c>
      <c r="AA755" s="157" t="s">
        <v>649</v>
      </c>
      <c r="AB755" s="259" t="s">
        <v>2821</v>
      </c>
      <c r="AC755" s="530">
        <v>1681754.3119740291</v>
      </c>
      <c r="AD755" s="159"/>
    </row>
    <row r="756" spans="1:30" x14ac:dyDescent="0.2">
      <c r="A756" s="259" t="s">
        <v>2821</v>
      </c>
      <c r="B756" s="396"/>
      <c r="C756" s="395" t="s">
        <v>2261</v>
      </c>
      <c r="D756" s="396" t="s">
        <v>628</v>
      </c>
      <c r="E756" s="278">
        <v>0</v>
      </c>
      <c r="F756" s="278">
        <v>0</v>
      </c>
      <c r="G756" s="278">
        <v>0</v>
      </c>
      <c r="H756" s="278">
        <v>0</v>
      </c>
      <c r="I756" s="278">
        <v>0</v>
      </c>
      <c r="J756" s="278">
        <v>0</v>
      </c>
      <c r="K756" s="278">
        <v>0</v>
      </c>
      <c r="L756" s="278">
        <v>0</v>
      </c>
      <c r="M756" s="278">
        <v>0</v>
      </c>
      <c r="N756" s="278">
        <v>0</v>
      </c>
      <c r="O756" s="278">
        <v>0</v>
      </c>
      <c r="P756" s="278">
        <v>0</v>
      </c>
      <c r="Q756" s="278">
        <v>0</v>
      </c>
      <c r="R756" s="278">
        <v>0</v>
      </c>
      <c r="S756" s="278">
        <v>1</v>
      </c>
      <c r="T756" s="278">
        <v>0</v>
      </c>
      <c r="U756" s="278">
        <v>0</v>
      </c>
      <c r="V756" s="278">
        <v>0</v>
      </c>
      <c r="W756" s="278">
        <v>0</v>
      </c>
      <c r="X756" s="278">
        <f>SUBTOTAL(9,E756:W756)</f>
        <v>1</v>
      </c>
      <c r="Y756" s="346"/>
      <c r="Z756" s="224" t="s">
        <v>663</v>
      </c>
      <c r="AA756" s="157" t="s">
        <v>649</v>
      </c>
      <c r="AB756" s="259" t="s">
        <v>2821</v>
      </c>
      <c r="AC756" s="530">
        <v>199696.29247258822</v>
      </c>
      <c r="AD756" s="159"/>
    </row>
    <row r="757" spans="1:30" x14ac:dyDescent="0.2">
      <c r="A757" s="316" t="s">
        <v>2821</v>
      </c>
      <c r="B757" s="396"/>
      <c r="C757" s="395" t="s">
        <v>2336</v>
      </c>
      <c r="D757" s="396" t="s">
        <v>2297</v>
      </c>
      <c r="E757" s="278">
        <v>0</v>
      </c>
      <c r="F757" s="278">
        <v>3.4933059742490844E-4</v>
      </c>
      <c r="G757" s="278">
        <v>5.7293188165107901E-3</v>
      </c>
      <c r="H757" s="278">
        <v>0</v>
      </c>
      <c r="I757" s="278">
        <v>0</v>
      </c>
      <c r="J757" s="278">
        <v>2.2887180190058198E-2</v>
      </c>
      <c r="K757" s="278">
        <v>0</v>
      </c>
      <c r="L757" s="278">
        <v>0</v>
      </c>
      <c r="M757" s="278">
        <v>0</v>
      </c>
      <c r="N757" s="278">
        <v>2.3922160084433781E-2</v>
      </c>
      <c r="O757" s="278">
        <v>0</v>
      </c>
      <c r="P757" s="278">
        <v>5.1179790769362542E-2</v>
      </c>
      <c r="Q757" s="278">
        <v>8.5224631487493471E-3</v>
      </c>
      <c r="R757" s="278">
        <v>0</v>
      </c>
      <c r="S757" s="278">
        <v>0.88194995932970033</v>
      </c>
      <c r="T757" s="278">
        <v>9.034413232917709E-4</v>
      </c>
      <c r="U757" s="278">
        <v>4.556355740468164E-3</v>
      </c>
      <c r="V757" s="278">
        <v>0</v>
      </c>
      <c r="W757" s="278">
        <v>0</v>
      </c>
      <c r="X757" s="278">
        <f>SUBTOTAL(9,E757:W757)</f>
        <v>0.99999999999999989</v>
      </c>
      <c r="Y757" s="346"/>
      <c r="Z757" s="224" t="s">
        <v>663</v>
      </c>
      <c r="AA757" s="157" t="s">
        <v>649</v>
      </c>
      <c r="AB757" s="259" t="s">
        <v>2821</v>
      </c>
      <c r="AC757" s="530">
        <v>7228018.4035408664</v>
      </c>
      <c r="AD757" s="159"/>
    </row>
    <row r="758" spans="1:30" x14ac:dyDescent="0.2">
      <c r="A758" s="293" t="s">
        <v>2597</v>
      </c>
      <c r="B758" s="403"/>
      <c r="C758" s="404" t="s">
        <v>2576</v>
      </c>
      <c r="D758" s="403" t="s">
        <v>2394</v>
      </c>
      <c r="E758" s="405"/>
      <c r="F758" s="405"/>
      <c r="G758" s="405"/>
      <c r="H758" s="405"/>
      <c r="I758" s="405"/>
      <c r="J758" s="405"/>
      <c r="K758" s="405"/>
      <c r="L758" s="405">
        <v>1</v>
      </c>
      <c r="M758" s="405"/>
      <c r="N758" s="405"/>
      <c r="O758" s="405"/>
      <c r="P758" s="405"/>
      <c r="Q758" s="405"/>
      <c r="R758" s="405"/>
      <c r="S758" s="405"/>
      <c r="T758" s="405"/>
      <c r="U758" s="405"/>
      <c r="V758" s="405"/>
      <c r="W758" s="405"/>
      <c r="X758" s="405">
        <f>SUM(E758:W758)</f>
        <v>1</v>
      </c>
      <c r="Y758" s="346"/>
      <c r="Z758" s="224" t="s">
        <v>663</v>
      </c>
      <c r="AA758" s="157" t="s">
        <v>663</v>
      </c>
      <c r="AB758" s="293" t="s">
        <v>2597</v>
      </c>
      <c r="AC758" s="530">
        <v>311540.08290796384</v>
      </c>
      <c r="AD758" s="159"/>
    </row>
    <row r="759" spans="1:30" x14ac:dyDescent="0.2">
      <c r="A759" s="293" t="s">
        <v>2597</v>
      </c>
      <c r="B759" s="403"/>
      <c r="C759" s="404" t="s">
        <v>2577</v>
      </c>
      <c r="D759" s="403" t="s">
        <v>2396</v>
      </c>
      <c r="E759" s="405">
        <v>0.5</v>
      </c>
      <c r="F759" s="405"/>
      <c r="G759" s="405"/>
      <c r="H759" s="405"/>
      <c r="I759" s="405"/>
      <c r="J759" s="405"/>
      <c r="K759" s="405"/>
      <c r="L759" s="405">
        <v>0.5</v>
      </c>
      <c r="M759" s="405"/>
      <c r="N759" s="405"/>
      <c r="O759" s="405"/>
      <c r="P759" s="405"/>
      <c r="Q759" s="405"/>
      <c r="R759" s="405"/>
      <c r="S759" s="405"/>
      <c r="T759" s="405"/>
      <c r="U759" s="405"/>
      <c r="V759" s="405"/>
      <c r="W759" s="405"/>
      <c r="X759" s="405">
        <f>SUM(E759:W759)</f>
        <v>1</v>
      </c>
      <c r="Y759" s="346"/>
      <c r="Z759" s="224" t="s">
        <v>663</v>
      </c>
      <c r="AA759" s="157" t="s">
        <v>663</v>
      </c>
      <c r="AB759" s="293" t="s">
        <v>2597</v>
      </c>
      <c r="AC759" s="530">
        <v>748529.47946196527</v>
      </c>
      <c r="AD759" s="159"/>
    </row>
    <row r="760" spans="1:30" x14ac:dyDescent="0.2">
      <c r="A760" s="292" t="s">
        <v>2821</v>
      </c>
      <c r="B760" s="396"/>
      <c r="C760" s="395" t="s">
        <v>2339</v>
      </c>
      <c r="D760" s="396" t="s">
        <v>2398</v>
      </c>
      <c r="E760" s="278">
        <v>0</v>
      </c>
      <c r="F760" s="278">
        <v>8.8501308739300961E-3</v>
      </c>
      <c r="G760" s="278">
        <v>0</v>
      </c>
      <c r="H760" s="278">
        <v>0</v>
      </c>
      <c r="I760" s="278">
        <v>0</v>
      </c>
      <c r="J760" s="278">
        <v>0</v>
      </c>
      <c r="K760" s="278">
        <v>0</v>
      </c>
      <c r="L760" s="278">
        <v>0</v>
      </c>
      <c r="M760" s="278">
        <v>0</v>
      </c>
      <c r="N760" s="278">
        <v>0</v>
      </c>
      <c r="O760" s="278">
        <v>0</v>
      </c>
      <c r="P760" s="278">
        <v>0.17306028645294214</v>
      </c>
      <c r="Q760" s="278">
        <v>0</v>
      </c>
      <c r="R760" s="278">
        <v>0</v>
      </c>
      <c r="S760" s="278">
        <v>0</v>
      </c>
      <c r="T760" s="278">
        <v>0.76021436656673336</v>
      </c>
      <c r="U760" s="278">
        <v>0</v>
      </c>
      <c r="V760" s="278">
        <v>0</v>
      </c>
      <c r="W760" s="278">
        <v>5.7875216106394407E-2</v>
      </c>
      <c r="X760" s="278">
        <f>SUBTOTAL(9,E760:W760)</f>
        <v>1</v>
      </c>
      <c r="Y760" s="346"/>
      <c r="Z760" s="224" t="s">
        <v>663</v>
      </c>
      <c r="AA760" s="157" t="s">
        <v>649</v>
      </c>
      <c r="AB760" s="259" t="s">
        <v>2821</v>
      </c>
      <c r="AC760" s="530">
        <v>37818886.481429353</v>
      </c>
      <c r="AD760" s="159"/>
    </row>
    <row r="761" spans="1:30" x14ac:dyDescent="0.2">
      <c r="A761" s="259" t="s">
        <v>2821</v>
      </c>
      <c r="B761" s="396"/>
      <c r="C761" s="395" t="s">
        <v>2347</v>
      </c>
      <c r="D761" s="396" t="s">
        <v>2400</v>
      </c>
      <c r="E761" s="278">
        <v>0</v>
      </c>
      <c r="F761" s="278">
        <v>1.0090030985176251E-2</v>
      </c>
      <c r="G761" s="278">
        <v>0</v>
      </c>
      <c r="H761" s="278">
        <v>0</v>
      </c>
      <c r="I761" s="278">
        <v>0</v>
      </c>
      <c r="J761" s="278">
        <v>0</v>
      </c>
      <c r="K761" s="278">
        <v>0</v>
      </c>
      <c r="L761" s="278">
        <v>0</v>
      </c>
      <c r="M761" s="278">
        <v>0</v>
      </c>
      <c r="N761" s="278">
        <v>0</v>
      </c>
      <c r="O761" s="278">
        <v>0</v>
      </c>
      <c r="P761" s="278">
        <v>0.19403931441260969</v>
      </c>
      <c r="Q761" s="278">
        <v>0</v>
      </c>
      <c r="R761" s="278">
        <v>0</v>
      </c>
      <c r="S761" s="278">
        <v>0</v>
      </c>
      <c r="T761" s="278">
        <v>0.77529677377772677</v>
      </c>
      <c r="U761" s="278">
        <v>0</v>
      </c>
      <c r="V761" s="278">
        <v>0</v>
      </c>
      <c r="W761" s="278">
        <v>2.0573880824487335E-2</v>
      </c>
      <c r="X761" s="278">
        <f>SUBTOTAL(9,E761:W761)</f>
        <v>1</v>
      </c>
      <c r="Y761" s="346"/>
      <c r="Z761" s="224" t="s">
        <v>663</v>
      </c>
      <c r="AA761" s="157" t="s">
        <v>649</v>
      </c>
      <c r="AB761" s="259" t="s">
        <v>2821</v>
      </c>
      <c r="AC761" s="530">
        <v>41079662.949498072</v>
      </c>
      <c r="AD761" s="159"/>
    </row>
    <row r="762" spans="1:30" x14ac:dyDescent="0.2">
      <c r="A762" s="316" t="s">
        <v>2821</v>
      </c>
      <c r="B762" s="396"/>
      <c r="C762" s="395" t="s">
        <v>2927</v>
      </c>
      <c r="D762" s="396" t="s">
        <v>2402</v>
      </c>
      <c r="E762" s="278">
        <v>0</v>
      </c>
      <c r="F762" s="278">
        <v>0</v>
      </c>
      <c r="G762" s="278">
        <v>0</v>
      </c>
      <c r="H762" s="278">
        <v>0</v>
      </c>
      <c r="I762" s="278">
        <v>0</v>
      </c>
      <c r="J762" s="278">
        <v>0</v>
      </c>
      <c r="K762" s="278">
        <v>0</v>
      </c>
      <c r="L762" s="278">
        <v>0</v>
      </c>
      <c r="M762" s="278">
        <v>0</v>
      </c>
      <c r="N762" s="278">
        <v>0</v>
      </c>
      <c r="O762" s="278">
        <v>0</v>
      </c>
      <c r="P762" s="278">
        <v>0</v>
      </c>
      <c r="Q762" s="278">
        <v>0</v>
      </c>
      <c r="R762" s="278">
        <v>0</v>
      </c>
      <c r="S762" s="278">
        <v>0</v>
      </c>
      <c r="T762" s="278">
        <v>0</v>
      </c>
      <c r="U762" s="278">
        <v>0</v>
      </c>
      <c r="V762" s="278">
        <v>0</v>
      </c>
      <c r="W762" s="278">
        <v>1</v>
      </c>
      <c r="X762" s="278">
        <f>SUBTOTAL(9,E762:W762)</f>
        <v>1</v>
      </c>
      <c r="Y762" s="346"/>
      <c r="Z762" s="224" t="s">
        <v>663</v>
      </c>
      <c r="AA762" s="157" t="s">
        <v>649</v>
      </c>
      <c r="AB762" s="259" t="s">
        <v>2821</v>
      </c>
      <c r="AC762" s="530" t="s">
        <v>3015</v>
      </c>
      <c r="AD762" s="159"/>
    </row>
    <row r="763" spans="1:30" x14ac:dyDescent="0.2">
      <c r="A763" s="397"/>
      <c r="B763" s="397"/>
      <c r="C763" s="398" t="s">
        <v>2928</v>
      </c>
      <c r="D763" s="397" t="s">
        <v>2404</v>
      </c>
      <c r="E763" s="399"/>
      <c r="F763" s="399"/>
      <c r="G763" s="399"/>
      <c r="H763" s="399"/>
      <c r="I763" s="399"/>
      <c r="J763" s="399"/>
      <c r="K763" s="399"/>
      <c r="L763" s="399"/>
      <c r="M763" s="399"/>
      <c r="N763" s="399"/>
      <c r="O763" s="399"/>
      <c r="P763" s="399"/>
      <c r="Q763" s="399"/>
      <c r="R763" s="399"/>
      <c r="S763" s="399"/>
      <c r="T763" s="399"/>
      <c r="U763" s="399"/>
      <c r="V763" s="399"/>
      <c r="W763" s="399"/>
      <c r="X763" s="400">
        <f>SUM(E763:W763)</f>
        <v>0</v>
      </c>
      <c r="Y763" s="346"/>
      <c r="Z763" s="224" t="s">
        <v>663</v>
      </c>
      <c r="AA763" s="157" t="s">
        <v>663</v>
      </c>
      <c r="AB763" s="397"/>
      <c r="AC763" s="530" t="s">
        <v>3015</v>
      </c>
      <c r="AD763" s="159"/>
    </row>
    <row r="764" spans="1:30" x14ac:dyDescent="0.2">
      <c r="A764" s="397"/>
      <c r="B764" s="397"/>
      <c r="C764" s="398" t="s">
        <v>2579</v>
      </c>
      <c r="D764" s="397" t="s">
        <v>2406</v>
      </c>
      <c r="E764" s="399"/>
      <c r="F764" s="399"/>
      <c r="G764" s="399"/>
      <c r="H764" s="399"/>
      <c r="I764" s="399"/>
      <c r="J764" s="399"/>
      <c r="K764" s="399"/>
      <c r="L764" s="399"/>
      <c r="M764" s="399"/>
      <c r="N764" s="399"/>
      <c r="O764" s="399"/>
      <c r="P764" s="399"/>
      <c r="Q764" s="399"/>
      <c r="R764" s="399"/>
      <c r="S764" s="399"/>
      <c r="T764" s="399"/>
      <c r="U764" s="399"/>
      <c r="V764" s="399"/>
      <c r="W764" s="399"/>
      <c r="X764" s="400">
        <f>SUM(E764:W764)</f>
        <v>0</v>
      </c>
      <c r="Y764" s="346"/>
      <c r="Z764" s="224" t="s">
        <v>663</v>
      </c>
      <c r="AA764" s="157" t="s">
        <v>663</v>
      </c>
      <c r="AB764" s="397"/>
      <c r="AC764" s="530" t="s">
        <v>3015</v>
      </c>
      <c r="AD764" s="159"/>
    </row>
    <row r="765" spans="1:30" x14ac:dyDescent="0.2">
      <c r="A765" s="397"/>
      <c r="B765" s="397"/>
      <c r="C765" s="398" t="s">
        <v>2929</v>
      </c>
      <c r="D765" s="397" t="s">
        <v>2408</v>
      </c>
      <c r="E765" s="401">
        <v>0</v>
      </c>
      <c r="F765" s="401">
        <v>0</v>
      </c>
      <c r="G765" s="401">
        <v>0</v>
      </c>
      <c r="H765" s="401">
        <v>0</v>
      </c>
      <c r="I765" s="401">
        <v>0</v>
      </c>
      <c r="J765" s="401">
        <v>0</v>
      </c>
      <c r="K765" s="401">
        <v>0</v>
      </c>
      <c r="L765" s="401">
        <v>0</v>
      </c>
      <c r="M765" s="401">
        <v>3.1577382565002969E-2</v>
      </c>
      <c r="N765" s="401">
        <v>0.64799801104874577</v>
      </c>
      <c r="O765" s="401">
        <v>0</v>
      </c>
      <c r="P765" s="401">
        <v>8.3404594811682872E-2</v>
      </c>
      <c r="Q765" s="401">
        <v>0</v>
      </c>
      <c r="R765" s="401">
        <v>0</v>
      </c>
      <c r="S765" s="401">
        <v>0.17306244911172636</v>
      </c>
      <c r="T765" s="401">
        <v>6.3957562462842205E-2</v>
      </c>
      <c r="U765" s="401">
        <v>0</v>
      </c>
      <c r="V765" s="401">
        <v>0</v>
      </c>
      <c r="W765" s="401">
        <v>0</v>
      </c>
      <c r="X765" s="401">
        <f>SUM(E765:W765)</f>
        <v>1</v>
      </c>
      <c r="Y765" s="346"/>
      <c r="Z765" s="224" t="s">
        <v>663</v>
      </c>
      <c r="AA765" s="157" t="s">
        <v>663</v>
      </c>
      <c r="AB765" s="397"/>
      <c r="AC765" s="530" t="s">
        <v>3015</v>
      </c>
      <c r="AD765" s="159"/>
    </row>
    <row r="766" spans="1:30" x14ac:dyDescent="0.2">
      <c r="A766" s="293" t="s">
        <v>2976</v>
      </c>
      <c r="B766" s="403"/>
      <c r="C766" s="404" t="s">
        <v>2595</v>
      </c>
      <c r="D766" s="403" t="s">
        <v>2410</v>
      </c>
      <c r="E766" s="405"/>
      <c r="F766" s="405"/>
      <c r="G766" s="405"/>
      <c r="H766" s="405"/>
      <c r="I766" s="405"/>
      <c r="J766" s="405"/>
      <c r="K766" s="405"/>
      <c r="L766" s="405"/>
      <c r="M766" s="405"/>
      <c r="N766" s="405"/>
      <c r="O766" s="405"/>
      <c r="P766" s="405"/>
      <c r="Q766" s="405"/>
      <c r="R766" s="405"/>
      <c r="S766" s="405">
        <v>1</v>
      </c>
      <c r="T766" s="405"/>
      <c r="U766" s="405"/>
      <c r="V766" s="405"/>
      <c r="W766" s="405"/>
      <c r="X766" s="405">
        <f>SUM(E766:W766)</f>
        <v>1</v>
      </c>
      <c r="Y766" s="346"/>
      <c r="Z766" s="224" t="s">
        <v>663</v>
      </c>
      <c r="AA766" s="157" t="s">
        <v>663</v>
      </c>
      <c r="AB766" s="293" t="s">
        <v>2597</v>
      </c>
      <c r="AC766" s="530" t="s">
        <v>3015</v>
      </c>
      <c r="AD766" s="159"/>
    </row>
    <row r="767" spans="1:30" x14ac:dyDescent="0.2">
      <c r="A767" s="293" t="s">
        <v>2976</v>
      </c>
      <c r="B767" s="403"/>
      <c r="C767" s="404" t="s">
        <v>2580</v>
      </c>
      <c r="D767" s="403" t="s">
        <v>2412</v>
      </c>
      <c r="E767" s="297"/>
      <c r="F767" s="297"/>
      <c r="G767" s="297"/>
      <c r="H767" s="297"/>
      <c r="I767" s="297"/>
      <c r="J767" s="297"/>
      <c r="K767" s="297"/>
      <c r="L767" s="297"/>
      <c r="M767" s="297"/>
      <c r="N767" s="297"/>
      <c r="O767" s="297"/>
      <c r="P767" s="297"/>
      <c r="Q767" s="297"/>
      <c r="R767" s="297"/>
      <c r="S767" s="297"/>
      <c r="T767" s="297"/>
      <c r="U767" s="297"/>
      <c r="V767" s="297"/>
      <c r="W767" s="297"/>
      <c r="X767" s="412">
        <f>SUM(E767:W767)</f>
        <v>0</v>
      </c>
      <c r="Y767" s="346"/>
      <c r="Z767" s="224" t="s">
        <v>663</v>
      </c>
      <c r="AA767" s="157" t="s">
        <v>663</v>
      </c>
      <c r="AB767" s="293" t="s">
        <v>2597</v>
      </c>
      <c r="AC767" s="530" t="s">
        <v>3015</v>
      </c>
      <c r="AD767" s="159"/>
    </row>
    <row r="768" spans="1:30" x14ac:dyDescent="0.2">
      <c r="A768" s="276" t="s">
        <v>2821</v>
      </c>
      <c r="B768" s="396"/>
      <c r="C768" s="395" t="s">
        <v>2581</v>
      </c>
      <c r="D768" s="396" t="s">
        <v>2298</v>
      </c>
      <c r="E768" s="278">
        <v>0</v>
      </c>
      <c r="F768" s="278">
        <v>0</v>
      </c>
      <c r="G768" s="278">
        <v>0</v>
      </c>
      <c r="H768" s="278">
        <v>0</v>
      </c>
      <c r="I768" s="278">
        <v>0</v>
      </c>
      <c r="J768" s="278">
        <v>0</v>
      </c>
      <c r="K768" s="278">
        <v>0</v>
      </c>
      <c r="L768" s="278">
        <v>0</v>
      </c>
      <c r="M768" s="278">
        <v>0</v>
      </c>
      <c r="N768" s="278">
        <v>0</v>
      </c>
      <c r="O768" s="278">
        <v>0</v>
      </c>
      <c r="P768" s="278">
        <v>0</v>
      </c>
      <c r="Q768" s="278">
        <v>0</v>
      </c>
      <c r="R768" s="278">
        <v>0</v>
      </c>
      <c r="S768" s="278">
        <v>0</v>
      </c>
      <c r="T768" s="278">
        <v>1</v>
      </c>
      <c r="U768" s="278">
        <v>0</v>
      </c>
      <c r="V768" s="278">
        <v>0</v>
      </c>
      <c r="W768" s="278">
        <v>0</v>
      </c>
      <c r="X768" s="278">
        <f>SUBTOTAL(9,E768:W768)</f>
        <v>1</v>
      </c>
      <c r="Y768" s="346"/>
      <c r="Z768" s="224" t="s">
        <v>663</v>
      </c>
      <c r="AA768" s="157" t="s">
        <v>649</v>
      </c>
      <c r="AB768" s="259" t="s">
        <v>2821</v>
      </c>
      <c r="AC768" s="530">
        <v>136908.81176098005</v>
      </c>
      <c r="AD768" s="159"/>
    </row>
    <row r="769" spans="1:30" x14ac:dyDescent="0.2">
      <c r="A769" s="293" t="s">
        <v>2597</v>
      </c>
      <c r="B769" s="403"/>
      <c r="C769" s="404" t="s">
        <v>2582</v>
      </c>
      <c r="D769" s="403" t="s">
        <v>2415</v>
      </c>
      <c r="E769" s="405"/>
      <c r="F769" s="405"/>
      <c r="G769" s="405"/>
      <c r="H769" s="405"/>
      <c r="I769" s="405"/>
      <c r="J769" s="405"/>
      <c r="K769" s="405"/>
      <c r="L769" s="405">
        <v>1</v>
      </c>
      <c r="M769" s="405"/>
      <c r="N769" s="405"/>
      <c r="O769" s="405"/>
      <c r="P769" s="405"/>
      <c r="Q769" s="405"/>
      <c r="R769" s="405"/>
      <c r="S769" s="405"/>
      <c r="T769" s="405"/>
      <c r="U769" s="405"/>
      <c r="V769" s="405"/>
      <c r="W769" s="405"/>
      <c r="X769" s="405">
        <f>SUM(E769:W769)</f>
        <v>1</v>
      </c>
      <c r="Y769" s="346"/>
      <c r="Z769" s="224" t="s">
        <v>663</v>
      </c>
      <c r="AA769" s="157" t="s">
        <v>663</v>
      </c>
      <c r="AB769" s="293" t="s">
        <v>2597</v>
      </c>
      <c r="AC769" s="530">
        <v>2926843.9307114496</v>
      </c>
      <c r="AD769" s="159"/>
    </row>
    <row r="770" spans="1:30" x14ac:dyDescent="0.2">
      <c r="A770" s="293" t="s">
        <v>2597</v>
      </c>
      <c r="B770" s="403"/>
      <c r="C770" s="404" t="s">
        <v>2583</v>
      </c>
      <c r="D770" s="403" t="s">
        <v>2417</v>
      </c>
      <c r="E770" s="405"/>
      <c r="F770" s="405"/>
      <c r="G770" s="405"/>
      <c r="H770" s="405"/>
      <c r="I770" s="405"/>
      <c r="J770" s="405"/>
      <c r="K770" s="405"/>
      <c r="L770" s="405"/>
      <c r="M770" s="405"/>
      <c r="N770" s="405">
        <v>0.1</v>
      </c>
      <c r="O770" s="405"/>
      <c r="P770" s="405"/>
      <c r="Q770" s="405"/>
      <c r="R770" s="405"/>
      <c r="S770" s="405">
        <v>0.1</v>
      </c>
      <c r="T770" s="405">
        <v>0.8</v>
      </c>
      <c r="U770" s="405"/>
      <c r="V770" s="405"/>
      <c r="W770" s="405"/>
      <c r="X770" s="405">
        <f>SUM(E770:W770)</f>
        <v>1</v>
      </c>
      <c r="Y770" s="346"/>
      <c r="Z770" s="224" t="s">
        <v>663</v>
      </c>
      <c r="AA770" s="157" t="s">
        <v>663</v>
      </c>
      <c r="AB770" s="293" t="s">
        <v>2597</v>
      </c>
      <c r="AC770" s="530">
        <v>507104.4289967845</v>
      </c>
      <c r="AD770" s="159"/>
    </row>
    <row r="771" spans="1:30" x14ac:dyDescent="0.2">
      <c r="A771" s="276" t="s">
        <v>2821</v>
      </c>
      <c r="B771" s="396"/>
      <c r="C771" s="395" t="s">
        <v>2584</v>
      </c>
      <c r="D771" s="396" t="s">
        <v>2419</v>
      </c>
      <c r="E771" s="278">
        <v>0</v>
      </c>
      <c r="F771" s="278">
        <v>0</v>
      </c>
      <c r="G771" s="278">
        <v>0</v>
      </c>
      <c r="H771" s="278">
        <v>0</v>
      </c>
      <c r="I771" s="278">
        <v>0</v>
      </c>
      <c r="J771" s="278">
        <v>0</v>
      </c>
      <c r="K771" s="278">
        <v>0</v>
      </c>
      <c r="L771" s="278">
        <v>0</v>
      </c>
      <c r="M771" s="278">
        <v>0</v>
      </c>
      <c r="N771" s="278">
        <v>0.93649720330350006</v>
      </c>
      <c r="O771" s="278">
        <v>0</v>
      </c>
      <c r="P771" s="278">
        <v>6.3502796696499927E-2</v>
      </c>
      <c r="Q771" s="278">
        <v>0</v>
      </c>
      <c r="R771" s="278">
        <v>0</v>
      </c>
      <c r="S771" s="278">
        <v>0</v>
      </c>
      <c r="T771" s="278">
        <v>0</v>
      </c>
      <c r="U771" s="278">
        <v>0</v>
      </c>
      <c r="V771" s="278">
        <v>0</v>
      </c>
      <c r="W771" s="278">
        <v>0</v>
      </c>
      <c r="X771" s="278">
        <f>SUBTOTAL(9,E771:W771)</f>
        <v>1</v>
      </c>
      <c r="Y771" s="346"/>
      <c r="Z771" s="224" t="s">
        <v>663</v>
      </c>
      <c r="AA771" s="157" t="s">
        <v>649</v>
      </c>
      <c r="AB771" s="259" t="s">
        <v>2821</v>
      </c>
      <c r="AC771" s="530">
        <v>513924.34974076058</v>
      </c>
      <c r="AD771" s="159"/>
    </row>
    <row r="772" spans="1:30" x14ac:dyDescent="0.2">
      <c r="A772" s="397"/>
      <c r="B772" s="397"/>
      <c r="C772" s="398" t="s">
        <v>2585</v>
      </c>
      <c r="D772" s="397" t="s">
        <v>2420</v>
      </c>
      <c r="E772" s="399"/>
      <c r="F772" s="399"/>
      <c r="G772" s="399"/>
      <c r="H772" s="399"/>
      <c r="I772" s="399"/>
      <c r="J772" s="399"/>
      <c r="K772" s="399"/>
      <c r="L772" s="399"/>
      <c r="M772" s="399"/>
      <c r="N772" s="399"/>
      <c r="O772" s="399"/>
      <c r="P772" s="399"/>
      <c r="Q772" s="399"/>
      <c r="R772" s="399"/>
      <c r="S772" s="399"/>
      <c r="T772" s="399"/>
      <c r="U772" s="399"/>
      <c r="V772" s="399"/>
      <c r="W772" s="399"/>
      <c r="X772" s="400">
        <f>SUM(E772:W772)</f>
        <v>0</v>
      </c>
      <c r="Y772" s="346"/>
      <c r="Z772" s="224" t="s">
        <v>663</v>
      </c>
      <c r="AA772" s="157" t="s">
        <v>663</v>
      </c>
      <c r="AB772" s="397"/>
      <c r="AC772" s="530" t="s">
        <v>3015</v>
      </c>
      <c r="AD772" s="159"/>
    </row>
    <row r="773" spans="1:30" x14ac:dyDescent="0.2">
      <c r="A773" s="292" t="s">
        <v>2821</v>
      </c>
      <c r="B773" s="396"/>
      <c r="C773" s="395" t="s">
        <v>2930</v>
      </c>
      <c r="D773" s="396" t="s">
        <v>2422</v>
      </c>
      <c r="E773" s="278">
        <v>0</v>
      </c>
      <c r="F773" s="278">
        <v>0</v>
      </c>
      <c r="G773" s="278">
        <v>0</v>
      </c>
      <c r="H773" s="278">
        <v>0</v>
      </c>
      <c r="I773" s="278">
        <v>0</v>
      </c>
      <c r="J773" s="278">
        <v>0</v>
      </c>
      <c r="K773" s="278">
        <v>0</v>
      </c>
      <c r="L773" s="278">
        <v>0</v>
      </c>
      <c r="M773" s="278">
        <v>0</v>
      </c>
      <c r="N773" s="278">
        <v>1</v>
      </c>
      <c r="O773" s="278">
        <v>0</v>
      </c>
      <c r="P773" s="278">
        <v>0</v>
      </c>
      <c r="Q773" s="278">
        <v>0</v>
      </c>
      <c r="R773" s="278">
        <v>0</v>
      </c>
      <c r="S773" s="278">
        <v>0</v>
      </c>
      <c r="T773" s="278">
        <v>0</v>
      </c>
      <c r="U773" s="278">
        <v>0</v>
      </c>
      <c r="V773" s="278">
        <v>0</v>
      </c>
      <c r="W773" s="278">
        <v>0</v>
      </c>
      <c r="X773" s="278">
        <f>SUBTOTAL(9,E773:W773)</f>
        <v>1</v>
      </c>
      <c r="Y773" s="346"/>
      <c r="Z773" s="224" t="s">
        <v>663</v>
      </c>
      <c r="AA773" s="157" t="s">
        <v>649</v>
      </c>
      <c r="AB773" s="259" t="s">
        <v>2821</v>
      </c>
      <c r="AC773" s="530">
        <v>2771865.7416983512</v>
      </c>
      <c r="AD773" s="159"/>
    </row>
    <row r="774" spans="1:30" x14ac:dyDescent="0.2">
      <c r="A774" s="259" t="s">
        <v>2821</v>
      </c>
      <c r="B774" s="396"/>
      <c r="C774" s="395" t="s">
        <v>2623</v>
      </c>
      <c r="D774" s="396" t="s">
        <v>2424</v>
      </c>
      <c r="E774" s="278">
        <v>0</v>
      </c>
      <c r="F774" s="278">
        <v>0</v>
      </c>
      <c r="G774" s="278">
        <v>0</v>
      </c>
      <c r="H774" s="278">
        <v>0</v>
      </c>
      <c r="I774" s="278">
        <v>0</v>
      </c>
      <c r="J774" s="278">
        <v>0</v>
      </c>
      <c r="K774" s="278">
        <v>0</v>
      </c>
      <c r="L774" s="278">
        <v>0</v>
      </c>
      <c r="M774" s="278">
        <v>0</v>
      </c>
      <c r="N774" s="278">
        <v>0</v>
      </c>
      <c r="O774" s="278">
        <v>0</v>
      </c>
      <c r="P774" s="278">
        <v>0</v>
      </c>
      <c r="Q774" s="278">
        <v>0</v>
      </c>
      <c r="R774" s="278">
        <v>0</v>
      </c>
      <c r="S774" s="278">
        <v>0</v>
      </c>
      <c r="T774" s="278">
        <v>1</v>
      </c>
      <c r="U774" s="278">
        <v>0</v>
      </c>
      <c r="V774" s="278">
        <v>0</v>
      </c>
      <c r="W774" s="278">
        <v>0</v>
      </c>
      <c r="X774" s="278">
        <f>SUBTOTAL(9,E774:W774)</f>
        <v>1</v>
      </c>
      <c r="Y774" s="346"/>
      <c r="Z774" s="224" t="s">
        <v>663</v>
      </c>
      <c r="AA774" s="157" t="s">
        <v>649</v>
      </c>
      <c r="AB774" s="259" t="s">
        <v>2821</v>
      </c>
      <c r="AC774" s="530">
        <v>3829044.6392393969</v>
      </c>
      <c r="AD774" s="159"/>
    </row>
    <row r="775" spans="1:30" x14ac:dyDescent="0.2">
      <c r="A775" s="259" t="s">
        <v>2821</v>
      </c>
      <c r="B775" s="396"/>
      <c r="C775" s="395" t="s">
        <v>2586</v>
      </c>
      <c r="D775" s="396" t="s">
        <v>2426</v>
      </c>
      <c r="E775" s="278">
        <v>0</v>
      </c>
      <c r="F775" s="278">
        <v>0</v>
      </c>
      <c r="G775" s="278">
        <v>0</v>
      </c>
      <c r="H775" s="278">
        <v>0</v>
      </c>
      <c r="I775" s="278">
        <v>0</v>
      </c>
      <c r="J775" s="278">
        <v>0</v>
      </c>
      <c r="K775" s="278">
        <v>0</v>
      </c>
      <c r="L775" s="278">
        <v>1</v>
      </c>
      <c r="M775" s="278">
        <v>0</v>
      </c>
      <c r="N775" s="278">
        <v>0</v>
      </c>
      <c r="O775" s="278">
        <v>0</v>
      </c>
      <c r="P775" s="278">
        <v>0</v>
      </c>
      <c r="Q775" s="278">
        <v>0</v>
      </c>
      <c r="R775" s="278">
        <v>0</v>
      </c>
      <c r="S775" s="278">
        <v>0</v>
      </c>
      <c r="T775" s="278">
        <v>0</v>
      </c>
      <c r="U775" s="278">
        <v>0</v>
      </c>
      <c r="V775" s="278">
        <v>0</v>
      </c>
      <c r="W775" s="278">
        <v>0</v>
      </c>
      <c r="X775" s="278">
        <f>SUBTOTAL(9,E775:W775)</f>
        <v>1</v>
      </c>
      <c r="Y775" s="346"/>
      <c r="Z775" s="224" t="s">
        <v>663</v>
      </c>
      <c r="AA775" s="157" t="s">
        <v>649</v>
      </c>
      <c r="AB775" s="259" t="s">
        <v>2821</v>
      </c>
      <c r="AC775" s="530">
        <v>666261.31775922375</v>
      </c>
      <c r="AD775" s="159"/>
    </row>
    <row r="776" spans="1:30" x14ac:dyDescent="0.2">
      <c r="A776" s="316" t="s">
        <v>2821</v>
      </c>
      <c r="B776" s="396"/>
      <c r="C776" s="395" t="s">
        <v>2931</v>
      </c>
      <c r="D776" s="396" t="s">
        <v>2428</v>
      </c>
      <c r="E776" s="278">
        <v>0</v>
      </c>
      <c r="F776" s="278">
        <v>0.56420380507469547</v>
      </c>
      <c r="G776" s="278">
        <v>0.40690709966665639</v>
      </c>
      <c r="H776" s="278">
        <v>0</v>
      </c>
      <c r="I776" s="278">
        <v>0</v>
      </c>
      <c r="J776" s="278">
        <v>0</v>
      </c>
      <c r="K776" s="278">
        <v>0</v>
      </c>
      <c r="L776" s="278">
        <v>0</v>
      </c>
      <c r="M776" s="278">
        <v>0</v>
      </c>
      <c r="N776" s="278">
        <v>0</v>
      </c>
      <c r="O776" s="278">
        <v>0</v>
      </c>
      <c r="P776" s="278">
        <v>0</v>
      </c>
      <c r="Q776" s="278">
        <v>2.8889095258648089E-2</v>
      </c>
      <c r="R776" s="278">
        <v>0</v>
      </c>
      <c r="S776" s="278">
        <v>0</v>
      </c>
      <c r="T776" s="278">
        <v>0</v>
      </c>
      <c r="U776" s="278">
        <v>0</v>
      </c>
      <c r="V776" s="278">
        <v>0</v>
      </c>
      <c r="W776" s="278">
        <v>0</v>
      </c>
      <c r="X776" s="278">
        <f>SUBTOTAL(9,E776:W776)</f>
        <v>1</v>
      </c>
      <c r="Y776" s="346"/>
      <c r="Z776" s="224" t="s">
        <v>663</v>
      </c>
      <c r="AA776" s="157" t="s">
        <v>649</v>
      </c>
      <c r="AB776" s="259" t="s">
        <v>2821</v>
      </c>
      <c r="AC776" s="530">
        <v>4052903.0646711849</v>
      </c>
      <c r="AD776" s="159"/>
    </row>
    <row r="777" spans="1:30" x14ac:dyDescent="0.2">
      <c r="A777" s="397"/>
      <c r="B777" s="397"/>
      <c r="C777" s="398" t="s">
        <v>2587</v>
      </c>
      <c r="D777" s="397" t="s">
        <v>2430</v>
      </c>
      <c r="E777" s="401">
        <v>0</v>
      </c>
      <c r="F777" s="401">
        <v>0.53519241109976956</v>
      </c>
      <c r="G777" s="401">
        <v>0.37216828832272147</v>
      </c>
      <c r="H777" s="401">
        <v>0</v>
      </c>
      <c r="I777" s="401">
        <v>0</v>
      </c>
      <c r="J777" s="401">
        <v>0</v>
      </c>
      <c r="K777" s="401">
        <v>0</v>
      </c>
      <c r="L777" s="401">
        <v>0</v>
      </c>
      <c r="M777" s="401">
        <v>0</v>
      </c>
      <c r="N777" s="401">
        <v>0</v>
      </c>
      <c r="O777" s="401">
        <v>9.2639300577508812E-2</v>
      </c>
      <c r="P777" s="401">
        <v>0</v>
      </c>
      <c r="Q777" s="401">
        <v>0</v>
      </c>
      <c r="R777" s="401">
        <v>0</v>
      </c>
      <c r="S777" s="401">
        <v>0</v>
      </c>
      <c r="T777" s="401">
        <v>0</v>
      </c>
      <c r="U777" s="401">
        <v>0</v>
      </c>
      <c r="V777" s="401">
        <v>0</v>
      </c>
      <c r="W777" s="401">
        <v>0</v>
      </c>
      <c r="X777" s="401">
        <f>SUM(E777:W777)</f>
        <v>0.99999999999999978</v>
      </c>
      <c r="Y777" s="346"/>
      <c r="Z777" s="224" t="s">
        <v>663</v>
      </c>
      <c r="AA777" s="157" t="s">
        <v>663</v>
      </c>
      <c r="AB777" s="397"/>
      <c r="AC777" s="530" t="s">
        <v>3015</v>
      </c>
      <c r="AD777" s="159"/>
    </row>
    <row r="778" spans="1:30" x14ac:dyDescent="0.2">
      <c r="A778" s="276" t="s">
        <v>2821</v>
      </c>
      <c r="B778" s="396"/>
      <c r="C778" s="395" t="s">
        <v>2932</v>
      </c>
      <c r="D778" s="396" t="s">
        <v>2432</v>
      </c>
      <c r="E778" s="278">
        <v>0</v>
      </c>
      <c r="F778" s="278">
        <v>0</v>
      </c>
      <c r="G778" s="278">
        <v>0</v>
      </c>
      <c r="H778" s="278">
        <v>0</v>
      </c>
      <c r="I778" s="278">
        <v>0</v>
      </c>
      <c r="J778" s="278">
        <v>0</v>
      </c>
      <c r="K778" s="278">
        <v>0</v>
      </c>
      <c r="L778" s="278">
        <v>0</v>
      </c>
      <c r="M778" s="278">
        <v>0</v>
      </c>
      <c r="N778" s="278">
        <v>4.4178058792385269E-3</v>
      </c>
      <c r="O778" s="278">
        <v>0</v>
      </c>
      <c r="P778" s="278">
        <v>1.8719516437451386E-2</v>
      </c>
      <c r="Q778" s="278">
        <v>0</v>
      </c>
      <c r="R778" s="278">
        <v>0</v>
      </c>
      <c r="S778" s="278">
        <v>0.97686267768331014</v>
      </c>
      <c r="T778" s="278">
        <v>0</v>
      </c>
      <c r="U778" s="278">
        <v>0</v>
      </c>
      <c r="V778" s="278">
        <v>0</v>
      </c>
      <c r="W778" s="278">
        <v>0</v>
      </c>
      <c r="X778" s="278">
        <f>SUBTOTAL(9,E778:W778)</f>
        <v>1</v>
      </c>
      <c r="Y778" s="346"/>
      <c r="Z778" s="224" t="s">
        <v>663</v>
      </c>
      <c r="AA778" s="157" t="s">
        <v>649</v>
      </c>
      <c r="AB778" s="259" t="s">
        <v>2821</v>
      </c>
      <c r="AC778" s="530">
        <v>4841504.8519263919</v>
      </c>
      <c r="AD778" s="159"/>
    </row>
    <row r="779" spans="1:30" x14ac:dyDescent="0.2">
      <c r="A779" s="293" t="s">
        <v>2597</v>
      </c>
      <c r="B779" s="403"/>
      <c r="C779" s="415" t="s">
        <v>2588</v>
      </c>
      <c r="D779" s="416" t="s">
        <v>2434</v>
      </c>
      <c r="E779" s="405"/>
      <c r="F779" s="405"/>
      <c r="G779" s="405"/>
      <c r="H779" s="405"/>
      <c r="I779" s="405"/>
      <c r="J779" s="405"/>
      <c r="K779" s="405"/>
      <c r="L779" s="417">
        <v>1</v>
      </c>
      <c r="M779" s="405"/>
      <c r="N779" s="405"/>
      <c r="O779" s="405"/>
      <c r="P779" s="405"/>
      <c r="Q779" s="405"/>
      <c r="R779" s="405"/>
      <c r="S779" s="405"/>
      <c r="T779" s="405"/>
      <c r="U779" s="405"/>
      <c r="V779" s="405"/>
      <c r="W779" s="405"/>
      <c r="X779" s="405">
        <f>SUM(E779:W779)</f>
        <v>1</v>
      </c>
      <c r="Y779" s="346"/>
      <c r="Z779" s="224" t="s">
        <v>663</v>
      </c>
      <c r="AA779" s="157" t="s">
        <v>663</v>
      </c>
      <c r="AB779" s="293" t="s">
        <v>2597</v>
      </c>
      <c r="AC779" s="530">
        <v>53395.19</v>
      </c>
      <c r="AD779" s="159"/>
    </row>
    <row r="780" spans="1:30" x14ac:dyDescent="0.2">
      <c r="A780" s="293" t="s">
        <v>2597</v>
      </c>
      <c r="B780" s="403"/>
      <c r="C780" s="404" t="s">
        <v>2589</v>
      </c>
      <c r="D780" s="403" t="s">
        <v>2436</v>
      </c>
      <c r="E780" s="405"/>
      <c r="F780" s="405"/>
      <c r="G780" s="405"/>
      <c r="H780" s="405"/>
      <c r="I780" s="405"/>
      <c r="J780" s="405"/>
      <c r="K780" s="405"/>
      <c r="L780" s="405">
        <v>1</v>
      </c>
      <c r="M780" s="405"/>
      <c r="N780" s="405"/>
      <c r="O780" s="405"/>
      <c r="P780" s="405"/>
      <c r="Q780" s="405"/>
      <c r="R780" s="405"/>
      <c r="S780" s="405"/>
      <c r="T780" s="405"/>
      <c r="U780" s="405"/>
      <c r="V780" s="405"/>
      <c r="W780" s="405"/>
      <c r="X780" s="405">
        <f>SUM(E780:W780)</f>
        <v>1</v>
      </c>
      <c r="Y780" s="346"/>
      <c r="Z780" s="224" t="s">
        <v>663</v>
      </c>
      <c r="AA780" s="157" t="s">
        <v>663</v>
      </c>
      <c r="AB780" s="293" t="s">
        <v>2597</v>
      </c>
      <c r="AC780" s="530">
        <v>130000</v>
      </c>
      <c r="AD780" s="159"/>
    </row>
    <row r="781" spans="1:30" x14ac:dyDescent="0.2">
      <c r="A781" s="293" t="s">
        <v>2597</v>
      </c>
      <c r="B781" s="403"/>
      <c r="C781" s="404" t="s">
        <v>2590</v>
      </c>
      <c r="D781" s="403" t="s">
        <v>2438</v>
      </c>
      <c r="E781" s="405"/>
      <c r="F781" s="405"/>
      <c r="G781" s="405"/>
      <c r="H781" s="405"/>
      <c r="I781" s="405"/>
      <c r="J781" s="405"/>
      <c r="K781" s="405"/>
      <c r="L781" s="405"/>
      <c r="M781" s="405"/>
      <c r="N781" s="405"/>
      <c r="O781" s="405"/>
      <c r="P781" s="405"/>
      <c r="Q781" s="405"/>
      <c r="R781" s="405"/>
      <c r="S781" s="405">
        <v>1</v>
      </c>
      <c r="T781" s="405"/>
      <c r="U781" s="405"/>
      <c r="V781" s="405"/>
      <c r="W781" s="405"/>
      <c r="X781" s="405">
        <f>SUM(E781:W781)</f>
        <v>1</v>
      </c>
      <c r="Y781" s="346"/>
      <c r="Z781" s="224" t="s">
        <v>663</v>
      </c>
      <c r="AA781" s="157" t="s">
        <v>663</v>
      </c>
      <c r="AB781" s="293" t="s">
        <v>2597</v>
      </c>
      <c r="AC781" s="530">
        <v>299693.29722651234</v>
      </c>
      <c r="AD781" s="159"/>
    </row>
    <row r="782" spans="1:30" x14ac:dyDescent="0.2">
      <c r="A782" s="276" t="s">
        <v>2821</v>
      </c>
      <c r="B782" s="396"/>
      <c r="C782" s="395" t="s">
        <v>2591</v>
      </c>
      <c r="D782" s="396" t="s">
        <v>2440</v>
      </c>
      <c r="E782" s="278">
        <v>1</v>
      </c>
      <c r="F782" s="278">
        <v>0</v>
      </c>
      <c r="G782" s="278">
        <v>0</v>
      </c>
      <c r="H782" s="278">
        <v>0</v>
      </c>
      <c r="I782" s="278">
        <v>0</v>
      </c>
      <c r="J782" s="278">
        <v>0</v>
      </c>
      <c r="K782" s="278">
        <v>0</v>
      </c>
      <c r="L782" s="278">
        <v>0</v>
      </c>
      <c r="M782" s="278">
        <v>0</v>
      </c>
      <c r="N782" s="278">
        <v>0</v>
      </c>
      <c r="O782" s="278">
        <v>0</v>
      </c>
      <c r="P782" s="278">
        <v>0</v>
      </c>
      <c r="Q782" s="278">
        <v>0</v>
      </c>
      <c r="R782" s="278">
        <v>0</v>
      </c>
      <c r="S782" s="278">
        <v>0</v>
      </c>
      <c r="T782" s="278">
        <v>0</v>
      </c>
      <c r="U782" s="278">
        <v>0</v>
      </c>
      <c r="V782" s="278">
        <v>0</v>
      </c>
      <c r="W782" s="278">
        <v>0</v>
      </c>
      <c r="X782" s="278">
        <f>SUBTOTAL(9,E782:W782)</f>
        <v>1</v>
      </c>
      <c r="Y782" s="346"/>
      <c r="Z782" s="224" t="s">
        <v>663</v>
      </c>
      <c r="AA782" s="157" t="s">
        <v>649</v>
      </c>
      <c r="AB782" s="259" t="s">
        <v>2821</v>
      </c>
      <c r="AC782" s="530">
        <v>4501465.0038677026</v>
      </c>
      <c r="AD782" s="159"/>
    </row>
    <row r="783" spans="1:30" x14ac:dyDescent="0.2">
      <c r="A783" s="293" t="s">
        <v>2597</v>
      </c>
      <c r="B783" s="403"/>
      <c r="C783" s="404" t="s">
        <v>2592</v>
      </c>
      <c r="D783" s="403" t="s">
        <v>2442</v>
      </c>
      <c r="E783" s="405"/>
      <c r="F783" s="405"/>
      <c r="G783" s="405"/>
      <c r="H783" s="405"/>
      <c r="I783" s="405"/>
      <c r="J783" s="405"/>
      <c r="K783" s="405"/>
      <c r="L783" s="405"/>
      <c r="M783" s="405"/>
      <c r="N783" s="405"/>
      <c r="O783" s="405"/>
      <c r="P783" s="405"/>
      <c r="Q783" s="405"/>
      <c r="R783" s="405"/>
      <c r="S783" s="405"/>
      <c r="T783" s="405">
        <v>1</v>
      </c>
      <c r="U783" s="405"/>
      <c r="V783" s="405"/>
      <c r="W783" s="405"/>
      <c r="X783" s="405">
        <f>SUM(E783:W783)</f>
        <v>1</v>
      </c>
      <c r="Y783" s="346"/>
      <c r="Z783" s="224" t="s">
        <v>663</v>
      </c>
      <c r="AA783" s="157" t="s">
        <v>663</v>
      </c>
      <c r="AB783" s="293" t="s">
        <v>2597</v>
      </c>
      <c r="AC783" s="530">
        <v>2960721.0420570173</v>
      </c>
      <c r="AD783" s="159"/>
    </row>
    <row r="784" spans="1:30" x14ac:dyDescent="0.2">
      <c r="A784" s="407" t="s">
        <v>2821</v>
      </c>
      <c r="B784" s="407"/>
      <c r="C784" s="406" t="s">
        <v>2933</v>
      </c>
      <c r="D784" s="407" t="s">
        <v>2934</v>
      </c>
      <c r="E784" s="278">
        <v>0</v>
      </c>
      <c r="F784" s="278">
        <v>0</v>
      </c>
      <c r="G784" s="278">
        <v>0</v>
      </c>
      <c r="H784" s="278">
        <v>0</v>
      </c>
      <c r="I784" s="278">
        <v>0</v>
      </c>
      <c r="J784" s="278">
        <v>0</v>
      </c>
      <c r="K784" s="278">
        <v>0</v>
      </c>
      <c r="L784" s="278">
        <v>0</v>
      </c>
      <c r="M784" s="278">
        <v>0</v>
      </c>
      <c r="N784" s="278">
        <v>0.41987652027118744</v>
      </c>
      <c r="O784" s="278">
        <v>0</v>
      </c>
      <c r="P784" s="278">
        <v>0.31764697261628599</v>
      </c>
      <c r="Q784" s="278">
        <v>3.0289635387983141E-2</v>
      </c>
      <c r="R784" s="278">
        <v>0</v>
      </c>
      <c r="S784" s="278">
        <v>0.16298709211082793</v>
      </c>
      <c r="T784" s="278">
        <v>0</v>
      </c>
      <c r="U784" s="278">
        <v>6.9199779613715567E-2</v>
      </c>
      <c r="V784" s="278">
        <v>0</v>
      </c>
      <c r="W784" s="278">
        <v>0</v>
      </c>
      <c r="X784" s="274">
        <v>1</v>
      </c>
      <c r="Y784" s="198"/>
      <c r="Z784" s="224" t="s">
        <v>663</v>
      </c>
      <c r="AA784" s="157" t="s">
        <v>649</v>
      </c>
      <c r="AB784" s="259" t="s">
        <v>2821</v>
      </c>
      <c r="AC784" s="530">
        <v>1565593.6281519099</v>
      </c>
      <c r="AD784" s="159"/>
    </row>
    <row r="785" spans="1:30" x14ac:dyDescent="0.2">
      <c r="A785" s="407" t="s">
        <v>2821</v>
      </c>
      <c r="B785" s="407"/>
      <c r="C785" s="406" t="s">
        <v>2340</v>
      </c>
      <c r="D785" s="407" t="s">
        <v>2348</v>
      </c>
      <c r="E785" s="278">
        <v>0</v>
      </c>
      <c r="F785" s="278">
        <v>0</v>
      </c>
      <c r="G785" s="278">
        <v>0</v>
      </c>
      <c r="H785" s="278">
        <v>0</v>
      </c>
      <c r="I785" s="278">
        <v>0</v>
      </c>
      <c r="J785" s="278">
        <v>0</v>
      </c>
      <c r="K785" s="278">
        <v>0</v>
      </c>
      <c r="L785" s="278">
        <v>0</v>
      </c>
      <c r="M785" s="278">
        <v>0</v>
      </c>
      <c r="N785" s="278">
        <v>0</v>
      </c>
      <c r="O785" s="278">
        <v>0</v>
      </c>
      <c r="P785" s="278">
        <v>0</v>
      </c>
      <c r="Q785" s="278">
        <v>0</v>
      </c>
      <c r="R785" s="278">
        <v>0</v>
      </c>
      <c r="S785" s="278">
        <v>0</v>
      </c>
      <c r="T785" s="418">
        <v>0</v>
      </c>
      <c r="U785" s="278">
        <v>0</v>
      </c>
      <c r="V785" s="278">
        <v>0</v>
      </c>
      <c r="W785" s="418">
        <v>1</v>
      </c>
      <c r="X785" s="274">
        <v>0.99999999999999989</v>
      </c>
      <c r="Y785" s="198" t="s">
        <v>2975</v>
      </c>
      <c r="Z785" s="224" t="s">
        <v>663</v>
      </c>
      <c r="AA785" s="157" t="s">
        <v>649</v>
      </c>
      <c r="AB785" s="259" t="s">
        <v>2821</v>
      </c>
      <c r="AC785" s="530" t="s">
        <v>3015</v>
      </c>
      <c r="AD785" s="159"/>
    </row>
    <row r="786" spans="1:30" x14ac:dyDescent="0.2">
      <c r="A786" s="407" t="s">
        <v>2821</v>
      </c>
      <c r="B786" s="407"/>
      <c r="C786" s="406" t="s">
        <v>2341</v>
      </c>
      <c r="D786" s="407" t="s">
        <v>2349</v>
      </c>
      <c r="E786" s="278">
        <v>0</v>
      </c>
      <c r="F786" s="278">
        <v>0</v>
      </c>
      <c r="G786" s="278">
        <v>0</v>
      </c>
      <c r="H786" s="278">
        <v>0</v>
      </c>
      <c r="I786" s="278">
        <v>0</v>
      </c>
      <c r="J786" s="278">
        <v>0</v>
      </c>
      <c r="K786" s="278">
        <v>0</v>
      </c>
      <c r="L786" s="278">
        <v>0</v>
      </c>
      <c r="M786" s="278">
        <v>0</v>
      </c>
      <c r="N786" s="278">
        <v>0</v>
      </c>
      <c r="O786" s="278">
        <v>0</v>
      </c>
      <c r="P786" s="278">
        <v>0</v>
      </c>
      <c r="Q786" s="278">
        <v>0</v>
      </c>
      <c r="R786" s="278">
        <v>0</v>
      </c>
      <c r="S786" s="278">
        <v>0</v>
      </c>
      <c r="T786" s="418">
        <v>0</v>
      </c>
      <c r="U786" s="278">
        <v>0</v>
      </c>
      <c r="V786" s="278">
        <v>0</v>
      </c>
      <c r="W786" s="418">
        <v>1</v>
      </c>
      <c r="X786" s="274">
        <v>1</v>
      </c>
      <c r="Y786" s="198" t="s">
        <v>2975</v>
      </c>
      <c r="Z786" s="224" t="s">
        <v>663</v>
      </c>
      <c r="AA786" s="157" t="s">
        <v>649</v>
      </c>
      <c r="AB786" s="259" t="s">
        <v>2821</v>
      </c>
      <c r="AC786" s="530" t="s">
        <v>3015</v>
      </c>
      <c r="AD786" s="159"/>
    </row>
    <row r="787" spans="1:30" x14ac:dyDescent="0.2">
      <c r="A787" s="407" t="s">
        <v>2821</v>
      </c>
      <c r="B787" s="407"/>
      <c r="C787" s="406" t="s">
        <v>2342</v>
      </c>
      <c r="D787" s="407" t="s">
        <v>2350</v>
      </c>
      <c r="E787" s="278">
        <v>0</v>
      </c>
      <c r="F787" s="278">
        <v>0</v>
      </c>
      <c r="G787" s="278">
        <v>0</v>
      </c>
      <c r="H787" s="278">
        <v>0</v>
      </c>
      <c r="I787" s="278">
        <v>0</v>
      </c>
      <c r="J787" s="278">
        <v>0</v>
      </c>
      <c r="K787" s="278">
        <v>0</v>
      </c>
      <c r="L787" s="278">
        <v>0</v>
      </c>
      <c r="M787" s="278">
        <v>0</v>
      </c>
      <c r="N787" s="278">
        <v>0</v>
      </c>
      <c r="O787" s="278">
        <v>0</v>
      </c>
      <c r="P787" s="278">
        <v>0</v>
      </c>
      <c r="Q787" s="278">
        <v>0</v>
      </c>
      <c r="R787" s="278">
        <v>0</v>
      </c>
      <c r="S787" s="278">
        <v>0</v>
      </c>
      <c r="T787" s="418">
        <v>0</v>
      </c>
      <c r="U787" s="278">
        <v>0</v>
      </c>
      <c r="V787" s="278">
        <v>0</v>
      </c>
      <c r="W787" s="418">
        <v>1</v>
      </c>
      <c r="X787" s="274">
        <v>1</v>
      </c>
      <c r="Y787" s="198" t="s">
        <v>2975</v>
      </c>
      <c r="Z787" s="224" t="s">
        <v>663</v>
      </c>
      <c r="AA787" s="157" t="s">
        <v>649</v>
      </c>
      <c r="AB787" s="259" t="s">
        <v>2821</v>
      </c>
      <c r="AC787" s="530" t="s">
        <v>3015</v>
      </c>
      <c r="AD787" s="159"/>
    </row>
    <row r="788" spans="1:30" x14ac:dyDescent="0.2">
      <c r="A788" s="407" t="s">
        <v>2821</v>
      </c>
      <c r="B788" s="407"/>
      <c r="C788" s="406" t="s">
        <v>2343</v>
      </c>
      <c r="D788" s="407" t="s">
        <v>2351</v>
      </c>
      <c r="E788" s="278">
        <v>0</v>
      </c>
      <c r="F788" s="278">
        <v>0</v>
      </c>
      <c r="G788" s="278">
        <v>0</v>
      </c>
      <c r="H788" s="278">
        <v>0</v>
      </c>
      <c r="I788" s="278">
        <v>0</v>
      </c>
      <c r="J788" s="278">
        <v>0</v>
      </c>
      <c r="K788" s="278">
        <v>0</v>
      </c>
      <c r="L788" s="278">
        <v>0</v>
      </c>
      <c r="M788" s="278">
        <v>0</v>
      </c>
      <c r="N788" s="278">
        <v>0</v>
      </c>
      <c r="O788" s="278">
        <v>0</v>
      </c>
      <c r="P788" s="278">
        <v>0</v>
      </c>
      <c r="Q788" s="278">
        <v>0</v>
      </c>
      <c r="R788" s="278">
        <v>0</v>
      </c>
      <c r="S788" s="278">
        <v>0</v>
      </c>
      <c r="T788" s="418">
        <v>0</v>
      </c>
      <c r="U788" s="278">
        <v>0</v>
      </c>
      <c r="V788" s="278">
        <v>0</v>
      </c>
      <c r="W788" s="418">
        <v>1</v>
      </c>
      <c r="X788" s="274">
        <v>1</v>
      </c>
      <c r="Y788" s="198" t="s">
        <v>2975</v>
      </c>
      <c r="Z788" s="224" t="s">
        <v>663</v>
      </c>
      <c r="AA788" s="157" t="s">
        <v>649</v>
      </c>
      <c r="AB788" s="259" t="s">
        <v>2821</v>
      </c>
      <c r="AC788" s="530" t="s">
        <v>3015</v>
      </c>
      <c r="AD788" s="159"/>
    </row>
    <row r="789" spans="1:30" x14ac:dyDescent="0.2">
      <c r="A789" s="407" t="s">
        <v>2821</v>
      </c>
      <c r="B789" s="407"/>
      <c r="C789" s="406" t="s">
        <v>2344</v>
      </c>
      <c r="D789" s="407" t="s">
        <v>2352</v>
      </c>
      <c r="E789" s="278">
        <v>0</v>
      </c>
      <c r="F789" s="278">
        <v>0</v>
      </c>
      <c r="G789" s="278">
        <v>0</v>
      </c>
      <c r="H789" s="278">
        <v>0</v>
      </c>
      <c r="I789" s="278">
        <v>0</v>
      </c>
      <c r="J789" s="278">
        <v>0</v>
      </c>
      <c r="K789" s="278">
        <v>0</v>
      </c>
      <c r="L789" s="278">
        <v>0</v>
      </c>
      <c r="M789" s="278">
        <v>0</v>
      </c>
      <c r="N789" s="278">
        <v>0</v>
      </c>
      <c r="O789" s="278">
        <v>0</v>
      </c>
      <c r="P789" s="278">
        <v>0</v>
      </c>
      <c r="Q789" s="278">
        <v>0</v>
      </c>
      <c r="R789" s="278">
        <v>0</v>
      </c>
      <c r="S789" s="278">
        <v>0</v>
      </c>
      <c r="T789" s="418">
        <v>0</v>
      </c>
      <c r="U789" s="278">
        <v>0</v>
      </c>
      <c r="V789" s="278">
        <v>0</v>
      </c>
      <c r="W789" s="418">
        <v>1</v>
      </c>
      <c r="X789" s="274">
        <v>0.99999999999999989</v>
      </c>
      <c r="Y789" s="198" t="s">
        <v>2975</v>
      </c>
      <c r="Z789" s="224" t="s">
        <v>663</v>
      </c>
      <c r="AA789" s="157" t="s">
        <v>649</v>
      </c>
      <c r="AB789" s="259" t="s">
        <v>2821</v>
      </c>
      <c r="AC789" s="530" t="s">
        <v>3015</v>
      </c>
      <c r="AD789" s="159"/>
    </row>
    <row r="790" spans="1:30" x14ac:dyDescent="0.2">
      <c r="A790" s="407" t="s">
        <v>2821</v>
      </c>
      <c r="B790" s="407"/>
      <c r="C790" s="406" t="s">
        <v>2345</v>
      </c>
      <c r="D790" s="407" t="s">
        <v>2353</v>
      </c>
      <c r="E790" s="278">
        <v>0</v>
      </c>
      <c r="F790" s="278">
        <v>0</v>
      </c>
      <c r="G790" s="278">
        <v>0</v>
      </c>
      <c r="H790" s="278">
        <v>0</v>
      </c>
      <c r="I790" s="278">
        <v>0</v>
      </c>
      <c r="J790" s="278">
        <v>0</v>
      </c>
      <c r="K790" s="278">
        <v>0</v>
      </c>
      <c r="L790" s="278">
        <v>0</v>
      </c>
      <c r="M790" s="278">
        <v>0</v>
      </c>
      <c r="N790" s="278">
        <v>0</v>
      </c>
      <c r="O790" s="278">
        <v>0</v>
      </c>
      <c r="P790" s="278">
        <v>0</v>
      </c>
      <c r="Q790" s="278">
        <v>0</v>
      </c>
      <c r="R790" s="278">
        <v>0</v>
      </c>
      <c r="S790" s="278">
        <v>0</v>
      </c>
      <c r="T790" s="418">
        <v>0</v>
      </c>
      <c r="U790" s="278">
        <v>0</v>
      </c>
      <c r="V790" s="278">
        <v>0</v>
      </c>
      <c r="W790" s="418">
        <v>1</v>
      </c>
      <c r="X790" s="274">
        <v>1</v>
      </c>
      <c r="Y790" s="198" t="s">
        <v>2975</v>
      </c>
      <c r="Z790" s="224" t="s">
        <v>663</v>
      </c>
      <c r="AA790" s="157" t="s">
        <v>649</v>
      </c>
      <c r="AB790" s="259" t="s">
        <v>2821</v>
      </c>
      <c r="AC790" s="530" t="s">
        <v>3015</v>
      </c>
      <c r="AD790" s="159"/>
    </row>
    <row r="791" spans="1:30" x14ac:dyDescent="0.2">
      <c r="A791" s="407" t="s">
        <v>2821</v>
      </c>
      <c r="B791" s="407"/>
      <c r="C791" s="406" t="s">
        <v>2346</v>
      </c>
      <c r="D791" s="407" t="s">
        <v>2354</v>
      </c>
      <c r="E791" s="278">
        <v>0</v>
      </c>
      <c r="F791" s="278">
        <v>0</v>
      </c>
      <c r="G791" s="278">
        <v>0</v>
      </c>
      <c r="H791" s="278">
        <v>0</v>
      </c>
      <c r="I791" s="278">
        <v>0</v>
      </c>
      <c r="J791" s="278">
        <v>0</v>
      </c>
      <c r="K791" s="278">
        <v>0</v>
      </c>
      <c r="L791" s="278">
        <v>0</v>
      </c>
      <c r="M791" s="278">
        <v>0</v>
      </c>
      <c r="N791" s="278">
        <v>0</v>
      </c>
      <c r="O791" s="278">
        <v>0</v>
      </c>
      <c r="P791" s="278">
        <v>0</v>
      </c>
      <c r="Q791" s="278">
        <v>0</v>
      </c>
      <c r="R791" s="278">
        <v>0</v>
      </c>
      <c r="S791" s="278">
        <v>0</v>
      </c>
      <c r="T791" s="418">
        <v>0</v>
      </c>
      <c r="U791" s="278">
        <v>0</v>
      </c>
      <c r="V791" s="278">
        <v>0</v>
      </c>
      <c r="W791" s="418">
        <v>1</v>
      </c>
      <c r="X791" s="274">
        <v>1.0000000000000002</v>
      </c>
      <c r="Y791" s="198" t="s">
        <v>2975</v>
      </c>
      <c r="Z791" s="224" t="s">
        <v>663</v>
      </c>
      <c r="AA791" s="157" t="s">
        <v>649</v>
      </c>
      <c r="AB791" s="259" t="s">
        <v>2821</v>
      </c>
      <c r="AC791" s="530" t="s">
        <v>3015</v>
      </c>
      <c r="AD791" s="159"/>
    </row>
    <row r="792" spans="1:30" x14ac:dyDescent="0.2">
      <c r="A792" s="407" t="s">
        <v>2821</v>
      </c>
      <c r="B792" s="407"/>
      <c r="C792" s="406" t="s">
        <v>2935</v>
      </c>
      <c r="D792" s="407" t="s">
        <v>2760</v>
      </c>
      <c r="E792" s="278">
        <v>0</v>
      </c>
      <c r="F792" s="278">
        <v>0</v>
      </c>
      <c r="G792" s="278">
        <v>0</v>
      </c>
      <c r="H792" s="278">
        <v>0</v>
      </c>
      <c r="I792" s="278">
        <v>0</v>
      </c>
      <c r="J792" s="278">
        <v>0</v>
      </c>
      <c r="K792" s="278">
        <v>0</v>
      </c>
      <c r="L792" s="278">
        <v>0</v>
      </c>
      <c r="M792" s="278">
        <v>0</v>
      </c>
      <c r="N792" s="278">
        <v>0</v>
      </c>
      <c r="O792" s="278">
        <v>0</v>
      </c>
      <c r="P792" s="278">
        <v>0</v>
      </c>
      <c r="Q792" s="278">
        <v>0</v>
      </c>
      <c r="R792" s="278">
        <v>0</v>
      </c>
      <c r="S792" s="278">
        <v>0</v>
      </c>
      <c r="T792" s="278">
        <v>0</v>
      </c>
      <c r="U792" s="278">
        <v>0</v>
      </c>
      <c r="V792" s="278">
        <v>0</v>
      </c>
      <c r="W792" s="278">
        <v>1</v>
      </c>
      <c r="X792" s="274">
        <v>1</v>
      </c>
      <c r="Y792" s="198"/>
      <c r="Z792" s="224" t="s">
        <v>663</v>
      </c>
      <c r="AA792" s="157" t="s">
        <v>649</v>
      </c>
      <c r="AB792" s="259" t="s">
        <v>2821</v>
      </c>
      <c r="AC792" s="530" t="s">
        <v>3015</v>
      </c>
      <c r="AD792" s="159"/>
    </row>
    <row r="793" spans="1:30" x14ac:dyDescent="0.2">
      <c r="A793" s="407" t="s">
        <v>2821</v>
      </c>
      <c r="B793" s="407"/>
      <c r="C793" s="406" t="s">
        <v>2936</v>
      </c>
      <c r="D793" s="407" t="s">
        <v>2761</v>
      </c>
      <c r="E793" s="278">
        <v>0</v>
      </c>
      <c r="F793" s="278">
        <v>0</v>
      </c>
      <c r="G793" s="278">
        <v>0</v>
      </c>
      <c r="H793" s="278">
        <v>0</v>
      </c>
      <c r="I793" s="278">
        <v>0</v>
      </c>
      <c r="J793" s="278">
        <v>0</v>
      </c>
      <c r="K793" s="278">
        <v>0</v>
      </c>
      <c r="L793" s="278">
        <v>0</v>
      </c>
      <c r="M793" s="278">
        <v>0</v>
      </c>
      <c r="N793" s="278">
        <v>0</v>
      </c>
      <c r="O793" s="278">
        <v>0</v>
      </c>
      <c r="P793" s="278">
        <v>0</v>
      </c>
      <c r="Q793" s="278">
        <v>0</v>
      </c>
      <c r="R793" s="278">
        <v>0</v>
      </c>
      <c r="S793" s="278">
        <v>0</v>
      </c>
      <c r="T793" s="278">
        <v>0</v>
      </c>
      <c r="U793" s="278">
        <v>0</v>
      </c>
      <c r="V793" s="278">
        <v>0</v>
      </c>
      <c r="W793" s="278">
        <v>1</v>
      </c>
      <c r="X793" s="274">
        <v>1</v>
      </c>
      <c r="Y793" s="198"/>
      <c r="Z793" s="224" t="s">
        <v>663</v>
      </c>
      <c r="AA793" s="157" t="s">
        <v>649</v>
      </c>
      <c r="AB793" s="259" t="s">
        <v>2821</v>
      </c>
      <c r="AC793" s="530" t="s">
        <v>3015</v>
      </c>
      <c r="AD793" s="159"/>
    </row>
    <row r="794" spans="1:30" x14ac:dyDescent="0.2">
      <c r="A794" s="407" t="s">
        <v>2821</v>
      </c>
      <c r="B794" s="407"/>
      <c r="C794" s="406" t="s">
        <v>2937</v>
      </c>
      <c r="D794" s="407" t="s">
        <v>2762</v>
      </c>
      <c r="E794" s="278">
        <v>0</v>
      </c>
      <c r="F794" s="278">
        <v>0</v>
      </c>
      <c r="G794" s="278">
        <v>0</v>
      </c>
      <c r="H794" s="278">
        <v>0</v>
      </c>
      <c r="I794" s="278">
        <v>0</v>
      </c>
      <c r="J794" s="278">
        <v>0</v>
      </c>
      <c r="K794" s="278">
        <v>0</v>
      </c>
      <c r="L794" s="278">
        <v>0</v>
      </c>
      <c r="M794" s="278">
        <v>0</v>
      </c>
      <c r="N794" s="278">
        <v>0</v>
      </c>
      <c r="O794" s="278">
        <v>0</v>
      </c>
      <c r="P794" s="278">
        <v>0</v>
      </c>
      <c r="Q794" s="278">
        <v>0</v>
      </c>
      <c r="R794" s="278">
        <v>0</v>
      </c>
      <c r="S794" s="278">
        <v>0</v>
      </c>
      <c r="T794" s="278">
        <v>0</v>
      </c>
      <c r="U794" s="278">
        <v>0</v>
      </c>
      <c r="V794" s="278">
        <v>0</v>
      </c>
      <c r="W794" s="278">
        <v>1</v>
      </c>
      <c r="X794" s="274">
        <v>1</v>
      </c>
      <c r="Y794" s="198"/>
      <c r="Z794" s="224" t="s">
        <v>663</v>
      </c>
      <c r="AA794" s="157" t="s">
        <v>649</v>
      </c>
      <c r="AB794" s="259" t="s">
        <v>2821</v>
      </c>
      <c r="AC794" s="530" t="s">
        <v>3015</v>
      </c>
      <c r="AD794" s="159"/>
    </row>
    <row r="795" spans="1:30" x14ac:dyDescent="0.2">
      <c r="A795" s="407" t="s">
        <v>2821</v>
      </c>
      <c r="B795" s="407"/>
      <c r="C795" s="406" t="s">
        <v>2938</v>
      </c>
      <c r="D795" s="407" t="s">
        <v>2763</v>
      </c>
      <c r="E795" s="278">
        <v>0</v>
      </c>
      <c r="F795" s="278">
        <v>0</v>
      </c>
      <c r="G795" s="278">
        <v>0</v>
      </c>
      <c r="H795" s="278">
        <v>0</v>
      </c>
      <c r="I795" s="278">
        <v>0</v>
      </c>
      <c r="J795" s="278">
        <v>0</v>
      </c>
      <c r="K795" s="278">
        <v>0</v>
      </c>
      <c r="L795" s="278">
        <v>0</v>
      </c>
      <c r="M795" s="278">
        <v>0</v>
      </c>
      <c r="N795" s="278">
        <v>0</v>
      </c>
      <c r="O795" s="278">
        <v>0</v>
      </c>
      <c r="P795" s="278">
        <v>0</v>
      </c>
      <c r="Q795" s="278">
        <v>0</v>
      </c>
      <c r="R795" s="278">
        <v>0</v>
      </c>
      <c r="S795" s="278">
        <v>0</v>
      </c>
      <c r="T795" s="278">
        <v>0</v>
      </c>
      <c r="U795" s="278">
        <v>0</v>
      </c>
      <c r="V795" s="278">
        <v>0</v>
      </c>
      <c r="W795" s="278">
        <v>1</v>
      </c>
      <c r="X795" s="274">
        <v>1</v>
      </c>
      <c r="Y795" s="198"/>
      <c r="Z795" s="224" t="s">
        <v>663</v>
      </c>
      <c r="AA795" s="157" t="s">
        <v>649</v>
      </c>
      <c r="AB795" s="259" t="s">
        <v>2821</v>
      </c>
      <c r="AC795" s="530" t="s">
        <v>3015</v>
      </c>
      <c r="AD795" s="159"/>
    </row>
    <row r="796" spans="1:30" x14ac:dyDescent="0.2">
      <c r="A796" s="407" t="s">
        <v>2821</v>
      </c>
      <c r="B796" s="407"/>
      <c r="C796" s="406" t="s">
        <v>2939</v>
      </c>
      <c r="D796" s="407" t="s">
        <v>2764</v>
      </c>
      <c r="E796" s="278">
        <v>0</v>
      </c>
      <c r="F796" s="278">
        <v>0</v>
      </c>
      <c r="G796" s="278">
        <v>0</v>
      </c>
      <c r="H796" s="278">
        <v>0</v>
      </c>
      <c r="I796" s="278">
        <v>0</v>
      </c>
      <c r="J796" s="278">
        <v>0</v>
      </c>
      <c r="K796" s="278">
        <v>0</v>
      </c>
      <c r="L796" s="278">
        <v>0</v>
      </c>
      <c r="M796" s="278">
        <v>0</v>
      </c>
      <c r="N796" s="278">
        <v>0</v>
      </c>
      <c r="O796" s="278">
        <v>0</v>
      </c>
      <c r="P796" s="278">
        <v>0</v>
      </c>
      <c r="Q796" s="278">
        <v>0</v>
      </c>
      <c r="R796" s="278">
        <v>0</v>
      </c>
      <c r="S796" s="278">
        <v>0</v>
      </c>
      <c r="T796" s="278">
        <v>0</v>
      </c>
      <c r="U796" s="278">
        <v>0</v>
      </c>
      <c r="V796" s="278">
        <v>0</v>
      </c>
      <c r="W796" s="278">
        <v>1</v>
      </c>
      <c r="X796" s="274">
        <v>1</v>
      </c>
      <c r="Y796" s="198"/>
      <c r="Z796" s="224" t="s">
        <v>663</v>
      </c>
      <c r="AA796" s="157" t="s">
        <v>649</v>
      </c>
      <c r="AB796" s="259" t="s">
        <v>2821</v>
      </c>
      <c r="AC796" s="530" t="s">
        <v>3015</v>
      </c>
      <c r="AD796" s="159"/>
    </row>
    <row r="797" spans="1:30" x14ac:dyDescent="0.2">
      <c r="A797" s="407" t="s">
        <v>2821</v>
      </c>
      <c r="B797" s="407"/>
      <c r="C797" s="406" t="s">
        <v>2940</v>
      </c>
      <c r="D797" s="407" t="s">
        <v>2765</v>
      </c>
      <c r="E797" s="278">
        <v>0</v>
      </c>
      <c r="F797" s="278">
        <v>0</v>
      </c>
      <c r="G797" s="278">
        <v>0</v>
      </c>
      <c r="H797" s="278">
        <v>0</v>
      </c>
      <c r="I797" s="278">
        <v>0</v>
      </c>
      <c r="J797" s="278">
        <v>0</v>
      </c>
      <c r="K797" s="278">
        <v>0</v>
      </c>
      <c r="L797" s="278">
        <v>0</v>
      </c>
      <c r="M797" s="278">
        <v>0</v>
      </c>
      <c r="N797" s="278">
        <v>0</v>
      </c>
      <c r="O797" s="278">
        <v>0</v>
      </c>
      <c r="P797" s="278">
        <v>0</v>
      </c>
      <c r="Q797" s="278">
        <v>0</v>
      </c>
      <c r="R797" s="278">
        <v>0</v>
      </c>
      <c r="S797" s="278">
        <v>0</v>
      </c>
      <c r="T797" s="278">
        <v>0</v>
      </c>
      <c r="U797" s="278">
        <v>0</v>
      </c>
      <c r="V797" s="278">
        <v>0</v>
      </c>
      <c r="W797" s="278">
        <v>1</v>
      </c>
      <c r="X797" s="274">
        <v>1</v>
      </c>
      <c r="Y797" s="198"/>
      <c r="Z797" s="224" t="s">
        <v>663</v>
      </c>
      <c r="AA797" s="157" t="s">
        <v>649</v>
      </c>
      <c r="AB797" s="259" t="s">
        <v>2821</v>
      </c>
      <c r="AC797" s="530" t="s">
        <v>3015</v>
      </c>
      <c r="AD797" s="159"/>
    </row>
    <row r="798" spans="1:30" x14ac:dyDescent="0.2">
      <c r="A798" s="407" t="s">
        <v>2821</v>
      </c>
      <c r="B798" s="407"/>
      <c r="C798" s="406" t="s">
        <v>2941</v>
      </c>
      <c r="D798" s="407" t="s">
        <v>2766</v>
      </c>
      <c r="E798" s="278">
        <v>0</v>
      </c>
      <c r="F798" s="278">
        <v>0</v>
      </c>
      <c r="G798" s="278">
        <v>0</v>
      </c>
      <c r="H798" s="278">
        <v>0</v>
      </c>
      <c r="I798" s="278">
        <v>0</v>
      </c>
      <c r="J798" s="278">
        <v>0</v>
      </c>
      <c r="K798" s="278">
        <v>0</v>
      </c>
      <c r="L798" s="278">
        <v>0</v>
      </c>
      <c r="M798" s="278">
        <v>0</v>
      </c>
      <c r="N798" s="278">
        <v>0</v>
      </c>
      <c r="O798" s="278">
        <v>0</v>
      </c>
      <c r="P798" s="278">
        <v>0</v>
      </c>
      <c r="Q798" s="278">
        <v>0</v>
      </c>
      <c r="R798" s="278">
        <v>0</v>
      </c>
      <c r="S798" s="278">
        <v>0</v>
      </c>
      <c r="T798" s="278">
        <v>0</v>
      </c>
      <c r="U798" s="278">
        <v>0</v>
      </c>
      <c r="V798" s="278">
        <v>0</v>
      </c>
      <c r="W798" s="278">
        <v>1</v>
      </c>
      <c r="X798" s="274">
        <v>1</v>
      </c>
      <c r="Y798" s="198"/>
      <c r="Z798" s="224" t="s">
        <v>663</v>
      </c>
      <c r="AA798" s="157" t="s">
        <v>649</v>
      </c>
      <c r="AB798" s="259" t="s">
        <v>2821</v>
      </c>
      <c r="AC798" s="530" t="s">
        <v>3015</v>
      </c>
      <c r="AD798" s="159"/>
    </row>
    <row r="799" spans="1:30" x14ac:dyDescent="0.2">
      <c r="A799" s="407" t="s">
        <v>2821</v>
      </c>
      <c r="B799" s="407"/>
      <c r="C799" s="406" t="s">
        <v>2942</v>
      </c>
      <c r="D799" s="407" t="s">
        <v>2767</v>
      </c>
      <c r="E799" s="278">
        <v>0</v>
      </c>
      <c r="F799" s="278">
        <v>0</v>
      </c>
      <c r="G799" s="278">
        <v>0</v>
      </c>
      <c r="H799" s="278">
        <v>0</v>
      </c>
      <c r="I799" s="278">
        <v>0</v>
      </c>
      <c r="J799" s="278">
        <v>0</v>
      </c>
      <c r="K799" s="278">
        <v>0</v>
      </c>
      <c r="L799" s="278">
        <v>0</v>
      </c>
      <c r="M799" s="278">
        <v>0</v>
      </c>
      <c r="N799" s="278">
        <v>0</v>
      </c>
      <c r="O799" s="278">
        <v>0</v>
      </c>
      <c r="P799" s="278">
        <v>0</v>
      </c>
      <c r="Q799" s="278">
        <v>0</v>
      </c>
      <c r="R799" s="278">
        <v>0</v>
      </c>
      <c r="S799" s="278">
        <v>0</v>
      </c>
      <c r="T799" s="278">
        <v>0</v>
      </c>
      <c r="U799" s="278">
        <v>0</v>
      </c>
      <c r="V799" s="278">
        <v>0</v>
      </c>
      <c r="W799" s="278">
        <v>1</v>
      </c>
      <c r="X799" s="274">
        <v>1</v>
      </c>
      <c r="Y799" s="198"/>
      <c r="Z799" s="224" t="s">
        <v>663</v>
      </c>
      <c r="AA799" s="157" t="s">
        <v>649</v>
      </c>
      <c r="AB799" s="259" t="s">
        <v>2821</v>
      </c>
      <c r="AC799" s="530" t="s">
        <v>3015</v>
      </c>
      <c r="AD799" s="159"/>
    </row>
    <row r="800" spans="1:30" x14ac:dyDescent="0.2">
      <c r="A800" s="407" t="s">
        <v>2821</v>
      </c>
      <c r="B800" s="407"/>
      <c r="C800" s="406" t="s">
        <v>2943</v>
      </c>
      <c r="D800" s="407" t="s">
        <v>2768</v>
      </c>
      <c r="E800" s="278">
        <v>0</v>
      </c>
      <c r="F800" s="278">
        <v>0</v>
      </c>
      <c r="G800" s="278">
        <v>0</v>
      </c>
      <c r="H800" s="278">
        <v>0</v>
      </c>
      <c r="I800" s="278">
        <v>0</v>
      </c>
      <c r="J800" s="278">
        <v>0</v>
      </c>
      <c r="K800" s="278">
        <v>0</v>
      </c>
      <c r="L800" s="278">
        <v>0</v>
      </c>
      <c r="M800" s="278">
        <v>0</v>
      </c>
      <c r="N800" s="278">
        <v>0</v>
      </c>
      <c r="O800" s="278">
        <v>0</v>
      </c>
      <c r="P800" s="278">
        <v>0</v>
      </c>
      <c r="Q800" s="278">
        <v>0</v>
      </c>
      <c r="R800" s="278">
        <v>0</v>
      </c>
      <c r="S800" s="278">
        <v>0</v>
      </c>
      <c r="T800" s="278">
        <v>0</v>
      </c>
      <c r="U800" s="278">
        <v>0</v>
      </c>
      <c r="V800" s="278">
        <v>0</v>
      </c>
      <c r="W800" s="278">
        <v>1</v>
      </c>
      <c r="X800" s="274">
        <v>1</v>
      </c>
      <c r="Y800" s="198"/>
      <c r="Z800" s="224" t="s">
        <v>663</v>
      </c>
      <c r="AA800" s="157" t="s">
        <v>649</v>
      </c>
      <c r="AB800" s="259" t="s">
        <v>2821</v>
      </c>
      <c r="AC800" s="530" t="s">
        <v>3015</v>
      </c>
      <c r="AD800" s="159"/>
    </row>
    <row r="801" spans="1:30" x14ac:dyDescent="0.2">
      <c r="A801" s="407" t="s">
        <v>2821</v>
      </c>
      <c r="B801" s="407"/>
      <c r="C801" s="406" t="s">
        <v>2944</v>
      </c>
      <c r="D801" s="407" t="s">
        <v>2769</v>
      </c>
      <c r="E801" s="278">
        <v>0</v>
      </c>
      <c r="F801" s="278">
        <v>0</v>
      </c>
      <c r="G801" s="278">
        <v>0</v>
      </c>
      <c r="H801" s="278">
        <v>0</v>
      </c>
      <c r="I801" s="278">
        <v>0</v>
      </c>
      <c r="J801" s="278">
        <v>0</v>
      </c>
      <c r="K801" s="278">
        <v>0</v>
      </c>
      <c r="L801" s="278">
        <v>0</v>
      </c>
      <c r="M801" s="278">
        <v>0</v>
      </c>
      <c r="N801" s="278">
        <v>0</v>
      </c>
      <c r="O801" s="278">
        <v>0</v>
      </c>
      <c r="P801" s="278">
        <v>0</v>
      </c>
      <c r="Q801" s="278">
        <v>0</v>
      </c>
      <c r="R801" s="278">
        <v>0</v>
      </c>
      <c r="S801" s="278">
        <v>0</v>
      </c>
      <c r="T801" s="278">
        <v>0</v>
      </c>
      <c r="U801" s="278">
        <v>0</v>
      </c>
      <c r="V801" s="278">
        <v>0</v>
      </c>
      <c r="W801" s="278">
        <v>1</v>
      </c>
      <c r="X801" s="274">
        <v>1</v>
      </c>
      <c r="Y801" s="198"/>
      <c r="Z801" s="224" t="s">
        <v>663</v>
      </c>
      <c r="AA801" s="157" t="s">
        <v>649</v>
      </c>
      <c r="AB801" s="259" t="s">
        <v>2821</v>
      </c>
      <c r="AC801" s="530" t="s">
        <v>3015</v>
      </c>
      <c r="AD801" s="159"/>
    </row>
    <row r="802" spans="1:30" x14ac:dyDescent="0.2">
      <c r="A802" s="407" t="s">
        <v>2821</v>
      </c>
      <c r="B802" s="407"/>
      <c r="C802" s="406" t="s">
        <v>2945</v>
      </c>
      <c r="D802" s="407" t="s">
        <v>2946</v>
      </c>
      <c r="E802" s="278">
        <v>0</v>
      </c>
      <c r="F802" s="278">
        <v>0</v>
      </c>
      <c r="G802" s="278">
        <v>0</v>
      </c>
      <c r="H802" s="278">
        <v>0</v>
      </c>
      <c r="I802" s="278">
        <v>0</v>
      </c>
      <c r="J802" s="278">
        <v>0</v>
      </c>
      <c r="K802" s="278">
        <v>0</v>
      </c>
      <c r="L802" s="278">
        <v>0</v>
      </c>
      <c r="M802" s="278">
        <v>0</v>
      </c>
      <c r="N802" s="278">
        <v>0</v>
      </c>
      <c r="O802" s="278">
        <v>0</v>
      </c>
      <c r="P802" s="278">
        <v>0</v>
      </c>
      <c r="Q802" s="278">
        <v>0</v>
      </c>
      <c r="R802" s="278">
        <v>0</v>
      </c>
      <c r="S802" s="278">
        <v>0</v>
      </c>
      <c r="T802" s="278">
        <v>0</v>
      </c>
      <c r="U802" s="278">
        <v>0</v>
      </c>
      <c r="V802" s="278">
        <v>0</v>
      </c>
      <c r="W802" s="278">
        <v>1</v>
      </c>
      <c r="X802" s="274">
        <v>1</v>
      </c>
      <c r="Y802" s="198"/>
      <c r="Z802" s="224" t="s">
        <v>663</v>
      </c>
      <c r="AA802" s="157" t="s">
        <v>649</v>
      </c>
      <c r="AB802" s="259" t="s">
        <v>2821</v>
      </c>
      <c r="AC802" s="530" t="s">
        <v>3015</v>
      </c>
      <c r="AD802" s="159"/>
    </row>
    <row r="803" spans="1:30" x14ac:dyDescent="0.2">
      <c r="A803" s="407" t="s">
        <v>2821</v>
      </c>
      <c r="B803" s="407"/>
      <c r="C803" s="406" t="s">
        <v>2947</v>
      </c>
      <c r="D803" s="407" t="s">
        <v>2770</v>
      </c>
      <c r="E803" s="278">
        <v>0</v>
      </c>
      <c r="F803" s="278">
        <v>0</v>
      </c>
      <c r="G803" s="278">
        <v>0</v>
      </c>
      <c r="H803" s="278">
        <v>0</v>
      </c>
      <c r="I803" s="278">
        <v>0</v>
      </c>
      <c r="J803" s="278">
        <v>0</v>
      </c>
      <c r="K803" s="278">
        <v>0</v>
      </c>
      <c r="L803" s="278">
        <v>0</v>
      </c>
      <c r="M803" s="278">
        <v>0</v>
      </c>
      <c r="N803" s="278">
        <v>0</v>
      </c>
      <c r="O803" s="278">
        <v>0</v>
      </c>
      <c r="P803" s="278">
        <v>0</v>
      </c>
      <c r="Q803" s="278">
        <v>0</v>
      </c>
      <c r="R803" s="278">
        <v>0</v>
      </c>
      <c r="S803" s="278">
        <v>0</v>
      </c>
      <c r="T803" s="278">
        <v>0</v>
      </c>
      <c r="U803" s="278">
        <v>0</v>
      </c>
      <c r="V803" s="278">
        <v>0</v>
      </c>
      <c r="W803" s="278">
        <v>1</v>
      </c>
      <c r="X803" s="274">
        <v>1</v>
      </c>
      <c r="Y803" s="198"/>
      <c r="Z803" s="224" t="s">
        <v>663</v>
      </c>
      <c r="AA803" s="157" t="s">
        <v>649</v>
      </c>
      <c r="AB803" s="259" t="s">
        <v>2821</v>
      </c>
      <c r="AC803" s="530" t="s">
        <v>3015</v>
      </c>
      <c r="AD803" s="159"/>
    </row>
    <row r="804" spans="1:30" x14ac:dyDescent="0.2">
      <c r="A804" s="407" t="s">
        <v>2821</v>
      </c>
      <c r="B804" s="407"/>
      <c r="C804" s="406" t="s">
        <v>2948</v>
      </c>
      <c r="D804" s="407" t="s">
        <v>2771</v>
      </c>
      <c r="E804" s="278">
        <v>0</v>
      </c>
      <c r="F804" s="278">
        <v>0</v>
      </c>
      <c r="G804" s="278">
        <v>0</v>
      </c>
      <c r="H804" s="278">
        <v>0</v>
      </c>
      <c r="I804" s="278">
        <v>0</v>
      </c>
      <c r="J804" s="278">
        <v>0</v>
      </c>
      <c r="K804" s="278">
        <v>0</v>
      </c>
      <c r="L804" s="278">
        <v>0</v>
      </c>
      <c r="M804" s="278">
        <v>0</v>
      </c>
      <c r="N804" s="278">
        <v>0</v>
      </c>
      <c r="O804" s="278">
        <v>0</v>
      </c>
      <c r="P804" s="278">
        <v>0</v>
      </c>
      <c r="Q804" s="278">
        <v>0</v>
      </c>
      <c r="R804" s="278">
        <v>0</v>
      </c>
      <c r="S804" s="278">
        <v>0</v>
      </c>
      <c r="T804" s="278">
        <v>0</v>
      </c>
      <c r="U804" s="278">
        <v>0</v>
      </c>
      <c r="V804" s="278">
        <v>0</v>
      </c>
      <c r="W804" s="278">
        <v>1</v>
      </c>
      <c r="X804" s="274">
        <v>1</v>
      </c>
      <c r="Y804" s="198"/>
      <c r="Z804" s="224" t="s">
        <v>663</v>
      </c>
      <c r="AA804" s="157" t="s">
        <v>649</v>
      </c>
      <c r="AB804" s="259" t="s">
        <v>2821</v>
      </c>
      <c r="AC804" s="530" t="s">
        <v>3015</v>
      </c>
      <c r="AD804" s="159"/>
    </row>
    <row r="805" spans="1:30" x14ac:dyDescent="0.2">
      <c r="A805" s="407" t="s">
        <v>2821</v>
      </c>
      <c r="B805" s="407"/>
      <c r="C805" s="406" t="s">
        <v>2949</v>
      </c>
      <c r="D805" s="407" t="s">
        <v>2772</v>
      </c>
      <c r="E805" s="278">
        <v>0</v>
      </c>
      <c r="F805" s="278">
        <v>0</v>
      </c>
      <c r="G805" s="278">
        <v>0</v>
      </c>
      <c r="H805" s="278">
        <v>0</v>
      </c>
      <c r="I805" s="278">
        <v>0</v>
      </c>
      <c r="J805" s="278">
        <v>0</v>
      </c>
      <c r="K805" s="278">
        <v>0</v>
      </c>
      <c r="L805" s="278">
        <v>0</v>
      </c>
      <c r="M805" s="278">
        <v>0</v>
      </c>
      <c r="N805" s="278">
        <v>0</v>
      </c>
      <c r="O805" s="278">
        <v>0</v>
      </c>
      <c r="P805" s="278">
        <v>0</v>
      </c>
      <c r="Q805" s="278">
        <v>0</v>
      </c>
      <c r="R805" s="278">
        <v>0</v>
      </c>
      <c r="S805" s="278">
        <v>0</v>
      </c>
      <c r="T805" s="278">
        <v>0</v>
      </c>
      <c r="U805" s="278">
        <v>0</v>
      </c>
      <c r="V805" s="278">
        <v>0</v>
      </c>
      <c r="W805" s="278">
        <v>1</v>
      </c>
      <c r="X805" s="274">
        <v>1</v>
      </c>
      <c r="Y805" s="198"/>
      <c r="Z805" s="224" t="s">
        <v>663</v>
      </c>
      <c r="AA805" s="157" t="s">
        <v>649</v>
      </c>
      <c r="AB805" s="259" t="s">
        <v>2821</v>
      </c>
      <c r="AC805" s="530" t="s">
        <v>3015</v>
      </c>
      <c r="AD805" s="159"/>
    </row>
    <row r="806" spans="1:30" x14ac:dyDescent="0.2">
      <c r="A806" s="407" t="s">
        <v>2821</v>
      </c>
      <c r="B806" s="407"/>
      <c r="C806" s="406" t="s">
        <v>2950</v>
      </c>
      <c r="D806" s="407" t="s">
        <v>2773</v>
      </c>
      <c r="E806" s="278">
        <v>0</v>
      </c>
      <c r="F806" s="278">
        <v>0</v>
      </c>
      <c r="G806" s="278">
        <v>0</v>
      </c>
      <c r="H806" s="278">
        <v>0</v>
      </c>
      <c r="I806" s="278">
        <v>0</v>
      </c>
      <c r="J806" s="278">
        <v>0</v>
      </c>
      <c r="K806" s="278">
        <v>0</v>
      </c>
      <c r="L806" s="278">
        <v>0</v>
      </c>
      <c r="M806" s="278">
        <v>0</v>
      </c>
      <c r="N806" s="278">
        <v>0</v>
      </c>
      <c r="O806" s="278">
        <v>0</v>
      </c>
      <c r="P806" s="278">
        <v>0</v>
      </c>
      <c r="Q806" s="278">
        <v>0</v>
      </c>
      <c r="R806" s="278">
        <v>0</v>
      </c>
      <c r="S806" s="278">
        <v>0</v>
      </c>
      <c r="T806" s="278">
        <v>0</v>
      </c>
      <c r="U806" s="278">
        <v>0</v>
      </c>
      <c r="V806" s="278">
        <v>0</v>
      </c>
      <c r="W806" s="278">
        <v>1</v>
      </c>
      <c r="X806" s="274">
        <v>1</v>
      </c>
      <c r="Y806" s="198"/>
      <c r="Z806" s="224" t="s">
        <v>663</v>
      </c>
      <c r="AA806" s="157" t="s">
        <v>649</v>
      </c>
      <c r="AB806" s="259" t="s">
        <v>2821</v>
      </c>
      <c r="AC806" s="530" t="s">
        <v>3015</v>
      </c>
      <c r="AD806" s="159"/>
    </row>
    <row r="807" spans="1:30" x14ac:dyDescent="0.2">
      <c r="A807" s="407" t="s">
        <v>2821</v>
      </c>
      <c r="B807" s="407"/>
      <c r="C807" s="406" t="s">
        <v>2951</v>
      </c>
      <c r="D807" s="407" t="s">
        <v>2774</v>
      </c>
      <c r="E807" s="278">
        <v>0</v>
      </c>
      <c r="F807" s="278">
        <v>0</v>
      </c>
      <c r="G807" s="278">
        <v>0</v>
      </c>
      <c r="H807" s="278">
        <v>0</v>
      </c>
      <c r="I807" s="278">
        <v>0</v>
      </c>
      <c r="J807" s="278">
        <v>0</v>
      </c>
      <c r="K807" s="278">
        <v>0</v>
      </c>
      <c r="L807" s="278">
        <v>0</v>
      </c>
      <c r="M807" s="278">
        <v>0</v>
      </c>
      <c r="N807" s="278">
        <v>0</v>
      </c>
      <c r="O807" s="278">
        <v>0</v>
      </c>
      <c r="P807" s="278">
        <v>0</v>
      </c>
      <c r="Q807" s="278">
        <v>0</v>
      </c>
      <c r="R807" s="278">
        <v>0</v>
      </c>
      <c r="S807" s="278">
        <v>0</v>
      </c>
      <c r="T807" s="278">
        <v>0</v>
      </c>
      <c r="U807" s="278">
        <v>0</v>
      </c>
      <c r="V807" s="278">
        <v>0</v>
      </c>
      <c r="W807" s="278">
        <v>1</v>
      </c>
      <c r="X807" s="274">
        <v>1</v>
      </c>
      <c r="Y807" s="198"/>
      <c r="Z807" s="224" t="s">
        <v>663</v>
      </c>
      <c r="AA807" s="157" t="s">
        <v>649</v>
      </c>
      <c r="AB807" s="259" t="s">
        <v>2821</v>
      </c>
      <c r="AC807" s="530" t="s">
        <v>3015</v>
      </c>
      <c r="AD807" s="159"/>
    </row>
    <row r="808" spans="1:30" x14ac:dyDescent="0.2">
      <c r="A808" s="407" t="s">
        <v>2821</v>
      </c>
      <c r="B808" s="407"/>
      <c r="C808" s="406" t="s">
        <v>2952</v>
      </c>
      <c r="D808" s="407" t="s">
        <v>2775</v>
      </c>
      <c r="E808" s="278">
        <v>0</v>
      </c>
      <c r="F808" s="278">
        <v>0</v>
      </c>
      <c r="G808" s="278">
        <v>0</v>
      </c>
      <c r="H808" s="278">
        <v>0</v>
      </c>
      <c r="I808" s="278">
        <v>0</v>
      </c>
      <c r="J808" s="278">
        <v>0</v>
      </c>
      <c r="K808" s="278">
        <v>0</v>
      </c>
      <c r="L808" s="278">
        <v>0</v>
      </c>
      <c r="M808" s="278">
        <v>0</v>
      </c>
      <c r="N808" s="278">
        <v>0</v>
      </c>
      <c r="O808" s="278">
        <v>0</v>
      </c>
      <c r="P808" s="278">
        <v>0</v>
      </c>
      <c r="Q808" s="278">
        <v>0</v>
      </c>
      <c r="R808" s="278">
        <v>0</v>
      </c>
      <c r="S808" s="278">
        <v>0</v>
      </c>
      <c r="T808" s="278">
        <v>0</v>
      </c>
      <c r="U808" s="278">
        <v>0</v>
      </c>
      <c r="V808" s="278">
        <v>0</v>
      </c>
      <c r="W808" s="278">
        <v>1</v>
      </c>
      <c r="X808" s="274">
        <v>1</v>
      </c>
      <c r="Y808" s="198"/>
      <c r="Z808" s="224" t="s">
        <v>663</v>
      </c>
      <c r="AA808" s="157" t="s">
        <v>649</v>
      </c>
      <c r="AB808" s="259" t="s">
        <v>2821</v>
      </c>
      <c r="AC808" s="530" t="s">
        <v>3015</v>
      </c>
      <c r="AD808" s="159"/>
    </row>
    <row r="809" spans="1:30" x14ac:dyDescent="0.2">
      <c r="A809" s="407" t="s">
        <v>2821</v>
      </c>
      <c r="B809" s="407"/>
      <c r="C809" s="406" t="s">
        <v>2632</v>
      </c>
      <c r="D809" s="407" t="s">
        <v>2612</v>
      </c>
      <c r="E809" s="278">
        <v>0</v>
      </c>
      <c r="F809" s="278">
        <v>0</v>
      </c>
      <c r="G809" s="278">
        <v>0</v>
      </c>
      <c r="H809" s="278">
        <v>0</v>
      </c>
      <c r="I809" s="278">
        <v>0</v>
      </c>
      <c r="J809" s="278">
        <v>0</v>
      </c>
      <c r="K809" s="278">
        <v>0</v>
      </c>
      <c r="L809" s="278">
        <v>0</v>
      </c>
      <c r="M809" s="278">
        <v>0</v>
      </c>
      <c r="N809" s="278">
        <v>6.5811489124372541E-2</v>
      </c>
      <c r="O809" s="278">
        <v>0</v>
      </c>
      <c r="P809" s="278">
        <v>0</v>
      </c>
      <c r="Q809" s="278">
        <v>0</v>
      </c>
      <c r="R809" s="278">
        <v>0</v>
      </c>
      <c r="S809" s="278">
        <v>0.86447295036252081</v>
      </c>
      <c r="T809" s="278">
        <v>0</v>
      </c>
      <c r="U809" s="278">
        <v>6.9715560513106511E-2</v>
      </c>
      <c r="V809" s="278">
        <v>0</v>
      </c>
      <c r="W809" s="278">
        <v>0</v>
      </c>
      <c r="X809" s="274">
        <v>0.99999999999999978</v>
      </c>
      <c r="Y809" s="198"/>
      <c r="Z809" s="224" t="s">
        <v>663</v>
      </c>
      <c r="AA809" s="157" t="s">
        <v>649</v>
      </c>
      <c r="AB809" s="259" t="s">
        <v>2821</v>
      </c>
      <c r="AC809" s="530">
        <v>428736.54567696067</v>
      </c>
      <c r="AD809" s="159"/>
    </row>
    <row r="810" spans="1:30" ht="13.5" thickBot="1" x14ac:dyDescent="0.25">
      <c r="A810" s="407" t="s">
        <v>2821</v>
      </c>
      <c r="B810" s="407"/>
      <c r="C810" s="406" t="s">
        <v>2953</v>
      </c>
      <c r="D810" s="407" t="s">
        <v>2639</v>
      </c>
      <c r="E810" s="278">
        <v>0</v>
      </c>
      <c r="F810" s="278">
        <v>0</v>
      </c>
      <c r="G810" s="278">
        <v>0.24508567389371105</v>
      </c>
      <c r="H810" s="278">
        <v>0</v>
      </c>
      <c r="I810" s="278">
        <v>0</v>
      </c>
      <c r="J810" s="278">
        <v>0</v>
      </c>
      <c r="K810" s="278">
        <v>0</v>
      </c>
      <c r="L810" s="278">
        <v>0</v>
      </c>
      <c r="M810" s="278">
        <v>0</v>
      </c>
      <c r="N810" s="278">
        <v>0</v>
      </c>
      <c r="O810" s="278">
        <v>0</v>
      </c>
      <c r="P810" s="278">
        <v>0</v>
      </c>
      <c r="Q810" s="278">
        <v>0</v>
      </c>
      <c r="R810" s="278">
        <v>0</v>
      </c>
      <c r="S810" s="278">
        <v>0.75491432610628895</v>
      </c>
      <c r="T810" s="278">
        <v>0</v>
      </c>
      <c r="U810" s="278">
        <v>0</v>
      </c>
      <c r="V810" s="278">
        <v>0</v>
      </c>
      <c r="W810" s="278">
        <v>0</v>
      </c>
      <c r="X810" s="274">
        <v>1</v>
      </c>
      <c r="Y810" s="198"/>
      <c r="Z810" s="224" t="s">
        <v>663</v>
      </c>
      <c r="AA810" s="157" t="s">
        <v>649</v>
      </c>
      <c r="AB810" s="259" t="s">
        <v>2821</v>
      </c>
      <c r="AC810" s="530">
        <v>1358176.1270372793</v>
      </c>
      <c r="AD810" s="159"/>
    </row>
    <row r="811" spans="1:30" ht="13.5" thickBot="1" x14ac:dyDescent="0.25">
      <c r="A811" s="407" t="s">
        <v>2821</v>
      </c>
      <c r="B811" s="407"/>
      <c r="C811" s="406" t="s">
        <v>2954</v>
      </c>
      <c r="D811" s="407" t="s">
        <v>2955</v>
      </c>
      <c r="E811" s="278">
        <v>0</v>
      </c>
      <c r="F811" s="278">
        <v>0</v>
      </c>
      <c r="G811" s="278">
        <v>0</v>
      </c>
      <c r="H811" s="429">
        <v>0</v>
      </c>
      <c r="I811" s="278">
        <v>0</v>
      </c>
      <c r="J811" s="278">
        <v>0</v>
      </c>
      <c r="K811" s="278">
        <v>0</v>
      </c>
      <c r="L811" s="278">
        <v>0</v>
      </c>
      <c r="M811" s="278">
        <v>0</v>
      </c>
      <c r="N811" s="278">
        <v>0</v>
      </c>
      <c r="O811" s="278">
        <v>0</v>
      </c>
      <c r="P811" s="278">
        <v>0</v>
      </c>
      <c r="Q811" s="278">
        <v>0</v>
      </c>
      <c r="R811" s="278">
        <v>0</v>
      </c>
      <c r="S811" s="429">
        <v>1</v>
      </c>
      <c r="T811" s="278">
        <v>0</v>
      </c>
      <c r="U811" s="278">
        <v>0</v>
      </c>
      <c r="V811" s="278">
        <v>0</v>
      </c>
      <c r="W811" s="278">
        <v>0</v>
      </c>
      <c r="X811" s="274">
        <v>1</v>
      </c>
      <c r="Y811" s="198"/>
      <c r="Z811" s="224" t="s">
        <v>663</v>
      </c>
      <c r="AA811" s="157" t="s">
        <v>649</v>
      </c>
      <c r="AB811" s="259" t="s">
        <v>2821</v>
      </c>
      <c r="AC811" s="530">
        <v>2130522.671596786</v>
      </c>
      <c r="AD811" s="159"/>
    </row>
    <row r="812" spans="1:30" ht="13.5" thickBot="1" x14ac:dyDescent="0.25">
      <c r="A812" s="407" t="s">
        <v>2821</v>
      </c>
      <c r="B812" s="407"/>
      <c r="C812" s="406" t="s">
        <v>2956</v>
      </c>
      <c r="D812" s="407" t="s">
        <v>2957</v>
      </c>
      <c r="E812" s="278">
        <v>0</v>
      </c>
      <c r="F812" s="278">
        <v>0</v>
      </c>
      <c r="G812" s="278">
        <v>0</v>
      </c>
      <c r="H812" s="278">
        <v>0</v>
      </c>
      <c r="I812" s="278">
        <v>0</v>
      </c>
      <c r="J812" s="278">
        <v>0</v>
      </c>
      <c r="K812" s="278">
        <v>0</v>
      </c>
      <c r="L812" s="278">
        <v>0</v>
      </c>
      <c r="M812" s="278">
        <v>0</v>
      </c>
      <c r="N812" s="278">
        <v>0</v>
      </c>
      <c r="O812" s="278">
        <v>2.0010261672329239E-2</v>
      </c>
      <c r="P812" s="278">
        <v>0.97998973832767078</v>
      </c>
      <c r="Q812" s="278">
        <v>0</v>
      </c>
      <c r="R812" s="278">
        <v>0</v>
      </c>
      <c r="S812" s="278">
        <v>0</v>
      </c>
      <c r="T812" s="278">
        <v>0</v>
      </c>
      <c r="U812" s="278">
        <v>0</v>
      </c>
      <c r="V812" s="278">
        <v>0</v>
      </c>
      <c r="W812" s="278">
        <v>0</v>
      </c>
      <c r="X812" s="274">
        <v>1</v>
      </c>
      <c r="Y812" s="198"/>
      <c r="Z812" s="224" t="s">
        <v>663</v>
      </c>
      <c r="AA812" s="157" t="s">
        <v>649</v>
      </c>
      <c r="AB812" s="259" t="s">
        <v>2821</v>
      </c>
      <c r="AC812" s="530">
        <v>7758769.8876311462</v>
      </c>
      <c r="AD812" s="159"/>
    </row>
    <row r="813" spans="1:30" ht="13.5" thickBot="1" x14ac:dyDescent="0.25">
      <c r="A813" s="407" t="s">
        <v>2821</v>
      </c>
      <c r="B813" s="407"/>
      <c r="C813" s="406" t="s">
        <v>2958</v>
      </c>
      <c r="D813" s="407" t="s">
        <v>2959</v>
      </c>
      <c r="E813" s="278">
        <v>0</v>
      </c>
      <c r="F813" s="278">
        <v>0</v>
      </c>
      <c r="G813" s="278">
        <v>0</v>
      </c>
      <c r="H813" s="278">
        <v>0</v>
      </c>
      <c r="I813" s="278">
        <v>0</v>
      </c>
      <c r="J813" s="278">
        <v>0</v>
      </c>
      <c r="K813" s="278">
        <v>0</v>
      </c>
      <c r="L813" s="429">
        <v>1</v>
      </c>
      <c r="M813" s="430">
        <v>0</v>
      </c>
      <c r="N813" s="278">
        <v>0</v>
      </c>
      <c r="O813" s="431">
        <v>0</v>
      </c>
      <c r="P813" s="429">
        <v>0</v>
      </c>
      <c r="Q813" s="278">
        <v>0</v>
      </c>
      <c r="R813" s="278">
        <v>0</v>
      </c>
      <c r="S813" s="278">
        <v>0</v>
      </c>
      <c r="T813" s="278">
        <v>0</v>
      </c>
      <c r="U813" s="278">
        <v>0</v>
      </c>
      <c r="V813" s="278">
        <v>0</v>
      </c>
      <c r="W813" s="278">
        <v>0</v>
      </c>
      <c r="X813" s="274">
        <v>1</v>
      </c>
      <c r="Y813" s="198"/>
      <c r="Z813" s="224" t="s">
        <v>663</v>
      </c>
      <c r="AA813" s="157" t="s">
        <v>649</v>
      </c>
      <c r="AB813" s="259" t="s">
        <v>2821</v>
      </c>
      <c r="AC813" s="530">
        <v>3674008.700795711</v>
      </c>
      <c r="AD813" s="159"/>
    </row>
    <row r="814" spans="1:30" x14ac:dyDescent="0.2">
      <c r="A814" s="407" t="s">
        <v>2821</v>
      </c>
      <c r="B814" s="407"/>
      <c r="C814" s="406" t="s">
        <v>2960</v>
      </c>
      <c r="D814" s="407" t="s">
        <v>2961</v>
      </c>
      <c r="E814" s="278">
        <v>0</v>
      </c>
      <c r="F814" s="278">
        <v>0</v>
      </c>
      <c r="G814" s="278">
        <v>9.8997133515637617E-3</v>
      </c>
      <c r="H814" s="278">
        <v>0</v>
      </c>
      <c r="I814" s="278">
        <v>0</v>
      </c>
      <c r="J814" s="278">
        <v>0</v>
      </c>
      <c r="K814" s="278">
        <v>0</v>
      </c>
      <c r="L814" s="278">
        <v>0</v>
      </c>
      <c r="M814" s="278">
        <v>0</v>
      </c>
      <c r="N814" s="278">
        <v>0.79697883928314239</v>
      </c>
      <c r="O814" s="278">
        <v>0</v>
      </c>
      <c r="P814" s="278">
        <v>0.1331291827838956</v>
      </c>
      <c r="Q814" s="278">
        <v>0</v>
      </c>
      <c r="R814" s="278">
        <v>0</v>
      </c>
      <c r="S814" s="278">
        <v>5.0092551223795675E-2</v>
      </c>
      <c r="T814" s="278">
        <v>6.5998089050683913E-3</v>
      </c>
      <c r="U814" s="278">
        <v>3.2999044525341965E-3</v>
      </c>
      <c r="V814" s="278">
        <v>0</v>
      </c>
      <c r="W814" s="278">
        <v>0</v>
      </c>
      <c r="X814" s="274">
        <v>1</v>
      </c>
      <c r="Y814" s="198"/>
      <c r="Z814" s="224" t="s">
        <v>663</v>
      </c>
      <c r="AA814" s="157" t="s">
        <v>649</v>
      </c>
      <c r="AB814" s="259" t="s">
        <v>2821</v>
      </c>
      <c r="AC814" s="530">
        <v>4799340.0520768361</v>
      </c>
      <c r="AD814" s="159"/>
    </row>
    <row r="815" spans="1:30" x14ac:dyDescent="0.2">
      <c r="A815" s="407" t="s">
        <v>2821</v>
      </c>
      <c r="B815" s="407"/>
      <c r="C815" s="406" t="s">
        <v>2962</v>
      </c>
      <c r="D815" s="407" t="s">
        <v>2963</v>
      </c>
      <c r="E815" s="278">
        <v>0</v>
      </c>
      <c r="F815" s="278">
        <v>0</v>
      </c>
      <c r="G815" s="278">
        <v>9.89971335156376E-3</v>
      </c>
      <c r="H815" s="278">
        <v>0</v>
      </c>
      <c r="I815" s="278">
        <v>0</v>
      </c>
      <c r="J815" s="278">
        <v>0</v>
      </c>
      <c r="K815" s="278">
        <v>0</v>
      </c>
      <c r="L815" s="278">
        <v>0</v>
      </c>
      <c r="M815" s="278">
        <v>0</v>
      </c>
      <c r="N815" s="278">
        <v>0.79697883928314239</v>
      </c>
      <c r="O815" s="278">
        <v>0</v>
      </c>
      <c r="P815" s="278">
        <v>0.13312918278389554</v>
      </c>
      <c r="Q815" s="278">
        <v>0</v>
      </c>
      <c r="R815" s="278">
        <v>0</v>
      </c>
      <c r="S815" s="278">
        <v>5.0092551223795655E-2</v>
      </c>
      <c r="T815" s="278">
        <v>6.5998089050683922E-3</v>
      </c>
      <c r="U815" s="278">
        <v>3.2999044525341961E-3</v>
      </c>
      <c r="V815" s="278">
        <v>0</v>
      </c>
      <c r="W815" s="278">
        <v>0</v>
      </c>
      <c r="X815" s="274">
        <v>0.99999999999999989</v>
      </c>
      <c r="Y815" s="198"/>
      <c r="Z815" s="224" t="s">
        <v>663</v>
      </c>
      <c r="AA815" s="157" t="s">
        <v>649</v>
      </c>
      <c r="AB815" s="259" t="s">
        <v>2821</v>
      </c>
      <c r="AC815" s="530">
        <v>4631236.7901918124</v>
      </c>
      <c r="AD815" s="159"/>
    </row>
    <row r="816" spans="1:30" x14ac:dyDescent="0.2">
      <c r="A816" s="407" t="s">
        <v>2821</v>
      </c>
      <c r="B816" s="407"/>
      <c r="C816" s="406" t="s">
        <v>2624</v>
      </c>
      <c r="D816" s="407" t="s">
        <v>2625</v>
      </c>
      <c r="E816" s="278">
        <v>0</v>
      </c>
      <c r="F816" s="278">
        <v>0.99946898641471948</v>
      </c>
      <c r="G816" s="278">
        <v>5.3101358528050353E-4</v>
      </c>
      <c r="H816" s="278">
        <v>0</v>
      </c>
      <c r="I816" s="278">
        <v>0</v>
      </c>
      <c r="J816" s="278">
        <v>0</v>
      </c>
      <c r="K816" s="278">
        <v>0</v>
      </c>
      <c r="L816" s="278">
        <v>0</v>
      </c>
      <c r="M816" s="278">
        <v>0</v>
      </c>
      <c r="N816" s="278">
        <v>0</v>
      </c>
      <c r="O816" s="278">
        <v>0</v>
      </c>
      <c r="P816" s="278">
        <v>0</v>
      </c>
      <c r="Q816" s="278">
        <v>0</v>
      </c>
      <c r="R816" s="278">
        <v>0</v>
      </c>
      <c r="S816" s="278">
        <v>0</v>
      </c>
      <c r="T816" s="278">
        <v>0</v>
      </c>
      <c r="U816" s="278">
        <v>0</v>
      </c>
      <c r="V816" s="278">
        <v>0</v>
      </c>
      <c r="W816" s="278">
        <v>0</v>
      </c>
      <c r="X816" s="274">
        <v>1</v>
      </c>
      <c r="Y816" s="198"/>
      <c r="Z816" s="224" t="s">
        <v>663</v>
      </c>
      <c r="AA816" s="157" t="s">
        <v>649</v>
      </c>
      <c r="AB816" s="259" t="s">
        <v>2821</v>
      </c>
      <c r="AC816" s="530">
        <v>4006112.8071996472</v>
      </c>
      <c r="AD816" s="159"/>
    </row>
    <row r="817" spans="1:30" x14ac:dyDescent="0.2">
      <c r="A817" s="407" t="s">
        <v>2821</v>
      </c>
      <c r="B817" s="407"/>
      <c r="C817" s="406" t="s">
        <v>2626</v>
      </c>
      <c r="D817" s="407" t="s">
        <v>2627</v>
      </c>
      <c r="E817" s="278">
        <v>0</v>
      </c>
      <c r="F817" s="278">
        <v>0.99960425137311892</v>
      </c>
      <c r="G817" s="278">
        <v>3.9574862688107143E-4</v>
      </c>
      <c r="H817" s="278">
        <v>0</v>
      </c>
      <c r="I817" s="278">
        <v>0</v>
      </c>
      <c r="J817" s="278">
        <v>0</v>
      </c>
      <c r="K817" s="278">
        <v>0</v>
      </c>
      <c r="L817" s="278">
        <v>0</v>
      </c>
      <c r="M817" s="278">
        <v>0</v>
      </c>
      <c r="N817" s="278">
        <v>0</v>
      </c>
      <c r="O817" s="278">
        <v>0</v>
      </c>
      <c r="P817" s="278">
        <v>0</v>
      </c>
      <c r="Q817" s="278">
        <v>0</v>
      </c>
      <c r="R817" s="278">
        <v>0</v>
      </c>
      <c r="S817" s="278">
        <v>0</v>
      </c>
      <c r="T817" s="278">
        <v>0</v>
      </c>
      <c r="U817" s="278">
        <v>0</v>
      </c>
      <c r="V817" s="278">
        <v>0</v>
      </c>
      <c r="W817" s="278">
        <v>0</v>
      </c>
      <c r="X817" s="274">
        <v>1</v>
      </c>
      <c r="Y817" s="198"/>
      <c r="Z817" s="224" t="s">
        <v>663</v>
      </c>
      <c r="AA817" s="157" t="s">
        <v>649</v>
      </c>
      <c r="AB817" s="259" t="s">
        <v>2821</v>
      </c>
      <c r="AC817" s="530">
        <v>6480646.4538493091</v>
      </c>
      <c r="AD817" s="159"/>
    </row>
    <row r="818" spans="1:30" x14ac:dyDescent="0.2">
      <c r="A818" s="407" t="s">
        <v>2821</v>
      </c>
      <c r="B818" s="407"/>
      <c r="C818" s="406" t="s">
        <v>2628</v>
      </c>
      <c r="D818" s="407" t="s">
        <v>2964</v>
      </c>
      <c r="E818" s="278">
        <v>0</v>
      </c>
      <c r="F818" s="278">
        <v>5.373659620884777E-3</v>
      </c>
      <c r="G818" s="278">
        <v>0</v>
      </c>
      <c r="H818" s="278">
        <v>0</v>
      </c>
      <c r="I818" s="278">
        <v>0</v>
      </c>
      <c r="J818" s="278">
        <v>0</v>
      </c>
      <c r="K818" s="278">
        <v>0</v>
      </c>
      <c r="L818" s="278">
        <v>0</v>
      </c>
      <c r="M818" s="278">
        <v>0</v>
      </c>
      <c r="N818" s="278">
        <v>0</v>
      </c>
      <c r="O818" s="278">
        <v>0</v>
      </c>
      <c r="P818" s="278">
        <v>0.99462634037911524</v>
      </c>
      <c r="Q818" s="278">
        <v>0</v>
      </c>
      <c r="R818" s="278">
        <v>0</v>
      </c>
      <c r="S818" s="278">
        <v>0</v>
      </c>
      <c r="T818" s="278">
        <v>0</v>
      </c>
      <c r="U818" s="278">
        <v>0</v>
      </c>
      <c r="V818" s="278">
        <v>0</v>
      </c>
      <c r="W818" s="278">
        <v>0</v>
      </c>
      <c r="X818" s="274">
        <v>1</v>
      </c>
      <c r="Y818" s="198"/>
      <c r="Z818" s="224" t="s">
        <v>663</v>
      </c>
      <c r="AA818" s="157" t="s">
        <v>649</v>
      </c>
      <c r="AB818" s="259" t="s">
        <v>2821</v>
      </c>
      <c r="AC818" s="530">
        <v>3217466.203788212</v>
      </c>
      <c r="AD818" s="159"/>
    </row>
    <row r="819" spans="1:30" x14ac:dyDescent="0.2">
      <c r="A819" s="407" t="s">
        <v>2821</v>
      </c>
      <c r="B819" s="407"/>
      <c r="C819" s="406" t="s">
        <v>2629</v>
      </c>
      <c r="D819" s="407" t="s">
        <v>2630</v>
      </c>
      <c r="E819" s="278">
        <v>0</v>
      </c>
      <c r="F819" s="278">
        <v>0</v>
      </c>
      <c r="G819" s="278">
        <v>0</v>
      </c>
      <c r="H819" s="278">
        <v>0</v>
      </c>
      <c r="I819" s="278">
        <v>0</v>
      </c>
      <c r="J819" s="278">
        <v>0</v>
      </c>
      <c r="K819" s="278">
        <v>0</v>
      </c>
      <c r="L819" s="278">
        <v>0</v>
      </c>
      <c r="M819" s="278">
        <v>0</v>
      </c>
      <c r="N819" s="278">
        <v>0.94319268711139603</v>
      </c>
      <c r="O819" s="278">
        <v>0</v>
      </c>
      <c r="P819" s="278">
        <v>0</v>
      </c>
      <c r="Q819" s="278">
        <v>0</v>
      </c>
      <c r="R819" s="278">
        <v>0</v>
      </c>
      <c r="S819" s="278">
        <v>0</v>
      </c>
      <c r="T819" s="278">
        <v>0</v>
      </c>
      <c r="U819" s="278">
        <v>5.6807312888603925E-2</v>
      </c>
      <c r="V819" s="278">
        <v>0</v>
      </c>
      <c r="W819" s="278">
        <v>0</v>
      </c>
      <c r="X819" s="274">
        <v>1</v>
      </c>
      <c r="Y819" s="198"/>
      <c r="Z819" s="224" t="s">
        <v>663</v>
      </c>
      <c r="AA819" s="157" t="s">
        <v>649</v>
      </c>
      <c r="AB819" s="259" t="s">
        <v>2821</v>
      </c>
      <c r="AC819" s="530">
        <v>2780547.5883658989</v>
      </c>
      <c r="AD819" s="159"/>
    </row>
    <row r="820" spans="1:30" x14ac:dyDescent="0.2">
      <c r="A820" s="407" t="s">
        <v>2821</v>
      </c>
      <c r="B820" s="407"/>
      <c r="C820" s="406" t="s">
        <v>2711</v>
      </c>
      <c r="D820" s="407" t="s">
        <v>2965</v>
      </c>
      <c r="E820" s="278">
        <v>0</v>
      </c>
      <c r="F820" s="278">
        <v>0</v>
      </c>
      <c r="G820" s="278">
        <v>0</v>
      </c>
      <c r="H820" s="278">
        <v>0</v>
      </c>
      <c r="I820" s="278">
        <v>0</v>
      </c>
      <c r="J820" s="278">
        <v>0</v>
      </c>
      <c r="K820" s="278">
        <v>0</v>
      </c>
      <c r="L820" s="278">
        <v>0</v>
      </c>
      <c r="M820" s="278">
        <v>0</v>
      </c>
      <c r="N820" s="278">
        <v>0.47207511893824683</v>
      </c>
      <c r="O820" s="278">
        <v>0</v>
      </c>
      <c r="P820" s="278">
        <v>0.12548892528977545</v>
      </c>
      <c r="Q820" s="278">
        <v>0</v>
      </c>
      <c r="R820" s="278">
        <v>0</v>
      </c>
      <c r="S820" s="278">
        <v>0.36814717813627323</v>
      </c>
      <c r="T820" s="278">
        <v>3.4288777635704482E-2</v>
      </c>
      <c r="U820" s="278">
        <v>0</v>
      </c>
      <c r="V820" s="278">
        <v>0</v>
      </c>
      <c r="W820" s="278">
        <v>0</v>
      </c>
      <c r="X820" s="274">
        <v>1</v>
      </c>
      <c r="Y820" s="198"/>
      <c r="Z820" s="224" t="s">
        <v>663</v>
      </c>
      <c r="AA820" s="157" t="s">
        <v>649</v>
      </c>
      <c r="AB820" s="259" t="s">
        <v>2821</v>
      </c>
      <c r="AC820" s="530">
        <v>1397361.6419949925</v>
      </c>
      <c r="AD820" s="159"/>
    </row>
    <row r="821" spans="1:30" x14ac:dyDescent="0.2">
      <c r="A821" s="407" t="s">
        <v>2821</v>
      </c>
      <c r="B821" s="407"/>
      <c r="C821" s="406" t="s">
        <v>2966</v>
      </c>
      <c r="D821" s="407" t="s">
        <v>2967</v>
      </c>
      <c r="E821" s="278">
        <v>0</v>
      </c>
      <c r="F821" s="278">
        <v>6.7851500876980109E-2</v>
      </c>
      <c r="G821" s="278">
        <v>0.63058317177229628</v>
      </c>
      <c r="H821" s="278">
        <v>0</v>
      </c>
      <c r="I821" s="278">
        <v>0</v>
      </c>
      <c r="J821" s="278">
        <v>0</v>
      </c>
      <c r="K821" s="278">
        <v>0</v>
      </c>
      <c r="L821" s="278">
        <v>0</v>
      </c>
      <c r="M821" s="278">
        <v>0</v>
      </c>
      <c r="N821" s="278">
        <v>0</v>
      </c>
      <c r="O821" s="278">
        <v>0.30156532735072356</v>
      </c>
      <c r="P821" s="278">
        <v>0</v>
      </c>
      <c r="Q821" s="278">
        <v>0</v>
      </c>
      <c r="R821" s="278">
        <v>0</v>
      </c>
      <c r="S821" s="278">
        <v>0</v>
      </c>
      <c r="T821" s="278">
        <v>0</v>
      </c>
      <c r="U821" s="278">
        <v>0</v>
      </c>
      <c r="V821" s="278">
        <v>0</v>
      </c>
      <c r="W821" s="278">
        <v>0</v>
      </c>
      <c r="X821" s="274">
        <v>1</v>
      </c>
      <c r="Y821" s="198"/>
      <c r="Z821" s="224" t="s">
        <v>663</v>
      </c>
      <c r="AA821" s="157" t="s">
        <v>649</v>
      </c>
      <c r="AB821" s="259" t="s">
        <v>2821</v>
      </c>
      <c r="AC821" s="530">
        <v>1236278.245642537</v>
      </c>
      <c r="AD821" s="159"/>
    </row>
    <row r="822" spans="1:30" x14ac:dyDescent="0.2">
      <c r="A822" s="407" t="s">
        <v>2821</v>
      </c>
      <c r="B822" s="407"/>
      <c r="C822" s="406" t="s">
        <v>2968</v>
      </c>
      <c r="D822" s="407" t="s">
        <v>2641</v>
      </c>
      <c r="E822" s="278">
        <v>0</v>
      </c>
      <c r="F822" s="278">
        <v>2.9391545616094802E-2</v>
      </c>
      <c r="G822" s="278">
        <v>0.92162244705173246</v>
      </c>
      <c r="H822" s="278">
        <v>0</v>
      </c>
      <c r="I822" s="278">
        <v>0</v>
      </c>
      <c r="J822" s="278">
        <v>0</v>
      </c>
      <c r="K822" s="278">
        <v>0</v>
      </c>
      <c r="L822" s="278">
        <v>0</v>
      </c>
      <c r="M822" s="278">
        <v>0</v>
      </c>
      <c r="N822" s="278">
        <v>0</v>
      </c>
      <c r="O822" s="278">
        <v>0</v>
      </c>
      <c r="P822" s="278">
        <v>0</v>
      </c>
      <c r="Q822" s="278">
        <v>0</v>
      </c>
      <c r="R822" s="278">
        <v>0</v>
      </c>
      <c r="S822" s="278">
        <v>0</v>
      </c>
      <c r="T822" s="278">
        <v>4.8986007332172676E-2</v>
      </c>
      <c r="U822" s="278">
        <v>0</v>
      </c>
      <c r="V822" s="278">
        <v>0</v>
      </c>
      <c r="W822" s="278">
        <v>0</v>
      </c>
      <c r="X822" s="274">
        <v>1</v>
      </c>
      <c r="Y822" s="198"/>
      <c r="Z822" s="224" t="s">
        <v>663</v>
      </c>
      <c r="AA822" s="157" t="s">
        <v>649</v>
      </c>
      <c r="AB822" s="259" t="s">
        <v>2821</v>
      </c>
      <c r="AC822" s="530">
        <v>1144821.9476069466</v>
      </c>
      <c r="AD822" s="159"/>
    </row>
    <row r="823" spans="1:30" x14ac:dyDescent="0.2">
      <c r="A823" s="407" t="s">
        <v>2821</v>
      </c>
      <c r="B823" s="407"/>
      <c r="C823" s="406" t="s">
        <v>2712</v>
      </c>
      <c r="D823" s="407" t="s">
        <v>2969</v>
      </c>
      <c r="E823" s="278">
        <v>0</v>
      </c>
      <c r="F823" s="278">
        <v>0</v>
      </c>
      <c r="G823" s="278">
        <v>0</v>
      </c>
      <c r="H823" s="278">
        <v>0</v>
      </c>
      <c r="I823" s="278">
        <v>0</v>
      </c>
      <c r="J823" s="278">
        <v>0</v>
      </c>
      <c r="K823" s="278">
        <v>0</v>
      </c>
      <c r="L823" s="278">
        <v>1</v>
      </c>
      <c r="M823" s="278">
        <v>0</v>
      </c>
      <c r="N823" s="278">
        <v>0</v>
      </c>
      <c r="O823" s="278">
        <v>0</v>
      </c>
      <c r="P823" s="278">
        <v>0</v>
      </c>
      <c r="Q823" s="278">
        <v>0</v>
      </c>
      <c r="R823" s="278">
        <v>0</v>
      </c>
      <c r="S823" s="278">
        <v>0</v>
      </c>
      <c r="T823" s="278">
        <v>0</v>
      </c>
      <c r="U823" s="278">
        <v>0</v>
      </c>
      <c r="V823" s="278">
        <v>0</v>
      </c>
      <c r="W823" s="278">
        <v>0</v>
      </c>
      <c r="X823" s="274">
        <v>1</v>
      </c>
      <c r="Y823" s="198"/>
      <c r="Z823" s="224" t="s">
        <v>663</v>
      </c>
      <c r="AA823" s="157" t="s">
        <v>649</v>
      </c>
      <c r="AB823" s="259" t="s">
        <v>2821</v>
      </c>
      <c r="AC823" s="530">
        <v>672381.85670851753</v>
      </c>
      <c r="AD823" s="159"/>
    </row>
    <row r="824" spans="1:30" ht="13.5" thickBot="1" x14ac:dyDescent="0.25">
      <c r="A824" s="407" t="s">
        <v>2821</v>
      </c>
      <c r="B824" s="407"/>
      <c r="C824" s="406" t="s">
        <v>2713</v>
      </c>
      <c r="D824" s="407" t="s">
        <v>2970</v>
      </c>
      <c r="E824" s="278">
        <v>0</v>
      </c>
      <c r="F824" s="278">
        <v>0</v>
      </c>
      <c r="G824" s="278">
        <v>2.2276925262219641E-2</v>
      </c>
      <c r="H824" s="278">
        <v>0</v>
      </c>
      <c r="I824" s="278">
        <v>0</v>
      </c>
      <c r="J824" s="278">
        <v>0</v>
      </c>
      <c r="K824" s="278">
        <v>0</v>
      </c>
      <c r="L824" s="278">
        <v>0</v>
      </c>
      <c r="M824" s="278">
        <v>0</v>
      </c>
      <c r="N824" s="278">
        <v>0</v>
      </c>
      <c r="O824" s="278">
        <v>0</v>
      </c>
      <c r="P824" s="278">
        <v>0</v>
      </c>
      <c r="Q824" s="278">
        <v>0</v>
      </c>
      <c r="R824" s="278">
        <v>0</v>
      </c>
      <c r="S824" s="278">
        <v>0.97772307473778042</v>
      </c>
      <c r="T824" s="278">
        <v>0</v>
      </c>
      <c r="U824" s="278">
        <v>0</v>
      </c>
      <c r="V824" s="278">
        <v>0</v>
      </c>
      <c r="W824" s="278">
        <v>0</v>
      </c>
      <c r="X824" s="274">
        <v>1</v>
      </c>
      <c r="Y824" s="198"/>
      <c r="Z824" s="224" t="s">
        <v>663</v>
      </c>
      <c r="AA824" s="157" t="s">
        <v>649</v>
      </c>
      <c r="AB824" s="259" t="s">
        <v>2821</v>
      </c>
      <c r="AC824" s="530">
        <v>5363924.7909645708</v>
      </c>
      <c r="AD824" s="159"/>
    </row>
    <row r="825" spans="1:30" ht="13.5" thickBot="1" x14ac:dyDescent="0.25">
      <c r="A825" s="407" t="s">
        <v>2821</v>
      </c>
      <c r="B825" s="407"/>
      <c r="C825" s="406" t="s">
        <v>2714</v>
      </c>
      <c r="D825" s="407" t="s">
        <v>2971</v>
      </c>
      <c r="E825" s="278">
        <v>0</v>
      </c>
      <c r="F825" s="278">
        <v>0</v>
      </c>
      <c r="G825" s="278">
        <v>0</v>
      </c>
      <c r="H825" s="429">
        <v>0.86486486486486491</v>
      </c>
      <c r="I825" s="278">
        <v>0</v>
      </c>
      <c r="J825" s="278">
        <v>0</v>
      </c>
      <c r="K825" s="278">
        <v>0</v>
      </c>
      <c r="L825" s="278">
        <v>0</v>
      </c>
      <c r="M825" s="278">
        <v>0</v>
      </c>
      <c r="N825" s="429">
        <v>0</v>
      </c>
      <c r="O825" s="278">
        <v>0</v>
      </c>
      <c r="P825" s="278">
        <v>0.13513513513513511</v>
      </c>
      <c r="Q825" s="278">
        <v>0</v>
      </c>
      <c r="R825" s="278">
        <v>0</v>
      </c>
      <c r="S825" s="278">
        <v>0</v>
      </c>
      <c r="T825" s="278">
        <v>0</v>
      </c>
      <c r="U825" s="278">
        <v>0</v>
      </c>
      <c r="V825" s="278">
        <v>0</v>
      </c>
      <c r="W825" s="278">
        <v>0</v>
      </c>
      <c r="X825" s="274">
        <v>1</v>
      </c>
      <c r="Y825" s="198"/>
      <c r="Z825" s="224" t="s">
        <v>663</v>
      </c>
      <c r="AA825" s="157" t="s">
        <v>649</v>
      </c>
      <c r="AB825" s="259" t="s">
        <v>2821</v>
      </c>
      <c r="AC825" s="530">
        <v>2733423.6655109557</v>
      </c>
      <c r="AD825" s="159"/>
    </row>
    <row r="826" spans="1:30" x14ac:dyDescent="0.2">
      <c r="A826" s="407" t="s">
        <v>2821</v>
      </c>
      <c r="B826" s="407"/>
      <c r="C826" s="406" t="s">
        <v>2972</v>
      </c>
      <c r="D826" s="407" t="s">
        <v>2973</v>
      </c>
      <c r="E826" s="278">
        <v>0</v>
      </c>
      <c r="F826" s="278">
        <v>0</v>
      </c>
      <c r="G826" s="278">
        <v>0</v>
      </c>
      <c r="H826" s="278">
        <v>0</v>
      </c>
      <c r="I826" s="278">
        <v>0</v>
      </c>
      <c r="J826" s="278">
        <v>0</v>
      </c>
      <c r="K826" s="278">
        <v>0</v>
      </c>
      <c r="L826" s="278">
        <v>0</v>
      </c>
      <c r="M826" s="278">
        <v>0</v>
      </c>
      <c r="N826" s="278">
        <v>0</v>
      </c>
      <c r="O826" s="278">
        <v>0</v>
      </c>
      <c r="P826" s="278">
        <v>0</v>
      </c>
      <c r="Q826" s="278">
        <v>0</v>
      </c>
      <c r="R826" s="278">
        <v>0</v>
      </c>
      <c r="S826" s="278">
        <v>1.1182242605247236E-2</v>
      </c>
      <c r="T826" s="278">
        <v>0.98881775739475275</v>
      </c>
      <c r="U826" s="278">
        <v>0</v>
      </c>
      <c r="V826" s="278">
        <v>0</v>
      </c>
      <c r="W826" s="278">
        <v>0</v>
      </c>
      <c r="X826" s="278">
        <v>1</v>
      </c>
      <c r="Y826" s="198"/>
      <c r="Z826" s="224" t="s">
        <v>663</v>
      </c>
      <c r="AA826" s="157" t="s">
        <v>649</v>
      </c>
      <c r="AB826" s="259" t="s">
        <v>2821</v>
      </c>
      <c r="AC826" s="530">
        <v>3497281.8697194862</v>
      </c>
      <c r="AD826" s="159"/>
    </row>
    <row r="827" spans="1:30" x14ac:dyDescent="0.2">
      <c r="A827" s="427" t="s">
        <v>2597</v>
      </c>
      <c r="B827" s="403"/>
      <c r="C827" s="404" t="s">
        <v>2631</v>
      </c>
      <c r="D827" s="403" t="s">
        <v>2614</v>
      </c>
      <c r="E827" s="302"/>
      <c r="F827" s="302"/>
      <c r="G827" s="302"/>
      <c r="H827" s="302"/>
      <c r="I827" s="302"/>
      <c r="J827" s="302"/>
      <c r="K827" s="302"/>
      <c r="L827" s="302"/>
      <c r="M827" s="302"/>
      <c r="N827" s="302"/>
      <c r="O827" s="302"/>
      <c r="P827" s="302"/>
      <c r="Q827" s="302"/>
      <c r="R827" s="302"/>
      <c r="S827" s="302">
        <v>1</v>
      </c>
      <c r="T827" s="302"/>
      <c r="U827" s="302"/>
      <c r="V827" s="302"/>
      <c r="W827" s="302"/>
      <c r="X827" s="302">
        <f t="shared" ref="X827:X831" si="27">SUM(E827:W827)</f>
        <v>1</v>
      </c>
      <c r="Y827" s="198" t="s">
        <v>2975</v>
      </c>
      <c r="Z827" s="224" t="s">
        <v>663</v>
      </c>
      <c r="AA827" s="157" t="s">
        <v>663</v>
      </c>
      <c r="AB827" s="426" t="s">
        <v>2597</v>
      </c>
      <c r="AC827" s="530">
        <v>999036.97138551681</v>
      </c>
      <c r="AD827" s="159"/>
    </row>
    <row r="828" spans="1:30" x14ac:dyDescent="0.2">
      <c r="A828" s="427" t="s">
        <v>2597</v>
      </c>
      <c r="B828" s="403"/>
      <c r="C828" s="404" t="s">
        <v>2715</v>
      </c>
      <c r="D828" s="403" t="s">
        <v>2660</v>
      </c>
      <c r="E828" s="302"/>
      <c r="F828" s="302"/>
      <c r="G828" s="302"/>
      <c r="H828" s="302"/>
      <c r="I828" s="302"/>
      <c r="J828" s="302"/>
      <c r="K828" s="302"/>
      <c r="L828" s="302"/>
      <c r="M828" s="302"/>
      <c r="N828" s="302">
        <v>0.65</v>
      </c>
      <c r="O828" s="302"/>
      <c r="P828" s="302">
        <v>0.11</v>
      </c>
      <c r="Q828" s="302"/>
      <c r="R828" s="302"/>
      <c r="S828" s="302">
        <f>1-P828-N828</f>
        <v>0.24</v>
      </c>
      <c r="T828" s="302"/>
      <c r="U828" s="302"/>
      <c r="V828" s="302"/>
      <c r="W828" s="302"/>
      <c r="X828" s="302">
        <f t="shared" si="27"/>
        <v>1</v>
      </c>
      <c r="Y828" s="198"/>
      <c r="Z828" s="224" t="s">
        <v>663</v>
      </c>
      <c r="AA828" s="157" t="s">
        <v>663</v>
      </c>
      <c r="AB828" s="363" t="s">
        <v>2597</v>
      </c>
      <c r="AC828" s="530" t="s">
        <v>3015</v>
      </c>
      <c r="AD828" s="159"/>
    </row>
    <row r="829" spans="1:30" x14ac:dyDescent="0.2">
      <c r="A829" s="427" t="s">
        <v>2597</v>
      </c>
      <c r="B829" s="403"/>
      <c r="C829" s="404" t="s">
        <v>2716</v>
      </c>
      <c r="D829" s="403" t="s">
        <v>2652</v>
      </c>
      <c r="E829" s="302"/>
      <c r="F829" s="302"/>
      <c r="G829" s="302"/>
      <c r="H829" s="302"/>
      <c r="I829" s="302"/>
      <c r="J829" s="302"/>
      <c r="K829" s="302"/>
      <c r="L829" s="302"/>
      <c r="M829" s="302"/>
      <c r="N829" s="302"/>
      <c r="O829" s="302"/>
      <c r="P829" s="302"/>
      <c r="Q829" s="302"/>
      <c r="R829" s="302"/>
      <c r="S829" s="302">
        <v>1</v>
      </c>
      <c r="T829" s="302"/>
      <c r="U829" s="302"/>
      <c r="V829" s="302"/>
      <c r="W829" s="302"/>
      <c r="X829" s="302">
        <f t="shared" si="27"/>
        <v>1</v>
      </c>
      <c r="Y829" s="198"/>
      <c r="Z829" s="224" t="s">
        <v>663</v>
      </c>
      <c r="AA829" s="157" t="s">
        <v>663</v>
      </c>
      <c r="AB829" s="363" t="s">
        <v>2597</v>
      </c>
      <c r="AC829" s="530" t="s">
        <v>3015</v>
      </c>
      <c r="AD829" s="159"/>
    </row>
    <row r="830" spans="1:30" x14ac:dyDescent="0.2">
      <c r="A830" s="427" t="s">
        <v>2597</v>
      </c>
      <c r="B830" s="403"/>
      <c r="C830" s="404" t="s">
        <v>2724</v>
      </c>
      <c r="D830" s="403" t="s">
        <v>2723</v>
      </c>
      <c r="E830" s="302"/>
      <c r="F830" s="302"/>
      <c r="G830" s="302"/>
      <c r="H830" s="302"/>
      <c r="I830" s="302"/>
      <c r="J830" s="302"/>
      <c r="K830" s="302"/>
      <c r="L830" s="302"/>
      <c r="M830" s="302"/>
      <c r="N830" s="302"/>
      <c r="O830" s="302"/>
      <c r="P830" s="302"/>
      <c r="Q830" s="302"/>
      <c r="R830" s="302"/>
      <c r="S830" s="302"/>
      <c r="T830" s="302">
        <v>1</v>
      </c>
      <c r="U830" s="302"/>
      <c r="V830" s="302"/>
      <c r="W830" s="302"/>
      <c r="X830" s="302">
        <f t="shared" si="27"/>
        <v>1</v>
      </c>
      <c r="Y830" s="198"/>
      <c r="Z830" s="224" t="s">
        <v>663</v>
      </c>
      <c r="AA830" s="157" t="s">
        <v>663</v>
      </c>
      <c r="AB830" s="363" t="s">
        <v>2597</v>
      </c>
      <c r="AC830" s="530" t="s">
        <v>3015</v>
      </c>
      <c r="AD830" s="159"/>
    </row>
    <row r="831" spans="1:30" x14ac:dyDescent="0.2">
      <c r="A831" s="427" t="s">
        <v>2597</v>
      </c>
      <c r="B831" s="403"/>
      <c r="C831" s="404" t="s">
        <v>2753</v>
      </c>
      <c r="D831" s="403" t="s">
        <v>517</v>
      </c>
      <c r="E831" s="302"/>
      <c r="F831" s="302"/>
      <c r="G831" s="302"/>
      <c r="H831" s="302"/>
      <c r="I831" s="302"/>
      <c r="J831" s="302"/>
      <c r="K831" s="302"/>
      <c r="L831" s="302"/>
      <c r="M831" s="302"/>
      <c r="N831" s="302">
        <v>0.65</v>
      </c>
      <c r="O831" s="302"/>
      <c r="P831" s="302">
        <v>0.2</v>
      </c>
      <c r="Q831" s="302"/>
      <c r="R831" s="302"/>
      <c r="S831" s="302">
        <v>0.15</v>
      </c>
      <c r="T831" s="302"/>
      <c r="U831" s="302"/>
      <c r="V831" s="302"/>
      <c r="W831" s="302"/>
      <c r="X831" s="302">
        <f t="shared" si="27"/>
        <v>1</v>
      </c>
      <c r="Y831" s="198"/>
      <c r="Z831" s="224" t="s">
        <v>663</v>
      </c>
      <c r="AA831" s="157" t="s">
        <v>663</v>
      </c>
      <c r="AB831" s="363" t="s">
        <v>2597</v>
      </c>
      <c r="AC831" s="530" t="s">
        <v>3015</v>
      </c>
      <c r="AD831" s="159"/>
    </row>
    <row r="832" spans="1:30" x14ac:dyDescent="0.2">
      <c r="A832" s="423"/>
      <c r="B832" s="423"/>
      <c r="C832" s="424"/>
      <c r="D832" s="423"/>
      <c r="E832" s="425"/>
      <c r="F832" s="425"/>
      <c r="G832" s="425"/>
      <c r="H832" s="425"/>
      <c r="I832" s="425"/>
      <c r="J832" s="425"/>
      <c r="K832" s="425"/>
      <c r="L832" s="425"/>
      <c r="M832" s="425"/>
      <c r="N832" s="425"/>
      <c r="O832" s="425"/>
      <c r="P832" s="425"/>
      <c r="Q832" s="425"/>
      <c r="R832" s="425"/>
      <c r="S832" s="425"/>
      <c r="T832" s="425"/>
      <c r="U832" s="425"/>
      <c r="V832" s="425"/>
      <c r="W832" s="425"/>
      <c r="X832" s="425"/>
      <c r="Y832" s="198"/>
      <c r="Z832" s="224"/>
      <c r="AA832" s="158"/>
      <c r="AB832" s="254"/>
      <c r="AC832" s="159"/>
      <c r="AD832" s="159"/>
    </row>
    <row r="833" spans="1:30" x14ac:dyDescent="0.2">
      <c r="A833" s="156"/>
      <c r="B833" s="156"/>
      <c r="C833" s="156"/>
      <c r="D833" s="156"/>
      <c r="E833" s="156"/>
      <c r="F833" s="156"/>
      <c r="G833" s="156"/>
      <c r="H833" s="156"/>
      <c r="I833" s="156"/>
      <c r="J833" s="156"/>
      <c r="K833" s="156"/>
      <c r="L833" s="156"/>
      <c r="M833" s="156"/>
      <c r="N833" s="156"/>
      <c r="O833" s="156"/>
      <c r="P833" s="156"/>
      <c r="Q833" s="156"/>
      <c r="R833" s="156"/>
      <c r="S833" s="156"/>
      <c r="T833" s="156"/>
      <c r="U833" s="156"/>
      <c r="V833" s="156"/>
      <c r="W833" s="156"/>
      <c r="X833" s="156"/>
      <c r="Y833" s="198"/>
      <c r="Z833" s="156"/>
      <c r="AA833" s="156"/>
      <c r="AB833" s="156"/>
      <c r="AC833" s="156"/>
      <c r="AD833" s="156"/>
    </row>
    <row r="834" spans="1:30" x14ac:dyDescent="0.2">
      <c r="A834" s="156"/>
      <c r="B834" s="156"/>
      <c r="C834" s="156"/>
      <c r="D834" s="156"/>
      <c r="E834" s="156"/>
      <c r="F834" s="156"/>
      <c r="G834" s="156"/>
      <c r="H834" s="156"/>
      <c r="I834" s="156"/>
      <c r="J834" s="156"/>
      <c r="K834" s="156"/>
      <c r="L834" s="156"/>
      <c r="M834" s="156"/>
      <c r="N834" s="156"/>
      <c r="O834" s="156"/>
      <c r="P834" s="156"/>
      <c r="Q834" s="156"/>
      <c r="R834" s="156"/>
      <c r="S834" s="156"/>
      <c r="T834" s="156"/>
      <c r="U834" s="156"/>
      <c r="V834" s="156"/>
      <c r="W834" s="156"/>
      <c r="X834" s="223"/>
      <c r="Y834" s="198"/>
      <c r="Z834" s="156"/>
      <c r="AA834" s="156"/>
      <c r="AB834" s="156"/>
      <c r="AC834" s="156"/>
      <c r="AD834" s="156"/>
    </row>
    <row r="835" spans="1:30" x14ac:dyDescent="0.2">
      <c r="A835" s="151" t="s">
        <v>2602</v>
      </c>
      <c r="B835" s="156"/>
      <c r="C835" s="419" t="s">
        <v>2714</v>
      </c>
      <c r="D835" s="156" t="s">
        <v>2974</v>
      </c>
      <c r="E835" s="156"/>
      <c r="F835" s="156"/>
      <c r="G835" s="156"/>
      <c r="H835" s="156"/>
      <c r="I835" s="156"/>
      <c r="J835" s="156"/>
      <c r="K835" s="156"/>
      <c r="L835" s="156"/>
      <c r="M835" s="156"/>
      <c r="N835" s="156"/>
      <c r="O835" s="156"/>
      <c r="P835" s="156"/>
      <c r="Q835" s="156"/>
      <c r="R835" s="156"/>
      <c r="S835" s="156"/>
      <c r="T835" s="156"/>
      <c r="U835" s="156"/>
      <c r="V835" s="156"/>
      <c r="W835" s="156"/>
      <c r="X835" s="420">
        <v>0</v>
      </c>
      <c r="Y835" s="198"/>
      <c r="Z835" s="156"/>
      <c r="AA835" s="156"/>
      <c r="AB835" s="156"/>
      <c r="AC835" s="156"/>
      <c r="AD835" s="156"/>
    </row>
    <row r="836" spans="1:30" x14ac:dyDescent="0.2">
      <c r="A836" s="396" t="s">
        <v>2821</v>
      </c>
      <c r="B836" s="156"/>
      <c r="C836" s="421" t="s">
        <v>2972</v>
      </c>
      <c r="D836" s="156" t="s">
        <v>2974</v>
      </c>
      <c r="E836" s="156"/>
      <c r="F836" s="156"/>
      <c r="G836" s="156"/>
      <c r="H836" s="156"/>
      <c r="I836" s="156"/>
      <c r="J836" s="156"/>
      <c r="K836" s="156"/>
      <c r="L836" s="156"/>
      <c r="M836" s="156"/>
      <c r="N836" s="156"/>
      <c r="O836" s="156"/>
      <c r="P836" s="156"/>
      <c r="Q836" s="156"/>
      <c r="R836" s="156"/>
      <c r="S836" s="156"/>
      <c r="T836" s="156"/>
      <c r="U836" s="156"/>
      <c r="V836" s="156"/>
      <c r="W836" s="156"/>
      <c r="X836" s="278">
        <v>0</v>
      </c>
      <c r="Y836" s="198"/>
      <c r="Z836" s="156"/>
      <c r="AA836" s="156"/>
      <c r="AB836" s="156"/>
      <c r="AC836" s="156"/>
      <c r="AD836" s="156"/>
    </row>
    <row r="837" spans="1:30" x14ac:dyDescent="0.2">
      <c r="A837" s="293" t="s">
        <v>2976</v>
      </c>
      <c r="B837" s="156"/>
      <c r="C837" s="156"/>
      <c r="D837" s="156" t="s">
        <v>2977</v>
      </c>
      <c r="E837" s="156"/>
      <c r="F837" s="156"/>
      <c r="G837" s="156"/>
      <c r="H837" s="156"/>
      <c r="I837" s="156"/>
      <c r="J837" s="156"/>
      <c r="K837" s="156"/>
      <c r="L837" s="156"/>
      <c r="M837" s="156"/>
      <c r="N837" s="156"/>
      <c r="O837" s="156"/>
      <c r="P837" s="156"/>
      <c r="Q837" s="156"/>
      <c r="R837" s="156"/>
      <c r="S837" s="156"/>
      <c r="T837" s="156"/>
      <c r="U837" s="156"/>
      <c r="V837" s="156"/>
      <c r="W837" s="156"/>
      <c r="X837" s="156"/>
      <c r="Y837" s="198"/>
      <c r="Z837" s="156"/>
      <c r="AA837" s="156"/>
      <c r="AB837" s="156"/>
      <c r="AC837" s="156"/>
      <c r="AD837" s="156"/>
    </row>
    <row r="838" spans="1:30" x14ac:dyDescent="0.2">
      <c r="W838" s="422" t="s">
        <v>2978</v>
      </c>
    </row>
  </sheetData>
  <pageMargins left="0.27559055118110237" right="0.23622047244094491" top="0.15748031496062992" bottom="0.33" header="0.15748031496062992" footer="0.15748031496062992"/>
  <pageSetup paperSize="8" scale="63" fitToHeight="0" orientation="landscape" r:id="rId1"/>
  <headerFooter>
    <oddFooter>&amp;L&amp;8&amp;Z&amp;F&amp;A&amp;R&amp;8&amp;D</oddFooter>
  </headerFooter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tabColor rgb="FF00B050"/>
  </sheetPr>
  <dimension ref="A2:X179"/>
  <sheetViews>
    <sheetView showGridLines="0" zoomScale="80" zoomScaleNormal="8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ColWidth="9.140625" defaultRowHeight="14.25" x14ac:dyDescent="0.2"/>
  <cols>
    <col min="1" max="1" width="10.42578125" style="447" customWidth="1"/>
    <col min="2" max="2" width="80.7109375" style="447" bestFit="1" customWidth="1"/>
    <col min="3" max="3" width="18" style="447" customWidth="1"/>
    <col min="4" max="4" width="11.5703125" style="447" bestFit="1" customWidth="1"/>
    <col min="5" max="5" width="12.5703125" style="447" customWidth="1"/>
    <col min="6" max="6" width="10.7109375" style="447" customWidth="1"/>
    <col min="7" max="7" width="9.28515625" style="447" bestFit="1" customWidth="1"/>
    <col min="8" max="8" width="2.140625" style="447" customWidth="1"/>
    <col min="9" max="9" width="22" style="447" customWidth="1"/>
    <col min="10" max="10" width="14.28515625" style="447" customWidth="1"/>
    <col min="11" max="11" width="12.5703125" style="447" customWidth="1"/>
    <col min="12" max="12" width="11.42578125" style="447" customWidth="1"/>
    <col min="13" max="13" width="2.5703125" style="447" customWidth="1"/>
    <col min="14" max="14" width="41.28515625" style="447" bestFit="1" customWidth="1"/>
    <col min="15" max="23" width="7.140625" style="447" customWidth="1"/>
    <col min="24" max="24" width="9.28515625" style="447" customWidth="1"/>
    <col min="25" max="16384" width="9.140625" style="447"/>
  </cols>
  <sheetData>
    <row r="2" spans="1:24" x14ac:dyDescent="0.2">
      <c r="A2" s="448"/>
      <c r="B2" s="432"/>
      <c r="I2" s="448"/>
      <c r="J2" s="432"/>
    </row>
    <row r="3" spans="1:24" ht="23.25" x14ac:dyDescent="0.2">
      <c r="A3" s="449" t="s">
        <v>2707</v>
      </c>
    </row>
    <row r="4" spans="1:24" ht="15" x14ac:dyDescent="0.25">
      <c r="B4" s="450" t="s">
        <v>3000</v>
      </c>
      <c r="I4" s="452" t="s">
        <v>3001</v>
      </c>
    </row>
    <row r="5" spans="1:24" ht="15" thickBot="1" x14ac:dyDescent="0.25">
      <c r="A5" s="455"/>
      <c r="B5" s="455"/>
      <c r="C5" s="455"/>
      <c r="D5" s="455"/>
      <c r="E5" s="455"/>
      <c r="N5" s="451"/>
    </row>
    <row r="6" spans="1:24" ht="22.5" x14ac:dyDescent="0.2">
      <c r="A6" s="546" t="s">
        <v>2668</v>
      </c>
      <c r="B6" s="547" t="s">
        <v>2669</v>
      </c>
      <c r="C6" s="546" t="s">
        <v>993</v>
      </c>
      <c r="D6" s="538" t="s">
        <v>984</v>
      </c>
      <c r="E6" s="548" t="s">
        <v>2670</v>
      </c>
      <c r="F6" s="545" t="s">
        <v>2671</v>
      </c>
      <c r="G6" s="545" t="s">
        <v>2672</v>
      </c>
      <c r="H6" s="452"/>
      <c r="I6" s="549" t="s">
        <v>993</v>
      </c>
      <c r="J6" s="550" t="s">
        <v>2726</v>
      </c>
      <c r="K6" s="551" t="s">
        <v>2727</v>
      </c>
      <c r="L6" s="552" t="s">
        <v>2999</v>
      </c>
      <c r="M6" s="452"/>
      <c r="N6" s="453"/>
      <c r="O6" s="452"/>
      <c r="P6" s="452"/>
      <c r="Q6" s="452"/>
      <c r="R6" s="452"/>
      <c r="S6" s="452"/>
      <c r="T6" s="452"/>
      <c r="U6" s="452"/>
      <c r="V6" s="452"/>
      <c r="W6" s="452"/>
    </row>
    <row r="7" spans="1:24" ht="25.5" x14ac:dyDescent="0.2">
      <c r="A7" s="463" t="s">
        <v>1066</v>
      </c>
      <c r="B7" s="464" t="s">
        <v>2673</v>
      </c>
      <c r="C7" s="465" t="s">
        <v>28</v>
      </c>
      <c r="D7" s="460" t="s">
        <v>641</v>
      </c>
      <c r="E7" s="539">
        <v>6051070.2559629772</v>
      </c>
      <c r="F7" s="541">
        <v>2895151.250345197</v>
      </c>
      <c r="G7" s="542">
        <f>F7/E7</f>
        <v>0.4784527575914681</v>
      </c>
      <c r="H7" s="453"/>
      <c r="I7" s="553" t="s">
        <v>28</v>
      </c>
      <c r="J7" s="554">
        <f t="shared" ref="J7:J16" si="0">SUMIFS(E$7:E$175,$C$7:$C$175,$I7)</f>
        <v>42255680.272383988</v>
      </c>
      <c r="K7" s="554">
        <f t="shared" ref="K7:K16" si="1">SUMIFS(F$7:F$175,$C$7:$C$175,$I7)</f>
        <v>19791806.776205219</v>
      </c>
      <c r="L7" s="555">
        <f>K7/J7</f>
        <v>0.46838215947833328</v>
      </c>
      <c r="M7" s="454"/>
      <c r="N7" s="100"/>
      <c r="O7" s="101">
        <v>2016</v>
      </c>
      <c r="P7" s="101">
        <v>2017</v>
      </c>
      <c r="Q7" s="101">
        <v>2018</v>
      </c>
      <c r="R7" s="101">
        <v>2019</v>
      </c>
      <c r="S7" s="101">
        <v>2020</v>
      </c>
      <c r="T7" s="101">
        <v>2021</v>
      </c>
      <c r="U7" s="101">
        <v>2022</v>
      </c>
      <c r="V7" s="101">
        <v>2023</v>
      </c>
      <c r="W7" s="102" t="s">
        <v>2728</v>
      </c>
      <c r="X7" s="102" t="s">
        <v>3022</v>
      </c>
    </row>
    <row r="8" spans="1:24" x14ac:dyDescent="0.2">
      <c r="A8" s="456" t="s">
        <v>1067</v>
      </c>
      <c r="B8" s="457" t="s">
        <v>2674</v>
      </c>
      <c r="C8" s="458" t="s">
        <v>28</v>
      </c>
      <c r="D8" s="460" t="s">
        <v>641</v>
      </c>
      <c r="E8" s="540">
        <v>4876864.4988076948</v>
      </c>
      <c r="F8" s="543">
        <v>1913116.3952427991</v>
      </c>
      <c r="G8" s="544">
        <f t="shared" ref="G8:G71" si="2">F8/E8</f>
        <v>0.39228409887347115</v>
      </c>
      <c r="H8" s="452"/>
      <c r="I8" s="556" t="s">
        <v>31</v>
      </c>
      <c r="J8" s="557">
        <f t="shared" si="0"/>
        <v>70638057.946982861</v>
      </c>
      <c r="K8" s="557">
        <f t="shared" si="1"/>
        <v>33931040.969138339</v>
      </c>
      <c r="L8" s="558">
        <f t="shared" ref="L8:L18" si="3">K8/J8</f>
        <v>0.48035070548804104</v>
      </c>
      <c r="M8" s="454"/>
      <c r="N8" s="650" t="s">
        <v>2729</v>
      </c>
      <c r="O8" s="659" t="s">
        <v>1053</v>
      </c>
      <c r="P8" s="659">
        <v>0.9</v>
      </c>
      <c r="Q8" s="659">
        <v>0.9</v>
      </c>
      <c r="R8" s="659">
        <v>0.9</v>
      </c>
      <c r="S8" s="659">
        <v>1</v>
      </c>
      <c r="T8" s="659">
        <v>1.4</v>
      </c>
      <c r="U8" s="659">
        <v>1.7</v>
      </c>
      <c r="V8" s="659">
        <v>1.8</v>
      </c>
      <c r="W8" s="660">
        <v>1.2</v>
      </c>
      <c r="X8" s="660">
        <v>1.4</v>
      </c>
    </row>
    <row r="9" spans="1:24" x14ac:dyDescent="0.2">
      <c r="A9" s="456" t="s">
        <v>1068</v>
      </c>
      <c r="B9" s="457" t="s">
        <v>2675</v>
      </c>
      <c r="C9" s="458" t="s">
        <v>28</v>
      </c>
      <c r="D9" s="460" t="s">
        <v>641</v>
      </c>
      <c r="E9" s="540">
        <v>4640608.5829932978</v>
      </c>
      <c r="F9" s="543">
        <v>1782081.6925225726</v>
      </c>
      <c r="G9" s="544">
        <f t="shared" si="2"/>
        <v>0.38401896230883781</v>
      </c>
      <c r="H9" s="452"/>
      <c r="I9" s="556" t="s">
        <v>855</v>
      </c>
      <c r="J9" s="557">
        <f t="shared" si="0"/>
        <v>5718405.3600000013</v>
      </c>
      <c r="K9" s="557">
        <f t="shared" si="1"/>
        <v>35582.692845677149</v>
      </c>
      <c r="L9" s="558">
        <f t="shared" si="3"/>
        <v>6.2224852219425631E-3</v>
      </c>
      <c r="M9" s="454"/>
      <c r="N9" s="650" t="s">
        <v>2730</v>
      </c>
      <c r="O9" s="659">
        <v>0.9</v>
      </c>
      <c r="P9" s="659">
        <v>1.4</v>
      </c>
      <c r="Q9" s="659">
        <v>1.3</v>
      </c>
      <c r="R9" s="659">
        <v>1.5</v>
      </c>
      <c r="S9" s="659">
        <v>1.7</v>
      </c>
      <c r="T9" s="659">
        <v>1.9</v>
      </c>
      <c r="U9" s="659" t="s">
        <v>1053</v>
      </c>
      <c r="V9" s="659" t="s">
        <v>1053</v>
      </c>
      <c r="W9" s="660">
        <v>1.4</v>
      </c>
      <c r="X9" s="661"/>
    </row>
    <row r="10" spans="1:24" x14ac:dyDescent="0.2">
      <c r="A10" s="456" t="s">
        <v>1078</v>
      </c>
      <c r="B10" s="457" t="s">
        <v>2456</v>
      </c>
      <c r="C10" s="458" t="s">
        <v>855</v>
      </c>
      <c r="D10" s="459" t="s">
        <v>854</v>
      </c>
      <c r="E10" s="540">
        <v>400000</v>
      </c>
      <c r="F10" s="543">
        <v>0</v>
      </c>
      <c r="G10" s="544">
        <f t="shared" si="2"/>
        <v>0</v>
      </c>
      <c r="H10" s="452"/>
      <c r="I10" s="556" t="s">
        <v>36</v>
      </c>
      <c r="J10" s="557">
        <f t="shared" si="0"/>
        <v>6062627.5300547834</v>
      </c>
      <c r="K10" s="557">
        <f t="shared" si="1"/>
        <v>1749403.6972282836</v>
      </c>
      <c r="L10" s="558">
        <f t="shared" si="3"/>
        <v>0.28855536457679687</v>
      </c>
      <c r="M10" s="454"/>
      <c r="N10" s="650" t="s">
        <v>2731</v>
      </c>
      <c r="O10" s="659">
        <v>0</v>
      </c>
      <c r="P10" s="659">
        <v>0.2</v>
      </c>
      <c r="Q10" s="659">
        <v>0.5</v>
      </c>
      <c r="R10" s="659">
        <v>0.6</v>
      </c>
      <c r="S10" s="659">
        <v>0.7</v>
      </c>
      <c r="T10" s="662">
        <v>0.7</v>
      </c>
      <c r="U10" s="662">
        <v>0.7</v>
      </c>
      <c r="V10" s="662">
        <v>0.7</v>
      </c>
      <c r="W10" s="660">
        <v>0.6</v>
      </c>
      <c r="X10" s="660">
        <v>0.7</v>
      </c>
    </row>
    <row r="11" spans="1:24" x14ac:dyDescent="0.2">
      <c r="A11" s="456" t="s">
        <v>233</v>
      </c>
      <c r="B11" s="457" t="s">
        <v>2457</v>
      </c>
      <c r="C11" s="458" t="s">
        <v>55</v>
      </c>
      <c r="D11" s="460" t="s">
        <v>683</v>
      </c>
      <c r="E11" s="540">
        <v>1551545.0000000005</v>
      </c>
      <c r="F11" s="543">
        <v>1132474.8547947933</v>
      </c>
      <c r="G11" s="544">
        <f t="shared" si="2"/>
        <v>0.72990139170619794</v>
      </c>
      <c r="H11" s="452"/>
      <c r="I11" s="556" t="s">
        <v>55</v>
      </c>
      <c r="J11" s="557">
        <f t="shared" si="0"/>
        <v>44082045.989750028</v>
      </c>
      <c r="K11" s="557">
        <f t="shared" si="1"/>
        <v>31325886.022852998</v>
      </c>
      <c r="L11" s="558">
        <f t="shared" si="3"/>
        <v>0.71062686224085203</v>
      </c>
      <c r="M11" s="454"/>
      <c r="N11" s="650"/>
      <c r="O11" s="650"/>
      <c r="P11" s="650"/>
      <c r="Q11" s="650"/>
      <c r="R11" s="650"/>
      <c r="S11" s="650"/>
      <c r="T11" s="650"/>
      <c r="U11" s="650"/>
      <c r="V11" s="650"/>
      <c r="W11" s="661"/>
      <c r="X11" s="661"/>
    </row>
    <row r="12" spans="1:24" x14ac:dyDescent="0.2">
      <c r="A12" s="456" t="s">
        <v>264</v>
      </c>
      <c r="B12" s="457" t="s">
        <v>2458</v>
      </c>
      <c r="C12" s="458" t="s">
        <v>40</v>
      </c>
      <c r="D12" s="460" t="s">
        <v>641</v>
      </c>
      <c r="E12" s="540">
        <v>2883427.8076352919</v>
      </c>
      <c r="F12" s="543">
        <v>1671995.5870165436</v>
      </c>
      <c r="G12" s="544">
        <f t="shared" si="2"/>
        <v>0.57986386293047243</v>
      </c>
      <c r="H12" s="452"/>
      <c r="I12" s="556" t="s">
        <v>60</v>
      </c>
      <c r="J12" s="557">
        <f t="shared" si="0"/>
        <v>10999999.267459944</v>
      </c>
      <c r="K12" s="557">
        <f t="shared" si="1"/>
        <v>481925.84928890603</v>
      </c>
      <c r="L12" s="558">
        <f t="shared" si="3"/>
        <v>4.3811443762049408E-2</v>
      </c>
      <c r="M12" s="454"/>
      <c r="N12" s="650" t="s">
        <v>2732</v>
      </c>
      <c r="O12" s="659">
        <v>0.5</v>
      </c>
      <c r="P12" s="659">
        <v>0.8</v>
      </c>
      <c r="Q12" s="659">
        <v>0.9</v>
      </c>
      <c r="R12" s="659">
        <v>1</v>
      </c>
      <c r="S12" s="659">
        <v>1.2</v>
      </c>
      <c r="T12" s="659">
        <v>1.9</v>
      </c>
      <c r="U12" s="650"/>
      <c r="V12" s="650"/>
      <c r="W12" s="660">
        <v>1</v>
      </c>
      <c r="X12" s="660">
        <v>1.4</v>
      </c>
    </row>
    <row r="13" spans="1:24" x14ac:dyDescent="0.2">
      <c r="A13" s="456" t="s">
        <v>1080</v>
      </c>
      <c r="B13" s="457" t="s">
        <v>2459</v>
      </c>
      <c r="C13" s="458" t="s">
        <v>855</v>
      </c>
      <c r="D13" s="459" t="s">
        <v>854</v>
      </c>
      <c r="E13" s="540">
        <v>247000.00000000003</v>
      </c>
      <c r="F13" s="543">
        <v>35582.692845677149</v>
      </c>
      <c r="G13" s="544">
        <f t="shared" si="2"/>
        <v>0.14405948520517062</v>
      </c>
      <c r="H13" s="452"/>
      <c r="I13" s="556" t="s">
        <v>107</v>
      </c>
      <c r="J13" s="557">
        <f t="shared" si="0"/>
        <v>94412.005436585037</v>
      </c>
      <c r="K13" s="557">
        <f t="shared" si="1"/>
        <v>41269.603969744705</v>
      </c>
      <c r="L13" s="558">
        <f t="shared" si="3"/>
        <v>0.4371224165708969</v>
      </c>
      <c r="M13" s="454"/>
      <c r="N13" s="650"/>
      <c r="O13" s="650"/>
      <c r="P13" s="650"/>
      <c r="Q13" s="650"/>
      <c r="R13" s="650"/>
      <c r="S13" s="650"/>
      <c r="T13" s="650"/>
      <c r="U13" s="650"/>
      <c r="V13" s="650"/>
      <c r="W13" s="650"/>
      <c r="X13" s="650"/>
    </row>
    <row r="14" spans="1:24" x14ac:dyDescent="0.2">
      <c r="A14" s="456" t="s">
        <v>1081</v>
      </c>
      <c r="B14" s="457" t="s">
        <v>2460</v>
      </c>
      <c r="C14" s="458" t="s">
        <v>855</v>
      </c>
      <c r="D14" s="459" t="s">
        <v>854</v>
      </c>
      <c r="E14" s="540">
        <v>1401405.5600000005</v>
      </c>
      <c r="F14" s="543">
        <v>0</v>
      </c>
      <c r="G14" s="544">
        <f t="shared" si="2"/>
        <v>0</v>
      </c>
      <c r="H14" s="452"/>
      <c r="I14" s="556" t="s">
        <v>41</v>
      </c>
      <c r="J14" s="557">
        <f t="shared" si="0"/>
        <v>242172246.51728013</v>
      </c>
      <c r="K14" s="557">
        <f t="shared" si="1"/>
        <v>120317891.73475882</v>
      </c>
      <c r="L14" s="558">
        <f t="shared" si="3"/>
        <v>0.49682774746103525</v>
      </c>
      <c r="M14" s="454"/>
      <c r="N14" s="663" t="s">
        <v>2733</v>
      </c>
      <c r="O14" s="663"/>
      <c r="P14" s="664">
        <v>0.6</v>
      </c>
      <c r="Q14" s="664">
        <v>0.65</v>
      </c>
      <c r="R14" s="664">
        <v>0.64999999999999991</v>
      </c>
      <c r="S14" s="664">
        <v>0.75</v>
      </c>
      <c r="T14" s="664">
        <v>0.9</v>
      </c>
      <c r="U14" s="664">
        <v>1.1000000000000001</v>
      </c>
      <c r="V14" s="664">
        <v>1.1499999999999999</v>
      </c>
      <c r="W14" s="665">
        <v>0.82857142857142863</v>
      </c>
      <c r="X14" s="666">
        <v>0.90999999999999992</v>
      </c>
    </row>
    <row r="15" spans="1:24" x14ac:dyDescent="0.2">
      <c r="A15" s="456" t="s">
        <v>1082</v>
      </c>
      <c r="B15" s="457" t="s">
        <v>2461</v>
      </c>
      <c r="C15" s="458" t="s">
        <v>855</v>
      </c>
      <c r="D15" s="459" t="s">
        <v>854</v>
      </c>
      <c r="E15" s="540">
        <v>169999.80000000005</v>
      </c>
      <c r="F15" s="543">
        <v>0</v>
      </c>
      <c r="G15" s="544">
        <f t="shared" si="2"/>
        <v>0</v>
      </c>
      <c r="H15" s="452"/>
      <c r="I15" s="556" t="s">
        <v>40</v>
      </c>
      <c r="J15" s="557">
        <f t="shared" si="0"/>
        <v>130700457.91547824</v>
      </c>
      <c r="K15" s="557">
        <f t="shared" si="1"/>
        <v>69369674.207891926</v>
      </c>
      <c r="L15" s="558">
        <f t="shared" si="3"/>
        <v>0.53075310763449746</v>
      </c>
      <c r="M15" s="454"/>
      <c r="N15" s="650" t="s">
        <v>2989</v>
      </c>
      <c r="O15" s="650"/>
      <c r="P15" s="650"/>
      <c r="Q15" s="650"/>
      <c r="R15" s="650"/>
      <c r="S15" s="650"/>
      <c r="T15" s="650"/>
      <c r="U15" s="650"/>
      <c r="V15" s="650"/>
      <c r="W15" s="661"/>
      <c r="X15" s="661"/>
    </row>
    <row r="16" spans="1:24" x14ac:dyDescent="0.2">
      <c r="A16" s="456" t="s">
        <v>1083</v>
      </c>
      <c r="B16" s="457" t="s">
        <v>2462</v>
      </c>
      <c r="C16" s="458" t="s">
        <v>855</v>
      </c>
      <c r="D16" s="459" t="s">
        <v>854</v>
      </c>
      <c r="E16" s="540">
        <v>2300000.0000000009</v>
      </c>
      <c r="F16" s="543">
        <v>0</v>
      </c>
      <c r="G16" s="544">
        <f t="shared" si="2"/>
        <v>0</v>
      </c>
      <c r="H16" s="452"/>
      <c r="I16" s="556" t="s">
        <v>54</v>
      </c>
      <c r="J16" s="557">
        <f t="shared" si="0"/>
        <v>82829281.517754108</v>
      </c>
      <c r="K16" s="557">
        <f t="shared" si="1"/>
        <v>39271477.945034489</v>
      </c>
      <c r="L16" s="558">
        <f t="shared" si="3"/>
        <v>0.47412554141999669</v>
      </c>
      <c r="M16" s="454"/>
      <c r="N16" s="650" t="s">
        <v>2734</v>
      </c>
      <c r="O16" s="659">
        <v>0.3</v>
      </c>
      <c r="P16" s="659">
        <v>0.5</v>
      </c>
      <c r="Q16" s="659">
        <v>0.6</v>
      </c>
      <c r="R16" s="659">
        <v>0.7</v>
      </c>
      <c r="S16" s="659">
        <v>0.8</v>
      </c>
      <c r="T16" s="659">
        <v>1.3</v>
      </c>
      <c r="U16" s="650"/>
      <c r="V16" s="650"/>
      <c r="W16" s="660">
        <v>0.7</v>
      </c>
      <c r="X16" s="661"/>
    </row>
    <row r="17" spans="1:24" x14ac:dyDescent="0.2">
      <c r="A17" s="456" t="s">
        <v>322</v>
      </c>
      <c r="B17" s="457" t="s">
        <v>833</v>
      </c>
      <c r="C17" s="458" t="s">
        <v>55</v>
      </c>
      <c r="D17" s="460" t="s">
        <v>683</v>
      </c>
      <c r="E17" s="540">
        <v>1400000.0000000007</v>
      </c>
      <c r="F17" s="543">
        <v>1021861.9483886774</v>
      </c>
      <c r="G17" s="544">
        <f t="shared" si="2"/>
        <v>0.72990139170619783</v>
      </c>
      <c r="H17" s="452"/>
      <c r="I17" s="556" t="s">
        <v>2708</v>
      </c>
      <c r="J17" s="557">
        <f>E176-SUM(J7:J16)</f>
        <v>1510742.8533334732</v>
      </c>
      <c r="K17" s="557">
        <f>F176-SUM(K7:K16)</f>
        <v>1378366.6389479041</v>
      </c>
      <c r="L17" s="558">
        <f t="shared" si="3"/>
        <v>0.91237673963277122</v>
      </c>
      <c r="M17" s="454"/>
      <c r="N17" s="650" t="s">
        <v>2735</v>
      </c>
      <c r="O17" s="650"/>
      <c r="P17" s="659">
        <v>0.4</v>
      </c>
      <c r="Q17" s="659">
        <v>0.5</v>
      </c>
      <c r="R17" s="659">
        <v>0.5</v>
      </c>
      <c r="S17" s="659">
        <v>0.6</v>
      </c>
      <c r="T17" s="659">
        <v>0.7</v>
      </c>
      <c r="U17" s="659">
        <v>0.8</v>
      </c>
      <c r="V17" s="659">
        <v>0.8</v>
      </c>
      <c r="W17" s="660">
        <v>0.6</v>
      </c>
      <c r="X17" s="660">
        <v>0.7</v>
      </c>
    </row>
    <row r="18" spans="1:24" x14ac:dyDescent="0.2">
      <c r="A18" s="456" t="s">
        <v>336</v>
      </c>
      <c r="B18" s="457" t="s">
        <v>818</v>
      </c>
      <c r="C18" s="458" t="s">
        <v>40</v>
      </c>
      <c r="D18" s="460" t="s">
        <v>683</v>
      </c>
      <c r="E18" s="540">
        <v>349999.99999999965</v>
      </c>
      <c r="F18" s="543">
        <v>319331.85887146124</v>
      </c>
      <c r="G18" s="544">
        <f t="shared" si="2"/>
        <v>0.91237673963274735</v>
      </c>
      <c r="H18" s="452"/>
      <c r="I18" s="559" t="s">
        <v>2262</v>
      </c>
      <c r="J18" s="560">
        <f>SUM(J7:J17)</f>
        <v>637063957.17591405</v>
      </c>
      <c r="K18" s="560">
        <f>SUM(K7:K17)</f>
        <v>317694326.13816231</v>
      </c>
      <c r="L18" s="561">
        <f t="shared" si="3"/>
        <v>0.49868513602070974</v>
      </c>
      <c r="M18" s="452"/>
      <c r="N18" s="452"/>
      <c r="O18" s="452"/>
      <c r="P18" s="452"/>
      <c r="Q18" s="452"/>
      <c r="R18" s="452"/>
      <c r="S18" s="452"/>
      <c r="T18" s="452"/>
      <c r="U18" s="452"/>
      <c r="V18" s="452"/>
      <c r="W18" s="452"/>
    </row>
    <row r="19" spans="1:24" ht="26.25" thickBot="1" x14ac:dyDescent="0.25">
      <c r="A19" s="456" t="s">
        <v>343</v>
      </c>
      <c r="B19" s="457" t="s">
        <v>800</v>
      </c>
      <c r="C19" s="458" t="s">
        <v>40</v>
      </c>
      <c r="D19" s="460" t="s">
        <v>683</v>
      </c>
      <c r="E19" s="540">
        <v>850000.0000000014</v>
      </c>
      <c r="F19" s="543">
        <v>620416.18295026931</v>
      </c>
      <c r="G19" s="544">
        <f t="shared" si="2"/>
        <v>0.72990139170619794</v>
      </c>
      <c r="H19" s="452"/>
      <c r="I19" s="562" t="s">
        <v>44</v>
      </c>
      <c r="J19" s="563"/>
      <c r="K19" s="563"/>
      <c r="L19" s="564">
        <v>0.21213655866550682</v>
      </c>
      <c r="M19" s="452"/>
      <c r="N19" s="100"/>
      <c r="O19" s="101">
        <v>2016</v>
      </c>
      <c r="P19" s="101">
        <v>2017</v>
      </c>
      <c r="Q19" s="101">
        <v>2018</v>
      </c>
      <c r="R19" s="101">
        <v>2019</v>
      </c>
      <c r="S19" s="101">
        <v>2020</v>
      </c>
      <c r="T19" s="101">
        <v>2021</v>
      </c>
      <c r="U19" s="101">
        <v>2022</v>
      </c>
      <c r="V19" s="101">
        <v>2023</v>
      </c>
      <c r="W19" s="102" t="s">
        <v>2728</v>
      </c>
      <c r="X19" s="102" t="s">
        <v>3022</v>
      </c>
    </row>
    <row r="20" spans="1:24" x14ac:dyDescent="0.2">
      <c r="A20" s="456" t="s">
        <v>350</v>
      </c>
      <c r="B20" s="457" t="s">
        <v>795</v>
      </c>
      <c r="C20" s="458" t="s">
        <v>40</v>
      </c>
      <c r="D20" s="460" t="s">
        <v>683</v>
      </c>
      <c r="E20" s="540">
        <v>500000.00000000023</v>
      </c>
      <c r="F20" s="543">
        <v>364950.69585309917</v>
      </c>
      <c r="G20" s="544">
        <f t="shared" si="2"/>
        <v>0.72990139170619794</v>
      </c>
      <c r="H20" s="452"/>
      <c r="I20" s="452" t="s">
        <v>2725</v>
      </c>
      <c r="K20" s="452"/>
      <c r="L20" s="452"/>
      <c r="M20" s="452"/>
      <c r="N20" s="650" t="s">
        <v>2733</v>
      </c>
      <c r="O20" s="650"/>
      <c r="P20" s="651">
        <v>0.56999999999999995</v>
      </c>
      <c r="Q20" s="651">
        <v>0.7</v>
      </c>
      <c r="R20" s="651">
        <v>0.76</v>
      </c>
      <c r="S20" s="651">
        <v>0.84</v>
      </c>
      <c r="T20" s="651">
        <v>1.06</v>
      </c>
      <c r="U20" s="651">
        <v>1.21</v>
      </c>
      <c r="V20" s="651">
        <v>1.24</v>
      </c>
      <c r="W20" s="652">
        <f>AVERAGE(P20:V20)</f>
        <v>0.91142857142857159</v>
      </c>
      <c r="X20" s="653">
        <f>AVERAGE(R20:V20)</f>
        <v>1.022</v>
      </c>
    </row>
    <row r="21" spans="1:24" x14ac:dyDescent="0.2">
      <c r="A21" s="456" t="s">
        <v>351</v>
      </c>
      <c r="B21" s="457" t="s">
        <v>794</v>
      </c>
      <c r="C21" s="458" t="s">
        <v>54</v>
      </c>
      <c r="D21" s="459" t="s">
        <v>641</v>
      </c>
      <c r="E21" s="540">
        <v>4944496.744783055</v>
      </c>
      <c r="F21" s="543">
        <v>2502079.8462751061</v>
      </c>
      <c r="G21" s="544">
        <f t="shared" si="2"/>
        <v>0.50603326797920412</v>
      </c>
      <c r="H21" s="452"/>
      <c r="I21" s="452"/>
      <c r="J21" s="452"/>
      <c r="K21" s="452"/>
      <c r="L21" s="452"/>
      <c r="M21" s="452"/>
      <c r="N21" s="650" t="s">
        <v>2990</v>
      </c>
      <c r="O21" s="650"/>
      <c r="P21" s="654">
        <v>0.6</v>
      </c>
      <c r="Q21" s="654">
        <v>0.65</v>
      </c>
      <c r="R21" s="654">
        <v>0.64999999999999991</v>
      </c>
      <c r="S21" s="654">
        <v>0.75</v>
      </c>
      <c r="T21" s="654">
        <v>0.9</v>
      </c>
      <c r="U21" s="654">
        <v>1.1000000000000001</v>
      </c>
      <c r="V21" s="654">
        <v>1.1499999999999999</v>
      </c>
      <c r="W21" s="655">
        <f>AVERAGE(P21:V21)</f>
        <v>0.82857142857142863</v>
      </c>
      <c r="X21" s="656">
        <f>AVERAGE(R21:V21)</f>
        <v>0.90999999999999992</v>
      </c>
    </row>
    <row r="22" spans="1:24" x14ac:dyDescent="0.2">
      <c r="A22" s="456" t="s">
        <v>1084</v>
      </c>
      <c r="B22" s="457" t="s">
        <v>2463</v>
      </c>
      <c r="C22" s="458" t="s">
        <v>855</v>
      </c>
      <c r="D22" s="459" t="s">
        <v>854</v>
      </c>
      <c r="E22" s="540">
        <v>1200000</v>
      </c>
      <c r="F22" s="543">
        <v>0</v>
      </c>
      <c r="G22" s="544">
        <f t="shared" si="2"/>
        <v>0</v>
      </c>
      <c r="H22" s="452"/>
      <c r="I22" s="452"/>
      <c r="J22" s="452"/>
      <c r="K22" s="452"/>
      <c r="L22" s="452"/>
      <c r="M22" s="452"/>
      <c r="N22" s="650" t="s">
        <v>2991</v>
      </c>
      <c r="O22" s="657"/>
      <c r="P22" s="658">
        <v>0.6</v>
      </c>
      <c r="Q22" s="658">
        <v>0.7</v>
      </c>
      <c r="R22" s="658">
        <v>0.7</v>
      </c>
      <c r="S22" s="658">
        <v>0.8</v>
      </c>
      <c r="T22" s="658">
        <v>0.9</v>
      </c>
      <c r="U22" s="658">
        <v>1.1000000000000001</v>
      </c>
      <c r="V22" s="658">
        <v>1.2</v>
      </c>
      <c r="W22" s="655">
        <f>AVERAGE(P22:V22)</f>
        <v>0.8571428571428571</v>
      </c>
      <c r="X22" s="656">
        <f>AVERAGE(R22:V22)</f>
        <v>0.94000000000000006</v>
      </c>
    </row>
    <row r="23" spans="1:24" x14ac:dyDescent="0.2">
      <c r="A23" s="456" t="s">
        <v>1085</v>
      </c>
      <c r="B23" s="457" t="s">
        <v>2464</v>
      </c>
      <c r="C23" s="458" t="s">
        <v>28</v>
      </c>
      <c r="D23" s="459" t="s">
        <v>641</v>
      </c>
      <c r="E23" s="540">
        <v>17092754.562516499</v>
      </c>
      <c r="F23" s="543">
        <v>9206926.8398864791</v>
      </c>
      <c r="G23" s="544">
        <f t="shared" si="2"/>
        <v>0.53864500342600008</v>
      </c>
      <c r="H23" s="452"/>
      <c r="I23" s="452"/>
      <c r="J23" s="452"/>
      <c r="K23" s="452"/>
      <c r="L23" s="452"/>
      <c r="M23" s="452"/>
      <c r="N23" s="452"/>
      <c r="O23" s="452"/>
      <c r="P23" s="452"/>
      <c r="Q23" s="452"/>
      <c r="R23" s="452"/>
      <c r="S23" s="452"/>
      <c r="T23" s="452"/>
      <c r="U23" s="452"/>
      <c r="V23" s="452"/>
      <c r="W23" s="452"/>
    </row>
    <row r="24" spans="1:24" x14ac:dyDescent="0.2">
      <c r="A24" s="456" t="s">
        <v>367</v>
      </c>
      <c r="B24" s="457" t="s">
        <v>2465</v>
      </c>
      <c r="C24" s="458" t="s">
        <v>31</v>
      </c>
      <c r="D24" s="459" t="s">
        <v>641</v>
      </c>
      <c r="E24" s="540">
        <v>70638057.946982861</v>
      </c>
      <c r="F24" s="543">
        <v>33931040.969138339</v>
      </c>
      <c r="G24" s="544">
        <f t="shared" si="2"/>
        <v>0.48035070548804104</v>
      </c>
      <c r="H24" s="452"/>
      <c r="I24" s="452"/>
      <c r="J24" s="452"/>
      <c r="K24" s="452"/>
      <c r="L24" s="452"/>
      <c r="M24" s="452"/>
      <c r="N24" s="452"/>
      <c r="O24" s="452"/>
      <c r="P24" s="452"/>
      <c r="Q24" s="452"/>
      <c r="R24" s="452"/>
      <c r="S24" s="452"/>
      <c r="T24" s="452"/>
      <c r="U24" s="452"/>
      <c r="V24" s="452"/>
      <c r="W24" s="452"/>
    </row>
    <row r="25" spans="1:24" x14ac:dyDescent="0.2">
      <c r="A25" s="456" t="s">
        <v>370</v>
      </c>
      <c r="B25" s="457" t="s">
        <v>2466</v>
      </c>
      <c r="C25" s="458" t="s">
        <v>41</v>
      </c>
      <c r="D25" s="459" t="s">
        <v>683</v>
      </c>
      <c r="E25" s="540">
        <v>600000</v>
      </c>
      <c r="F25" s="543">
        <v>443415.0954615153</v>
      </c>
      <c r="G25" s="544">
        <f t="shared" si="2"/>
        <v>0.73902515910252553</v>
      </c>
      <c r="H25" s="452"/>
      <c r="I25" s="452"/>
      <c r="J25" s="452"/>
      <c r="K25" s="452"/>
      <c r="L25" s="452"/>
      <c r="M25" s="452"/>
      <c r="N25" s="452"/>
      <c r="O25" s="452"/>
      <c r="P25" s="452"/>
      <c r="Q25" s="452"/>
      <c r="R25" s="452"/>
      <c r="S25" s="452"/>
      <c r="T25" s="452"/>
      <c r="U25" s="452"/>
      <c r="V25" s="452"/>
      <c r="W25" s="452"/>
    </row>
    <row r="26" spans="1:24" x14ac:dyDescent="0.2">
      <c r="A26" s="456" t="s">
        <v>371</v>
      </c>
      <c r="B26" s="457" t="s">
        <v>2467</v>
      </c>
      <c r="C26" s="458" t="s">
        <v>55</v>
      </c>
      <c r="D26" s="460" t="s">
        <v>683</v>
      </c>
      <c r="E26" s="540">
        <v>250000.00000000015</v>
      </c>
      <c r="F26" s="543">
        <v>216689.47566277764</v>
      </c>
      <c r="G26" s="544">
        <f t="shared" si="2"/>
        <v>0.86675790265111008</v>
      </c>
      <c r="H26" s="452"/>
      <c r="I26" s="452"/>
      <c r="J26" s="452"/>
      <c r="K26" s="452"/>
      <c r="L26" s="452"/>
      <c r="M26" s="452"/>
      <c r="N26" s="452"/>
      <c r="O26" s="452"/>
      <c r="P26" s="452"/>
      <c r="Q26" s="452"/>
      <c r="R26" s="452"/>
      <c r="S26" s="452"/>
      <c r="T26" s="452"/>
      <c r="U26" s="452"/>
      <c r="V26" s="452"/>
      <c r="W26" s="452"/>
    </row>
    <row r="27" spans="1:24" x14ac:dyDescent="0.2">
      <c r="A27" s="456" t="s">
        <v>372</v>
      </c>
      <c r="B27" s="457" t="s">
        <v>777</v>
      </c>
      <c r="C27" s="458" t="s">
        <v>36</v>
      </c>
      <c r="D27" s="460" t="s">
        <v>36</v>
      </c>
      <c r="E27" s="540">
        <v>314103.60671640793</v>
      </c>
      <c r="F27" s="543">
        <v>113475.6885354344</v>
      </c>
      <c r="G27" s="544">
        <f t="shared" si="2"/>
        <v>0.361268339837585</v>
      </c>
      <c r="H27" s="452"/>
      <c r="I27" s="452"/>
      <c r="J27" s="452"/>
      <c r="K27" s="452"/>
      <c r="L27" s="452"/>
      <c r="M27" s="452"/>
      <c r="N27" s="452"/>
      <c r="O27" s="452"/>
      <c r="P27" s="452"/>
      <c r="Q27" s="452"/>
      <c r="R27" s="452"/>
      <c r="S27" s="452"/>
      <c r="T27" s="452"/>
      <c r="U27" s="452"/>
      <c r="V27" s="452"/>
      <c r="W27" s="452"/>
    </row>
    <row r="28" spans="1:24" x14ac:dyDescent="0.2">
      <c r="A28" s="456" t="s">
        <v>374</v>
      </c>
      <c r="B28" s="457" t="s">
        <v>776</v>
      </c>
      <c r="C28" s="458" t="s">
        <v>36</v>
      </c>
      <c r="D28" s="460" t="s">
        <v>36</v>
      </c>
      <c r="E28" s="540">
        <v>139529.36999547761</v>
      </c>
      <c r="F28" s="543">
        <v>15993.389444289889</v>
      </c>
      <c r="G28" s="544">
        <f t="shared" si="2"/>
        <v>0.11462382038138826</v>
      </c>
      <c r="H28" s="452"/>
      <c r="I28" s="452"/>
      <c r="J28" s="452"/>
      <c r="K28" s="452"/>
      <c r="L28" s="452"/>
      <c r="M28" s="452"/>
      <c r="N28" s="452"/>
      <c r="O28" s="452"/>
      <c r="P28" s="452"/>
      <c r="Q28" s="452"/>
      <c r="R28" s="452"/>
      <c r="S28" s="452"/>
      <c r="T28" s="452"/>
      <c r="U28" s="452"/>
      <c r="V28" s="452"/>
      <c r="W28" s="452"/>
    </row>
    <row r="29" spans="1:24" x14ac:dyDescent="0.2">
      <c r="A29" s="456" t="s">
        <v>376</v>
      </c>
      <c r="B29" s="457" t="s">
        <v>775</v>
      </c>
      <c r="C29" s="458" t="s">
        <v>40</v>
      </c>
      <c r="D29" s="460" t="s">
        <v>670</v>
      </c>
      <c r="E29" s="540">
        <v>2013795.9466459639</v>
      </c>
      <c r="F29" s="543">
        <v>1837340.5800864866</v>
      </c>
      <c r="G29" s="544">
        <f t="shared" si="2"/>
        <v>0.91237673963274735</v>
      </c>
      <c r="H29" s="452"/>
      <c r="I29" s="452"/>
      <c r="J29" s="452"/>
      <c r="K29" s="452"/>
      <c r="L29" s="452"/>
      <c r="M29" s="452"/>
      <c r="N29" s="452"/>
      <c r="O29" s="452"/>
      <c r="P29" s="452"/>
      <c r="Q29" s="452"/>
      <c r="R29" s="452"/>
      <c r="S29" s="452"/>
      <c r="T29" s="452"/>
      <c r="U29" s="452"/>
      <c r="V29" s="452"/>
      <c r="W29" s="452"/>
    </row>
    <row r="30" spans="1:24" x14ac:dyDescent="0.2">
      <c r="A30" s="456" t="s">
        <v>378</v>
      </c>
      <c r="B30" s="457" t="s">
        <v>2468</v>
      </c>
      <c r="C30" s="458" t="s">
        <v>55</v>
      </c>
      <c r="D30" s="459" t="s">
        <v>683</v>
      </c>
      <c r="E30" s="540">
        <v>500000.00000000006</v>
      </c>
      <c r="F30" s="543">
        <v>364950.69585309899</v>
      </c>
      <c r="G30" s="544">
        <f t="shared" si="2"/>
        <v>0.72990139170619794</v>
      </c>
      <c r="H30" s="452"/>
      <c r="I30" s="452"/>
      <c r="J30" s="452"/>
      <c r="K30" s="452"/>
      <c r="L30" s="452"/>
      <c r="M30" s="452"/>
      <c r="N30" s="452"/>
      <c r="O30" s="452"/>
      <c r="P30" s="452"/>
      <c r="Q30" s="452"/>
      <c r="R30" s="452"/>
      <c r="S30" s="452"/>
      <c r="T30" s="452"/>
      <c r="U30" s="452"/>
      <c r="V30" s="452"/>
      <c r="W30" s="452"/>
    </row>
    <row r="31" spans="1:24" x14ac:dyDescent="0.2">
      <c r="A31" s="456" t="s">
        <v>379</v>
      </c>
      <c r="B31" s="457" t="s">
        <v>2676</v>
      </c>
      <c r="C31" s="458" t="s">
        <v>60</v>
      </c>
      <c r="D31" s="460" t="s">
        <v>641</v>
      </c>
      <c r="E31" s="540">
        <v>2199999.853491989</v>
      </c>
      <c r="F31" s="543">
        <v>96385.16985778122</v>
      </c>
      <c r="G31" s="544">
        <f t="shared" si="2"/>
        <v>4.3811443762049415E-2</v>
      </c>
      <c r="H31" s="452"/>
      <c r="I31" s="452"/>
      <c r="J31" s="452"/>
      <c r="K31" s="452"/>
      <c r="L31" s="452"/>
      <c r="M31" s="452"/>
      <c r="N31" s="452"/>
      <c r="O31" s="452"/>
      <c r="P31" s="452"/>
      <c r="Q31" s="452"/>
      <c r="R31" s="452"/>
      <c r="S31" s="452"/>
      <c r="T31" s="452"/>
      <c r="U31" s="452"/>
      <c r="V31" s="452"/>
      <c r="W31" s="452"/>
    </row>
    <row r="32" spans="1:24" x14ac:dyDescent="0.2">
      <c r="A32" s="456" t="s">
        <v>381</v>
      </c>
      <c r="B32" s="457" t="s">
        <v>2469</v>
      </c>
      <c r="C32" s="458" t="s">
        <v>55</v>
      </c>
      <c r="D32" s="460" t="s">
        <v>683</v>
      </c>
      <c r="E32" s="540">
        <v>1811829.7110833339</v>
      </c>
      <c r="F32" s="543">
        <v>611710.9328765861</v>
      </c>
      <c r="G32" s="544">
        <f t="shared" si="2"/>
        <v>0.33762054410225467</v>
      </c>
      <c r="H32" s="452"/>
      <c r="I32" s="452"/>
      <c r="J32" s="452"/>
      <c r="K32" s="452"/>
      <c r="L32" s="452"/>
      <c r="M32" s="452"/>
      <c r="N32" s="452"/>
      <c r="O32" s="452"/>
      <c r="P32" s="452"/>
      <c r="Q32" s="452"/>
      <c r="R32" s="452"/>
      <c r="S32" s="452"/>
      <c r="T32" s="452"/>
      <c r="U32" s="452"/>
      <c r="V32" s="452"/>
      <c r="W32" s="452"/>
    </row>
    <row r="33" spans="1:23" x14ac:dyDescent="0.2">
      <c r="A33" s="456" t="s">
        <v>382</v>
      </c>
      <c r="B33" s="457" t="s">
        <v>2470</v>
      </c>
      <c r="C33" s="458" t="s">
        <v>55</v>
      </c>
      <c r="D33" s="460" t="s">
        <v>683</v>
      </c>
      <c r="E33" s="540">
        <v>1205000</v>
      </c>
      <c r="F33" s="543">
        <v>1044443.2726945877</v>
      </c>
      <c r="G33" s="544">
        <f t="shared" si="2"/>
        <v>0.86675790265111008</v>
      </c>
      <c r="H33" s="452"/>
      <c r="I33" s="452"/>
      <c r="J33" s="452"/>
      <c r="K33" s="452"/>
      <c r="L33" s="452"/>
      <c r="M33" s="452"/>
      <c r="N33" s="452"/>
      <c r="O33" s="452"/>
      <c r="P33" s="452"/>
      <c r="Q33" s="452"/>
      <c r="R33" s="452"/>
      <c r="S33" s="452"/>
      <c r="T33" s="452"/>
      <c r="U33" s="452"/>
      <c r="V33" s="452"/>
      <c r="W33" s="452"/>
    </row>
    <row r="34" spans="1:23" x14ac:dyDescent="0.2">
      <c r="A34" s="456" t="s">
        <v>383</v>
      </c>
      <c r="B34" s="457" t="s">
        <v>2471</v>
      </c>
      <c r="C34" s="458" t="s">
        <v>55</v>
      </c>
      <c r="D34" s="460" t="s">
        <v>683</v>
      </c>
      <c r="E34" s="540">
        <v>2835243.4334166683</v>
      </c>
      <c r="F34" s="543">
        <v>569271.47549596126</v>
      </c>
      <c r="G34" s="544">
        <f t="shared" si="2"/>
        <v>0.2007839851726414</v>
      </c>
      <c r="H34" s="452"/>
      <c r="I34" s="452"/>
      <c r="J34" s="452"/>
      <c r="K34" s="452"/>
      <c r="L34" s="452"/>
      <c r="M34" s="452"/>
      <c r="N34" s="452"/>
      <c r="O34" s="452"/>
      <c r="P34" s="452"/>
      <c r="Q34" s="452"/>
      <c r="R34" s="452"/>
      <c r="S34" s="452"/>
      <c r="T34" s="452"/>
      <c r="U34" s="452"/>
      <c r="V34" s="452"/>
      <c r="W34" s="452"/>
    </row>
    <row r="35" spans="1:23" x14ac:dyDescent="0.2">
      <c r="A35" s="456" t="s">
        <v>385</v>
      </c>
      <c r="B35" s="457" t="s">
        <v>2472</v>
      </c>
      <c r="C35" s="458" t="s">
        <v>55</v>
      </c>
      <c r="D35" s="460" t="s">
        <v>683</v>
      </c>
      <c r="E35" s="540">
        <v>1100000.0000000014</v>
      </c>
      <c r="F35" s="543">
        <v>802891.5308768187</v>
      </c>
      <c r="G35" s="544">
        <f t="shared" si="2"/>
        <v>0.72990139170619783</v>
      </c>
      <c r="H35" s="452"/>
      <c r="I35" s="452"/>
      <c r="J35" s="452"/>
      <c r="K35" s="452"/>
      <c r="L35" s="452"/>
      <c r="M35" s="452"/>
      <c r="N35" s="452"/>
      <c r="O35" s="452"/>
      <c r="P35" s="452"/>
      <c r="Q35" s="452"/>
      <c r="R35" s="452"/>
      <c r="S35" s="452"/>
      <c r="T35" s="452"/>
      <c r="U35" s="452"/>
      <c r="V35" s="452"/>
      <c r="W35" s="452"/>
    </row>
    <row r="36" spans="1:23" x14ac:dyDescent="0.2">
      <c r="A36" s="456" t="s">
        <v>386</v>
      </c>
      <c r="B36" s="457" t="s">
        <v>2473</v>
      </c>
      <c r="C36" s="458" t="s">
        <v>55</v>
      </c>
      <c r="D36" s="460" t="s">
        <v>683</v>
      </c>
      <c r="E36" s="540">
        <v>2999368.2580833337</v>
      </c>
      <c r="F36" s="543">
        <v>2736553.8322680248</v>
      </c>
      <c r="G36" s="544">
        <f t="shared" si="2"/>
        <v>0.91237673963274735</v>
      </c>
      <c r="H36" s="452"/>
      <c r="I36" s="452"/>
      <c r="J36" s="452"/>
      <c r="K36" s="452"/>
      <c r="L36" s="452"/>
      <c r="M36" s="452"/>
      <c r="N36" s="452"/>
      <c r="O36" s="452"/>
      <c r="P36" s="452"/>
      <c r="Q36" s="452"/>
      <c r="R36" s="452"/>
      <c r="S36" s="452"/>
      <c r="T36" s="452"/>
      <c r="U36" s="452"/>
      <c r="V36" s="452"/>
      <c r="W36" s="452"/>
    </row>
    <row r="37" spans="1:23" x14ac:dyDescent="0.2">
      <c r="A37" s="456" t="s">
        <v>388</v>
      </c>
      <c r="B37" s="457" t="s">
        <v>2677</v>
      </c>
      <c r="C37" s="458" t="s">
        <v>40</v>
      </c>
      <c r="D37" s="460" t="s">
        <v>670</v>
      </c>
      <c r="E37" s="540">
        <v>2924949.7770005153</v>
      </c>
      <c r="F37" s="543">
        <v>2668656.1411292613</v>
      </c>
      <c r="G37" s="544">
        <f t="shared" si="2"/>
        <v>0.91237673963274724</v>
      </c>
      <c r="H37" s="452"/>
      <c r="I37" s="452"/>
      <c r="J37" s="452"/>
      <c r="K37" s="452"/>
      <c r="L37" s="452"/>
      <c r="M37" s="452"/>
      <c r="N37" s="452"/>
      <c r="O37" s="452"/>
      <c r="P37" s="452"/>
      <c r="Q37" s="452"/>
      <c r="R37" s="452"/>
      <c r="S37" s="452"/>
      <c r="T37" s="452"/>
      <c r="U37" s="452"/>
      <c r="V37" s="452"/>
      <c r="W37" s="452"/>
    </row>
    <row r="38" spans="1:23" x14ac:dyDescent="0.2">
      <c r="A38" s="456" t="s">
        <v>392</v>
      </c>
      <c r="B38" s="457" t="s">
        <v>2474</v>
      </c>
      <c r="C38" s="458" t="s">
        <v>55</v>
      </c>
      <c r="D38" s="460" t="s">
        <v>683</v>
      </c>
      <c r="E38" s="540">
        <v>1100000</v>
      </c>
      <c r="F38" s="543">
        <v>802891.53087681788</v>
      </c>
      <c r="G38" s="544">
        <f t="shared" si="2"/>
        <v>0.72990139170619805</v>
      </c>
      <c r="H38" s="452"/>
      <c r="I38" s="452"/>
      <c r="J38" s="452"/>
      <c r="K38" s="452"/>
      <c r="L38" s="452"/>
      <c r="M38" s="452"/>
      <c r="N38" s="452"/>
      <c r="O38" s="452"/>
      <c r="P38" s="452"/>
      <c r="Q38" s="452"/>
      <c r="R38" s="452"/>
      <c r="S38" s="452"/>
      <c r="T38" s="452"/>
      <c r="U38" s="452"/>
      <c r="V38" s="452"/>
      <c r="W38" s="452"/>
    </row>
    <row r="39" spans="1:23" x14ac:dyDescent="0.2">
      <c r="A39" s="456" t="s">
        <v>393</v>
      </c>
      <c r="B39" s="457" t="s">
        <v>2475</v>
      </c>
      <c r="C39" s="458" t="s">
        <v>55</v>
      </c>
      <c r="D39" s="460" t="s">
        <v>683</v>
      </c>
      <c r="E39" s="540">
        <v>2749999.9999999986</v>
      </c>
      <c r="F39" s="543">
        <v>2007228.8271920434</v>
      </c>
      <c r="G39" s="544">
        <f t="shared" si="2"/>
        <v>0.72990139170619794</v>
      </c>
      <c r="H39" s="452"/>
      <c r="I39" s="452"/>
      <c r="J39" s="452"/>
      <c r="K39" s="452"/>
      <c r="L39" s="452"/>
      <c r="M39" s="452"/>
      <c r="N39" s="452"/>
      <c r="O39" s="452"/>
      <c r="P39" s="452"/>
      <c r="Q39" s="452"/>
      <c r="R39" s="452"/>
      <c r="S39" s="452"/>
      <c r="T39" s="452"/>
      <c r="U39" s="452"/>
      <c r="V39" s="452"/>
      <c r="W39" s="452"/>
    </row>
    <row r="40" spans="1:23" x14ac:dyDescent="0.2">
      <c r="A40" s="456" t="s">
        <v>394</v>
      </c>
      <c r="B40" s="457" t="s">
        <v>765</v>
      </c>
      <c r="C40" s="458" t="s">
        <v>36</v>
      </c>
      <c r="D40" s="460" t="s">
        <v>36</v>
      </c>
      <c r="E40" s="540">
        <v>606866.84100197686</v>
      </c>
      <c r="F40" s="543">
        <v>159912.68910243156</v>
      </c>
      <c r="G40" s="544">
        <f t="shared" si="2"/>
        <v>0.26350539904010117</v>
      </c>
      <c r="H40" s="452"/>
      <c r="I40" s="452"/>
      <c r="J40" s="452"/>
      <c r="K40" s="452"/>
      <c r="L40" s="452"/>
      <c r="M40" s="452"/>
      <c r="N40" s="452"/>
      <c r="O40" s="452"/>
      <c r="P40" s="452"/>
      <c r="Q40" s="452"/>
      <c r="R40" s="452"/>
      <c r="S40" s="452"/>
      <c r="T40" s="452"/>
      <c r="U40" s="452"/>
      <c r="V40" s="452"/>
      <c r="W40" s="452"/>
    </row>
    <row r="41" spans="1:23" x14ac:dyDescent="0.2">
      <c r="A41" s="456" t="s">
        <v>396</v>
      </c>
      <c r="B41" s="457" t="s">
        <v>764</v>
      </c>
      <c r="C41" s="458" t="s">
        <v>36</v>
      </c>
      <c r="D41" s="460" t="s">
        <v>36</v>
      </c>
      <c r="E41" s="540">
        <v>310769.17352408927</v>
      </c>
      <c r="F41" s="543">
        <v>112350.89354036603</v>
      </c>
      <c r="G41" s="544">
        <f t="shared" si="2"/>
        <v>0.36152521907600704</v>
      </c>
      <c r="H41" s="452"/>
      <c r="I41" s="452"/>
      <c r="J41" s="452"/>
      <c r="K41" s="452"/>
      <c r="L41" s="452"/>
      <c r="M41" s="452"/>
      <c r="N41" s="452"/>
      <c r="O41" s="452"/>
      <c r="P41" s="452"/>
      <c r="Q41" s="452"/>
      <c r="R41" s="452"/>
      <c r="S41" s="452"/>
      <c r="T41" s="452"/>
      <c r="U41" s="452"/>
      <c r="V41" s="452"/>
      <c r="W41" s="452"/>
    </row>
    <row r="42" spans="1:23" x14ac:dyDescent="0.2">
      <c r="A42" s="456" t="s">
        <v>398</v>
      </c>
      <c r="B42" s="457" t="s">
        <v>763</v>
      </c>
      <c r="C42" s="458" t="s">
        <v>36</v>
      </c>
      <c r="D42" s="460" t="s">
        <v>36</v>
      </c>
      <c r="E42" s="540">
        <v>186420.38778084284</v>
      </c>
      <c r="F42" s="543">
        <v>21368.217044420067</v>
      </c>
      <c r="G42" s="544">
        <f t="shared" si="2"/>
        <v>0.11462382038138821</v>
      </c>
      <c r="H42" s="452"/>
      <c r="I42" s="452"/>
      <c r="J42" s="452"/>
      <c r="K42" s="452"/>
      <c r="L42" s="452"/>
      <c r="M42" s="452"/>
      <c r="N42" s="452"/>
      <c r="O42" s="452"/>
      <c r="P42" s="452"/>
      <c r="Q42" s="452"/>
      <c r="R42" s="452"/>
      <c r="S42" s="452"/>
      <c r="T42" s="452"/>
      <c r="U42" s="452"/>
      <c r="V42" s="452"/>
      <c r="W42" s="452"/>
    </row>
    <row r="43" spans="1:23" x14ac:dyDescent="0.2">
      <c r="A43" s="456" t="s">
        <v>400</v>
      </c>
      <c r="B43" s="457" t="s">
        <v>2476</v>
      </c>
      <c r="C43" s="458" t="s">
        <v>55</v>
      </c>
      <c r="D43" s="460" t="s">
        <v>683</v>
      </c>
      <c r="E43" s="540">
        <v>1400629.0363333323</v>
      </c>
      <c r="F43" s="543">
        <v>971233.28387940419</v>
      </c>
      <c r="G43" s="544">
        <f t="shared" si="2"/>
        <v>0.69342649529954681</v>
      </c>
      <c r="H43" s="452"/>
      <c r="I43" s="452"/>
      <c r="J43" s="452"/>
      <c r="K43" s="452"/>
      <c r="L43" s="452"/>
      <c r="M43" s="452"/>
      <c r="N43" s="452"/>
      <c r="O43" s="452"/>
      <c r="P43" s="452"/>
      <c r="Q43" s="452"/>
      <c r="R43" s="452"/>
      <c r="S43" s="452"/>
      <c r="T43" s="452"/>
      <c r="U43" s="452"/>
      <c r="V43" s="452"/>
      <c r="W43" s="452"/>
    </row>
    <row r="44" spans="1:23" x14ac:dyDescent="0.2">
      <c r="A44" s="456" t="s">
        <v>401</v>
      </c>
      <c r="B44" s="457" t="s">
        <v>2477</v>
      </c>
      <c r="C44" s="458" t="s">
        <v>55</v>
      </c>
      <c r="D44" s="460" t="s">
        <v>683</v>
      </c>
      <c r="E44" s="540">
        <v>2750000.0000000042</v>
      </c>
      <c r="F44" s="543">
        <v>2007228.8271920481</v>
      </c>
      <c r="G44" s="544">
        <f t="shared" si="2"/>
        <v>0.72990139170619817</v>
      </c>
      <c r="H44" s="452"/>
      <c r="I44" s="452"/>
      <c r="J44" s="452"/>
      <c r="K44" s="452"/>
      <c r="L44" s="452"/>
      <c r="M44" s="452"/>
      <c r="N44" s="452"/>
      <c r="O44" s="452"/>
      <c r="P44" s="452"/>
      <c r="Q44" s="452"/>
      <c r="R44" s="452"/>
      <c r="S44" s="452"/>
      <c r="T44" s="452"/>
      <c r="U44" s="452"/>
      <c r="V44" s="452"/>
      <c r="W44" s="452"/>
    </row>
    <row r="45" spans="1:23" x14ac:dyDescent="0.2">
      <c r="A45" s="456" t="s">
        <v>402</v>
      </c>
      <c r="B45" s="457" t="s">
        <v>2478</v>
      </c>
      <c r="C45" s="458" t="s">
        <v>55</v>
      </c>
      <c r="D45" s="460" t="s">
        <v>683</v>
      </c>
      <c r="E45" s="540">
        <v>1300000.0000000033</v>
      </c>
      <c r="F45" s="543">
        <v>948871.80921805976</v>
      </c>
      <c r="G45" s="544">
        <f t="shared" si="2"/>
        <v>0.72990139170619794</v>
      </c>
      <c r="H45" s="452"/>
      <c r="I45" s="452"/>
      <c r="J45" s="452"/>
      <c r="K45" s="452"/>
      <c r="L45" s="452"/>
      <c r="M45" s="452"/>
      <c r="N45" s="452"/>
      <c r="O45" s="452"/>
      <c r="P45" s="452"/>
      <c r="Q45" s="452"/>
      <c r="R45" s="452"/>
      <c r="S45" s="452"/>
      <c r="T45" s="452"/>
      <c r="U45" s="452"/>
      <c r="V45" s="452"/>
      <c r="W45" s="452"/>
    </row>
    <row r="46" spans="1:23" x14ac:dyDescent="0.2">
      <c r="A46" s="456" t="s">
        <v>404</v>
      </c>
      <c r="B46" s="457" t="s">
        <v>762</v>
      </c>
      <c r="C46" s="458" t="s">
        <v>40</v>
      </c>
      <c r="D46" s="460" t="s">
        <v>683</v>
      </c>
      <c r="E46" s="540">
        <v>1800000.0000000023</v>
      </c>
      <c r="F46" s="543">
        <v>1478050.3182050528</v>
      </c>
      <c r="G46" s="544">
        <f t="shared" si="2"/>
        <v>0.8211390656694727</v>
      </c>
      <c r="H46" s="452"/>
      <c r="I46" s="452"/>
      <c r="J46" s="452"/>
      <c r="K46" s="452"/>
      <c r="L46" s="452"/>
      <c r="M46" s="452"/>
      <c r="N46" s="452"/>
      <c r="O46" s="452"/>
      <c r="P46" s="452"/>
      <c r="Q46" s="452"/>
      <c r="R46" s="452"/>
      <c r="S46" s="452"/>
      <c r="T46" s="452"/>
      <c r="U46" s="452"/>
      <c r="V46" s="452"/>
      <c r="W46" s="452"/>
    </row>
    <row r="47" spans="1:23" x14ac:dyDescent="0.2">
      <c r="A47" s="456" t="s">
        <v>406</v>
      </c>
      <c r="B47" s="457" t="s">
        <v>2678</v>
      </c>
      <c r="C47" s="458" t="s">
        <v>60</v>
      </c>
      <c r="D47" s="460" t="s">
        <v>641</v>
      </c>
      <c r="E47" s="540">
        <v>2199999.853491989</v>
      </c>
      <c r="F47" s="543">
        <v>96385.169857781206</v>
      </c>
      <c r="G47" s="544">
        <f t="shared" si="2"/>
        <v>4.3811443762049408E-2</v>
      </c>
      <c r="H47" s="452"/>
      <c r="I47" s="452"/>
      <c r="J47" s="452"/>
      <c r="K47" s="452"/>
      <c r="L47" s="452"/>
      <c r="M47" s="452"/>
      <c r="N47" s="452"/>
      <c r="O47" s="452"/>
      <c r="P47" s="452"/>
      <c r="Q47" s="452"/>
      <c r="R47" s="452"/>
      <c r="S47" s="452"/>
      <c r="T47" s="452"/>
      <c r="U47" s="452"/>
      <c r="V47" s="452"/>
      <c r="W47" s="452"/>
    </row>
    <row r="48" spans="1:23" x14ac:dyDescent="0.2">
      <c r="A48" s="456" t="s">
        <v>410</v>
      </c>
      <c r="B48" s="457" t="s">
        <v>760</v>
      </c>
      <c r="C48" s="458" t="s">
        <v>54</v>
      </c>
      <c r="D48" s="460" t="s">
        <v>683</v>
      </c>
      <c r="E48" s="540">
        <v>800000.00000000023</v>
      </c>
      <c r="F48" s="543">
        <v>583921.11336495855</v>
      </c>
      <c r="G48" s="544">
        <f t="shared" si="2"/>
        <v>0.72990139170619794</v>
      </c>
      <c r="H48" s="452"/>
      <c r="I48" s="452"/>
      <c r="J48" s="452"/>
      <c r="K48" s="452"/>
      <c r="L48" s="452"/>
      <c r="M48" s="452"/>
      <c r="N48" s="452"/>
      <c r="O48" s="452"/>
      <c r="P48" s="452"/>
      <c r="Q48" s="452"/>
      <c r="R48" s="452"/>
      <c r="S48" s="452"/>
      <c r="T48" s="452"/>
      <c r="U48" s="452"/>
      <c r="V48" s="452"/>
      <c r="W48" s="452"/>
    </row>
    <row r="49" spans="1:23" x14ac:dyDescent="0.2">
      <c r="A49" s="456" t="s">
        <v>411</v>
      </c>
      <c r="B49" s="457" t="s">
        <v>759</v>
      </c>
      <c r="C49" s="458" t="s">
        <v>36</v>
      </c>
      <c r="D49" s="460" t="s">
        <v>36</v>
      </c>
      <c r="E49" s="540">
        <v>228075.23035458912</v>
      </c>
      <c r="F49" s="543">
        <v>56775.97766267207</v>
      </c>
      <c r="G49" s="544">
        <f t="shared" si="2"/>
        <v>0.24893530776841624</v>
      </c>
      <c r="H49" s="452"/>
      <c r="I49" s="452"/>
      <c r="J49" s="452"/>
      <c r="K49" s="452"/>
      <c r="L49" s="452"/>
      <c r="M49" s="452"/>
      <c r="N49" s="452"/>
      <c r="O49" s="452"/>
      <c r="P49" s="452"/>
      <c r="Q49" s="452"/>
      <c r="R49" s="452"/>
      <c r="S49" s="452"/>
      <c r="T49" s="452"/>
      <c r="U49" s="452"/>
      <c r="V49" s="452"/>
      <c r="W49" s="452"/>
    </row>
    <row r="50" spans="1:23" x14ac:dyDescent="0.2">
      <c r="A50" s="456" t="s">
        <v>413</v>
      </c>
      <c r="B50" s="457" t="s">
        <v>758</v>
      </c>
      <c r="C50" s="458" t="s">
        <v>36</v>
      </c>
      <c r="D50" s="460" t="s">
        <v>36</v>
      </c>
      <c r="E50" s="540">
        <v>326774.45284721826</v>
      </c>
      <c r="F50" s="543">
        <v>108629.90951669392</v>
      </c>
      <c r="G50" s="544">
        <f t="shared" si="2"/>
        <v>0.33243085121921478</v>
      </c>
      <c r="H50" s="452"/>
      <c r="I50" s="452"/>
      <c r="J50" s="452"/>
      <c r="K50" s="452"/>
      <c r="L50" s="452"/>
      <c r="M50" s="452"/>
      <c r="N50" s="452"/>
      <c r="O50" s="452"/>
      <c r="P50" s="452"/>
      <c r="Q50" s="452"/>
      <c r="R50" s="452"/>
      <c r="S50" s="452"/>
      <c r="T50" s="452"/>
      <c r="U50" s="452"/>
      <c r="V50" s="452"/>
      <c r="W50" s="452"/>
    </row>
    <row r="51" spans="1:23" x14ac:dyDescent="0.2">
      <c r="A51" s="456" t="s">
        <v>1086</v>
      </c>
      <c r="B51" s="457" t="s">
        <v>2479</v>
      </c>
      <c r="C51" s="458" t="s">
        <v>36</v>
      </c>
      <c r="D51" s="459" t="s">
        <v>36</v>
      </c>
      <c r="E51" s="540">
        <v>50000.000000000044</v>
      </c>
      <c r="F51" s="543">
        <v>16449.506958531005</v>
      </c>
      <c r="G51" s="544">
        <f t="shared" si="2"/>
        <v>0.32899013917061981</v>
      </c>
      <c r="H51" s="452"/>
      <c r="I51" s="452"/>
      <c r="J51" s="452"/>
      <c r="K51" s="452"/>
      <c r="L51" s="452"/>
      <c r="M51" s="452"/>
      <c r="N51" s="452"/>
      <c r="O51" s="452"/>
      <c r="P51" s="452"/>
      <c r="Q51" s="452"/>
      <c r="R51" s="452"/>
      <c r="S51" s="452"/>
      <c r="T51" s="452"/>
      <c r="U51" s="452"/>
      <c r="V51" s="452"/>
      <c r="W51" s="452"/>
    </row>
    <row r="52" spans="1:23" x14ac:dyDescent="0.2">
      <c r="A52" s="456" t="s">
        <v>415</v>
      </c>
      <c r="B52" s="457" t="s">
        <v>757</v>
      </c>
      <c r="C52" s="458" t="s">
        <v>36</v>
      </c>
      <c r="D52" s="460" t="s">
        <v>36</v>
      </c>
      <c r="E52" s="540">
        <v>152717.04020818978</v>
      </c>
      <c r="F52" s="543">
        <v>39995.610774128378</v>
      </c>
      <c r="G52" s="544">
        <f t="shared" si="2"/>
        <v>0.26189356943799341</v>
      </c>
      <c r="H52" s="452"/>
      <c r="I52" s="452"/>
      <c r="J52" s="452"/>
      <c r="K52" s="452"/>
      <c r="L52" s="452"/>
      <c r="M52" s="452"/>
      <c r="N52" s="452"/>
      <c r="O52" s="452"/>
      <c r="P52" s="452"/>
      <c r="Q52" s="452"/>
      <c r="R52" s="452"/>
      <c r="S52" s="452"/>
      <c r="T52" s="452"/>
      <c r="U52" s="452"/>
      <c r="V52" s="452"/>
      <c r="W52" s="452"/>
    </row>
    <row r="53" spans="1:23" x14ac:dyDescent="0.2">
      <c r="A53" s="456" t="s">
        <v>1087</v>
      </c>
      <c r="B53" s="457" t="s">
        <v>2480</v>
      </c>
      <c r="C53" s="458" t="s">
        <v>36</v>
      </c>
      <c r="D53" s="459" t="s">
        <v>36</v>
      </c>
      <c r="E53" s="540">
        <v>10000.000000000011</v>
      </c>
      <c r="F53" s="543">
        <v>3424.7534792654978</v>
      </c>
      <c r="G53" s="544">
        <f t="shared" si="2"/>
        <v>0.34247534792654943</v>
      </c>
      <c r="H53" s="452"/>
      <c r="I53" s="452"/>
      <c r="J53" s="452"/>
      <c r="K53" s="452"/>
      <c r="L53" s="452"/>
      <c r="M53" s="452"/>
      <c r="N53" s="452"/>
      <c r="O53" s="452"/>
      <c r="P53" s="452"/>
      <c r="Q53" s="452"/>
      <c r="R53" s="452"/>
      <c r="S53" s="452"/>
      <c r="T53" s="452"/>
      <c r="U53" s="452"/>
      <c r="V53" s="452"/>
      <c r="W53" s="452"/>
    </row>
    <row r="54" spans="1:23" x14ac:dyDescent="0.2">
      <c r="A54" s="456" t="s">
        <v>417</v>
      </c>
      <c r="B54" s="457" t="s">
        <v>756</v>
      </c>
      <c r="C54" s="458" t="s">
        <v>36</v>
      </c>
      <c r="D54" s="460" t="s">
        <v>36</v>
      </c>
      <c r="E54" s="540">
        <v>234744.0967392262</v>
      </c>
      <c r="F54" s="543">
        <v>60625.567652808677</v>
      </c>
      <c r="G54" s="544">
        <f t="shared" si="2"/>
        <v>0.25826237377188122</v>
      </c>
      <c r="H54" s="452"/>
      <c r="I54" s="452"/>
      <c r="J54" s="452"/>
      <c r="K54" s="452"/>
      <c r="L54" s="452"/>
      <c r="M54" s="452"/>
      <c r="N54" s="452"/>
      <c r="O54" s="452"/>
      <c r="P54" s="452"/>
      <c r="Q54" s="452"/>
      <c r="R54" s="452"/>
      <c r="S54" s="452"/>
      <c r="T54" s="452"/>
      <c r="U54" s="452"/>
      <c r="V54" s="452"/>
      <c r="W54" s="452"/>
    </row>
    <row r="55" spans="1:23" x14ac:dyDescent="0.2">
      <c r="A55" s="456" t="s">
        <v>418</v>
      </c>
      <c r="B55" s="457" t="s">
        <v>755</v>
      </c>
      <c r="C55" s="458" t="s">
        <v>36</v>
      </c>
      <c r="D55" s="460" t="s">
        <v>36</v>
      </c>
      <c r="E55" s="540">
        <v>248179.28925425099</v>
      </c>
      <c r="F55" s="543">
        <v>28447.25827385985</v>
      </c>
      <c r="G55" s="544">
        <f t="shared" si="2"/>
        <v>0.11462382038138819</v>
      </c>
      <c r="H55" s="452"/>
      <c r="I55" s="452"/>
      <c r="J55" s="452"/>
      <c r="K55" s="452"/>
      <c r="L55" s="452"/>
      <c r="M55" s="452"/>
      <c r="N55" s="452"/>
      <c r="O55" s="452"/>
      <c r="P55" s="452"/>
      <c r="Q55" s="452"/>
      <c r="R55" s="452"/>
      <c r="S55" s="452"/>
      <c r="T55" s="452"/>
      <c r="U55" s="452"/>
      <c r="V55" s="452"/>
      <c r="W55" s="452"/>
    </row>
    <row r="56" spans="1:23" x14ac:dyDescent="0.2">
      <c r="A56" s="456" t="s">
        <v>420</v>
      </c>
      <c r="B56" s="457" t="s">
        <v>751</v>
      </c>
      <c r="C56" s="458" t="s">
        <v>40</v>
      </c>
      <c r="D56" s="460" t="s">
        <v>685</v>
      </c>
      <c r="E56" s="540">
        <v>6472513.1743685352</v>
      </c>
      <c r="F56" s="543">
        <v>1202022.6799805451</v>
      </c>
      <c r="G56" s="544">
        <f t="shared" si="2"/>
        <v>0.18571189391172085</v>
      </c>
      <c r="H56" s="452"/>
      <c r="I56" s="452"/>
      <c r="J56" s="452"/>
      <c r="K56" s="452"/>
      <c r="L56" s="452"/>
      <c r="M56" s="452"/>
      <c r="N56" s="452"/>
      <c r="O56" s="452"/>
      <c r="P56" s="452"/>
      <c r="Q56" s="452"/>
      <c r="R56" s="452"/>
      <c r="S56" s="452"/>
      <c r="T56" s="452"/>
      <c r="U56" s="452"/>
      <c r="V56" s="452"/>
      <c r="W56" s="452"/>
    </row>
    <row r="57" spans="1:23" x14ac:dyDescent="0.2">
      <c r="A57" s="456" t="s">
        <v>422</v>
      </c>
      <c r="B57" s="457" t="s">
        <v>750</v>
      </c>
      <c r="C57" s="458" t="s">
        <v>40</v>
      </c>
      <c r="D57" s="460" t="s">
        <v>683</v>
      </c>
      <c r="E57" s="540">
        <v>1800000.0000000014</v>
      </c>
      <c r="F57" s="543">
        <v>1478050.3182050521</v>
      </c>
      <c r="G57" s="544">
        <f t="shared" si="2"/>
        <v>0.8211390656694727</v>
      </c>
      <c r="H57" s="452"/>
      <c r="I57" s="452"/>
      <c r="J57" s="452"/>
      <c r="K57" s="452"/>
      <c r="L57" s="452"/>
      <c r="M57" s="452"/>
      <c r="N57" s="452"/>
      <c r="O57" s="452"/>
      <c r="P57" s="452"/>
      <c r="Q57" s="452"/>
      <c r="R57" s="452"/>
      <c r="S57" s="452"/>
      <c r="T57" s="452"/>
      <c r="U57" s="452"/>
      <c r="V57" s="452"/>
      <c r="W57" s="452"/>
    </row>
    <row r="58" spans="1:23" x14ac:dyDescent="0.2">
      <c r="A58" s="456" t="s">
        <v>424</v>
      </c>
      <c r="B58" s="457" t="s">
        <v>749</v>
      </c>
      <c r="C58" s="458" t="s">
        <v>36</v>
      </c>
      <c r="D58" s="460" t="s">
        <v>36</v>
      </c>
      <c r="E58" s="540">
        <v>326774.45284721814</v>
      </c>
      <c r="F58" s="543">
        <v>83029.909516693937</v>
      </c>
      <c r="G58" s="544">
        <f t="shared" si="2"/>
        <v>0.25408935366044105</v>
      </c>
      <c r="H58" s="452"/>
      <c r="I58" s="452"/>
      <c r="J58" s="452"/>
      <c r="K58" s="452"/>
      <c r="L58" s="452"/>
      <c r="M58" s="452"/>
      <c r="N58" s="452"/>
      <c r="O58" s="452"/>
      <c r="P58" s="452"/>
      <c r="Q58" s="452"/>
      <c r="R58" s="452"/>
      <c r="S58" s="452"/>
      <c r="T58" s="452"/>
      <c r="U58" s="452"/>
      <c r="V58" s="452"/>
      <c r="W58" s="452"/>
    </row>
    <row r="59" spans="1:23" x14ac:dyDescent="0.2">
      <c r="A59" s="456" t="s">
        <v>426</v>
      </c>
      <c r="B59" s="457" t="s">
        <v>748</v>
      </c>
      <c r="C59" s="458" t="s">
        <v>36</v>
      </c>
      <c r="D59" s="460" t="s">
        <v>36</v>
      </c>
      <c r="E59" s="540">
        <v>341445.95889341994</v>
      </c>
      <c r="F59" s="543">
        <v>114219.00749499445</v>
      </c>
      <c r="G59" s="544">
        <f t="shared" si="2"/>
        <v>0.33451562251655509</v>
      </c>
      <c r="H59" s="452"/>
      <c r="I59" s="452"/>
      <c r="J59" s="452"/>
      <c r="K59" s="452"/>
      <c r="L59" s="452"/>
      <c r="M59" s="452"/>
      <c r="N59" s="452"/>
      <c r="O59" s="452"/>
      <c r="P59" s="452"/>
      <c r="Q59" s="452"/>
      <c r="R59" s="452"/>
      <c r="S59" s="452"/>
      <c r="T59" s="452"/>
      <c r="U59" s="452"/>
      <c r="V59" s="452"/>
      <c r="W59" s="452"/>
    </row>
    <row r="60" spans="1:23" x14ac:dyDescent="0.2">
      <c r="A60" s="456" t="s">
        <v>1088</v>
      </c>
      <c r="B60" s="457" t="s">
        <v>2481</v>
      </c>
      <c r="C60" s="458" t="s">
        <v>36</v>
      </c>
      <c r="D60" s="459" t="s">
        <v>36</v>
      </c>
      <c r="E60" s="540">
        <v>30000.000000000025</v>
      </c>
      <c r="F60" s="543">
        <v>10173.121372127021</v>
      </c>
      <c r="G60" s="544">
        <f t="shared" si="2"/>
        <v>0.33910404573756708</v>
      </c>
      <c r="H60" s="452"/>
      <c r="I60" s="452"/>
      <c r="J60" s="452"/>
      <c r="K60" s="452"/>
      <c r="L60" s="452"/>
      <c r="M60" s="452"/>
      <c r="N60" s="452"/>
      <c r="O60" s="452"/>
      <c r="P60" s="452"/>
      <c r="Q60" s="452"/>
      <c r="R60" s="452"/>
      <c r="S60" s="452"/>
      <c r="T60" s="452"/>
      <c r="U60" s="452"/>
      <c r="V60" s="452"/>
      <c r="W60" s="452"/>
    </row>
    <row r="61" spans="1:23" x14ac:dyDescent="0.2">
      <c r="A61" s="456" t="s">
        <v>428</v>
      </c>
      <c r="B61" s="457" t="s">
        <v>747</v>
      </c>
      <c r="C61" s="458" t="s">
        <v>36</v>
      </c>
      <c r="D61" s="460" t="s">
        <v>36</v>
      </c>
      <c r="E61" s="540">
        <v>233311.40556620824</v>
      </c>
      <c r="F61" s="543">
        <v>26743.044644550275</v>
      </c>
      <c r="G61" s="544">
        <f t="shared" si="2"/>
        <v>0.11462382038138823</v>
      </c>
      <c r="H61" s="452"/>
      <c r="I61" s="452"/>
      <c r="J61" s="452"/>
      <c r="K61" s="452"/>
      <c r="L61" s="452"/>
      <c r="M61" s="452"/>
      <c r="N61" s="452"/>
      <c r="O61" s="452"/>
      <c r="P61" s="452"/>
      <c r="Q61" s="452"/>
      <c r="R61" s="452"/>
      <c r="S61" s="452"/>
      <c r="T61" s="452"/>
      <c r="U61" s="452"/>
      <c r="V61" s="452"/>
      <c r="W61" s="452"/>
    </row>
    <row r="62" spans="1:23" x14ac:dyDescent="0.2">
      <c r="A62" s="456" t="s">
        <v>430</v>
      </c>
      <c r="B62" s="457" t="s">
        <v>2482</v>
      </c>
      <c r="C62" s="458" t="s">
        <v>55</v>
      </c>
      <c r="D62" s="460" t="s">
        <v>683</v>
      </c>
      <c r="E62" s="540">
        <v>1199000.0000000007</v>
      </c>
      <c r="F62" s="543">
        <v>831394.18022294529</v>
      </c>
      <c r="G62" s="544">
        <f t="shared" si="2"/>
        <v>0.69340632212088804</v>
      </c>
      <c r="H62" s="452"/>
      <c r="I62" s="452"/>
      <c r="J62" s="452"/>
      <c r="K62" s="452"/>
      <c r="L62" s="452"/>
      <c r="M62" s="452"/>
      <c r="N62" s="452"/>
      <c r="O62" s="452"/>
      <c r="P62" s="452"/>
      <c r="Q62" s="452"/>
      <c r="R62" s="452"/>
      <c r="S62" s="452"/>
      <c r="T62" s="452"/>
      <c r="U62" s="452"/>
      <c r="V62" s="452"/>
      <c r="W62" s="452"/>
    </row>
    <row r="63" spans="1:23" x14ac:dyDescent="0.2">
      <c r="A63" s="456" t="s">
        <v>431</v>
      </c>
      <c r="B63" s="457" t="s">
        <v>2483</v>
      </c>
      <c r="C63" s="458" t="s">
        <v>55</v>
      </c>
      <c r="D63" s="460" t="s">
        <v>683</v>
      </c>
      <c r="E63" s="540">
        <v>1299500.0000000005</v>
      </c>
      <c r="F63" s="543">
        <v>948506.85852220433</v>
      </c>
      <c r="G63" s="544">
        <f t="shared" si="2"/>
        <v>0.72990139170619772</v>
      </c>
      <c r="H63" s="452"/>
      <c r="I63" s="452"/>
      <c r="J63" s="452"/>
      <c r="K63" s="452"/>
      <c r="L63" s="452"/>
      <c r="M63" s="452"/>
      <c r="N63" s="452"/>
      <c r="O63" s="452"/>
      <c r="P63" s="452"/>
      <c r="Q63" s="452"/>
      <c r="R63" s="452"/>
      <c r="S63" s="452"/>
      <c r="T63" s="452"/>
      <c r="U63" s="452"/>
      <c r="V63" s="452"/>
      <c r="W63" s="452"/>
    </row>
    <row r="64" spans="1:23" x14ac:dyDescent="0.2">
      <c r="A64" s="456" t="s">
        <v>432</v>
      </c>
      <c r="B64" s="457" t="s">
        <v>2679</v>
      </c>
      <c r="C64" s="458" t="s">
        <v>40</v>
      </c>
      <c r="D64" s="460" t="s">
        <v>683</v>
      </c>
      <c r="E64" s="540">
        <v>899999.85714285751</v>
      </c>
      <c r="F64" s="543">
        <v>821138.93532993866</v>
      </c>
      <c r="G64" s="544">
        <f t="shared" si="2"/>
        <v>0.91237673963274724</v>
      </c>
      <c r="H64" s="452"/>
      <c r="I64" s="452"/>
      <c r="J64" s="452"/>
      <c r="K64" s="452"/>
      <c r="L64" s="452"/>
      <c r="M64" s="452"/>
      <c r="N64" s="452"/>
      <c r="O64" s="452"/>
      <c r="P64" s="452"/>
      <c r="Q64" s="452"/>
      <c r="R64" s="452"/>
      <c r="S64" s="452"/>
      <c r="T64" s="452"/>
      <c r="U64" s="452"/>
      <c r="V64" s="452"/>
      <c r="W64" s="452"/>
    </row>
    <row r="65" spans="1:23" x14ac:dyDescent="0.2">
      <c r="A65" s="456" t="s">
        <v>434</v>
      </c>
      <c r="B65" s="457" t="s">
        <v>746</v>
      </c>
      <c r="C65" s="458" t="s">
        <v>40</v>
      </c>
      <c r="D65" s="460" t="s">
        <v>685</v>
      </c>
      <c r="E65" s="540">
        <v>4512113.3001555521</v>
      </c>
      <c r="F65" s="543">
        <v>2119558.4957911819</v>
      </c>
      <c r="G65" s="544">
        <f t="shared" si="2"/>
        <v>0.46974850913387117</v>
      </c>
      <c r="H65" s="452"/>
      <c r="I65" s="452"/>
      <c r="J65" s="452"/>
      <c r="K65" s="452"/>
      <c r="L65" s="452"/>
      <c r="M65" s="452"/>
      <c r="N65" s="452"/>
      <c r="O65" s="452"/>
      <c r="P65" s="452"/>
      <c r="Q65" s="452"/>
      <c r="R65" s="452"/>
      <c r="S65" s="452"/>
      <c r="T65" s="452"/>
      <c r="U65" s="452"/>
      <c r="V65" s="452"/>
      <c r="W65" s="452"/>
    </row>
    <row r="66" spans="1:23" x14ac:dyDescent="0.2">
      <c r="A66" s="456" t="s">
        <v>436</v>
      </c>
      <c r="B66" s="457" t="s">
        <v>745</v>
      </c>
      <c r="C66" s="458" t="s">
        <v>36</v>
      </c>
      <c r="D66" s="460" t="s">
        <v>36</v>
      </c>
      <c r="E66" s="540">
        <v>367454.53779350524</v>
      </c>
      <c r="F66" s="543">
        <v>133072.4084565274</v>
      </c>
      <c r="G66" s="544">
        <f t="shared" si="2"/>
        <v>0.36214659167254254</v>
      </c>
      <c r="H66" s="452"/>
      <c r="I66" s="452"/>
      <c r="J66" s="452"/>
      <c r="K66" s="452"/>
      <c r="L66" s="452"/>
      <c r="M66" s="452"/>
      <c r="N66" s="452"/>
      <c r="O66" s="452"/>
      <c r="P66" s="452"/>
      <c r="Q66" s="452"/>
      <c r="R66" s="452"/>
      <c r="S66" s="452"/>
      <c r="T66" s="452"/>
      <c r="U66" s="452"/>
      <c r="V66" s="452"/>
      <c r="W66" s="452"/>
    </row>
    <row r="67" spans="1:23" x14ac:dyDescent="0.2">
      <c r="A67" s="456" t="s">
        <v>438</v>
      </c>
      <c r="B67" s="457" t="s">
        <v>744</v>
      </c>
      <c r="C67" s="458" t="s">
        <v>36</v>
      </c>
      <c r="D67" s="460" t="s">
        <v>36</v>
      </c>
      <c r="E67" s="540">
        <v>139529.36999547752</v>
      </c>
      <c r="F67" s="543">
        <v>15993.389444289873</v>
      </c>
      <c r="G67" s="544">
        <f t="shared" si="2"/>
        <v>0.11462382038138821</v>
      </c>
      <c r="H67" s="452"/>
      <c r="I67" s="452"/>
      <c r="J67" s="452"/>
      <c r="K67" s="452"/>
      <c r="L67" s="452"/>
      <c r="M67" s="452"/>
      <c r="N67" s="452"/>
      <c r="O67" s="452"/>
      <c r="P67" s="452"/>
      <c r="Q67" s="452"/>
      <c r="R67" s="452"/>
      <c r="S67" s="452"/>
      <c r="T67" s="452"/>
      <c r="U67" s="452"/>
      <c r="V67" s="452"/>
      <c r="W67" s="452"/>
    </row>
    <row r="68" spans="1:23" x14ac:dyDescent="0.2">
      <c r="A68" s="456" t="s">
        <v>440</v>
      </c>
      <c r="B68" s="457" t="s">
        <v>743</v>
      </c>
      <c r="C68" s="458" t="s">
        <v>36</v>
      </c>
      <c r="D68" s="460" t="s">
        <v>36</v>
      </c>
      <c r="E68" s="540">
        <v>171389.86608517394</v>
      </c>
      <c r="F68" s="543">
        <v>50454.462746510959</v>
      </c>
      <c r="G68" s="544">
        <f t="shared" si="2"/>
        <v>0.29438416575596776</v>
      </c>
      <c r="H68" s="452"/>
      <c r="I68" s="452"/>
      <c r="J68" s="452"/>
      <c r="K68" s="452"/>
      <c r="L68" s="452"/>
      <c r="M68" s="452"/>
      <c r="N68" s="452"/>
      <c r="O68" s="452"/>
      <c r="P68" s="452"/>
      <c r="Q68" s="452"/>
      <c r="R68" s="452"/>
      <c r="S68" s="452"/>
      <c r="T68" s="452"/>
      <c r="U68" s="452"/>
      <c r="V68" s="452"/>
      <c r="W68" s="452"/>
    </row>
    <row r="69" spans="1:23" x14ac:dyDescent="0.2">
      <c r="A69" s="456" t="s">
        <v>442</v>
      </c>
      <c r="B69" s="457" t="s">
        <v>742</v>
      </c>
      <c r="C69" s="458" t="s">
        <v>40</v>
      </c>
      <c r="D69" s="460" t="s">
        <v>683</v>
      </c>
      <c r="E69" s="540">
        <v>1799999.9999999995</v>
      </c>
      <c r="F69" s="543">
        <v>1478050.3182050504</v>
      </c>
      <c r="G69" s="544">
        <f t="shared" si="2"/>
        <v>0.8211390656694727</v>
      </c>
      <c r="H69" s="452"/>
      <c r="I69" s="452"/>
      <c r="J69" s="452"/>
      <c r="K69" s="452"/>
      <c r="L69" s="452"/>
      <c r="M69" s="452"/>
      <c r="N69" s="452"/>
      <c r="O69" s="452"/>
      <c r="P69" s="452"/>
      <c r="Q69" s="452"/>
      <c r="R69" s="452"/>
      <c r="S69" s="452"/>
      <c r="T69" s="452"/>
      <c r="U69" s="452"/>
      <c r="V69" s="452"/>
      <c r="W69" s="452"/>
    </row>
    <row r="70" spans="1:23" x14ac:dyDescent="0.2">
      <c r="A70" s="456" t="s">
        <v>444</v>
      </c>
      <c r="B70" s="457" t="s">
        <v>2484</v>
      </c>
      <c r="C70" s="458" t="s">
        <v>55</v>
      </c>
      <c r="D70" s="460" t="s">
        <v>683</v>
      </c>
      <c r="E70" s="540">
        <v>1199000.0000000019</v>
      </c>
      <c r="F70" s="543">
        <v>831394.18022294634</v>
      </c>
      <c r="G70" s="544">
        <f t="shared" si="2"/>
        <v>0.69340632212088826</v>
      </c>
      <c r="H70" s="452"/>
      <c r="I70" s="452"/>
      <c r="J70" s="452"/>
      <c r="K70" s="452"/>
      <c r="L70" s="452"/>
      <c r="M70" s="452"/>
      <c r="N70" s="452"/>
      <c r="O70" s="452"/>
      <c r="P70" s="452"/>
      <c r="Q70" s="452"/>
      <c r="R70" s="452"/>
      <c r="S70" s="452"/>
      <c r="T70" s="452"/>
      <c r="U70" s="452"/>
      <c r="V70" s="452"/>
      <c r="W70" s="452"/>
    </row>
    <row r="71" spans="1:23" x14ac:dyDescent="0.2">
      <c r="A71" s="456" t="s">
        <v>445</v>
      </c>
      <c r="B71" s="457" t="s">
        <v>2485</v>
      </c>
      <c r="C71" s="458" t="s">
        <v>55</v>
      </c>
      <c r="D71" s="460" t="s">
        <v>683</v>
      </c>
      <c r="E71" s="540">
        <v>2749999.9999999991</v>
      </c>
      <c r="F71" s="543">
        <v>2007228.8271920434</v>
      </c>
      <c r="G71" s="544">
        <f t="shared" si="2"/>
        <v>0.72990139170619783</v>
      </c>
      <c r="H71" s="452"/>
      <c r="I71" s="452"/>
      <c r="J71" s="452"/>
      <c r="K71" s="452"/>
      <c r="L71" s="452"/>
      <c r="M71" s="452"/>
      <c r="N71" s="452"/>
      <c r="O71" s="452"/>
      <c r="P71" s="452"/>
      <c r="Q71" s="452"/>
      <c r="R71" s="452"/>
      <c r="S71" s="452"/>
      <c r="T71" s="452"/>
      <c r="U71" s="452"/>
      <c r="V71" s="452"/>
      <c r="W71" s="452"/>
    </row>
    <row r="72" spans="1:23" x14ac:dyDescent="0.2">
      <c r="A72" s="456" t="s">
        <v>446</v>
      </c>
      <c r="B72" s="457" t="s">
        <v>2486</v>
      </c>
      <c r="C72" s="458" t="s">
        <v>55</v>
      </c>
      <c r="D72" s="460" t="s">
        <v>683</v>
      </c>
      <c r="E72" s="540">
        <v>2162328.303000004</v>
      </c>
      <c r="F72" s="543">
        <v>1578437.5825635181</v>
      </c>
      <c r="G72" s="544">
        <f t="shared" ref="G72:G135" si="4">F72/E72</f>
        <v>0.72997129084126644</v>
      </c>
      <c r="H72" s="452"/>
      <c r="I72" s="452"/>
      <c r="J72" s="452"/>
      <c r="K72" s="452"/>
      <c r="L72" s="452"/>
      <c r="M72" s="452"/>
      <c r="N72" s="452"/>
      <c r="O72" s="452"/>
      <c r="P72" s="452"/>
      <c r="Q72" s="452"/>
      <c r="R72" s="452"/>
      <c r="S72" s="452"/>
      <c r="T72" s="452"/>
      <c r="U72" s="452"/>
      <c r="V72" s="452"/>
      <c r="W72" s="452"/>
    </row>
    <row r="73" spans="1:23" x14ac:dyDescent="0.2">
      <c r="A73" s="456" t="s">
        <v>447</v>
      </c>
      <c r="B73" s="457" t="s">
        <v>2487</v>
      </c>
      <c r="C73" s="458" t="s">
        <v>55</v>
      </c>
      <c r="D73" s="460" t="s">
        <v>683</v>
      </c>
      <c r="E73" s="540">
        <v>810000.00000000047</v>
      </c>
      <c r="F73" s="543">
        <v>591220.12728202075</v>
      </c>
      <c r="G73" s="544">
        <f t="shared" si="4"/>
        <v>0.72990139170619805</v>
      </c>
      <c r="H73" s="452"/>
      <c r="I73" s="452"/>
      <c r="J73" s="452"/>
      <c r="K73" s="452"/>
      <c r="L73" s="452"/>
      <c r="M73" s="452"/>
      <c r="N73" s="452"/>
      <c r="O73" s="452"/>
      <c r="P73" s="452"/>
      <c r="Q73" s="452"/>
      <c r="R73" s="452"/>
      <c r="S73" s="452"/>
      <c r="T73" s="452"/>
      <c r="U73" s="452"/>
      <c r="V73" s="452"/>
      <c r="W73" s="452"/>
    </row>
    <row r="74" spans="1:23" x14ac:dyDescent="0.2">
      <c r="A74" s="456" t="s">
        <v>449</v>
      </c>
      <c r="B74" s="457" t="s">
        <v>741</v>
      </c>
      <c r="C74" s="458" t="s">
        <v>40</v>
      </c>
      <c r="D74" s="460" t="s">
        <v>685</v>
      </c>
      <c r="E74" s="540">
        <v>800219.4221133329</v>
      </c>
      <c r="F74" s="543">
        <v>584121.30899732444</v>
      </c>
      <c r="G74" s="544">
        <f t="shared" si="4"/>
        <v>0.72995142689075709</v>
      </c>
      <c r="H74" s="452"/>
      <c r="I74" s="452"/>
      <c r="J74" s="452"/>
      <c r="K74" s="452"/>
      <c r="L74" s="452"/>
      <c r="M74" s="452"/>
      <c r="N74" s="452"/>
      <c r="O74" s="452"/>
      <c r="P74" s="452"/>
      <c r="Q74" s="452"/>
      <c r="R74" s="452"/>
      <c r="S74" s="452"/>
      <c r="T74" s="452"/>
      <c r="U74" s="452"/>
      <c r="V74" s="452"/>
      <c r="W74" s="452"/>
    </row>
    <row r="75" spans="1:23" x14ac:dyDescent="0.2">
      <c r="A75" s="456" t="s">
        <v>459</v>
      </c>
      <c r="B75" s="457" t="s">
        <v>739</v>
      </c>
      <c r="C75" s="458" t="s">
        <v>40</v>
      </c>
      <c r="D75" s="460" t="s">
        <v>683</v>
      </c>
      <c r="E75" s="540">
        <v>499999.99999999977</v>
      </c>
      <c r="F75" s="543">
        <v>456188.36981637345</v>
      </c>
      <c r="G75" s="544">
        <f t="shared" si="4"/>
        <v>0.91237673963274735</v>
      </c>
      <c r="H75" s="452"/>
      <c r="I75" s="452"/>
      <c r="J75" s="452"/>
      <c r="K75" s="452"/>
      <c r="L75" s="452"/>
      <c r="M75" s="452"/>
      <c r="N75" s="452"/>
      <c r="O75" s="452"/>
      <c r="P75" s="452"/>
      <c r="Q75" s="452"/>
      <c r="R75" s="452"/>
      <c r="S75" s="452"/>
      <c r="T75" s="452"/>
      <c r="U75" s="452"/>
      <c r="V75" s="452"/>
      <c r="W75" s="452"/>
    </row>
    <row r="76" spans="1:23" x14ac:dyDescent="0.2">
      <c r="A76" s="456" t="s">
        <v>463</v>
      </c>
      <c r="B76" s="457" t="s">
        <v>738</v>
      </c>
      <c r="C76" s="458" t="s">
        <v>40</v>
      </c>
      <c r="D76" s="460" t="s">
        <v>683</v>
      </c>
      <c r="E76" s="540">
        <v>899999.9999999993</v>
      </c>
      <c r="F76" s="543">
        <v>821139.06566947198</v>
      </c>
      <c r="G76" s="544">
        <f t="shared" si="4"/>
        <v>0.91237673963274735</v>
      </c>
      <c r="H76" s="452"/>
      <c r="I76" s="452"/>
      <c r="J76" s="452"/>
      <c r="K76" s="452"/>
      <c r="L76" s="452"/>
      <c r="M76" s="452"/>
      <c r="N76" s="452"/>
      <c r="O76" s="452"/>
      <c r="P76" s="452"/>
      <c r="Q76" s="452"/>
      <c r="R76" s="452"/>
      <c r="S76" s="452"/>
      <c r="T76" s="452"/>
      <c r="U76" s="452"/>
      <c r="V76" s="452"/>
      <c r="W76" s="452"/>
    </row>
    <row r="77" spans="1:23" x14ac:dyDescent="0.2">
      <c r="A77" s="456" t="s">
        <v>465</v>
      </c>
      <c r="B77" s="457" t="s">
        <v>737</v>
      </c>
      <c r="C77" s="458" t="s">
        <v>40</v>
      </c>
      <c r="D77" s="460" t="s">
        <v>683</v>
      </c>
      <c r="E77" s="540">
        <v>1500000.0000000023</v>
      </c>
      <c r="F77" s="543">
        <v>1368565.109449123</v>
      </c>
      <c r="G77" s="544">
        <f t="shared" si="4"/>
        <v>0.91237673963274724</v>
      </c>
      <c r="H77" s="452"/>
      <c r="I77" s="452"/>
      <c r="J77" s="452"/>
      <c r="K77" s="452"/>
      <c r="L77" s="452"/>
      <c r="M77" s="452"/>
      <c r="N77" s="452"/>
      <c r="O77" s="452"/>
      <c r="P77" s="452"/>
      <c r="Q77" s="452"/>
      <c r="R77" s="452"/>
      <c r="S77" s="452"/>
      <c r="T77" s="452"/>
      <c r="U77" s="452"/>
      <c r="V77" s="452"/>
      <c r="W77" s="452"/>
    </row>
    <row r="78" spans="1:23" x14ac:dyDescent="0.2">
      <c r="A78" s="456" t="s">
        <v>470</v>
      </c>
      <c r="B78" s="457" t="s">
        <v>735</v>
      </c>
      <c r="C78" s="458" t="s">
        <v>40</v>
      </c>
      <c r="D78" s="460" t="s">
        <v>683</v>
      </c>
      <c r="E78" s="540">
        <v>900000.00000000047</v>
      </c>
      <c r="F78" s="543">
        <v>821139.06566947303</v>
      </c>
      <c r="G78" s="544">
        <f t="shared" si="4"/>
        <v>0.91237673963274735</v>
      </c>
      <c r="H78" s="452"/>
      <c r="I78" s="452"/>
      <c r="J78" s="452"/>
      <c r="K78" s="452"/>
      <c r="L78" s="452"/>
      <c r="M78" s="452"/>
      <c r="N78" s="452"/>
      <c r="O78" s="452"/>
      <c r="P78" s="452"/>
      <c r="Q78" s="452"/>
      <c r="R78" s="452"/>
      <c r="S78" s="452"/>
      <c r="T78" s="452"/>
      <c r="U78" s="452"/>
      <c r="V78" s="452"/>
      <c r="W78" s="452"/>
    </row>
    <row r="79" spans="1:23" x14ac:dyDescent="0.2">
      <c r="A79" s="456" t="s">
        <v>473</v>
      </c>
      <c r="B79" s="457" t="s">
        <v>2488</v>
      </c>
      <c r="C79" s="458" t="s">
        <v>55</v>
      </c>
      <c r="D79" s="460" t="s">
        <v>683</v>
      </c>
      <c r="E79" s="540">
        <v>500000.00000000017</v>
      </c>
      <c r="F79" s="543">
        <v>433378.95132555516</v>
      </c>
      <c r="G79" s="544">
        <f t="shared" si="4"/>
        <v>0.86675790265110997</v>
      </c>
      <c r="H79" s="452"/>
      <c r="I79" s="452"/>
      <c r="J79" s="452"/>
      <c r="K79" s="452"/>
      <c r="L79" s="452"/>
      <c r="M79" s="452"/>
      <c r="N79" s="452"/>
      <c r="O79" s="452"/>
      <c r="P79" s="452"/>
      <c r="Q79" s="452"/>
      <c r="R79" s="452"/>
      <c r="S79" s="452"/>
      <c r="T79" s="452"/>
      <c r="U79" s="452"/>
      <c r="V79" s="452"/>
      <c r="W79" s="452"/>
    </row>
    <row r="80" spans="1:23" x14ac:dyDescent="0.2">
      <c r="A80" s="456" t="s">
        <v>478</v>
      </c>
      <c r="B80" s="457" t="s">
        <v>2489</v>
      </c>
      <c r="C80" s="458" t="s">
        <v>55</v>
      </c>
      <c r="D80" s="460" t="s">
        <v>683</v>
      </c>
      <c r="E80" s="540">
        <v>670902.92333333427</v>
      </c>
      <c r="F80" s="543">
        <v>495970.66284569784</v>
      </c>
      <c r="G80" s="544">
        <f t="shared" si="4"/>
        <v>0.73925846139036366</v>
      </c>
      <c r="H80" s="452"/>
      <c r="I80" s="452"/>
      <c r="J80" s="452"/>
      <c r="K80" s="452"/>
      <c r="L80" s="452"/>
      <c r="M80" s="452"/>
      <c r="N80" s="452"/>
      <c r="O80" s="452"/>
      <c r="P80" s="452"/>
      <c r="Q80" s="452"/>
      <c r="R80" s="452"/>
      <c r="S80" s="452"/>
      <c r="T80" s="452"/>
      <c r="U80" s="452"/>
      <c r="V80" s="452"/>
      <c r="W80" s="452"/>
    </row>
    <row r="81" spans="1:23" x14ac:dyDescent="0.2">
      <c r="A81" s="456" t="s">
        <v>481</v>
      </c>
      <c r="B81" s="457" t="s">
        <v>2680</v>
      </c>
      <c r="C81" s="458" t="s">
        <v>60</v>
      </c>
      <c r="D81" s="460" t="s">
        <v>641</v>
      </c>
      <c r="E81" s="540">
        <v>2199999.8534919885</v>
      </c>
      <c r="F81" s="543">
        <v>96385.169857781191</v>
      </c>
      <c r="G81" s="544">
        <f t="shared" si="4"/>
        <v>4.3811443762049408E-2</v>
      </c>
      <c r="H81" s="452"/>
      <c r="I81" s="452"/>
      <c r="J81" s="452"/>
      <c r="K81" s="452"/>
      <c r="L81" s="452"/>
      <c r="M81" s="452"/>
      <c r="N81" s="452"/>
      <c r="O81" s="452"/>
      <c r="P81" s="452"/>
      <c r="Q81" s="452"/>
      <c r="R81" s="452"/>
      <c r="S81" s="452"/>
      <c r="T81" s="452"/>
      <c r="U81" s="452"/>
      <c r="V81" s="452"/>
      <c r="W81" s="452"/>
    </row>
    <row r="82" spans="1:23" x14ac:dyDescent="0.2">
      <c r="A82" s="456" t="s">
        <v>483</v>
      </c>
      <c r="B82" s="457" t="s">
        <v>2681</v>
      </c>
      <c r="C82" s="458" t="s">
        <v>60</v>
      </c>
      <c r="D82" s="460" t="s">
        <v>641</v>
      </c>
      <c r="E82" s="540">
        <v>2199999.8534919894</v>
      </c>
      <c r="F82" s="543">
        <v>96385.16985778122</v>
      </c>
      <c r="G82" s="544">
        <f t="shared" si="4"/>
        <v>4.3811443762049401E-2</v>
      </c>
      <c r="H82" s="452"/>
      <c r="I82" s="452"/>
      <c r="J82" s="452"/>
      <c r="K82" s="452"/>
      <c r="L82" s="452"/>
      <c r="M82" s="452"/>
      <c r="N82" s="452"/>
      <c r="O82" s="452"/>
      <c r="P82" s="452"/>
      <c r="Q82" s="452"/>
      <c r="R82" s="452"/>
      <c r="S82" s="452"/>
      <c r="T82" s="452"/>
      <c r="U82" s="452"/>
      <c r="V82" s="452"/>
      <c r="W82" s="452"/>
    </row>
    <row r="83" spans="1:23" x14ac:dyDescent="0.2">
      <c r="A83" s="456" t="s">
        <v>485</v>
      </c>
      <c r="B83" s="457" t="s">
        <v>2682</v>
      </c>
      <c r="C83" s="458" t="s">
        <v>60</v>
      </c>
      <c r="D83" s="460" t="s">
        <v>641</v>
      </c>
      <c r="E83" s="540">
        <v>2199999.8534919885</v>
      </c>
      <c r="F83" s="543">
        <v>96385.169857781191</v>
      </c>
      <c r="G83" s="544">
        <f t="shared" si="4"/>
        <v>4.3811443762049408E-2</v>
      </c>
      <c r="H83" s="452"/>
      <c r="I83" s="452"/>
      <c r="J83" s="452"/>
      <c r="K83" s="452"/>
      <c r="L83" s="452"/>
      <c r="M83" s="452"/>
      <c r="N83" s="452"/>
      <c r="O83" s="452"/>
      <c r="P83" s="452"/>
      <c r="Q83" s="452"/>
      <c r="R83" s="452"/>
      <c r="S83" s="452"/>
      <c r="T83" s="452"/>
      <c r="U83" s="452"/>
      <c r="V83" s="452"/>
      <c r="W83" s="452"/>
    </row>
    <row r="84" spans="1:23" x14ac:dyDescent="0.2">
      <c r="A84" s="456" t="s">
        <v>491</v>
      </c>
      <c r="B84" s="457" t="s">
        <v>2490</v>
      </c>
      <c r="C84" s="458" t="s">
        <v>40</v>
      </c>
      <c r="D84" s="460" t="s">
        <v>641</v>
      </c>
      <c r="E84" s="540">
        <v>28204402.99413944</v>
      </c>
      <c r="F84" s="543">
        <v>16149021.975983441</v>
      </c>
      <c r="G84" s="544">
        <f t="shared" si="4"/>
        <v>0.57257095565323712</v>
      </c>
      <c r="H84" s="452"/>
      <c r="I84" s="452"/>
      <c r="J84" s="452"/>
      <c r="K84" s="452"/>
      <c r="L84" s="452"/>
      <c r="M84" s="452"/>
      <c r="N84" s="452"/>
      <c r="O84" s="452"/>
      <c r="P84" s="452"/>
      <c r="Q84" s="452"/>
      <c r="R84" s="452"/>
      <c r="S84" s="452"/>
      <c r="T84" s="452"/>
      <c r="U84" s="452"/>
      <c r="V84" s="452"/>
      <c r="W84" s="452"/>
    </row>
    <row r="85" spans="1:23" x14ac:dyDescent="0.2">
      <c r="A85" s="456" t="s">
        <v>493</v>
      </c>
      <c r="B85" s="457" t="s">
        <v>730</v>
      </c>
      <c r="C85" s="458" t="s">
        <v>40</v>
      </c>
      <c r="D85" s="460" t="s">
        <v>641</v>
      </c>
      <c r="E85" s="540">
        <v>4528054.8069074797</v>
      </c>
      <c r="F85" s="543">
        <v>1524083.2293319672</v>
      </c>
      <c r="G85" s="544">
        <f t="shared" si="4"/>
        <v>0.3365867451531287</v>
      </c>
      <c r="H85" s="452"/>
      <c r="I85" s="452"/>
      <c r="J85" s="452"/>
      <c r="K85" s="452"/>
      <c r="L85" s="452"/>
      <c r="M85" s="452"/>
      <c r="N85" s="452"/>
      <c r="O85" s="452"/>
      <c r="P85" s="452"/>
      <c r="Q85" s="452"/>
      <c r="R85" s="452"/>
      <c r="S85" s="452"/>
      <c r="T85" s="452"/>
      <c r="U85" s="452"/>
      <c r="V85" s="452"/>
      <c r="W85" s="452"/>
    </row>
    <row r="86" spans="1:23" x14ac:dyDescent="0.2">
      <c r="A86" s="456" t="s">
        <v>495</v>
      </c>
      <c r="B86" s="457" t="s">
        <v>2491</v>
      </c>
      <c r="C86" s="458" t="s">
        <v>40</v>
      </c>
      <c r="D86" s="460" t="s">
        <v>641</v>
      </c>
      <c r="E86" s="540">
        <v>4585312.8705540625</v>
      </c>
      <c r="F86" s="543">
        <v>1671358.6425222845</v>
      </c>
      <c r="G86" s="544">
        <f t="shared" si="4"/>
        <v>0.36450263912314607</v>
      </c>
      <c r="H86" s="452"/>
      <c r="I86" s="452"/>
      <c r="J86" s="452"/>
      <c r="K86" s="452"/>
      <c r="L86" s="452"/>
      <c r="M86" s="452"/>
      <c r="N86" s="452"/>
      <c r="O86" s="452"/>
      <c r="P86" s="452"/>
      <c r="Q86" s="452"/>
      <c r="R86" s="452"/>
      <c r="S86" s="452"/>
      <c r="T86" s="452"/>
      <c r="U86" s="452"/>
      <c r="V86" s="452"/>
      <c r="W86" s="452"/>
    </row>
    <row r="87" spans="1:23" x14ac:dyDescent="0.2">
      <c r="A87" s="456" t="s">
        <v>497</v>
      </c>
      <c r="B87" s="457" t="s">
        <v>2492</v>
      </c>
      <c r="C87" s="458" t="s">
        <v>40</v>
      </c>
      <c r="D87" s="460" t="s">
        <v>641</v>
      </c>
      <c r="E87" s="540">
        <v>10415359.576725176</v>
      </c>
      <c r="F87" s="543">
        <v>3802086.2924549296</v>
      </c>
      <c r="G87" s="544">
        <f t="shared" si="4"/>
        <v>0.36504609029066198</v>
      </c>
      <c r="H87" s="452"/>
      <c r="I87" s="452"/>
      <c r="J87" s="452"/>
      <c r="K87" s="452"/>
      <c r="L87" s="452"/>
      <c r="M87" s="452"/>
      <c r="N87" s="452"/>
      <c r="O87" s="452"/>
      <c r="P87" s="452"/>
      <c r="Q87" s="452"/>
      <c r="R87" s="452"/>
      <c r="S87" s="452"/>
      <c r="T87" s="452"/>
      <c r="U87" s="452"/>
      <c r="V87" s="452"/>
      <c r="W87" s="452"/>
    </row>
    <row r="88" spans="1:23" x14ac:dyDescent="0.2">
      <c r="A88" s="456" t="s">
        <v>506</v>
      </c>
      <c r="B88" s="457" t="s">
        <v>2683</v>
      </c>
      <c r="C88" s="458" t="s">
        <v>54</v>
      </c>
      <c r="D88" s="459"/>
      <c r="E88" s="540">
        <v>1293343.1164258183</v>
      </c>
      <c r="F88" s="543">
        <v>657333.32511412504</v>
      </c>
      <c r="G88" s="544">
        <f t="shared" si="4"/>
        <v>0.50824357184555935</v>
      </c>
      <c r="H88" s="452"/>
      <c r="I88" s="452"/>
      <c r="J88" s="452"/>
      <c r="K88" s="452"/>
      <c r="L88" s="452"/>
      <c r="M88" s="452"/>
      <c r="N88" s="452"/>
      <c r="O88" s="452"/>
      <c r="P88" s="452"/>
      <c r="Q88" s="452"/>
      <c r="R88" s="452"/>
      <c r="S88" s="452"/>
      <c r="T88" s="452"/>
      <c r="U88" s="452"/>
      <c r="V88" s="452"/>
      <c r="W88" s="452"/>
    </row>
    <row r="89" spans="1:23" x14ac:dyDescent="0.2">
      <c r="A89" s="456" t="s">
        <v>508</v>
      </c>
      <c r="B89" s="457" t="s">
        <v>727</v>
      </c>
      <c r="C89" s="458" t="s">
        <v>54</v>
      </c>
      <c r="D89" s="460" t="s">
        <v>641</v>
      </c>
      <c r="E89" s="540">
        <v>1527651.8762031121</v>
      </c>
      <c r="F89" s="543">
        <v>819804.15184899454</v>
      </c>
      <c r="G89" s="544">
        <f t="shared" si="4"/>
        <v>0.53664330507456259</v>
      </c>
      <c r="H89" s="452"/>
      <c r="I89" s="452"/>
      <c r="J89" s="452"/>
      <c r="K89" s="452"/>
      <c r="L89" s="452"/>
      <c r="M89" s="452"/>
      <c r="N89" s="452"/>
      <c r="O89" s="452"/>
      <c r="P89" s="452"/>
      <c r="Q89" s="452"/>
      <c r="R89" s="452"/>
      <c r="S89" s="452"/>
      <c r="T89" s="452"/>
      <c r="U89" s="452"/>
      <c r="V89" s="452"/>
      <c r="W89" s="452"/>
    </row>
    <row r="90" spans="1:23" x14ac:dyDescent="0.2">
      <c r="A90" s="456" t="s">
        <v>510</v>
      </c>
      <c r="B90" s="457" t="s">
        <v>2493</v>
      </c>
      <c r="C90" s="458" t="s">
        <v>40</v>
      </c>
      <c r="D90" s="460" t="s">
        <v>641</v>
      </c>
      <c r="E90" s="540">
        <v>1014869.7344428858</v>
      </c>
      <c r="F90" s="543">
        <v>704980.34770663595</v>
      </c>
      <c r="G90" s="544">
        <f t="shared" si="4"/>
        <v>0.69465107075405685</v>
      </c>
      <c r="H90" s="452"/>
      <c r="I90" s="452"/>
      <c r="J90" s="452"/>
      <c r="K90" s="452"/>
      <c r="L90" s="452"/>
      <c r="M90" s="452"/>
      <c r="N90" s="452"/>
      <c r="O90" s="452"/>
      <c r="P90" s="452"/>
      <c r="Q90" s="452"/>
      <c r="R90" s="452"/>
      <c r="S90" s="452"/>
      <c r="T90" s="452"/>
      <c r="U90" s="452"/>
      <c r="V90" s="452"/>
      <c r="W90" s="452"/>
    </row>
    <row r="91" spans="1:23" x14ac:dyDescent="0.2">
      <c r="A91" s="456" t="s">
        <v>512</v>
      </c>
      <c r="B91" s="457" t="s">
        <v>2684</v>
      </c>
      <c r="C91" s="458" t="s">
        <v>40</v>
      </c>
      <c r="D91" s="460" t="s">
        <v>641</v>
      </c>
      <c r="E91" s="540">
        <v>8897735.7054316569</v>
      </c>
      <c r="F91" s="543">
        <v>4384002.8457981497</v>
      </c>
      <c r="G91" s="544">
        <f t="shared" si="4"/>
        <v>0.49270994227463044</v>
      </c>
      <c r="H91" s="452"/>
      <c r="I91" s="452"/>
      <c r="J91" s="452"/>
      <c r="K91" s="452"/>
      <c r="L91" s="452"/>
      <c r="M91" s="452"/>
      <c r="N91" s="452"/>
      <c r="O91" s="452"/>
      <c r="P91" s="452"/>
      <c r="Q91" s="452"/>
      <c r="R91" s="452"/>
      <c r="S91" s="452"/>
      <c r="T91" s="452"/>
      <c r="U91" s="452"/>
      <c r="V91" s="452"/>
      <c r="W91" s="452"/>
    </row>
    <row r="92" spans="1:23" x14ac:dyDescent="0.2">
      <c r="A92" s="456" t="s">
        <v>514</v>
      </c>
      <c r="B92" s="457" t="s">
        <v>2494</v>
      </c>
      <c r="C92" s="458" t="s">
        <v>40</v>
      </c>
      <c r="D92" s="460" t="s">
        <v>641</v>
      </c>
      <c r="E92" s="540">
        <v>6539891.4532681815</v>
      </c>
      <c r="F92" s="543">
        <v>2524485.6201557354</v>
      </c>
      <c r="G92" s="544">
        <f t="shared" si="4"/>
        <v>0.38601338236190047</v>
      </c>
      <c r="H92" s="452"/>
      <c r="I92" s="452"/>
      <c r="J92" s="452"/>
      <c r="K92" s="452"/>
      <c r="L92" s="452"/>
      <c r="M92" s="452"/>
      <c r="N92" s="452"/>
      <c r="O92" s="452"/>
      <c r="P92" s="452"/>
      <c r="Q92" s="452"/>
      <c r="R92" s="452"/>
      <c r="S92" s="452"/>
      <c r="T92" s="452"/>
      <c r="U92" s="452"/>
      <c r="V92" s="452"/>
      <c r="W92" s="452"/>
    </row>
    <row r="93" spans="1:23" x14ac:dyDescent="0.2">
      <c r="A93" s="456" t="s">
        <v>516</v>
      </c>
      <c r="B93" s="457" t="s">
        <v>725</v>
      </c>
      <c r="C93" s="458" t="s">
        <v>54</v>
      </c>
      <c r="D93" s="459"/>
      <c r="E93" s="540">
        <v>2899088.9948037155</v>
      </c>
      <c r="F93" s="543">
        <v>1546773.0661656503</v>
      </c>
      <c r="G93" s="544">
        <f t="shared" si="4"/>
        <v>0.53353762817839101</v>
      </c>
      <c r="H93" s="452"/>
      <c r="I93" s="452"/>
      <c r="J93" s="452"/>
      <c r="K93" s="452"/>
      <c r="L93" s="452"/>
      <c r="M93" s="452"/>
      <c r="N93" s="452"/>
      <c r="O93" s="452"/>
      <c r="P93" s="452"/>
      <c r="Q93" s="452"/>
      <c r="R93" s="452"/>
      <c r="S93" s="452"/>
      <c r="T93" s="452"/>
      <c r="U93" s="452"/>
      <c r="V93" s="452"/>
      <c r="W93" s="452"/>
    </row>
    <row r="94" spans="1:23" x14ac:dyDescent="0.2">
      <c r="A94" s="456" t="s">
        <v>518</v>
      </c>
      <c r="B94" s="457" t="s">
        <v>2685</v>
      </c>
      <c r="C94" s="458" t="s">
        <v>41</v>
      </c>
      <c r="D94" s="460" t="s">
        <v>641</v>
      </c>
      <c r="E94" s="540">
        <v>2856507.2516622036</v>
      </c>
      <c r="F94" s="543">
        <v>1365074.1925705646</v>
      </c>
      <c r="G94" s="544">
        <f t="shared" si="4"/>
        <v>0.47788227800795074</v>
      </c>
      <c r="H94" s="452"/>
      <c r="I94" s="452"/>
      <c r="J94" s="452"/>
      <c r="K94" s="452"/>
      <c r="L94" s="452"/>
      <c r="M94" s="452"/>
      <c r="N94" s="452"/>
      <c r="O94" s="452"/>
      <c r="P94" s="452"/>
      <c r="Q94" s="452"/>
      <c r="R94" s="452"/>
      <c r="S94" s="452"/>
      <c r="T94" s="452"/>
      <c r="U94" s="452"/>
      <c r="V94" s="452"/>
      <c r="W94" s="452"/>
    </row>
    <row r="95" spans="1:23" x14ac:dyDescent="0.2">
      <c r="A95" s="456" t="s">
        <v>525</v>
      </c>
      <c r="B95" s="457" t="s">
        <v>719</v>
      </c>
      <c r="C95" s="458" t="s">
        <v>54</v>
      </c>
      <c r="D95" s="459" t="s">
        <v>641</v>
      </c>
      <c r="E95" s="540">
        <v>14514519.361543212</v>
      </c>
      <c r="F95" s="543">
        <v>6643363.942597148</v>
      </c>
      <c r="G95" s="544">
        <f t="shared" si="4"/>
        <v>0.45770471464587392</v>
      </c>
      <c r="H95" s="452"/>
      <c r="I95" s="452"/>
      <c r="J95" s="452"/>
      <c r="K95" s="452"/>
      <c r="L95" s="452"/>
      <c r="M95" s="452"/>
      <c r="N95" s="452"/>
      <c r="O95" s="452"/>
      <c r="P95" s="452"/>
      <c r="Q95" s="452"/>
      <c r="R95" s="452"/>
      <c r="S95" s="452"/>
      <c r="T95" s="452"/>
      <c r="U95" s="452"/>
      <c r="V95" s="452"/>
      <c r="W95" s="452"/>
    </row>
    <row r="96" spans="1:23" x14ac:dyDescent="0.2">
      <c r="A96" s="456" t="s">
        <v>526</v>
      </c>
      <c r="B96" s="457" t="s">
        <v>2686</v>
      </c>
      <c r="C96" s="458" t="s">
        <v>54</v>
      </c>
      <c r="D96" s="460" t="s">
        <v>641</v>
      </c>
      <c r="E96" s="540">
        <v>4603151.9942290848</v>
      </c>
      <c r="F96" s="543">
        <v>1769368.1634146022</v>
      </c>
      <c r="G96" s="544">
        <f t="shared" si="4"/>
        <v>0.38438186825741089</v>
      </c>
      <c r="H96" s="452"/>
      <c r="I96" s="452"/>
      <c r="J96" s="452"/>
      <c r="K96" s="452"/>
      <c r="L96" s="452"/>
      <c r="M96" s="452"/>
      <c r="N96" s="452"/>
      <c r="O96" s="452"/>
      <c r="P96" s="452"/>
      <c r="Q96" s="452"/>
      <c r="R96" s="452"/>
      <c r="S96" s="452"/>
      <c r="T96" s="452"/>
      <c r="U96" s="452"/>
      <c r="V96" s="452"/>
      <c r="W96" s="452"/>
    </row>
    <row r="97" spans="1:23" x14ac:dyDescent="0.2">
      <c r="A97" s="456" t="s">
        <v>534</v>
      </c>
      <c r="B97" s="457" t="s">
        <v>714</v>
      </c>
      <c r="C97" s="458" t="s">
        <v>36</v>
      </c>
      <c r="D97" s="460" t="s">
        <v>36</v>
      </c>
      <c r="E97" s="540">
        <v>510835.16506320256</v>
      </c>
      <c r="F97" s="543">
        <v>184638.59324446437</v>
      </c>
      <c r="G97" s="544">
        <f t="shared" si="4"/>
        <v>0.36144456347600923</v>
      </c>
      <c r="H97" s="452"/>
      <c r="I97" s="452"/>
      <c r="J97" s="452"/>
      <c r="K97" s="452"/>
      <c r="L97" s="452"/>
      <c r="M97" s="452"/>
      <c r="N97" s="452"/>
      <c r="O97" s="452"/>
      <c r="P97" s="452"/>
      <c r="Q97" s="452"/>
      <c r="R97" s="452"/>
      <c r="S97" s="452"/>
      <c r="T97" s="452"/>
      <c r="U97" s="452"/>
      <c r="V97" s="452"/>
      <c r="W97" s="452"/>
    </row>
    <row r="98" spans="1:23" x14ac:dyDescent="0.2">
      <c r="A98" s="456" t="s">
        <v>536</v>
      </c>
      <c r="B98" s="457" t="s">
        <v>713</v>
      </c>
      <c r="C98" s="458" t="s">
        <v>36</v>
      </c>
      <c r="D98" s="460" t="s">
        <v>36</v>
      </c>
      <c r="E98" s="540">
        <v>510835.16506320285</v>
      </c>
      <c r="F98" s="543">
        <v>184638.59324446449</v>
      </c>
      <c r="G98" s="544">
        <f t="shared" si="4"/>
        <v>0.36144456347600923</v>
      </c>
      <c r="H98" s="452"/>
      <c r="I98" s="452"/>
      <c r="J98" s="452"/>
      <c r="K98" s="452"/>
      <c r="L98" s="452"/>
      <c r="M98" s="452"/>
      <c r="N98" s="452"/>
      <c r="O98" s="452"/>
      <c r="P98" s="452"/>
      <c r="Q98" s="452"/>
      <c r="R98" s="452"/>
      <c r="S98" s="452"/>
      <c r="T98" s="452"/>
      <c r="U98" s="452"/>
      <c r="V98" s="452"/>
      <c r="W98" s="452"/>
    </row>
    <row r="99" spans="1:23" x14ac:dyDescent="0.2">
      <c r="A99" s="456" t="s">
        <v>538</v>
      </c>
      <c r="B99" s="457" t="s">
        <v>712</v>
      </c>
      <c r="C99" s="458" t="s">
        <v>36</v>
      </c>
      <c r="D99" s="460" t="s">
        <v>36</v>
      </c>
      <c r="E99" s="540">
        <v>510835.16506320331</v>
      </c>
      <c r="F99" s="543">
        <v>184638.5932444646</v>
      </c>
      <c r="G99" s="544">
        <f t="shared" si="4"/>
        <v>0.36144456347600917</v>
      </c>
      <c r="H99" s="452"/>
      <c r="I99" s="452"/>
      <c r="J99" s="452"/>
      <c r="K99" s="452"/>
      <c r="L99" s="452"/>
      <c r="M99" s="452"/>
      <c r="N99" s="452"/>
      <c r="O99" s="452"/>
      <c r="P99" s="452"/>
      <c r="Q99" s="452"/>
      <c r="R99" s="452"/>
      <c r="S99" s="452"/>
      <c r="T99" s="452"/>
      <c r="U99" s="452"/>
      <c r="V99" s="452"/>
      <c r="W99" s="452"/>
    </row>
    <row r="100" spans="1:23" x14ac:dyDescent="0.2">
      <c r="A100" s="456" t="s">
        <v>540</v>
      </c>
      <c r="B100" s="457" t="s">
        <v>2687</v>
      </c>
      <c r="C100" s="458" t="s">
        <v>54</v>
      </c>
      <c r="D100" s="459" t="s">
        <v>641</v>
      </c>
      <c r="E100" s="540">
        <v>435592.65451870119</v>
      </c>
      <c r="F100" s="543">
        <v>90504.123198967805</v>
      </c>
      <c r="G100" s="544">
        <f t="shared" si="4"/>
        <v>0.20777238151310978</v>
      </c>
      <c r="H100" s="452"/>
      <c r="I100" s="452"/>
      <c r="J100" s="452"/>
      <c r="K100" s="452"/>
      <c r="L100" s="452"/>
      <c r="M100" s="452"/>
      <c r="N100" s="452"/>
      <c r="O100" s="452"/>
      <c r="P100" s="452"/>
      <c r="Q100" s="452"/>
      <c r="R100" s="452"/>
      <c r="S100" s="452"/>
      <c r="T100" s="452"/>
      <c r="U100" s="452"/>
      <c r="V100" s="452"/>
      <c r="W100" s="452"/>
    </row>
    <row r="101" spans="1:23" x14ac:dyDescent="0.2">
      <c r="A101" s="456" t="s">
        <v>541</v>
      </c>
      <c r="B101" s="457" t="s">
        <v>2495</v>
      </c>
      <c r="C101" s="458" t="s">
        <v>54</v>
      </c>
      <c r="D101" s="460" t="s">
        <v>685</v>
      </c>
      <c r="E101" s="540">
        <v>1259251.884938071</v>
      </c>
      <c r="F101" s="543">
        <v>465886.04184829863</v>
      </c>
      <c r="G101" s="544">
        <f t="shared" si="4"/>
        <v>0.36997049392640818</v>
      </c>
      <c r="H101" s="452"/>
      <c r="I101" s="452"/>
      <c r="J101" s="452"/>
      <c r="K101" s="452"/>
      <c r="L101" s="452"/>
      <c r="M101" s="452"/>
      <c r="N101" s="452"/>
      <c r="O101" s="452"/>
      <c r="P101" s="452"/>
      <c r="Q101" s="452"/>
      <c r="R101" s="452"/>
      <c r="S101" s="452"/>
      <c r="T101" s="452"/>
      <c r="U101" s="452"/>
      <c r="V101" s="452"/>
      <c r="W101" s="452"/>
    </row>
    <row r="102" spans="1:23" x14ac:dyDescent="0.2">
      <c r="A102" s="456" t="s">
        <v>543</v>
      </c>
      <c r="B102" s="457" t="s">
        <v>711</v>
      </c>
      <c r="C102" s="458" t="s">
        <v>36</v>
      </c>
      <c r="D102" s="460" t="s">
        <v>36</v>
      </c>
      <c r="E102" s="540">
        <v>112036.95526190345</v>
      </c>
      <c r="F102" s="543">
        <v>24353.111834295058</v>
      </c>
      <c r="G102" s="544">
        <f t="shared" si="4"/>
        <v>0.21736677667976562</v>
      </c>
      <c r="H102" s="452"/>
      <c r="I102" s="452"/>
      <c r="J102" s="452"/>
      <c r="K102" s="452"/>
      <c r="L102" s="452"/>
      <c r="M102" s="452"/>
      <c r="N102" s="452"/>
      <c r="O102" s="452"/>
      <c r="P102" s="452"/>
      <c r="Q102" s="452"/>
      <c r="R102" s="452"/>
      <c r="S102" s="452"/>
      <c r="T102" s="452"/>
      <c r="U102" s="452"/>
      <c r="V102" s="452"/>
      <c r="W102" s="452"/>
    </row>
    <row r="103" spans="1:23" x14ac:dyDescent="0.2">
      <c r="A103" s="456" t="s">
        <v>547</v>
      </c>
      <c r="B103" s="457" t="s">
        <v>709</v>
      </c>
      <c r="C103" s="458" t="s">
        <v>28</v>
      </c>
      <c r="D103" s="460" t="s">
        <v>685</v>
      </c>
      <c r="E103" s="540">
        <v>1707120.3536132397</v>
      </c>
      <c r="F103" s="543">
        <v>535918.84415424825</v>
      </c>
      <c r="G103" s="544">
        <f t="shared" si="4"/>
        <v>0.31393149464824699</v>
      </c>
      <c r="H103" s="452"/>
      <c r="I103" s="452"/>
      <c r="J103" s="452"/>
      <c r="K103" s="452"/>
      <c r="L103" s="452"/>
      <c r="M103" s="452"/>
      <c r="N103" s="452"/>
      <c r="O103" s="452"/>
      <c r="P103" s="452"/>
      <c r="Q103" s="452"/>
      <c r="R103" s="452"/>
      <c r="S103" s="452"/>
      <c r="T103" s="452"/>
      <c r="U103" s="452"/>
      <c r="V103" s="452"/>
      <c r="W103" s="452"/>
    </row>
    <row r="104" spans="1:23" x14ac:dyDescent="0.2">
      <c r="A104" s="456" t="s">
        <v>549</v>
      </c>
      <c r="B104" s="457" t="s">
        <v>2688</v>
      </c>
      <c r="C104" s="458" t="s">
        <v>40</v>
      </c>
      <c r="D104" s="460" t="s">
        <v>685</v>
      </c>
      <c r="E104" s="540">
        <v>3643741.3339553121</v>
      </c>
      <c r="F104" s="543">
        <v>2360506.2840406657</v>
      </c>
      <c r="G104" s="544">
        <f t="shared" si="4"/>
        <v>0.64782487770017316</v>
      </c>
      <c r="H104" s="452"/>
      <c r="I104" s="452"/>
      <c r="J104" s="452"/>
      <c r="K104" s="452"/>
      <c r="L104" s="452"/>
      <c r="M104" s="452"/>
      <c r="N104" s="452"/>
      <c r="O104" s="452"/>
      <c r="P104" s="452"/>
      <c r="Q104" s="452"/>
      <c r="R104" s="452"/>
      <c r="S104" s="452"/>
      <c r="T104" s="452"/>
      <c r="U104" s="452"/>
      <c r="V104" s="452"/>
      <c r="W104" s="452"/>
    </row>
    <row r="105" spans="1:23" x14ac:dyDescent="0.2">
      <c r="A105" s="456" t="s">
        <v>550</v>
      </c>
      <c r="B105" s="457" t="s">
        <v>2689</v>
      </c>
      <c r="C105" s="458" t="s">
        <v>54</v>
      </c>
      <c r="D105" s="460" t="s">
        <v>641</v>
      </c>
      <c r="E105" s="540">
        <v>6478070.3922762703</v>
      </c>
      <c r="F105" s="543">
        <v>3202327.4367760979</v>
      </c>
      <c r="G105" s="544">
        <f t="shared" si="4"/>
        <v>0.49433353496655369</v>
      </c>
      <c r="H105" s="452"/>
      <c r="I105" s="452"/>
      <c r="J105" s="452"/>
      <c r="K105" s="452"/>
      <c r="L105" s="452"/>
      <c r="M105" s="452"/>
      <c r="N105" s="452"/>
      <c r="O105" s="452"/>
      <c r="P105" s="452"/>
      <c r="Q105" s="452"/>
      <c r="R105" s="452"/>
      <c r="S105" s="452"/>
      <c r="T105" s="452"/>
      <c r="U105" s="452"/>
      <c r="V105" s="452"/>
      <c r="W105" s="452"/>
    </row>
    <row r="106" spans="1:23" x14ac:dyDescent="0.2">
      <c r="A106" s="456" t="s">
        <v>552</v>
      </c>
      <c r="B106" s="457" t="s">
        <v>708</v>
      </c>
      <c r="C106" s="458" t="s">
        <v>54</v>
      </c>
      <c r="D106" s="459" t="s">
        <v>641</v>
      </c>
      <c r="E106" s="540">
        <v>2565254.8226042041</v>
      </c>
      <c r="F106" s="543">
        <v>1444740.4550044197</v>
      </c>
      <c r="G106" s="544">
        <f t="shared" si="4"/>
        <v>0.56319568811403431</v>
      </c>
      <c r="H106" s="452"/>
      <c r="I106" s="452"/>
      <c r="J106" s="452"/>
      <c r="K106" s="452"/>
      <c r="L106" s="452"/>
      <c r="M106" s="452"/>
      <c r="N106" s="452"/>
      <c r="O106" s="452"/>
      <c r="P106" s="452"/>
      <c r="Q106" s="452"/>
      <c r="R106" s="452"/>
      <c r="S106" s="452"/>
      <c r="T106" s="452"/>
      <c r="U106" s="452"/>
      <c r="V106" s="452"/>
      <c r="W106" s="452"/>
    </row>
    <row r="107" spans="1:23" x14ac:dyDescent="0.2">
      <c r="A107" s="456" t="s">
        <v>553</v>
      </c>
      <c r="B107" s="457" t="s">
        <v>707</v>
      </c>
      <c r="C107" s="458" t="s">
        <v>54</v>
      </c>
      <c r="D107" s="459" t="s">
        <v>641</v>
      </c>
      <c r="E107" s="540">
        <v>1927469.6714345366</v>
      </c>
      <c r="F107" s="543">
        <v>1102399.0480433123</v>
      </c>
      <c r="G107" s="544">
        <f t="shared" si="4"/>
        <v>0.57194106054226101</v>
      </c>
      <c r="H107" s="452"/>
      <c r="I107" s="452"/>
      <c r="J107" s="452"/>
      <c r="K107" s="452"/>
      <c r="L107" s="452"/>
      <c r="M107" s="452"/>
      <c r="N107" s="452"/>
      <c r="O107" s="452"/>
      <c r="P107" s="452"/>
      <c r="Q107" s="452"/>
      <c r="R107" s="452"/>
      <c r="S107" s="452"/>
      <c r="T107" s="452"/>
      <c r="U107" s="452"/>
      <c r="V107" s="452"/>
      <c r="W107" s="452"/>
    </row>
    <row r="108" spans="1:23" x14ac:dyDescent="0.2">
      <c r="A108" s="456" t="s">
        <v>554</v>
      </c>
      <c r="B108" s="457" t="s">
        <v>706</v>
      </c>
      <c r="C108" s="458" t="s">
        <v>54</v>
      </c>
      <c r="D108" s="460" t="s">
        <v>641</v>
      </c>
      <c r="E108" s="540">
        <v>786466.19160719449</v>
      </c>
      <c r="F108" s="543">
        <v>587632.60363788321</v>
      </c>
      <c r="G108" s="544">
        <f t="shared" si="4"/>
        <v>0.7471810103330927</v>
      </c>
      <c r="H108" s="452"/>
      <c r="I108" s="452"/>
      <c r="J108" s="452"/>
      <c r="K108" s="452"/>
      <c r="L108" s="452"/>
      <c r="M108" s="452"/>
      <c r="N108" s="452"/>
      <c r="O108" s="452"/>
      <c r="P108" s="452"/>
      <c r="Q108" s="452"/>
      <c r="R108" s="452"/>
      <c r="S108" s="452"/>
      <c r="T108" s="452"/>
      <c r="U108" s="452"/>
      <c r="V108" s="452"/>
      <c r="W108" s="452"/>
    </row>
    <row r="109" spans="1:23" x14ac:dyDescent="0.2">
      <c r="A109" s="456" t="s">
        <v>556</v>
      </c>
      <c r="B109" s="457" t="s">
        <v>2496</v>
      </c>
      <c r="C109" s="458" t="s">
        <v>40</v>
      </c>
      <c r="D109" s="460" t="s">
        <v>641</v>
      </c>
      <c r="E109" s="540">
        <v>1164204.0462271464</v>
      </c>
      <c r="F109" s="543">
        <v>591921.19910361408</v>
      </c>
      <c r="G109" s="544">
        <f t="shared" si="4"/>
        <v>0.5084342397038234</v>
      </c>
      <c r="H109" s="452"/>
      <c r="I109" s="452"/>
      <c r="J109" s="452"/>
      <c r="K109" s="452"/>
      <c r="L109" s="452"/>
      <c r="M109" s="452"/>
      <c r="N109" s="452"/>
      <c r="O109" s="452"/>
      <c r="P109" s="452"/>
      <c r="Q109" s="452"/>
      <c r="R109" s="452"/>
      <c r="S109" s="452"/>
      <c r="T109" s="452"/>
      <c r="U109" s="452"/>
      <c r="V109" s="452"/>
      <c r="W109" s="452"/>
    </row>
    <row r="110" spans="1:23" x14ac:dyDescent="0.2">
      <c r="A110" s="456" t="s">
        <v>558</v>
      </c>
      <c r="B110" s="457" t="s">
        <v>2690</v>
      </c>
      <c r="C110" s="458" t="s">
        <v>41</v>
      </c>
      <c r="D110" s="460" t="s">
        <v>641</v>
      </c>
      <c r="E110" s="540">
        <v>8539155.218797477</v>
      </c>
      <c r="F110" s="543">
        <v>4765565.8408172727</v>
      </c>
      <c r="G110" s="544">
        <f t="shared" si="4"/>
        <v>0.55808399293722888</v>
      </c>
      <c r="H110" s="452"/>
      <c r="I110" s="452"/>
      <c r="J110" s="452"/>
      <c r="K110" s="452"/>
      <c r="L110" s="452"/>
      <c r="M110" s="452"/>
      <c r="N110" s="452"/>
      <c r="O110" s="452"/>
      <c r="P110" s="452"/>
      <c r="Q110" s="452"/>
      <c r="R110" s="452"/>
      <c r="S110" s="452"/>
      <c r="T110" s="452"/>
      <c r="U110" s="452"/>
      <c r="V110" s="452"/>
      <c r="W110" s="452"/>
    </row>
    <row r="111" spans="1:23" x14ac:dyDescent="0.2">
      <c r="A111" s="456" t="s">
        <v>560</v>
      </c>
      <c r="B111" s="457" t="s">
        <v>2691</v>
      </c>
      <c r="C111" s="458" t="s">
        <v>40</v>
      </c>
      <c r="D111" s="460" t="s">
        <v>641</v>
      </c>
      <c r="E111" s="540">
        <v>2588973.8476620531</v>
      </c>
      <c r="F111" s="543">
        <v>599445.63523364323</v>
      </c>
      <c r="G111" s="544">
        <f t="shared" si="4"/>
        <v>0.23153792603002407</v>
      </c>
      <c r="H111" s="452"/>
      <c r="I111" s="452"/>
      <c r="J111" s="452"/>
      <c r="K111" s="452"/>
      <c r="L111" s="452"/>
      <c r="M111" s="452"/>
      <c r="N111" s="452"/>
      <c r="O111" s="452"/>
      <c r="P111" s="452"/>
      <c r="Q111" s="452"/>
      <c r="R111" s="452"/>
      <c r="S111" s="452"/>
      <c r="T111" s="452"/>
      <c r="U111" s="452"/>
      <c r="V111" s="452"/>
      <c r="W111" s="452"/>
    </row>
    <row r="112" spans="1:23" x14ac:dyDescent="0.2">
      <c r="A112" s="456" t="s">
        <v>563</v>
      </c>
      <c r="B112" s="457" t="s">
        <v>704</v>
      </c>
      <c r="C112" s="458" t="s">
        <v>40</v>
      </c>
      <c r="D112" s="460" t="s">
        <v>641</v>
      </c>
      <c r="E112" s="540">
        <v>1292571.5559140895</v>
      </c>
      <c r="F112" s="543">
        <v>224063.73810781981</v>
      </c>
      <c r="G112" s="544">
        <f t="shared" si="4"/>
        <v>0.17334726041481308</v>
      </c>
      <c r="H112" s="452"/>
      <c r="I112" s="452"/>
      <c r="J112" s="452"/>
      <c r="K112" s="452"/>
      <c r="L112" s="452"/>
      <c r="M112" s="452"/>
      <c r="N112" s="452"/>
      <c r="O112" s="452"/>
      <c r="P112" s="452"/>
      <c r="Q112" s="452"/>
      <c r="R112" s="452"/>
      <c r="S112" s="452"/>
      <c r="T112" s="452"/>
      <c r="U112" s="452"/>
      <c r="V112" s="452"/>
      <c r="W112" s="452"/>
    </row>
    <row r="113" spans="1:23" x14ac:dyDescent="0.2">
      <c r="A113" s="456" t="s">
        <v>565</v>
      </c>
      <c r="B113" s="457" t="s">
        <v>702</v>
      </c>
      <c r="C113" s="458" t="s">
        <v>40</v>
      </c>
      <c r="D113" s="460" t="s">
        <v>641</v>
      </c>
      <c r="E113" s="540">
        <v>4050754.5602235808</v>
      </c>
      <c r="F113" s="543">
        <v>2259667.6975110071</v>
      </c>
      <c r="G113" s="544">
        <f t="shared" si="4"/>
        <v>0.55783870978010697</v>
      </c>
      <c r="H113" s="452"/>
      <c r="I113" s="452"/>
      <c r="J113" s="452"/>
      <c r="K113" s="452"/>
      <c r="L113" s="452"/>
      <c r="M113" s="452"/>
      <c r="N113" s="452"/>
      <c r="O113" s="452"/>
      <c r="P113" s="452"/>
      <c r="Q113" s="452"/>
      <c r="R113" s="452"/>
      <c r="S113" s="452"/>
      <c r="T113" s="452"/>
      <c r="U113" s="452"/>
      <c r="V113" s="452"/>
      <c r="W113" s="452"/>
    </row>
    <row r="114" spans="1:23" x14ac:dyDescent="0.2">
      <c r="A114" s="456" t="s">
        <v>567</v>
      </c>
      <c r="B114" s="457" t="s">
        <v>2497</v>
      </c>
      <c r="C114" s="458" t="s">
        <v>41</v>
      </c>
      <c r="D114" s="459" t="s">
        <v>641</v>
      </c>
      <c r="E114" s="540">
        <v>56223720.886387639</v>
      </c>
      <c r="F114" s="543">
        <v>25423583.260888856</v>
      </c>
      <c r="G114" s="544">
        <f t="shared" si="4"/>
        <v>0.45218606773220832</v>
      </c>
      <c r="H114" s="452"/>
      <c r="I114" s="452"/>
      <c r="J114" s="452"/>
      <c r="K114" s="452"/>
      <c r="L114" s="452"/>
      <c r="M114" s="452"/>
      <c r="N114" s="452"/>
      <c r="O114" s="452"/>
      <c r="P114" s="452"/>
      <c r="Q114" s="452"/>
      <c r="R114" s="452"/>
      <c r="S114" s="452"/>
      <c r="T114" s="452"/>
      <c r="U114" s="452"/>
      <c r="V114" s="452"/>
      <c r="W114" s="452"/>
    </row>
    <row r="115" spans="1:23" x14ac:dyDescent="0.2">
      <c r="A115" s="456" t="s">
        <v>569</v>
      </c>
      <c r="B115" s="457" t="s">
        <v>2498</v>
      </c>
      <c r="C115" s="458" t="s">
        <v>41</v>
      </c>
      <c r="D115" s="459" t="s">
        <v>641</v>
      </c>
      <c r="E115" s="540">
        <v>16570070.1872811</v>
      </c>
      <c r="F115" s="543">
        <v>11206653.023994189</v>
      </c>
      <c r="G115" s="544">
        <f t="shared" si="4"/>
        <v>0.67631898340395824</v>
      </c>
      <c r="H115" s="452"/>
      <c r="I115" s="452"/>
      <c r="J115" s="452"/>
      <c r="K115" s="452"/>
      <c r="L115" s="452"/>
      <c r="M115" s="452"/>
      <c r="N115" s="452"/>
      <c r="O115" s="452"/>
      <c r="P115" s="452"/>
      <c r="Q115" s="452"/>
      <c r="R115" s="452"/>
      <c r="S115" s="452"/>
      <c r="T115" s="452"/>
      <c r="U115" s="452"/>
      <c r="V115" s="452"/>
      <c r="W115" s="452"/>
    </row>
    <row r="116" spans="1:23" x14ac:dyDescent="0.2">
      <c r="A116" s="456" t="s">
        <v>579</v>
      </c>
      <c r="B116" s="457" t="s">
        <v>2692</v>
      </c>
      <c r="C116" s="458" t="s">
        <v>40</v>
      </c>
      <c r="D116" s="460" t="s">
        <v>641</v>
      </c>
      <c r="E116" s="540">
        <v>2011614.5314359325</v>
      </c>
      <c r="F116" s="543">
        <v>654529.87113117054</v>
      </c>
      <c r="G116" s="544">
        <f t="shared" si="4"/>
        <v>0.3253753941934161</v>
      </c>
      <c r="H116" s="452"/>
      <c r="I116" s="452"/>
      <c r="J116" s="452"/>
      <c r="K116" s="452"/>
      <c r="L116" s="452"/>
      <c r="M116" s="452"/>
      <c r="N116" s="452"/>
      <c r="O116" s="452"/>
      <c r="P116" s="452"/>
      <c r="Q116" s="452"/>
      <c r="R116" s="452"/>
      <c r="S116" s="452"/>
      <c r="T116" s="452"/>
      <c r="U116" s="452"/>
      <c r="V116" s="452"/>
      <c r="W116" s="452"/>
    </row>
    <row r="117" spans="1:23" x14ac:dyDescent="0.2">
      <c r="A117" s="456" t="s">
        <v>581</v>
      </c>
      <c r="B117" s="457" t="s">
        <v>2693</v>
      </c>
      <c r="C117" s="458" t="s">
        <v>40</v>
      </c>
      <c r="D117" s="460" t="s">
        <v>641</v>
      </c>
      <c r="E117" s="540">
        <v>5124251.777921794</v>
      </c>
      <c r="F117" s="543">
        <v>2841198.6041656365</v>
      </c>
      <c r="G117" s="544">
        <f t="shared" si="4"/>
        <v>0.55446116375607157</v>
      </c>
      <c r="H117" s="452"/>
      <c r="I117" s="452"/>
      <c r="J117" s="452"/>
      <c r="K117" s="452"/>
      <c r="L117" s="452"/>
      <c r="M117" s="452"/>
      <c r="N117" s="452"/>
      <c r="O117" s="452"/>
      <c r="P117" s="452"/>
      <c r="Q117" s="452"/>
      <c r="R117" s="452"/>
      <c r="S117" s="452"/>
      <c r="T117" s="452"/>
      <c r="U117" s="452"/>
      <c r="V117" s="452"/>
      <c r="W117" s="452"/>
    </row>
    <row r="118" spans="1:23" x14ac:dyDescent="0.2">
      <c r="A118" s="456" t="s">
        <v>584</v>
      </c>
      <c r="B118" s="457" t="s">
        <v>2499</v>
      </c>
      <c r="C118" s="458" t="s">
        <v>55</v>
      </c>
      <c r="D118" s="460" t="s">
        <v>683</v>
      </c>
      <c r="E118" s="540">
        <v>1560000.0000000005</v>
      </c>
      <c r="F118" s="543">
        <v>1423307.7138270864</v>
      </c>
      <c r="G118" s="544">
        <f t="shared" si="4"/>
        <v>0.91237673963274746</v>
      </c>
      <c r="H118" s="452"/>
      <c r="I118" s="452"/>
      <c r="J118" s="452"/>
      <c r="K118" s="452"/>
      <c r="L118" s="452"/>
      <c r="M118" s="452"/>
      <c r="N118" s="452"/>
      <c r="O118" s="452"/>
      <c r="P118" s="452"/>
      <c r="Q118" s="452"/>
      <c r="R118" s="452"/>
      <c r="S118" s="452"/>
      <c r="T118" s="452"/>
      <c r="U118" s="452"/>
      <c r="V118" s="452"/>
      <c r="W118" s="452"/>
    </row>
    <row r="119" spans="1:23" x14ac:dyDescent="0.2">
      <c r="A119" s="456" t="s">
        <v>585</v>
      </c>
      <c r="B119" s="457" t="s">
        <v>2500</v>
      </c>
      <c r="C119" s="458" t="s">
        <v>55</v>
      </c>
      <c r="D119" s="460" t="s">
        <v>683</v>
      </c>
      <c r="E119" s="540">
        <v>310000.00000000006</v>
      </c>
      <c r="F119" s="543">
        <v>226269.43142892141</v>
      </c>
      <c r="G119" s="544">
        <f t="shared" si="4"/>
        <v>0.72990139170619794</v>
      </c>
      <c r="H119" s="452"/>
      <c r="I119" s="452"/>
      <c r="J119" s="452"/>
      <c r="K119" s="452"/>
      <c r="L119" s="452"/>
      <c r="M119" s="452"/>
      <c r="N119" s="452"/>
      <c r="O119" s="452"/>
      <c r="P119" s="452"/>
      <c r="Q119" s="452"/>
      <c r="R119" s="452"/>
      <c r="S119" s="452"/>
      <c r="T119" s="452"/>
      <c r="U119" s="452"/>
      <c r="V119" s="452"/>
      <c r="W119" s="452"/>
    </row>
    <row r="120" spans="1:23" x14ac:dyDescent="0.2">
      <c r="A120" s="456" t="s">
        <v>590</v>
      </c>
      <c r="B120" s="457" t="s">
        <v>687</v>
      </c>
      <c r="C120" s="458" t="s">
        <v>40</v>
      </c>
      <c r="D120" s="460" t="s">
        <v>685</v>
      </c>
      <c r="E120" s="540">
        <v>1000176.2233333336</v>
      </c>
      <c r="F120" s="543">
        <v>730062.17377651215</v>
      </c>
      <c r="G120" s="544">
        <f t="shared" si="4"/>
        <v>0.72993354245454878</v>
      </c>
      <c r="H120" s="452"/>
      <c r="I120" s="452"/>
      <c r="J120" s="452"/>
      <c r="K120" s="452"/>
      <c r="L120" s="452"/>
      <c r="M120" s="452"/>
      <c r="N120" s="452"/>
      <c r="O120" s="452"/>
      <c r="P120" s="452"/>
      <c r="Q120" s="452"/>
      <c r="R120" s="452"/>
      <c r="S120" s="452"/>
      <c r="T120" s="452"/>
      <c r="U120" s="452"/>
      <c r="V120" s="452"/>
      <c r="W120" s="452"/>
    </row>
    <row r="121" spans="1:23" x14ac:dyDescent="0.2">
      <c r="A121" s="456" t="s">
        <v>592</v>
      </c>
      <c r="B121" s="457" t="s">
        <v>2694</v>
      </c>
      <c r="C121" s="458" t="s">
        <v>40</v>
      </c>
      <c r="D121" s="460" t="s">
        <v>685</v>
      </c>
      <c r="E121" s="540">
        <v>1049655.2431666674</v>
      </c>
      <c r="F121" s="543">
        <v>775205.68057227309</v>
      </c>
      <c r="G121" s="544">
        <f t="shared" si="4"/>
        <v>0.73853361436425813</v>
      </c>
      <c r="H121" s="452"/>
      <c r="I121" s="452"/>
      <c r="J121" s="452"/>
      <c r="K121" s="452"/>
      <c r="L121" s="452"/>
      <c r="M121" s="452"/>
      <c r="N121" s="452"/>
      <c r="O121" s="452"/>
      <c r="P121" s="452"/>
      <c r="Q121" s="452"/>
      <c r="R121" s="452"/>
      <c r="S121" s="452"/>
      <c r="T121" s="452"/>
      <c r="U121" s="452"/>
      <c r="V121" s="452"/>
      <c r="W121" s="452"/>
    </row>
    <row r="122" spans="1:23" x14ac:dyDescent="0.2">
      <c r="A122" s="456" t="s">
        <v>594</v>
      </c>
      <c r="B122" s="457" t="s">
        <v>2695</v>
      </c>
      <c r="C122" s="458" t="s">
        <v>40</v>
      </c>
      <c r="D122" s="460" t="s">
        <v>685</v>
      </c>
      <c r="E122" s="540">
        <v>399747.83000000031</v>
      </c>
      <c r="F122" s="543">
        <v>291730.48264004622</v>
      </c>
      <c r="G122" s="544">
        <f t="shared" si="4"/>
        <v>0.72978628211701857</v>
      </c>
      <c r="H122" s="452"/>
      <c r="I122" s="452"/>
      <c r="J122" s="452"/>
      <c r="K122" s="452"/>
      <c r="L122" s="452"/>
      <c r="M122" s="452"/>
      <c r="N122" s="452"/>
      <c r="O122" s="452"/>
      <c r="P122" s="452"/>
      <c r="Q122" s="452"/>
      <c r="R122" s="452"/>
      <c r="S122" s="452"/>
      <c r="T122" s="452"/>
      <c r="U122" s="452"/>
      <c r="V122" s="452"/>
      <c r="W122" s="452"/>
    </row>
    <row r="123" spans="1:23" x14ac:dyDescent="0.2">
      <c r="A123" s="456" t="s">
        <v>596</v>
      </c>
      <c r="B123" s="457" t="s">
        <v>2696</v>
      </c>
      <c r="C123" s="458" t="s">
        <v>40</v>
      </c>
      <c r="D123" s="460" t="s">
        <v>685</v>
      </c>
      <c r="E123" s="540">
        <v>10399350.342041129</v>
      </c>
      <c r="F123" s="543">
        <v>6094223.534775666</v>
      </c>
      <c r="G123" s="544">
        <f t="shared" si="4"/>
        <v>0.58601963914406641</v>
      </c>
      <c r="H123" s="452"/>
      <c r="I123" s="452"/>
      <c r="J123" s="452"/>
      <c r="K123" s="452"/>
      <c r="L123" s="452"/>
      <c r="M123" s="452"/>
      <c r="N123" s="452"/>
      <c r="O123" s="452"/>
      <c r="P123" s="452"/>
      <c r="Q123" s="452"/>
      <c r="R123" s="452"/>
      <c r="S123" s="452"/>
      <c r="T123" s="452"/>
      <c r="U123" s="452"/>
      <c r="V123" s="452"/>
      <c r="W123" s="452"/>
    </row>
    <row r="124" spans="1:23" x14ac:dyDescent="0.2">
      <c r="A124" s="456" t="s">
        <v>598</v>
      </c>
      <c r="B124" s="457" t="s">
        <v>2501</v>
      </c>
      <c r="C124" s="458" t="s">
        <v>41</v>
      </c>
      <c r="D124" s="459" t="s">
        <v>683</v>
      </c>
      <c r="E124" s="540">
        <v>380000.00000000023</v>
      </c>
      <c r="F124" s="543">
        <v>277362.52884835534</v>
      </c>
      <c r="G124" s="544">
        <f t="shared" si="4"/>
        <v>0.72990139170619783</v>
      </c>
      <c r="H124" s="452"/>
      <c r="I124" s="452"/>
      <c r="J124" s="452"/>
      <c r="K124" s="452"/>
      <c r="L124" s="452"/>
      <c r="M124" s="452"/>
      <c r="N124" s="452"/>
      <c r="O124" s="452"/>
      <c r="P124" s="452"/>
      <c r="Q124" s="452"/>
      <c r="R124" s="452"/>
      <c r="S124" s="452"/>
      <c r="T124" s="452"/>
      <c r="U124" s="452"/>
      <c r="V124" s="452"/>
      <c r="W124" s="452"/>
    </row>
    <row r="125" spans="1:23" x14ac:dyDescent="0.2">
      <c r="A125" s="456" t="s">
        <v>600</v>
      </c>
      <c r="B125" s="457" t="s">
        <v>2502</v>
      </c>
      <c r="C125" s="458" t="s">
        <v>55</v>
      </c>
      <c r="D125" s="460" t="s">
        <v>683</v>
      </c>
      <c r="E125" s="540">
        <v>310000.00000000023</v>
      </c>
      <c r="F125" s="543">
        <v>282836.78928615188</v>
      </c>
      <c r="G125" s="544">
        <f t="shared" si="4"/>
        <v>0.91237673963274735</v>
      </c>
      <c r="H125" s="452"/>
      <c r="I125" s="452"/>
      <c r="J125" s="452"/>
      <c r="K125" s="452"/>
      <c r="L125" s="452"/>
      <c r="M125" s="452"/>
      <c r="N125" s="452"/>
      <c r="O125" s="452"/>
      <c r="P125" s="452"/>
      <c r="Q125" s="452"/>
      <c r="R125" s="452"/>
      <c r="S125" s="452"/>
      <c r="T125" s="452"/>
      <c r="U125" s="452"/>
      <c r="V125" s="452"/>
      <c r="W125" s="452"/>
    </row>
    <row r="126" spans="1:23" x14ac:dyDescent="0.2">
      <c r="A126" s="456" t="s">
        <v>601</v>
      </c>
      <c r="B126" s="457" t="s">
        <v>2503</v>
      </c>
      <c r="C126" s="458" t="s">
        <v>55</v>
      </c>
      <c r="D126" s="460" t="s">
        <v>683</v>
      </c>
      <c r="E126" s="540">
        <v>674999.99999999988</v>
      </c>
      <c r="F126" s="543">
        <v>615854.29925210436</v>
      </c>
      <c r="G126" s="544">
        <f t="shared" si="4"/>
        <v>0.91237673963274735</v>
      </c>
      <c r="H126" s="452"/>
      <c r="I126" s="452"/>
      <c r="J126" s="452"/>
      <c r="K126" s="452"/>
      <c r="L126" s="452"/>
      <c r="M126" s="452"/>
      <c r="N126" s="452"/>
      <c r="O126" s="452"/>
      <c r="P126" s="452"/>
      <c r="Q126" s="452"/>
      <c r="R126" s="452"/>
      <c r="S126" s="452"/>
      <c r="T126" s="452"/>
      <c r="U126" s="452"/>
      <c r="V126" s="452"/>
      <c r="W126" s="452"/>
    </row>
    <row r="127" spans="1:23" x14ac:dyDescent="0.2">
      <c r="A127" s="456" t="s">
        <v>602</v>
      </c>
      <c r="B127" s="457" t="s">
        <v>2504</v>
      </c>
      <c r="C127" s="458" t="s">
        <v>55</v>
      </c>
      <c r="D127" s="460" t="s">
        <v>683</v>
      </c>
      <c r="E127" s="540">
        <v>1100000.0000000014</v>
      </c>
      <c r="F127" s="543">
        <v>1003614.4135960233</v>
      </c>
      <c r="G127" s="544">
        <f t="shared" si="4"/>
        <v>0.91237673963274735</v>
      </c>
      <c r="H127" s="452"/>
      <c r="I127" s="452"/>
      <c r="J127" s="452"/>
      <c r="K127" s="452"/>
      <c r="L127" s="452"/>
      <c r="M127" s="452"/>
      <c r="N127" s="452"/>
      <c r="O127" s="452"/>
      <c r="P127" s="452"/>
      <c r="Q127" s="452"/>
      <c r="R127" s="452"/>
      <c r="S127" s="452"/>
      <c r="T127" s="452"/>
      <c r="U127" s="452"/>
      <c r="V127" s="452"/>
      <c r="W127" s="452"/>
    </row>
    <row r="128" spans="1:23" x14ac:dyDescent="0.2">
      <c r="A128" s="456" t="s">
        <v>603</v>
      </c>
      <c r="B128" s="457" t="s">
        <v>2505</v>
      </c>
      <c r="C128" s="458" t="s">
        <v>55</v>
      </c>
      <c r="D128" s="459" t="s">
        <v>683</v>
      </c>
      <c r="E128" s="540">
        <v>490000.00000000035</v>
      </c>
      <c r="F128" s="543">
        <v>357651.68193603726</v>
      </c>
      <c r="G128" s="544">
        <f t="shared" si="4"/>
        <v>0.72990139170619794</v>
      </c>
      <c r="H128" s="452"/>
      <c r="I128" s="452"/>
      <c r="J128" s="452"/>
      <c r="K128" s="452"/>
      <c r="L128" s="452"/>
      <c r="M128" s="452"/>
      <c r="N128" s="452"/>
      <c r="O128" s="452"/>
      <c r="P128" s="452"/>
      <c r="Q128" s="452"/>
      <c r="R128" s="452"/>
      <c r="S128" s="452"/>
      <c r="T128" s="452"/>
      <c r="U128" s="452"/>
      <c r="V128" s="452"/>
      <c r="W128" s="452"/>
    </row>
    <row r="129" spans="1:23" x14ac:dyDescent="0.2">
      <c r="A129" s="456" t="s">
        <v>605</v>
      </c>
      <c r="B129" s="457" t="s">
        <v>2506</v>
      </c>
      <c r="C129" s="458" t="s">
        <v>55</v>
      </c>
      <c r="D129" s="460" t="s">
        <v>683</v>
      </c>
      <c r="E129" s="540">
        <v>452250.00000000023</v>
      </c>
      <c r="F129" s="543">
        <v>330508.47393196292</v>
      </c>
      <c r="G129" s="544">
        <f t="shared" si="4"/>
        <v>0.73080922925807135</v>
      </c>
      <c r="H129" s="452"/>
      <c r="I129" s="452"/>
      <c r="J129" s="452"/>
      <c r="K129" s="452"/>
      <c r="L129" s="452"/>
      <c r="M129" s="452"/>
      <c r="N129" s="452"/>
      <c r="O129" s="452"/>
      <c r="P129" s="452"/>
      <c r="Q129" s="452"/>
      <c r="R129" s="452"/>
      <c r="S129" s="452"/>
      <c r="T129" s="452"/>
      <c r="U129" s="452"/>
      <c r="V129" s="452"/>
      <c r="W129" s="452"/>
    </row>
    <row r="130" spans="1:23" x14ac:dyDescent="0.2">
      <c r="A130" s="456" t="s">
        <v>606</v>
      </c>
      <c r="B130" s="457" t="s">
        <v>2507</v>
      </c>
      <c r="C130" s="458" t="s">
        <v>55</v>
      </c>
      <c r="D130" s="460" t="s">
        <v>683</v>
      </c>
      <c r="E130" s="540">
        <v>550000.00000000012</v>
      </c>
      <c r="F130" s="543">
        <v>401445.76543840894</v>
      </c>
      <c r="G130" s="544">
        <f t="shared" si="4"/>
        <v>0.72990139170619794</v>
      </c>
      <c r="H130" s="452"/>
      <c r="I130" s="452"/>
      <c r="J130" s="452"/>
      <c r="K130" s="452"/>
      <c r="L130" s="452"/>
      <c r="M130" s="452"/>
      <c r="N130" s="452"/>
      <c r="O130" s="452"/>
      <c r="P130" s="452"/>
      <c r="Q130" s="452"/>
      <c r="R130" s="452"/>
      <c r="S130" s="452"/>
      <c r="T130" s="452"/>
      <c r="U130" s="452"/>
      <c r="V130" s="452"/>
      <c r="W130" s="452"/>
    </row>
    <row r="131" spans="1:23" x14ac:dyDescent="0.2">
      <c r="A131" s="456" t="s">
        <v>607</v>
      </c>
      <c r="B131" s="457" t="s">
        <v>2508</v>
      </c>
      <c r="C131" s="458" t="s">
        <v>55</v>
      </c>
      <c r="D131" s="460" t="s">
        <v>683</v>
      </c>
      <c r="E131" s="540">
        <v>260000.00000000009</v>
      </c>
      <c r="F131" s="543">
        <v>189774.36184361149</v>
      </c>
      <c r="G131" s="544">
        <f t="shared" si="4"/>
        <v>0.72990139170619783</v>
      </c>
      <c r="H131" s="452"/>
      <c r="I131" s="452"/>
      <c r="J131" s="452"/>
      <c r="K131" s="452"/>
      <c r="L131" s="452"/>
      <c r="M131" s="452"/>
      <c r="N131" s="452"/>
      <c r="O131" s="452"/>
      <c r="P131" s="452"/>
      <c r="Q131" s="452"/>
      <c r="R131" s="452"/>
      <c r="S131" s="452"/>
      <c r="T131" s="452"/>
      <c r="U131" s="452"/>
      <c r="V131" s="452"/>
      <c r="W131" s="452"/>
    </row>
    <row r="132" spans="1:23" x14ac:dyDescent="0.2">
      <c r="A132" s="456" t="s">
        <v>610</v>
      </c>
      <c r="B132" s="457" t="s">
        <v>2509</v>
      </c>
      <c r="C132" s="458" t="s">
        <v>55</v>
      </c>
      <c r="D132" s="460" t="s">
        <v>683</v>
      </c>
      <c r="E132" s="540">
        <v>619674.6436666667</v>
      </c>
      <c r="F132" s="543">
        <v>457898.75109294034</v>
      </c>
      <c r="G132" s="544">
        <f t="shared" si="4"/>
        <v>0.73893414192892437</v>
      </c>
      <c r="H132" s="452"/>
      <c r="I132" s="452"/>
      <c r="J132" s="452"/>
      <c r="K132" s="452"/>
      <c r="L132" s="452"/>
      <c r="M132" s="452"/>
      <c r="N132" s="452"/>
      <c r="O132" s="452"/>
      <c r="P132" s="452"/>
      <c r="Q132" s="452"/>
      <c r="R132" s="452"/>
      <c r="S132" s="452"/>
      <c r="T132" s="452"/>
      <c r="U132" s="452"/>
      <c r="V132" s="452"/>
      <c r="W132" s="452"/>
    </row>
    <row r="133" spans="1:23" x14ac:dyDescent="0.2">
      <c r="A133" s="456" t="s">
        <v>611</v>
      </c>
      <c r="B133" s="457" t="s">
        <v>2510</v>
      </c>
      <c r="C133" s="458" t="s">
        <v>55</v>
      </c>
      <c r="D133" s="460" t="s">
        <v>683</v>
      </c>
      <c r="E133" s="540">
        <v>800368.37491666619</v>
      </c>
      <c r="F133" s="543">
        <v>591556.22398745082</v>
      </c>
      <c r="G133" s="544">
        <f t="shared" si="4"/>
        <v>0.73910494533100868</v>
      </c>
      <c r="H133" s="452"/>
      <c r="I133" s="452"/>
      <c r="J133" s="452"/>
      <c r="K133" s="452"/>
      <c r="L133" s="452"/>
      <c r="M133" s="452"/>
      <c r="N133" s="452"/>
      <c r="O133" s="452"/>
      <c r="P133" s="452"/>
      <c r="Q133" s="452"/>
      <c r="R133" s="452"/>
      <c r="S133" s="452"/>
      <c r="T133" s="452"/>
      <c r="U133" s="452"/>
      <c r="V133" s="452"/>
      <c r="W133" s="452"/>
    </row>
    <row r="134" spans="1:23" x14ac:dyDescent="0.2">
      <c r="A134" s="456" t="s">
        <v>612</v>
      </c>
      <c r="B134" s="457" t="s">
        <v>2511</v>
      </c>
      <c r="C134" s="458" t="s">
        <v>28</v>
      </c>
      <c r="D134" s="459" t="s">
        <v>683</v>
      </c>
      <c r="E134" s="540">
        <v>480000.0000000007</v>
      </c>
      <c r="F134" s="543">
        <v>437940.83502371935</v>
      </c>
      <c r="G134" s="544">
        <f t="shared" si="4"/>
        <v>0.91237673963274735</v>
      </c>
      <c r="H134" s="452"/>
      <c r="I134" s="452"/>
      <c r="J134" s="452"/>
      <c r="K134" s="452"/>
      <c r="L134" s="452"/>
      <c r="M134" s="452"/>
      <c r="N134" s="452"/>
      <c r="O134" s="452"/>
      <c r="P134" s="452"/>
      <c r="Q134" s="452"/>
      <c r="R134" s="452"/>
      <c r="S134" s="452"/>
      <c r="T134" s="452"/>
      <c r="U134" s="452"/>
      <c r="V134" s="452"/>
      <c r="W134" s="452"/>
    </row>
    <row r="135" spans="1:23" x14ac:dyDescent="0.2">
      <c r="A135" s="456" t="s">
        <v>614</v>
      </c>
      <c r="B135" s="457" t="s">
        <v>2512</v>
      </c>
      <c r="C135" s="458" t="s">
        <v>55</v>
      </c>
      <c r="D135" s="460" t="s">
        <v>683</v>
      </c>
      <c r="E135" s="540">
        <v>3410406.3059166661</v>
      </c>
      <c r="F135" s="543">
        <v>2489334.4497856759</v>
      </c>
      <c r="G135" s="544">
        <f t="shared" si="4"/>
        <v>0.72992313128994757</v>
      </c>
      <c r="H135" s="452"/>
      <c r="I135" s="452"/>
      <c r="J135" s="452"/>
      <c r="K135" s="452"/>
      <c r="L135" s="452"/>
      <c r="M135" s="452"/>
      <c r="N135" s="452"/>
      <c r="O135" s="452"/>
      <c r="P135" s="452"/>
      <c r="Q135" s="452"/>
      <c r="R135" s="452"/>
      <c r="S135" s="452"/>
      <c r="T135" s="452"/>
      <c r="U135" s="452"/>
      <c r="V135" s="452"/>
      <c r="W135" s="452"/>
    </row>
    <row r="136" spans="1:23" x14ac:dyDescent="0.2">
      <c r="A136" s="456" t="s">
        <v>619</v>
      </c>
      <c r="B136" s="457" t="s">
        <v>2697</v>
      </c>
      <c r="C136" s="458"/>
      <c r="D136" s="460" t="s">
        <v>670</v>
      </c>
      <c r="E136" s="540">
        <v>1510742.8533333337</v>
      </c>
      <c r="F136" s="543">
        <v>1378366.6389477409</v>
      </c>
      <c r="G136" s="544">
        <f t="shared" ref="G136:G176" si="5">F136/E136</f>
        <v>0.91237673963274735</v>
      </c>
      <c r="H136" s="452"/>
      <c r="I136" s="452"/>
      <c r="J136" s="452"/>
      <c r="K136" s="452"/>
      <c r="L136" s="452"/>
      <c r="M136" s="452"/>
      <c r="N136" s="452"/>
      <c r="O136" s="452"/>
      <c r="P136" s="452"/>
      <c r="Q136" s="452"/>
      <c r="R136" s="452"/>
      <c r="S136" s="452"/>
      <c r="T136" s="452"/>
      <c r="U136" s="452"/>
      <c r="V136" s="452"/>
      <c r="W136" s="452"/>
    </row>
    <row r="137" spans="1:23" x14ac:dyDescent="0.2">
      <c r="A137" s="456" t="s">
        <v>2397</v>
      </c>
      <c r="B137" s="457" t="s">
        <v>2513</v>
      </c>
      <c r="C137" s="458" t="s">
        <v>41</v>
      </c>
      <c r="D137" s="460" t="s">
        <v>641</v>
      </c>
      <c r="E137" s="540">
        <v>33674305.863786973</v>
      </c>
      <c r="F137" s="543">
        <v>17472882.590532877</v>
      </c>
      <c r="G137" s="544">
        <f t="shared" si="5"/>
        <v>0.51887877544413019</v>
      </c>
      <c r="H137" s="452"/>
      <c r="I137" s="452"/>
      <c r="J137" s="452"/>
      <c r="K137" s="452"/>
      <c r="L137" s="452"/>
      <c r="M137" s="452"/>
      <c r="N137" s="452"/>
      <c r="O137" s="452"/>
      <c r="P137" s="452"/>
      <c r="Q137" s="452"/>
      <c r="R137" s="452"/>
      <c r="S137" s="452"/>
      <c r="T137" s="452"/>
      <c r="U137" s="452"/>
      <c r="V137" s="452"/>
      <c r="W137" s="452"/>
    </row>
    <row r="138" spans="1:23" x14ac:dyDescent="0.2">
      <c r="A138" s="456" t="s">
        <v>2514</v>
      </c>
      <c r="B138" s="457" t="s">
        <v>665</v>
      </c>
      <c r="C138" s="458" t="s">
        <v>41</v>
      </c>
      <c r="D138" s="460"/>
      <c r="E138" s="540">
        <v>1519072.4443336658</v>
      </c>
      <c r="F138" s="543">
        <v>1026066.4915852279</v>
      </c>
      <c r="G138" s="544">
        <f t="shared" si="5"/>
        <v>0.67545593063226639</v>
      </c>
      <c r="H138" s="452"/>
      <c r="I138" s="452"/>
      <c r="J138" s="452"/>
      <c r="K138" s="452"/>
      <c r="L138" s="452"/>
      <c r="M138" s="452"/>
      <c r="N138" s="452"/>
      <c r="O138" s="452"/>
      <c r="P138" s="452"/>
      <c r="Q138" s="452"/>
      <c r="R138" s="452"/>
      <c r="S138" s="452"/>
      <c r="T138" s="452"/>
      <c r="U138" s="452"/>
      <c r="V138" s="452"/>
      <c r="W138" s="452"/>
    </row>
    <row r="139" spans="1:23" x14ac:dyDescent="0.2">
      <c r="A139" s="456" t="s">
        <v>2515</v>
      </c>
      <c r="B139" s="457" t="s">
        <v>662</v>
      </c>
      <c r="C139" s="458" t="s">
        <v>41</v>
      </c>
      <c r="D139" s="460" t="s">
        <v>641</v>
      </c>
      <c r="E139" s="540">
        <v>3898527.313977581</v>
      </c>
      <c r="F139" s="543">
        <v>2630294.0952420938</v>
      </c>
      <c r="G139" s="544">
        <f t="shared" si="5"/>
        <v>0.67468915398170271</v>
      </c>
      <c r="H139" s="452"/>
      <c r="I139" s="452"/>
      <c r="J139" s="452"/>
      <c r="K139" s="452"/>
      <c r="L139" s="452"/>
      <c r="M139" s="452"/>
      <c r="N139" s="452"/>
      <c r="O139" s="452"/>
      <c r="P139" s="452"/>
      <c r="Q139" s="452"/>
      <c r="R139" s="452"/>
      <c r="S139" s="452"/>
      <c r="T139" s="452"/>
      <c r="U139" s="452"/>
      <c r="V139" s="452"/>
      <c r="W139" s="452"/>
    </row>
    <row r="140" spans="1:23" x14ac:dyDescent="0.2">
      <c r="A140" s="456" t="s">
        <v>2516</v>
      </c>
      <c r="B140" s="457" t="s">
        <v>661</v>
      </c>
      <c r="C140" s="458" t="s">
        <v>41</v>
      </c>
      <c r="D140" s="460" t="s">
        <v>641</v>
      </c>
      <c r="E140" s="540">
        <v>1570175.3270355244</v>
      </c>
      <c r="F140" s="543">
        <v>1059228.0822669475</v>
      </c>
      <c r="G140" s="544">
        <f t="shared" si="5"/>
        <v>0.67459223440146632</v>
      </c>
      <c r="H140" s="452"/>
      <c r="I140" s="452"/>
      <c r="J140" s="452"/>
      <c r="K140" s="452"/>
      <c r="L140" s="452"/>
      <c r="M140" s="452"/>
      <c r="N140" s="452"/>
      <c r="O140" s="452"/>
      <c r="P140" s="452"/>
      <c r="Q140" s="452"/>
      <c r="R140" s="452"/>
      <c r="S140" s="452"/>
      <c r="T140" s="452"/>
      <c r="U140" s="452"/>
      <c r="V140" s="452"/>
      <c r="W140" s="452"/>
    </row>
    <row r="141" spans="1:23" x14ac:dyDescent="0.2">
      <c r="A141" s="456" t="s">
        <v>2517</v>
      </c>
      <c r="B141" s="457" t="s">
        <v>660</v>
      </c>
      <c r="C141" s="458" t="s">
        <v>41</v>
      </c>
      <c r="D141" s="460" t="s">
        <v>641</v>
      </c>
      <c r="E141" s="540">
        <v>3908357.2537217839</v>
      </c>
      <c r="F141" s="543">
        <v>2625170.5858489964</v>
      </c>
      <c r="G141" s="544">
        <f t="shared" si="5"/>
        <v>0.67168132681554216</v>
      </c>
      <c r="H141" s="452"/>
      <c r="I141" s="452"/>
      <c r="J141" s="452"/>
      <c r="K141" s="452"/>
      <c r="L141" s="452"/>
      <c r="M141" s="452"/>
      <c r="N141" s="452"/>
      <c r="O141" s="452"/>
      <c r="P141" s="452"/>
      <c r="Q141" s="452"/>
      <c r="R141" s="452"/>
      <c r="S141" s="452"/>
      <c r="T141" s="452"/>
      <c r="U141" s="452"/>
      <c r="V141" s="452"/>
      <c r="W141" s="452"/>
    </row>
    <row r="142" spans="1:23" x14ac:dyDescent="0.2">
      <c r="A142" s="456" t="s">
        <v>2518</v>
      </c>
      <c r="B142" s="457" t="s">
        <v>659</v>
      </c>
      <c r="C142" s="458" t="s">
        <v>41</v>
      </c>
      <c r="D142" s="460" t="s">
        <v>641</v>
      </c>
      <c r="E142" s="540">
        <v>1547124.6792083432</v>
      </c>
      <c r="F142" s="543">
        <v>1048326.4753535669</v>
      </c>
      <c r="G142" s="544">
        <f t="shared" si="5"/>
        <v>0.67759663422213068</v>
      </c>
      <c r="H142" s="452"/>
      <c r="I142" s="452"/>
      <c r="J142" s="452"/>
      <c r="K142" s="452"/>
      <c r="L142" s="452"/>
      <c r="M142" s="452"/>
      <c r="N142" s="452"/>
      <c r="O142" s="452"/>
      <c r="P142" s="452"/>
      <c r="Q142" s="452"/>
      <c r="R142" s="452"/>
      <c r="S142" s="452"/>
      <c r="T142" s="452"/>
      <c r="U142" s="452"/>
      <c r="V142" s="452"/>
      <c r="W142" s="452"/>
    </row>
    <row r="143" spans="1:23" x14ac:dyDescent="0.2">
      <c r="A143" s="456" t="s">
        <v>2519</v>
      </c>
      <c r="B143" s="457" t="s">
        <v>658</v>
      </c>
      <c r="C143" s="458" t="s">
        <v>41</v>
      </c>
      <c r="D143" s="460" t="s">
        <v>641</v>
      </c>
      <c r="E143" s="540">
        <v>1580789.7598517705</v>
      </c>
      <c r="F143" s="543">
        <v>1078925.8497211623</v>
      </c>
      <c r="G143" s="544">
        <f t="shared" si="5"/>
        <v>0.6825233039353269</v>
      </c>
      <c r="H143" s="452"/>
      <c r="I143" s="452"/>
      <c r="J143" s="452"/>
      <c r="K143" s="452"/>
      <c r="L143" s="452"/>
      <c r="M143" s="452"/>
      <c r="N143" s="452"/>
      <c r="O143" s="452"/>
      <c r="P143" s="452"/>
      <c r="Q143" s="452"/>
      <c r="R143" s="452"/>
      <c r="S143" s="452"/>
      <c r="T143" s="452"/>
      <c r="U143" s="452"/>
      <c r="V143" s="452"/>
      <c r="W143" s="452"/>
    </row>
    <row r="144" spans="1:23" x14ac:dyDescent="0.2">
      <c r="A144" s="456" t="s">
        <v>2520</v>
      </c>
      <c r="B144" s="457" t="s">
        <v>657</v>
      </c>
      <c r="C144" s="458" t="s">
        <v>41</v>
      </c>
      <c r="D144" s="460" t="s">
        <v>641</v>
      </c>
      <c r="E144" s="540">
        <v>2546023.4091524263</v>
      </c>
      <c r="F144" s="543">
        <v>1738641.443976186</v>
      </c>
      <c r="G144" s="544">
        <f t="shared" si="5"/>
        <v>0.68288509749208526</v>
      </c>
      <c r="H144" s="452"/>
      <c r="I144" s="452"/>
      <c r="J144" s="452"/>
      <c r="K144" s="452"/>
      <c r="L144" s="452"/>
      <c r="M144" s="452"/>
      <c r="N144" s="452"/>
      <c r="O144" s="452"/>
      <c r="P144" s="452"/>
      <c r="Q144" s="452"/>
      <c r="R144" s="452"/>
      <c r="S144" s="452"/>
      <c r="T144" s="452"/>
      <c r="U144" s="452"/>
      <c r="V144" s="452"/>
      <c r="W144" s="452"/>
    </row>
    <row r="145" spans="1:23" x14ac:dyDescent="0.2">
      <c r="A145" s="456" t="s">
        <v>2399</v>
      </c>
      <c r="B145" s="457" t="s">
        <v>2521</v>
      </c>
      <c r="C145" s="458" t="s">
        <v>41</v>
      </c>
      <c r="D145" s="460" t="s">
        <v>641</v>
      </c>
      <c r="E145" s="540">
        <v>36144300.363234602</v>
      </c>
      <c r="F145" s="543">
        <v>18966985.476950631</v>
      </c>
      <c r="G145" s="544">
        <f t="shared" si="5"/>
        <v>0.52475730021996891</v>
      </c>
      <c r="H145" s="452"/>
      <c r="I145" s="452"/>
      <c r="J145" s="452"/>
      <c r="K145" s="452"/>
      <c r="L145" s="452"/>
      <c r="M145" s="452"/>
      <c r="N145" s="452"/>
      <c r="O145" s="452"/>
      <c r="P145" s="452"/>
      <c r="Q145" s="452"/>
      <c r="R145" s="452"/>
      <c r="S145" s="452"/>
      <c r="T145" s="452"/>
      <c r="U145" s="452"/>
      <c r="V145" s="452"/>
      <c r="W145" s="452"/>
    </row>
    <row r="146" spans="1:23" x14ac:dyDescent="0.2">
      <c r="A146" s="456" t="s">
        <v>2522</v>
      </c>
      <c r="B146" s="457" t="s">
        <v>2523</v>
      </c>
      <c r="C146" s="458" t="s">
        <v>41</v>
      </c>
      <c r="D146" s="460" t="s">
        <v>641</v>
      </c>
      <c r="E146" s="540">
        <v>1230142.3593705995</v>
      </c>
      <c r="F146" s="543">
        <v>574473.79187187564</v>
      </c>
      <c r="G146" s="544">
        <f t="shared" si="5"/>
        <v>0.46699781329845785</v>
      </c>
      <c r="H146" s="452"/>
      <c r="I146" s="452"/>
      <c r="J146" s="452"/>
      <c r="K146" s="452"/>
      <c r="L146" s="452"/>
      <c r="M146" s="452"/>
      <c r="N146" s="452"/>
      <c r="O146" s="452"/>
      <c r="P146" s="452"/>
      <c r="Q146" s="452"/>
      <c r="R146" s="452"/>
      <c r="S146" s="452"/>
      <c r="T146" s="452"/>
      <c r="U146" s="452"/>
      <c r="V146" s="452"/>
      <c r="W146" s="452"/>
    </row>
    <row r="147" spans="1:23" x14ac:dyDescent="0.2">
      <c r="A147" s="456" t="s">
        <v>2524</v>
      </c>
      <c r="B147" s="457" t="s">
        <v>2525</v>
      </c>
      <c r="C147" s="458" t="s">
        <v>41</v>
      </c>
      <c r="D147" s="460" t="s">
        <v>641</v>
      </c>
      <c r="E147" s="540">
        <v>695856.21557874721</v>
      </c>
      <c r="F147" s="543">
        <v>309103.08181654388</v>
      </c>
      <c r="G147" s="544">
        <f t="shared" si="5"/>
        <v>0.44420539027514649</v>
      </c>
      <c r="H147" s="452"/>
      <c r="I147" s="452"/>
      <c r="J147" s="452"/>
      <c r="K147" s="452"/>
      <c r="L147" s="452"/>
      <c r="M147" s="452"/>
      <c r="N147" s="452"/>
      <c r="O147" s="452"/>
      <c r="P147" s="452"/>
      <c r="Q147" s="452"/>
      <c r="R147" s="452"/>
      <c r="S147" s="452"/>
      <c r="T147" s="452"/>
      <c r="U147" s="452"/>
      <c r="V147" s="452"/>
      <c r="W147" s="452"/>
    </row>
    <row r="148" spans="1:23" x14ac:dyDescent="0.2">
      <c r="A148" s="456" t="s">
        <v>2526</v>
      </c>
      <c r="B148" s="457" t="s">
        <v>2527</v>
      </c>
      <c r="C148" s="458" t="s">
        <v>41</v>
      </c>
      <c r="D148" s="460" t="s">
        <v>641</v>
      </c>
      <c r="E148" s="540">
        <v>695856.21557874721</v>
      </c>
      <c r="F148" s="543">
        <v>309103.08181654388</v>
      </c>
      <c r="G148" s="544">
        <f t="shared" si="5"/>
        <v>0.44420539027514649</v>
      </c>
      <c r="H148" s="452"/>
      <c r="I148" s="452"/>
      <c r="J148" s="452"/>
      <c r="K148" s="452"/>
      <c r="L148" s="452"/>
      <c r="M148" s="452"/>
      <c r="N148" s="452"/>
      <c r="O148" s="452"/>
      <c r="P148" s="452"/>
      <c r="Q148" s="452"/>
      <c r="R148" s="452"/>
      <c r="S148" s="452"/>
      <c r="T148" s="452"/>
      <c r="U148" s="452"/>
      <c r="V148" s="452"/>
      <c r="W148" s="452"/>
    </row>
    <row r="149" spans="1:23" x14ac:dyDescent="0.2">
      <c r="A149" s="456" t="s">
        <v>2528</v>
      </c>
      <c r="B149" s="457" t="s">
        <v>2529</v>
      </c>
      <c r="C149" s="458" t="s">
        <v>41</v>
      </c>
      <c r="D149" s="460" t="s">
        <v>641</v>
      </c>
      <c r="E149" s="540">
        <v>2429670.2870439677</v>
      </c>
      <c r="F149" s="543">
        <v>1098149.2639976456</v>
      </c>
      <c r="G149" s="544">
        <f t="shared" si="5"/>
        <v>0.45197460324285277</v>
      </c>
      <c r="H149" s="452"/>
      <c r="I149" s="452"/>
      <c r="J149" s="452"/>
      <c r="K149" s="452"/>
      <c r="L149" s="452"/>
      <c r="M149" s="452"/>
      <c r="N149" s="452"/>
      <c r="O149" s="452"/>
      <c r="P149" s="452"/>
      <c r="Q149" s="452"/>
      <c r="R149" s="452"/>
      <c r="S149" s="452"/>
      <c r="T149" s="452"/>
      <c r="U149" s="452"/>
      <c r="V149" s="452"/>
      <c r="W149" s="452"/>
    </row>
    <row r="150" spans="1:23" x14ac:dyDescent="0.2">
      <c r="A150" s="456" t="s">
        <v>2530</v>
      </c>
      <c r="B150" s="457" t="s">
        <v>2531</v>
      </c>
      <c r="C150" s="458" t="s">
        <v>41</v>
      </c>
      <c r="D150" s="460" t="s">
        <v>641</v>
      </c>
      <c r="E150" s="540">
        <v>1440964.5507192884</v>
      </c>
      <c r="F150" s="543">
        <v>661060.90258353041</v>
      </c>
      <c r="G150" s="544">
        <f t="shared" si="5"/>
        <v>0.4587627795933964</v>
      </c>
      <c r="H150" s="452"/>
      <c r="I150" s="452"/>
      <c r="J150" s="452"/>
      <c r="K150" s="452"/>
      <c r="L150" s="452"/>
      <c r="M150" s="452"/>
      <c r="N150" s="452"/>
      <c r="O150" s="452"/>
      <c r="P150" s="452"/>
      <c r="Q150" s="452"/>
      <c r="R150" s="452"/>
      <c r="S150" s="452"/>
      <c r="T150" s="452"/>
      <c r="U150" s="452"/>
      <c r="V150" s="452"/>
      <c r="W150" s="452"/>
    </row>
    <row r="151" spans="1:23" x14ac:dyDescent="0.2">
      <c r="A151" s="456" t="s">
        <v>2532</v>
      </c>
      <c r="B151" s="457" t="s">
        <v>2533</v>
      </c>
      <c r="C151" s="458" t="s">
        <v>41</v>
      </c>
      <c r="D151" s="460" t="s">
        <v>641</v>
      </c>
      <c r="E151" s="540">
        <v>10678171.506058218</v>
      </c>
      <c r="F151" s="543">
        <v>4807691.0979220234</v>
      </c>
      <c r="G151" s="544">
        <f t="shared" si="5"/>
        <v>0.45023542609279116</v>
      </c>
      <c r="H151" s="452"/>
      <c r="I151" s="452"/>
      <c r="J151" s="452"/>
      <c r="K151" s="452"/>
      <c r="L151" s="452"/>
      <c r="M151" s="452"/>
      <c r="N151" s="452"/>
      <c r="O151" s="452"/>
      <c r="P151" s="452"/>
      <c r="Q151" s="452"/>
      <c r="R151" s="452"/>
      <c r="S151" s="452"/>
      <c r="T151" s="452"/>
      <c r="U151" s="452"/>
      <c r="V151" s="452"/>
      <c r="W151" s="452"/>
    </row>
    <row r="152" spans="1:23" x14ac:dyDescent="0.2">
      <c r="A152" s="456" t="s">
        <v>2534</v>
      </c>
      <c r="B152" s="457" t="s">
        <v>2535</v>
      </c>
      <c r="C152" s="458" t="s">
        <v>41</v>
      </c>
      <c r="D152" s="460" t="s">
        <v>641</v>
      </c>
      <c r="E152" s="540">
        <v>8893684.4515356719</v>
      </c>
      <c r="F152" s="543">
        <v>4000758.0469505498</v>
      </c>
      <c r="G152" s="544">
        <f t="shared" si="5"/>
        <v>0.44984258984584718</v>
      </c>
      <c r="H152" s="452"/>
      <c r="I152" s="452"/>
      <c r="J152" s="452"/>
      <c r="K152" s="452"/>
      <c r="L152" s="452"/>
      <c r="M152" s="452"/>
      <c r="N152" s="452"/>
      <c r="O152" s="452"/>
      <c r="P152" s="452"/>
      <c r="Q152" s="452"/>
      <c r="R152" s="452"/>
      <c r="S152" s="452"/>
      <c r="T152" s="452"/>
      <c r="U152" s="452"/>
      <c r="V152" s="452"/>
      <c r="W152" s="452"/>
    </row>
    <row r="153" spans="1:23" x14ac:dyDescent="0.2">
      <c r="A153" s="456" t="s">
        <v>2536</v>
      </c>
      <c r="B153" s="457" t="s">
        <v>2537</v>
      </c>
      <c r="C153" s="458" t="s">
        <v>41</v>
      </c>
      <c r="D153" s="460" t="s">
        <v>641</v>
      </c>
      <c r="E153" s="540">
        <v>1740691.2860100463</v>
      </c>
      <c r="F153" s="543">
        <v>793248.0018663971</v>
      </c>
      <c r="G153" s="544">
        <f t="shared" si="5"/>
        <v>0.45570860740312741</v>
      </c>
      <c r="H153" s="452"/>
      <c r="I153" s="452"/>
      <c r="J153" s="452"/>
      <c r="K153" s="452"/>
      <c r="L153" s="452"/>
      <c r="M153" s="452"/>
      <c r="N153" s="452"/>
      <c r="O153" s="452"/>
      <c r="P153" s="452"/>
      <c r="Q153" s="452"/>
      <c r="R153" s="452"/>
      <c r="S153" s="452"/>
      <c r="T153" s="452"/>
      <c r="U153" s="452"/>
      <c r="V153" s="452"/>
      <c r="W153" s="452"/>
    </row>
    <row r="154" spans="1:23" x14ac:dyDescent="0.2">
      <c r="A154" s="456" t="s">
        <v>2538</v>
      </c>
      <c r="B154" s="457" t="s">
        <v>2539</v>
      </c>
      <c r="C154" s="458" t="s">
        <v>41</v>
      </c>
      <c r="D154" s="460" t="s">
        <v>641</v>
      </c>
      <c r="E154" s="540">
        <v>5276691.202944329</v>
      </c>
      <c r="F154" s="543">
        <v>2383911.6615713048</v>
      </c>
      <c r="G154" s="544">
        <f t="shared" si="5"/>
        <v>0.45178153693001993</v>
      </c>
      <c r="H154" s="452"/>
      <c r="I154" s="452"/>
      <c r="J154" s="452"/>
      <c r="K154" s="452"/>
      <c r="L154" s="452"/>
      <c r="M154" s="452"/>
      <c r="N154" s="452"/>
      <c r="O154" s="452"/>
      <c r="P154" s="452"/>
      <c r="Q154" s="452"/>
      <c r="R154" s="452"/>
      <c r="S154" s="452"/>
      <c r="T154" s="452"/>
      <c r="U154" s="452"/>
      <c r="V154" s="452"/>
      <c r="W154" s="452"/>
    </row>
    <row r="155" spans="1:23" x14ac:dyDescent="0.2">
      <c r="A155" s="456" t="s">
        <v>2401</v>
      </c>
      <c r="B155" s="457" t="s">
        <v>2540</v>
      </c>
      <c r="C155" s="458" t="s">
        <v>41</v>
      </c>
      <c r="D155" s="460" t="s">
        <v>641</v>
      </c>
      <c r="E155" s="540">
        <v>811334.5636038084</v>
      </c>
      <c r="F155" s="543">
        <v>383005.06069423642</v>
      </c>
      <c r="G155" s="544">
        <f t="shared" si="5"/>
        <v>0.47206797032409653</v>
      </c>
      <c r="H155" s="452"/>
      <c r="I155" s="452"/>
      <c r="J155" s="452"/>
      <c r="K155" s="452"/>
      <c r="L155" s="452"/>
      <c r="M155" s="452"/>
      <c r="N155" s="452"/>
      <c r="O155" s="452"/>
      <c r="P155" s="452"/>
      <c r="Q155" s="452"/>
      <c r="R155" s="452"/>
      <c r="S155" s="452"/>
      <c r="T155" s="452"/>
      <c r="U155" s="452"/>
      <c r="V155" s="452"/>
      <c r="W155" s="452"/>
    </row>
    <row r="156" spans="1:23" x14ac:dyDescent="0.2">
      <c r="A156" s="456" t="s">
        <v>2541</v>
      </c>
      <c r="B156" s="457" t="s">
        <v>2542</v>
      </c>
      <c r="C156" s="458" t="s">
        <v>41</v>
      </c>
      <c r="D156" s="460" t="s">
        <v>641</v>
      </c>
      <c r="E156" s="540">
        <v>1264432.2830134504</v>
      </c>
      <c r="F156" s="543">
        <v>589798.97244738042</v>
      </c>
      <c r="G156" s="544">
        <f t="shared" si="5"/>
        <v>0.46645358582726604</v>
      </c>
      <c r="H156" s="452"/>
      <c r="I156" s="452"/>
      <c r="J156" s="452"/>
      <c r="K156" s="452"/>
      <c r="L156" s="452"/>
      <c r="M156" s="452"/>
      <c r="N156" s="452"/>
      <c r="O156" s="452"/>
      <c r="P156" s="452"/>
      <c r="Q156" s="452"/>
      <c r="R156" s="452"/>
      <c r="S156" s="452"/>
      <c r="T156" s="452"/>
      <c r="U156" s="452"/>
      <c r="V156" s="452"/>
      <c r="W156" s="452"/>
    </row>
    <row r="157" spans="1:23" x14ac:dyDescent="0.2">
      <c r="A157" s="456" t="s">
        <v>2543</v>
      </c>
      <c r="B157" s="457" t="s">
        <v>2544</v>
      </c>
      <c r="C157" s="458" t="s">
        <v>41</v>
      </c>
      <c r="D157" s="460" t="s">
        <v>641</v>
      </c>
      <c r="E157" s="540">
        <v>2912816.4586010585</v>
      </c>
      <c r="F157" s="543">
        <v>1316495.9415574207</v>
      </c>
      <c r="G157" s="544">
        <f t="shared" si="5"/>
        <v>0.451966665345504</v>
      </c>
      <c r="H157" s="452"/>
      <c r="I157" s="452"/>
      <c r="J157" s="452"/>
      <c r="K157" s="452"/>
      <c r="L157" s="452"/>
      <c r="M157" s="452"/>
      <c r="N157" s="452"/>
      <c r="O157" s="452"/>
      <c r="P157" s="452"/>
      <c r="Q157" s="452"/>
      <c r="R157" s="452"/>
      <c r="S157" s="452"/>
      <c r="T157" s="452"/>
      <c r="U157" s="452"/>
      <c r="V157" s="452"/>
      <c r="W157" s="452"/>
    </row>
    <row r="158" spans="1:23" x14ac:dyDescent="0.2">
      <c r="A158" s="456" t="s">
        <v>2545</v>
      </c>
      <c r="B158" s="457" t="s">
        <v>2546</v>
      </c>
      <c r="C158" s="458" t="s">
        <v>41</v>
      </c>
      <c r="D158" s="460" t="s">
        <v>641</v>
      </c>
      <c r="E158" s="540">
        <v>5960893.753386626</v>
      </c>
      <c r="F158" s="543">
        <v>2686056.3501931448</v>
      </c>
      <c r="G158" s="544">
        <f t="shared" si="5"/>
        <v>0.4506130223621394</v>
      </c>
      <c r="H158" s="452"/>
      <c r="I158" s="452"/>
      <c r="J158" s="452"/>
      <c r="K158" s="452"/>
      <c r="L158" s="452"/>
      <c r="M158" s="452"/>
      <c r="N158" s="452"/>
      <c r="O158" s="452"/>
      <c r="P158" s="452"/>
      <c r="Q158" s="452"/>
      <c r="R158" s="452"/>
      <c r="S158" s="452"/>
      <c r="T158" s="452"/>
      <c r="U158" s="452"/>
      <c r="V158" s="452"/>
      <c r="W158" s="452"/>
    </row>
    <row r="159" spans="1:23" x14ac:dyDescent="0.2">
      <c r="A159" s="456" t="s">
        <v>2547</v>
      </c>
      <c r="B159" s="457" t="s">
        <v>2548</v>
      </c>
      <c r="C159" s="458" t="s">
        <v>41</v>
      </c>
      <c r="D159" s="460" t="s">
        <v>641</v>
      </c>
      <c r="E159" s="540">
        <v>4857853.8903195197</v>
      </c>
      <c r="F159" s="543">
        <v>2172659.4209850663</v>
      </c>
      <c r="G159" s="544">
        <f t="shared" si="5"/>
        <v>0.44724676164399052</v>
      </c>
      <c r="H159" s="452"/>
      <c r="I159" s="452"/>
      <c r="J159" s="452"/>
      <c r="K159" s="452"/>
      <c r="L159" s="452"/>
      <c r="M159" s="452"/>
      <c r="N159" s="452"/>
      <c r="O159" s="452"/>
      <c r="P159" s="452"/>
      <c r="Q159" s="452"/>
      <c r="R159" s="452"/>
      <c r="S159" s="452"/>
      <c r="T159" s="452"/>
      <c r="U159" s="452"/>
      <c r="V159" s="452"/>
      <c r="W159" s="452"/>
    </row>
    <row r="160" spans="1:23" x14ac:dyDescent="0.2">
      <c r="A160" s="456" t="s">
        <v>2549</v>
      </c>
      <c r="B160" s="457" t="s">
        <v>2550</v>
      </c>
      <c r="C160" s="458" t="s">
        <v>41</v>
      </c>
      <c r="D160" s="460" t="s">
        <v>641</v>
      </c>
      <c r="E160" s="540">
        <v>3765766.4882811364</v>
      </c>
      <c r="F160" s="543">
        <v>1686240.2208512232</v>
      </c>
      <c r="G160" s="544">
        <f t="shared" si="5"/>
        <v>0.44778140814060363</v>
      </c>
      <c r="H160" s="452"/>
      <c r="I160" s="452"/>
      <c r="J160" s="452"/>
      <c r="K160" s="452"/>
      <c r="L160" s="452"/>
      <c r="M160" s="452"/>
      <c r="N160" s="452"/>
      <c r="O160" s="452"/>
      <c r="P160" s="452"/>
      <c r="Q160" s="452"/>
      <c r="R160" s="452"/>
      <c r="S160" s="452"/>
      <c r="T160" s="452"/>
      <c r="U160" s="452"/>
      <c r="V160" s="452"/>
      <c r="W160" s="452"/>
    </row>
    <row r="161" spans="1:23" x14ac:dyDescent="0.2">
      <c r="A161" s="456" t="s">
        <v>2551</v>
      </c>
      <c r="B161" s="457" t="s">
        <v>2552</v>
      </c>
      <c r="C161" s="458" t="s">
        <v>41</v>
      </c>
      <c r="D161" s="460" t="s">
        <v>641</v>
      </c>
      <c r="E161" s="540">
        <v>2194988.5508378013</v>
      </c>
      <c r="F161" s="543">
        <v>995789.55681788921</v>
      </c>
      <c r="G161" s="544">
        <f t="shared" si="5"/>
        <v>0.45366503457970569</v>
      </c>
      <c r="H161" s="452"/>
      <c r="I161" s="452"/>
      <c r="J161" s="452"/>
      <c r="K161" s="452"/>
      <c r="L161" s="452"/>
      <c r="M161" s="452"/>
      <c r="N161" s="452"/>
      <c r="O161" s="452"/>
      <c r="P161" s="452"/>
      <c r="Q161" s="452"/>
      <c r="R161" s="452"/>
      <c r="S161" s="452"/>
      <c r="T161" s="452"/>
      <c r="U161" s="452"/>
      <c r="V161" s="452"/>
      <c r="W161" s="452"/>
    </row>
    <row r="162" spans="1:23" x14ac:dyDescent="0.2">
      <c r="A162" s="456" t="s">
        <v>2553</v>
      </c>
      <c r="B162" s="457" t="s">
        <v>2554</v>
      </c>
      <c r="C162" s="458" t="s">
        <v>41</v>
      </c>
      <c r="D162" s="460" t="s">
        <v>641</v>
      </c>
      <c r="E162" s="540">
        <v>785286.02662554127</v>
      </c>
      <c r="F162" s="543">
        <v>374448.6805180324</v>
      </c>
      <c r="G162" s="544">
        <f t="shared" si="5"/>
        <v>0.47683094798856762</v>
      </c>
      <c r="H162" s="452"/>
      <c r="I162" s="452"/>
      <c r="J162" s="452"/>
      <c r="K162" s="452"/>
      <c r="L162" s="452"/>
      <c r="M162" s="452"/>
      <c r="N162" s="452"/>
      <c r="O162" s="452"/>
      <c r="P162" s="452"/>
      <c r="Q162" s="452"/>
      <c r="R162" s="452"/>
      <c r="S162" s="452"/>
      <c r="T162" s="452"/>
      <c r="U162" s="452"/>
      <c r="V162" s="452"/>
      <c r="W162" s="452"/>
    </row>
    <row r="163" spans="1:23" x14ac:dyDescent="0.2">
      <c r="A163" s="456" t="s">
        <v>2555</v>
      </c>
      <c r="B163" s="457" t="s">
        <v>2556</v>
      </c>
      <c r="C163" s="458" t="s">
        <v>41</v>
      </c>
      <c r="D163" s="460" t="s">
        <v>641</v>
      </c>
      <c r="E163" s="540">
        <v>588620.7968790849</v>
      </c>
      <c r="F163" s="543">
        <v>281590.12642805732</v>
      </c>
      <c r="G163" s="544">
        <f t="shared" si="5"/>
        <v>0.47838969999203385</v>
      </c>
      <c r="H163" s="452"/>
      <c r="I163" s="452"/>
      <c r="J163" s="452"/>
      <c r="K163" s="452"/>
      <c r="L163" s="452"/>
      <c r="M163" s="452"/>
      <c r="N163" s="452"/>
      <c r="O163" s="452"/>
      <c r="P163" s="452"/>
      <c r="Q163" s="452"/>
      <c r="R163" s="452"/>
      <c r="S163" s="452"/>
      <c r="T163" s="452"/>
      <c r="U163" s="452"/>
      <c r="V163" s="452"/>
      <c r="W163" s="452"/>
    </row>
    <row r="164" spans="1:23" x14ac:dyDescent="0.2">
      <c r="A164" s="456" t="s">
        <v>2405</v>
      </c>
      <c r="B164" s="457" t="s">
        <v>2698</v>
      </c>
      <c r="C164" s="458" t="s">
        <v>41</v>
      </c>
      <c r="D164" s="459" t="s">
        <v>641</v>
      </c>
      <c r="E164" s="540">
        <v>2427803.4823365207</v>
      </c>
      <c r="F164" s="543">
        <v>1168766.8637158296</v>
      </c>
      <c r="G164" s="544">
        <f t="shared" si="5"/>
        <v>0.48140917179631321</v>
      </c>
      <c r="H164" s="452"/>
      <c r="I164" s="452"/>
      <c r="J164" s="452"/>
      <c r="K164" s="452"/>
      <c r="L164" s="452"/>
      <c r="M164" s="452"/>
      <c r="N164" s="452"/>
      <c r="O164" s="452"/>
      <c r="P164" s="452"/>
      <c r="Q164" s="452"/>
      <c r="R164" s="452"/>
      <c r="S164" s="452"/>
      <c r="T164" s="452"/>
      <c r="U164" s="452"/>
      <c r="V164" s="452"/>
      <c r="W164" s="452"/>
    </row>
    <row r="165" spans="1:23" x14ac:dyDescent="0.2">
      <c r="A165" s="456" t="s">
        <v>2407</v>
      </c>
      <c r="B165" s="457" t="s">
        <v>2699</v>
      </c>
      <c r="C165" s="458" t="s">
        <v>41</v>
      </c>
      <c r="D165" s="459" t="s">
        <v>641</v>
      </c>
      <c r="E165" s="540">
        <v>2049829.7296005141</v>
      </c>
      <c r="F165" s="543">
        <v>1226725.7821787584</v>
      </c>
      <c r="G165" s="544">
        <f t="shared" si="5"/>
        <v>0.59845252728275722</v>
      </c>
      <c r="H165" s="452"/>
      <c r="I165" s="452"/>
      <c r="J165" s="452"/>
      <c r="K165" s="452"/>
      <c r="L165" s="452"/>
      <c r="M165" s="452"/>
      <c r="N165" s="452"/>
      <c r="O165" s="452"/>
      <c r="P165" s="452"/>
      <c r="Q165" s="452"/>
      <c r="R165" s="452"/>
      <c r="S165" s="452"/>
      <c r="T165" s="452"/>
      <c r="U165" s="452"/>
      <c r="V165" s="452"/>
      <c r="W165" s="452"/>
    </row>
    <row r="166" spans="1:23" x14ac:dyDescent="0.2">
      <c r="A166" s="456" t="s">
        <v>2409</v>
      </c>
      <c r="B166" s="457" t="s">
        <v>2700</v>
      </c>
      <c r="C166" s="458" t="s">
        <v>41</v>
      </c>
      <c r="D166" s="459" t="s">
        <v>641</v>
      </c>
      <c r="E166" s="540">
        <v>5648177.6346561695</v>
      </c>
      <c r="F166" s="543">
        <v>399783.0816875833</v>
      </c>
      <c r="G166" s="544">
        <f t="shared" si="5"/>
        <v>7.078089740566737E-2</v>
      </c>
      <c r="H166" s="452"/>
      <c r="I166" s="452"/>
      <c r="J166" s="452"/>
      <c r="K166" s="452"/>
      <c r="L166" s="452"/>
      <c r="M166" s="452"/>
      <c r="N166" s="452"/>
      <c r="O166" s="452"/>
      <c r="P166" s="452"/>
      <c r="Q166" s="452"/>
      <c r="R166" s="452"/>
      <c r="S166" s="452"/>
      <c r="T166" s="452"/>
      <c r="U166" s="452"/>
      <c r="V166" s="452"/>
      <c r="W166" s="452"/>
    </row>
    <row r="167" spans="1:23" x14ac:dyDescent="0.2">
      <c r="A167" s="456" t="s">
        <v>2411</v>
      </c>
      <c r="B167" s="457" t="s">
        <v>2701</v>
      </c>
      <c r="C167" s="458" t="s">
        <v>107</v>
      </c>
      <c r="D167" s="459" t="s">
        <v>641</v>
      </c>
      <c r="E167" s="540">
        <v>94412.005436585037</v>
      </c>
      <c r="F167" s="543">
        <v>41269.603969744705</v>
      </c>
      <c r="G167" s="544">
        <f t="shared" si="5"/>
        <v>0.4371224165708969</v>
      </c>
      <c r="H167" s="452"/>
      <c r="I167" s="452"/>
      <c r="J167" s="452"/>
      <c r="K167" s="452"/>
      <c r="L167" s="452"/>
      <c r="M167" s="452"/>
      <c r="N167" s="452"/>
      <c r="O167" s="452"/>
      <c r="P167" s="452"/>
      <c r="Q167" s="452"/>
      <c r="R167" s="452"/>
      <c r="S167" s="452"/>
      <c r="T167" s="452"/>
      <c r="U167" s="452"/>
      <c r="V167" s="452"/>
      <c r="W167" s="452"/>
    </row>
    <row r="168" spans="1:23" x14ac:dyDescent="0.2">
      <c r="A168" s="456" t="s">
        <v>2413</v>
      </c>
      <c r="B168" s="457" t="s">
        <v>2557</v>
      </c>
      <c r="C168" s="458" t="s">
        <v>54</v>
      </c>
      <c r="D168" s="460" t="s">
        <v>641</v>
      </c>
      <c r="E168" s="540">
        <v>126907.55214285718</v>
      </c>
      <c r="F168" s="543">
        <v>98496.661249135315</v>
      </c>
      <c r="G168" s="544">
        <f t="shared" si="5"/>
        <v>0.77612923412359003</v>
      </c>
      <c r="H168" s="452"/>
      <c r="I168" s="452"/>
      <c r="J168" s="452"/>
      <c r="K168" s="452"/>
      <c r="L168" s="452"/>
      <c r="M168" s="452"/>
      <c r="N168" s="452"/>
      <c r="O168" s="452"/>
      <c r="P168" s="452"/>
      <c r="Q168" s="452"/>
      <c r="R168" s="452"/>
      <c r="S168" s="452"/>
      <c r="T168" s="452"/>
      <c r="U168" s="452"/>
      <c r="V168" s="452"/>
      <c r="W168" s="452"/>
    </row>
    <row r="169" spans="1:23" x14ac:dyDescent="0.2">
      <c r="A169" s="456" t="s">
        <v>2421</v>
      </c>
      <c r="B169" s="457" t="s">
        <v>2558</v>
      </c>
      <c r="C169" s="458" t="s">
        <v>40</v>
      </c>
      <c r="D169" s="460" t="s">
        <v>641</v>
      </c>
      <c r="E169" s="540">
        <v>2382770.1970662656</v>
      </c>
      <c r="F169" s="543">
        <v>1076385.3216550213</v>
      </c>
      <c r="G169" s="544">
        <f t="shared" si="5"/>
        <v>0.45173694172450934</v>
      </c>
      <c r="H169" s="452"/>
      <c r="I169" s="452"/>
      <c r="J169" s="452"/>
      <c r="K169" s="452"/>
      <c r="L169" s="452"/>
      <c r="M169" s="452"/>
      <c r="N169" s="452"/>
      <c r="O169" s="452"/>
      <c r="P169" s="452"/>
      <c r="Q169" s="452"/>
      <c r="R169" s="452"/>
      <c r="S169" s="452"/>
      <c r="T169" s="452"/>
      <c r="U169" s="452"/>
      <c r="V169" s="452"/>
      <c r="W169" s="452"/>
    </row>
    <row r="170" spans="1:23" x14ac:dyDescent="0.2">
      <c r="A170" s="456" t="s">
        <v>2427</v>
      </c>
      <c r="B170" s="457" t="s">
        <v>2702</v>
      </c>
      <c r="C170" s="458" t="s">
        <v>28</v>
      </c>
      <c r="D170" s="460" t="s">
        <v>685</v>
      </c>
      <c r="E170" s="540">
        <v>3570726.9953718269</v>
      </c>
      <c r="F170" s="543">
        <v>1484787.2069021019</v>
      </c>
      <c r="G170" s="544">
        <f t="shared" si="5"/>
        <v>0.41582210256527552</v>
      </c>
      <c r="H170" s="452"/>
      <c r="I170" s="452"/>
      <c r="J170" s="452"/>
      <c r="K170" s="452"/>
      <c r="L170" s="452"/>
      <c r="M170" s="452"/>
      <c r="N170" s="452"/>
      <c r="O170" s="452"/>
      <c r="P170" s="452"/>
      <c r="Q170" s="452"/>
      <c r="R170" s="452"/>
      <c r="S170" s="452"/>
      <c r="T170" s="452"/>
      <c r="U170" s="452"/>
      <c r="V170" s="452"/>
      <c r="W170" s="452"/>
    </row>
    <row r="171" spans="1:23" x14ac:dyDescent="0.2">
      <c r="A171" s="456" t="s">
        <v>2429</v>
      </c>
      <c r="B171" s="457" t="s">
        <v>2703</v>
      </c>
      <c r="C171" s="458" t="s">
        <v>28</v>
      </c>
      <c r="D171" s="460" t="s">
        <v>685</v>
      </c>
      <c r="E171" s="540">
        <v>3836535.0231184526</v>
      </c>
      <c r="F171" s="543">
        <v>1535883.7121281035</v>
      </c>
      <c r="G171" s="544">
        <f t="shared" si="5"/>
        <v>0.40033095042090622</v>
      </c>
      <c r="H171" s="452"/>
      <c r="I171" s="452"/>
      <c r="J171" s="452"/>
      <c r="K171" s="452"/>
      <c r="L171" s="452"/>
      <c r="M171" s="452"/>
      <c r="N171" s="452"/>
      <c r="O171" s="452"/>
      <c r="P171" s="452"/>
      <c r="Q171" s="452"/>
      <c r="R171" s="452"/>
      <c r="S171" s="452"/>
      <c r="T171" s="452"/>
      <c r="U171" s="452"/>
      <c r="V171" s="452"/>
      <c r="W171" s="452"/>
    </row>
    <row r="172" spans="1:23" x14ac:dyDescent="0.2">
      <c r="A172" s="456" t="s">
        <v>2431</v>
      </c>
      <c r="B172" s="457" t="s">
        <v>2559</v>
      </c>
      <c r="C172" s="458" t="s">
        <v>41</v>
      </c>
      <c r="D172" s="460" t="s">
        <v>641</v>
      </c>
      <c r="E172" s="540">
        <v>4264584.8258681968</v>
      </c>
      <c r="F172" s="543">
        <v>970857.71222935955</v>
      </c>
      <c r="G172" s="544">
        <f t="shared" si="5"/>
        <v>0.22765585675311534</v>
      </c>
      <c r="H172" s="452"/>
      <c r="I172" s="452"/>
      <c r="J172" s="452"/>
      <c r="K172" s="452"/>
      <c r="L172" s="452"/>
      <c r="M172" s="452"/>
      <c r="N172" s="452"/>
      <c r="O172" s="452"/>
      <c r="P172" s="452"/>
      <c r="Q172" s="452"/>
      <c r="R172" s="452"/>
      <c r="S172" s="452"/>
      <c r="T172" s="452"/>
      <c r="U172" s="452"/>
      <c r="V172" s="452"/>
      <c r="W172" s="452"/>
    </row>
    <row r="173" spans="1:23" x14ac:dyDescent="0.2">
      <c r="A173" s="456" t="s">
        <v>2611</v>
      </c>
      <c r="B173" s="457" t="s">
        <v>2661</v>
      </c>
      <c r="C173" s="458" t="s">
        <v>54</v>
      </c>
      <c r="D173" s="460" t="s">
        <v>641</v>
      </c>
      <c r="E173" s="540">
        <v>398797.12546499667</v>
      </c>
      <c r="F173" s="543">
        <v>239935.06950782562</v>
      </c>
      <c r="G173" s="544">
        <f t="shared" si="5"/>
        <v>0.60164693822218951</v>
      </c>
      <c r="H173" s="452"/>
      <c r="I173" s="452"/>
      <c r="J173" s="452"/>
      <c r="K173" s="452"/>
      <c r="L173" s="452"/>
      <c r="M173" s="452"/>
      <c r="N173" s="452"/>
      <c r="O173" s="452"/>
      <c r="P173" s="452"/>
      <c r="Q173" s="452"/>
      <c r="R173" s="452"/>
      <c r="S173" s="452"/>
      <c r="T173" s="452"/>
      <c r="U173" s="452"/>
      <c r="V173" s="452"/>
      <c r="W173" s="452"/>
    </row>
    <row r="174" spans="1:23" x14ac:dyDescent="0.2">
      <c r="A174" s="456" t="s">
        <v>2659</v>
      </c>
      <c r="B174" s="457" t="s">
        <v>2704</v>
      </c>
      <c r="C174" s="458" t="s">
        <v>54</v>
      </c>
      <c r="D174" s="459" t="s">
        <v>641</v>
      </c>
      <c r="E174" s="540">
        <v>3329915.7596133612</v>
      </c>
      <c r="F174" s="543">
        <v>1310967.5855110607</v>
      </c>
      <c r="G174" s="544">
        <f t="shared" si="5"/>
        <v>0.3936939190507564</v>
      </c>
      <c r="H174" s="452"/>
      <c r="I174" s="452"/>
      <c r="J174" s="452"/>
      <c r="K174" s="452"/>
      <c r="L174" s="452"/>
      <c r="M174" s="452"/>
      <c r="N174" s="452"/>
      <c r="O174" s="452"/>
      <c r="P174" s="452"/>
      <c r="Q174" s="452"/>
      <c r="R174" s="452"/>
      <c r="S174" s="452"/>
      <c r="T174" s="452"/>
      <c r="U174" s="452"/>
      <c r="V174" s="452"/>
      <c r="W174" s="452"/>
    </row>
    <row r="175" spans="1:23" x14ac:dyDescent="0.2">
      <c r="A175" s="456" t="s">
        <v>2705</v>
      </c>
      <c r="B175" s="457" t="s">
        <v>2706</v>
      </c>
      <c r="C175" s="458" t="s">
        <v>54</v>
      </c>
      <c r="D175" s="460" t="s">
        <v>641</v>
      </c>
      <c r="E175" s="540">
        <v>34939303.375165932</v>
      </c>
      <c r="F175" s="543">
        <v>16205945.311476909</v>
      </c>
      <c r="G175" s="544">
        <f t="shared" si="5"/>
        <v>0.46383138030724819</v>
      </c>
      <c r="H175" s="452"/>
      <c r="I175" s="452"/>
      <c r="J175" s="452"/>
      <c r="K175" s="452"/>
      <c r="L175" s="452"/>
      <c r="M175" s="452"/>
      <c r="N175" s="452"/>
      <c r="O175" s="452"/>
      <c r="P175" s="452"/>
      <c r="Q175" s="452"/>
      <c r="R175" s="452"/>
      <c r="S175" s="452"/>
      <c r="T175" s="452"/>
      <c r="U175" s="452"/>
      <c r="V175" s="452"/>
      <c r="W175" s="452"/>
    </row>
    <row r="176" spans="1:23" x14ac:dyDescent="0.2">
      <c r="A176" s="458" t="s">
        <v>639</v>
      </c>
      <c r="B176" s="461"/>
      <c r="C176" s="462"/>
      <c r="D176" s="460"/>
      <c r="E176" s="540">
        <v>637063957.17591405</v>
      </c>
      <c r="F176" s="543">
        <f>SUM(F7:F175)</f>
        <v>317694326.13816231</v>
      </c>
      <c r="G176" s="544">
        <f t="shared" si="5"/>
        <v>0.49868513602070974</v>
      </c>
      <c r="H176" s="452"/>
      <c r="I176" s="452"/>
      <c r="J176" s="452"/>
      <c r="K176" s="452"/>
      <c r="L176" s="452"/>
      <c r="M176" s="452"/>
      <c r="N176" s="452"/>
      <c r="O176" s="452"/>
      <c r="P176" s="452"/>
      <c r="Q176" s="452"/>
      <c r="R176" s="452"/>
      <c r="S176" s="452"/>
      <c r="T176" s="452"/>
      <c r="U176" s="452"/>
      <c r="V176" s="452"/>
      <c r="W176" s="452"/>
    </row>
    <row r="177" spans="6:23" x14ac:dyDescent="0.2">
      <c r="F177" s="452"/>
      <c r="G177" s="452"/>
      <c r="H177" s="452"/>
      <c r="I177" s="452"/>
      <c r="J177" s="452"/>
      <c r="K177" s="452"/>
      <c r="L177" s="452"/>
      <c r="M177" s="452"/>
      <c r="N177" s="452"/>
      <c r="O177" s="452"/>
      <c r="P177" s="452"/>
      <c r="Q177" s="452"/>
      <c r="R177" s="452"/>
      <c r="S177" s="452"/>
      <c r="T177" s="452"/>
      <c r="U177" s="452"/>
      <c r="V177" s="452"/>
      <c r="W177" s="452"/>
    </row>
    <row r="178" spans="6:23" x14ac:dyDescent="0.2">
      <c r="F178" s="452"/>
      <c r="G178" s="452"/>
      <c r="H178" s="452"/>
      <c r="I178" s="452"/>
      <c r="J178" s="452"/>
      <c r="K178" s="452"/>
      <c r="L178" s="452"/>
      <c r="M178" s="452"/>
      <c r="N178" s="452"/>
      <c r="O178" s="452"/>
      <c r="P178" s="452"/>
      <c r="Q178" s="452"/>
      <c r="R178" s="452"/>
      <c r="S178" s="452"/>
      <c r="T178" s="452"/>
      <c r="U178" s="452"/>
      <c r="V178" s="452"/>
      <c r="W178" s="452"/>
    </row>
    <row r="179" spans="6:23" x14ac:dyDescent="0.2">
      <c r="F179" s="452"/>
      <c r="G179" s="452"/>
      <c r="H179" s="452"/>
      <c r="I179" s="452"/>
      <c r="J179" s="452"/>
      <c r="K179" s="452"/>
      <c r="L179" s="452"/>
      <c r="M179" s="452"/>
      <c r="N179" s="452"/>
      <c r="O179" s="452"/>
      <c r="P179" s="452"/>
      <c r="Q179" s="452"/>
      <c r="R179" s="452"/>
      <c r="S179" s="452"/>
      <c r="T179" s="452"/>
      <c r="U179" s="452"/>
      <c r="V179" s="452"/>
      <c r="W179" s="452"/>
    </row>
  </sheetData>
  <pageMargins left="0.7" right="0.7" top="0.75" bottom="0.75" header="0.3" footer="0.3"/>
  <pageSetup paperSize="9" orientation="landscape" r:id="rId1"/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B2:Q34"/>
  <sheetViews>
    <sheetView showGridLines="0" topLeftCell="B4" workbookViewId="0">
      <selection activeCell="O37" sqref="O37"/>
    </sheetView>
  </sheetViews>
  <sheetFormatPr defaultColWidth="8.7109375" defaultRowHeight="14.25" x14ac:dyDescent="0.2"/>
  <cols>
    <col min="1" max="1" width="2.42578125" style="447" customWidth="1"/>
    <col min="2" max="2" width="24.42578125" style="447" customWidth="1"/>
    <col min="3" max="11" width="8.7109375" style="447"/>
    <col min="12" max="12" width="10.42578125" style="447" bestFit="1" customWidth="1"/>
    <col min="13" max="13" width="8.42578125" style="447" customWidth="1"/>
    <col min="14" max="16384" width="8.7109375" style="447"/>
  </cols>
  <sheetData>
    <row r="2" spans="2:17" ht="15" x14ac:dyDescent="0.25">
      <c r="B2" s="450" t="s">
        <v>3054</v>
      </c>
    </row>
    <row r="3" spans="2:17" x14ac:dyDescent="0.2">
      <c r="L3" s="636"/>
    </row>
    <row r="4" spans="2:17" ht="21.6" customHeight="1" x14ac:dyDescent="0.2">
      <c r="B4" s="635" t="s">
        <v>3055</v>
      </c>
      <c r="C4" s="645">
        <v>2009</v>
      </c>
      <c r="D4" s="645">
        <v>2010</v>
      </c>
      <c r="E4" s="645">
        <v>2011</v>
      </c>
      <c r="F4" s="645">
        <v>2012</v>
      </c>
      <c r="G4" s="645">
        <v>2013</v>
      </c>
      <c r="H4" s="645">
        <v>2014</v>
      </c>
      <c r="I4" s="645">
        <v>2015</v>
      </c>
      <c r="J4" s="645">
        <v>2016</v>
      </c>
      <c r="K4" s="645">
        <v>2017</v>
      </c>
      <c r="L4" s="645">
        <v>2018</v>
      </c>
      <c r="M4" s="645">
        <v>2019</v>
      </c>
      <c r="N4" s="645">
        <v>2020</v>
      </c>
      <c r="O4" s="645">
        <v>2021</v>
      </c>
      <c r="P4" s="645">
        <v>2022</v>
      </c>
      <c r="Q4" s="645">
        <v>2023</v>
      </c>
    </row>
    <row r="5" spans="2:17" x14ac:dyDescent="0.2">
      <c r="B5" s="452" t="s">
        <v>28</v>
      </c>
      <c r="C5" s="634">
        <v>14.3</v>
      </c>
      <c r="D5" s="634">
        <v>42.5</v>
      </c>
      <c r="E5" s="634">
        <v>161.80000000000001</v>
      </c>
      <c r="F5" s="634">
        <v>72.099999999999994</v>
      </c>
      <c r="G5" s="634">
        <v>56.4</v>
      </c>
      <c r="H5" s="634">
        <v>26.446000000000002</v>
      </c>
      <c r="I5" s="634">
        <v>10.032999999999999</v>
      </c>
      <c r="J5" s="646">
        <f>Incurred!P366/1000000-J36</f>
        <v>36.650442990000002</v>
      </c>
      <c r="K5" s="646">
        <f>Incurred!Q366/1000000-K36</f>
        <v>15.953087940000001</v>
      </c>
      <c r="L5" s="646">
        <f>Incurred!R366/1000000-L36</f>
        <v>17.827556392153447</v>
      </c>
      <c r="M5" s="646">
        <f>Incurred!S366/1000000</f>
        <v>14.097878017236798</v>
      </c>
      <c r="N5" s="646">
        <f>Incurred!T366/1000000</f>
        <v>1.6536986411161552</v>
      </c>
      <c r="O5" s="646">
        <f>Incurred!U366/1000000</f>
        <v>0.13995039649595573</v>
      </c>
      <c r="P5" s="646">
        <f>Incurred!V366/1000000</f>
        <v>0</v>
      </c>
      <c r="Q5" s="646">
        <f>Incurred!W366/1000000</f>
        <v>0</v>
      </c>
    </row>
    <row r="6" spans="2:17" x14ac:dyDescent="0.2">
      <c r="B6" s="452" t="s">
        <v>31</v>
      </c>
      <c r="C6" s="634">
        <v>11.8</v>
      </c>
      <c r="D6" s="634">
        <v>20.8</v>
      </c>
      <c r="E6" s="634">
        <v>28.9</v>
      </c>
      <c r="F6" s="634">
        <v>23.7</v>
      </c>
      <c r="G6" s="634">
        <v>35.6</v>
      </c>
      <c r="H6" s="634">
        <v>11.976000000000001</v>
      </c>
      <c r="I6" s="634">
        <v>19.12</v>
      </c>
      <c r="J6" s="646">
        <f>Incurred!P367/1000000</f>
        <v>2.7093797000000004</v>
      </c>
      <c r="K6" s="646">
        <f>Incurred!Q367/1000000</f>
        <v>3.5971811100000002</v>
      </c>
      <c r="L6" s="646">
        <f>Incurred!R367/1000000</f>
        <v>0</v>
      </c>
      <c r="M6" s="646">
        <f>Incurred!S367/1000000</f>
        <v>8.5995808984695513E-2</v>
      </c>
      <c r="N6" s="646">
        <f>Incurred!T367/1000000</f>
        <v>1.2995350788047488</v>
      </c>
      <c r="O6" s="646">
        <f>Incurred!U367/1000000</f>
        <v>5.2873714464952455</v>
      </c>
      <c r="P6" s="646">
        <f>Incurred!V367/1000000</f>
        <v>6.8901212772672438E-3</v>
      </c>
      <c r="Q6" s="646">
        <f>Incurred!W367/1000000</f>
        <v>0</v>
      </c>
    </row>
    <row r="7" spans="2:17" x14ac:dyDescent="0.2">
      <c r="B7" s="452" t="s">
        <v>40</v>
      </c>
      <c r="C7" s="634">
        <v>55.3</v>
      </c>
      <c r="D7" s="634">
        <v>35</v>
      </c>
      <c r="E7" s="634">
        <v>19.2</v>
      </c>
      <c r="F7" s="634">
        <v>47</v>
      </c>
      <c r="G7" s="634">
        <v>69.5</v>
      </c>
      <c r="H7" s="634">
        <v>65</v>
      </c>
      <c r="I7" s="634">
        <v>56.7</v>
      </c>
      <c r="J7" s="646">
        <f>Incurred!P369/1000000</f>
        <v>74.080413980000031</v>
      </c>
      <c r="K7" s="646">
        <f>Incurred!Q369/1000000</f>
        <v>72.91088311</v>
      </c>
      <c r="L7" s="646">
        <f>Incurred!R369/1000000</f>
        <v>69.062252061825021</v>
      </c>
      <c r="M7" s="646">
        <f>Incurred!S369/1000000</f>
        <v>32.636651768249834</v>
      </c>
      <c r="N7" s="646">
        <f>Incurred!T369/1000000</f>
        <v>36.19095527121479</v>
      </c>
      <c r="O7" s="646">
        <f>Incurred!U369/1000000</f>
        <v>40.010195042828023</v>
      </c>
      <c r="P7" s="646">
        <f>Incurred!V369/1000000</f>
        <v>46.563069495279031</v>
      </c>
      <c r="Q7" s="646">
        <f>Incurred!W369/1000000</f>
        <v>20.989073274233473</v>
      </c>
    </row>
    <row r="8" spans="2:17" x14ac:dyDescent="0.2">
      <c r="B8" s="452" t="s">
        <v>41</v>
      </c>
      <c r="C8" s="634">
        <v>0</v>
      </c>
      <c r="D8" s="634">
        <v>0</v>
      </c>
      <c r="E8" s="634">
        <v>0</v>
      </c>
      <c r="F8" s="634">
        <v>0</v>
      </c>
      <c r="G8" s="634">
        <v>0</v>
      </c>
      <c r="H8" s="634">
        <v>2.0419999999999998</v>
      </c>
      <c r="I8" s="634">
        <v>10.050000000000001</v>
      </c>
      <c r="J8" s="646">
        <f>Incurred!P370/1000000</f>
        <v>24.558707409999997</v>
      </c>
      <c r="K8" s="646">
        <f>Incurred!Q370/1000000</f>
        <v>23.592730759999998</v>
      </c>
      <c r="L8" s="646">
        <f>Incurred!R370/1000000</f>
        <v>12.551903641847588</v>
      </c>
      <c r="M8" s="646">
        <f>Incurred!S370/1000000</f>
        <v>10.154163077111003</v>
      </c>
      <c r="N8" s="646">
        <f>Incurred!T370/1000000</f>
        <v>39.71536804677617</v>
      </c>
      <c r="O8" s="646">
        <f>Incurred!U370/1000000</f>
        <v>50.873580800801555</v>
      </c>
      <c r="P8" s="646">
        <f>Incurred!V370/1000000</f>
        <v>44.243142004823731</v>
      </c>
      <c r="Q8" s="646">
        <f>Incurred!W370/1000000</f>
        <v>23.980985385161024</v>
      </c>
    </row>
    <row r="9" spans="2:17" x14ac:dyDescent="0.2">
      <c r="B9" s="452" t="s">
        <v>3050</v>
      </c>
      <c r="C9" s="634">
        <v>1.2</v>
      </c>
      <c r="D9" s="634">
        <v>0.2</v>
      </c>
      <c r="E9" s="634">
        <v>1.2</v>
      </c>
      <c r="F9" s="634">
        <v>12.3</v>
      </c>
      <c r="G9" s="634">
        <v>14.5</v>
      </c>
      <c r="H9" s="634">
        <v>5.7110000000000003</v>
      </c>
      <c r="I9" s="634">
        <v>5.5910000000000002</v>
      </c>
      <c r="J9" s="646">
        <f>Incurred!P368/1000000</f>
        <v>4.4846957400000003</v>
      </c>
      <c r="K9" s="646">
        <f>Incurred!Q368/1000000</f>
        <v>9.3997028300000007</v>
      </c>
      <c r="L9" s="646">
        <f>Incurred!R368/1000000</f>
        <v>-7.9069551335967589E-2</v>
      </c>
      <c r="M9" s="646">
        <f>Incurred!S368/1000000</f>
        <v>0</v>
      </c>
      <c r="N9" s="646">
        <f>Incurred!T368/1000000</f>
        <v>0</v>
      </c>
      <c r="O9" s="646">
        <f>Incurred!U368/1000000</f>
        <v>0</v>
      </c>
      <c r="P9" s="646">
        <f>Incurred!V368/1000000</f>
        <v>0</v>
      </c>
      <c r="Q9" s="646">
        <f>Incurred!W368/1000000</f>
        <v>0</v>
      </c>
    </row>
    <row r="10" spans="2:17" x14ac:dyDescent="0.2">
      <c r="B10" s="452" t="s">
        <v>3051</v>
      </c>
      <c r="C10" s="634">
        <v>3.7</v>
      </c>
      <c r="D10" s="634">
        <v>8</v>
      </c>
      <c r="E10" s="634">
        <v>11</v>
      </c>
      <c r="F10" s="634">
        <v>14.1</v>
      </c>
      <c r="G10" s="634">
        <v>23.8</v>
      </c>
      <c r="H10" s="634">
        <v>6.0910000000000002</v>
      </c>
      <c r="I10" s="634">
        <v>3.032</v>
      </c>
      <c r="J10" s="646">
        <f>Incurred!P371/1000000</f>
        <v>12.037717619999999</v>
      </c>
      <c r="K10" s="646">
        <f>Incurred!Q371/1000000</f>
        <v>14.840801680000006</v>
      </c>
      <c r="L10" s="646">
        <f>Incurred!R371/1000000</f>
        <v>39.114764036898855</v>
      </c>
      <c r="M10" s="646">
        <f>Incurred!S371/1000000</f>
        <v>22.855121862301125</v>
      </c>
      <c r="N10" s="646">
        <f>Incurred!T371/1000000</f>
        <v>12.973503974161861</v>
      </c>
      <c r="O10" s="646">
        <f>Incurred!U371/1000000</f>
        <v>5.1986224304706043</v>
      </c>
      <c r="P10" s="646">
        <f>Incurred!V371/1000000</f>
        <v>3.7606959029812188</v>
      </c>
      <c r="Q10" s="646">
        <f>Incurred!W371/1000000</f>
        <v>3.2598605212794092</v>
      </c>
    </row>
    <row r="11" spans="2:17" x14ac:dyDescent="0.2">
      <c r="B11" s="452" t="s">
        <v>60</v>
      </c>
      <c r="C11" s="634">
        <v>3.8</v>
      </c>
      <c r="D11" s="634">
        <v>2.4</v>
      </c>
      <c r="E11" s="634">
        <v>2.2000000000000002</v>
      </c>
      <c r="F11" s="634">
        <v>2.4</v>
      </c>
      <c r="G11" s="634">
        <v>4.0999999999999996</v>
      </c>
      <c r="H11" s="634">
        <v>0.53900000000000003</v>
      </c>
      <c r="I11" s="634">
        <v>2.0840000000000001</v>
      </c>
      <c r="J11" s="646">
        <f>Incurred!P373/1000000</f>
        <v>1.76773358</v>
      </c>
      <c r="K11" s="646">
        <f>Incurred!Q373/1000000</f>
        <v>4.3389385499999999</v>
      </c>
      <c r="L11" s="646">
        <f>Incurred!R373/1000000</f>
        <v>4.5017601317595997</v>
      </c>
      <c r="M11" s="646">
        <f>Incurred!S373/1000000</f>
        <v>2.3480430569889728</v>
      </c>
      <c r="N11" s="646">
        <f>Incurred!T373/1000000</f>
        <v>2.3998435274897778</v>
      </c>
      <c r="O11" s="646">
        <f>Incurred!U373/1000000</f>
        <v>2.4307488912260697</v>
      </c>
      <c r="P11" s="646">
        <f>Incurred!V373/1000000</f>
        <v>2.482012934796745</v>
      </c>
      <c r="Q11" s="646">
        <f>Incurred!W373/1000000</f>
        <v>2.5328471116947151</v>
      </c>
    </row>
    <row r="12" spans="2:17" x14ac:dyDescent="0.2">
      <c r="B12" s="452" t="s">
        <v>55</v>
      </c>
      <c r="C12" s="634">
        <v>6.4</v>
      </c>
      <c r="D12" s="634">
        <v>5.8</v>
      </c>
      <c r="E12" s="634">
        <v>7.3</v>
      </c>
      <c r="F12" s="634">
        <v>7.7</v>
      </c>
      <c r="G12" s="634">
        <v>12.7</v>
      </c>
      <c r="H12" s="634">
        <v>12.414999999999999</v>
      </c>
      <c r="I12" s="634">
        <v>7.1109999999999998</v>
      </c>
      <c r="J12" s="646">
        <f>Incurred!P374/1000000</f>
        <v>9.8381675499999997</v>
      </c>
      <c r="K12" s="646">
        <f>Incurred!Q374/1000000</f>
        <v>13.470688850000002</v>
      </c>
      <c r="L12" s="646">
        <f>Incurred!R374/1000000</f>
        <v>12.491433890173571</v>
      </c>
      <c r="M12" s="646">
        <f>Incurred!S374/1000000</f>
        <v>14.858758776426662</v>
      </c>
      <c r="N12" s="646">
        <f>Incurred!T374/1000000</f>
        <v>8.3108888283585927</v>
      </c>
      <c r="O12" s="646">
        <f>Incurred!U374/1000000</f>
        <v>9.5530109291656284</v>
      </c>
      <c r="P12" s="646">
        <f>Incurred!V374/1000000</f>
        <v>10.114009822473337</v>
      </c>
      <c r="Q12" s="646">
        <f>Incurred!W374/1000000</f>
        <v>7.1996781401798522</v>
      </c>
    </row>
    <row r="13" spans="2:17" x14ac:dyDescent="0.2">
      <c r="B13" s="452" t="s">
        <v>36</v>
      </c>
      <c r="C13" s="634">
        <v>0.9</v>
      </c>
      <c r="D13" s="634">
        <v>2.8</v>
      </c>
      <c r="E13" s="634">
        <v>0.7</v>
      </c>
      <c r="F13" s="634">
        <v>1.2</v>
      </c>
      <c r="G13" s="634">
        <v>1.9</v>
      </c>
      <c r="H13" s="634">
        <v>1.2150000000000001</v>
      </c>
      <c r="I13" s="634">
        <v>0.69199999999999995</v>
      </c>
      <c r="J13" s="646">
        <f>Incurred!P375/1000000</f>
        <v>0.87311178999999994</v>
      </c>
      <c r="K13" s="646">
        <f>Incurred!Q375/1000000</f>
        <v>2.8399363799999997</v>
      </c>
      <c r="L13" s="646">
        <f>Incurred!R375/1000000</f>
        <v>4.8135962526582228</v>
      </c>
      <c r="M13" s="646">
        <f>Incurred!S375/1000000</f>
        <v>1.5057124986128432</v>
      </c>
      <c r="N13" s="646">
        <f>Incurred!T375/1000000</f>
        <v>1.1978903727089851</v>
      </c>
      <c r="O13" s="646">
        <f>Incurred!U375/1000000</f>
        <v>1.5916219645810896</v>
      </c>
      <c r="P13" s="646">
        <f>Incurred!V375/1000000</f>
        <v>1.216379205603364</v>
      </c>
      <c r="Q13" s="646">
        <f>Incurred!W375/1000000</f>
        <v>0.72695095553831701</v>
      </c>
    </row>
    <row r="14" spans="2:17" x14ac:dyDescent="0.2">
      <c r="B14" s="452" t="s">
        <v>107</v>
      </c>
      <c r="C14" s="634"/>
      <c r="D14" s="634"/>
      <c r="E14" s="634"/>
      <c r="F14" s="634"/>
      <c r="G14" s="634"/>
      <c r="H14" s="634"/>
      <c r="I14" s="634"/>
      <c r="J14" s="646">
        <f>Incurred!P372/1000000</f>
        <v>2.9718660000000001E-2</v>
      </c>
      <c r="K14" s="646">
        <f>Incurred!Q372/1000000</f>
        <v>0.93792560999999997</v>
      </c>
      <c r="L14" s="646">
        <f>Incurred!R372/1000000</f>
        <v>3.0237587892393969</v>
      </c>
      <c r="M14" s="646">
        <v>0</v>
      </c>
      <c r="N14" s="646">
        <v>0</v>
      </c>
      <c r="O14" s="646">
        <v>0</v>
      </c>
      <c r="P14" s="646">
        <v>0</v>
      </c>
      <c r="Q14" s="646">
        <v>0</v>
      </c>
    </row>
    <row r="15" spans="2:17" ht="7.5" customHeight="1" x14ac:dyDescent="0.2">
      <c r="H15" s="633"/>
      <c r="I15" s="633"/>
      <c r="J15" s="647"/>
      <c r="K15" s="648"/>
      <c r="L15" s="648"/>
      <c r="M15" s="649"/>
      <c r="N15" s="649"/>
      <c r="O15" s="649"/>
      <c r="P15" s="649"/>
      <c r="Q15" s="649"/>
    </row>
    <row r="16" spans="2:17" ht="15" x14ac:dyDescent="0.25">
      <c r="B16" s="643" t="s">
        <v>3053</v>
      </c>
      <c r="C16" s="642">
        <f>SUM(C5:C13)</f>
        <v>97.40000000000002</v>
      </c>
      <c r="D16" s="642">
        <f t="shared" ref="D16:Q16" si="0">SUM(D5:D13)</f>
        <v>117.5</v>
      </c>
      <c r="E16" s="642">
        <f t="shared" si="0"/>
        <v>232.29999999999998</v>
      </c>
      <c r="F16" s="642">
        <f t="shared" si="0"/>
        <v>180.5</v>
      </c>
      <c r="G16" s="642">
        <f t="shared" si="0"/>
        <v>218.5</v>
      </c>
      <c r="H16" s="642">
        <f t="shared" si="0"/>
        <v>131.435</v>
      </c>
      <c r="I16" s="642">
        <f t="shared" si="0"/>
        <v>114.413</v>
      </c>
      <c r="J16" s="642">
        <f>SUM(J5:J15)</f>
        <v>167.03008902000002</v>
      </c>
      <c r="K16" s="642">
        <f>SUM(K5:K15)</f>
        <v>161.88187682</v>
      </c>
      <c r="L16" s="642">
        <f>SUM(L5:L15)</f>
        <v>163.30795564521972</v>
      </c>
      <c r="M16" s="642">
        <f t="shared" si="0"/>
        <v>98.542324865911922</v>
      </c>
      <c r="N16" s="642">
        <f t="shared" si="0"/>
        <v>103.74168374063107</v>
      </c>
      <c r="O16" s="642">
        <f t="shared" si="0"/>
        <v>115.08510190206417</v>
      </c>
      <c r="P16" s="642">
        <f t="shared" si="0"/>
        <v>108.38619948723469</v>
      </c>
      <c r="Q16" s="642">
        <f t="shared" si="0"/>
        <v>58.68939538808678</v>
      </c>
    </row>
    <row r="17" spans="2:17" x14ac:dyDescent="0.2">
      <c r="C17" s="637"/>
      <c r="D17" s="637"/>
      <c r="E17" s="637"/>
      <c r="F17" s="637"/>
      <c r="G17" s="637"/>
    </row>
    <row r="18" spans="2:17" x14ac:dyDescent="0.2">
      <c r="B18" s="638" t="s">
        <v>675</v>
      </c>
      <c r="C18" s="639">
        <v>2.4363233665559259E-2</v>
      </c>
      <c r="D18" s="639">
        <v>2.9189189189189113E-2</v>
      </c>
      <c r="E18" s="639">
        <v>3.2563025210083918E-2</v>
      </c>
      <c r="F18" s="639">
        <v>1.6276703967446737E-2</v>
      </c>
      <c r="G18" s="639">
        <v>2.206619859578729E-2</v>
      </c>
      <c r="H18" s="639">
        <v>2.9296875E-2</v>
      </c>
      <c r="I18" s="639">
        <v>1.3282732447817747E-2</v>
      </c>
      <c r="J18" s="639">
        <v>1.3108614232209881E-2</v>
      </c>
      <c r="K18" s="640">
        <v>1.9699999999999999E-2</v>
      </c>
      <c r="L18" s="640">
        <v>1.9699999999999999E-2</v>
      </c>
      <c r="M18" s="640">
        <v>1.9699999999999999E-2</v>
      </c>
      <c r="N18" s="640">
        <v>1.9699999999999999E-2</v>
      </c>
      <c r="O18" s="640">
        <v>1.9699999999999999E-2</v>
      </c>
      <c r="P18" s="640">
        <v>1.9699999999999999E-2</v>
      </c>
      <c r="Q18" s="640">
        <v>1.9699999999999999E-2</v>
      </c>
    </row>
    <row r="19" spans="2:17" x14ac:dyDescent="0.2">
      <c r="B19" s="452"/>
      <c r="C19" s="452"/>
      <c r="D19" s="452"/>
      <c r="E19" s="452"/>
      <c r="F19" s="452"/>
      <c r="G19" s="452"/>
      <c r="H19" s="452"/>
      <c r="I19" s="452"/>
      <c r="J19" s="452"/>
      <c r="K19" s="452"/>
      <c r="L19" s="452"/>
      <c r="M19" s="452"/>
      <c r="N19" s="452"/>
      <c r="O19" s="452"/>
      <c r="P19" s="452"/>
      <c r="Q19" s="452"/>
    </row>
    <row r="20" spans="2:17" x14ac:dyDescent="0.2">
      <c r="B20" s="452" t="s">
        <v>3052</v>
      </c>
      <c r="C20" s="632">
        <f t="shared" ref="C20:I20" si="1">D20*(1-C18)</f>
        <v>0.81683694895086512</v>
      </c>
      <c r="D20" s="632">
        <f t="shared" si="1"/>
        <v>0.8372346934195587</v>
      </c>
      <c r="E20" s="632">
        <f t="shared" si="1"/>
        <v>0.86240767417938946</v>
      </c>
      <c r="F20" s="632">
        <f t="shared" si="1"/>
        <v>0.89143551120388564</v>
      </c>
      <c r="G20" s="632">
        <f t="shared" si="1"/>
        <v>0.90618521976568744</v>
      </c>
      <c r="H20" s="632">
        <f t="shared" si="1"/>
        <v>0.92663247600655418</v>
      </c>
      <c r="I20" s="632">
        <f t="shared" si="1"/>
        <v>0.95459925093632947</v>
      </c>
      <c r="J20" s="632">
        <f>K20*(1-J18)</f>
        <v>0.9674496254681646</v>
      </c>
      <c r="K20" s="632">
        <f>L20*(1-K18)</f>
        <v>0.98029999999999995</v>
      </c>
      <c r="L20" s="632">
        <v>1</v>
      </c>
      <c r="M20" s="632">
        <f>L20*(1+M18)</f>
        <v>1.0197000000000001</v>
      </c>
      <c r="N20" s="632">
        <f t="shared" ref="N20:Q20" si="2">M20*(1+N18)</f>
        <v>1.0397880900000001</v>
      </c>
      <c r="O20" s="632">
        <f t="shared" si="2"/>
        <v>1.060271915373</v>
      </c>
      <c r="P20" s="632">
        <f t="shared" si="2"/>
        <v>1.0811592721058483</v>
      </c>
      <c r="Q20" s="632">
        <f t="shared" si="2"/>
        <v>1.1024581097663335</v>
      </c>
    </row>
    <row r="22" spans="2:17" ht="25.5" x14ac:dyDescent="0.2">
      <c r="B22" s="635" t="s">
        <v>3056</v>
      </c>
      <c r="C22" s="644">
        <f>C4</f>
        <v>2009</v>
      </c>
      <c r="D22" s="644">
        <f t="shared" ref="D22:Q22" si="3">D4</f>
        <v>2010</v>
      </c>
      <c r="E22" s="644">
        <f t="shared" si="3"/>
        <v>2011</v>
      </c>
      <c r="F22" s="644">
        <f t="shared" si="3"/>
        <v>2012</v>
      </c>
      <c r="G22" s="644">
        <f t="shared" si="3"/>
        <v>2013</v>
      </c>
      <c r="H22" s="644">
        <f t="shared" si="3"/>
        <v>2014</v>
      </c>
      <c r="I22" s="644">
        <f t="shared" si="3"/>
        <v>2015</v>
      </c>
      <c r="J22" s="644">
        <f t="shared" si="3"/>
        <v>2016</v>
      </c>
      <c r="K22" s="644">
        <f t="shared" si="3"/>
        <v>2017</v>
      </c>
      <c r="L22" s="644">
        <f t="shared" si="3"/>
        <v>2018</v>
      </c>
      <c r="M22" s="644">
        <f t="shared" si="3"/>
        <v>2019</v>
      </c>
      <c r="N22" s="644">
        <f t="shared" si="3"/>
        <v>2020</v>
      </c>
      <c r="O22" s="644">
        <f t="shared" si="3"/>
        <v>2021</v>
      </c>
      <c r="P22" s="644">
        <f t="shared" si="3"/>
        <v>2022</v>
      </c>
      <c r="Q22" s="644">
        <f t="shared" si="3"/>
        <v>2023</v>
      </c>
    </row>
    <row r="23" spans="2:17" x14ac:dyDescent="0.2">
      <c r="B23" s="447" t="str">
        <f t="shared" ref="B23:B31" si="4">B5</f>
        <v>Augmentation</v>
      </c>
      <c r="C23" s="634">
        <f t="shared" ref="C23:C31" si="5">C5/C$20</f>
        <v>17.506553809015053</v>
      </c>
      <c r="D23" s="634">
        <f t="shared" ref="D23:F23" si="6">D5/D$20</f>
        <v>50.762349355609196</v>
      </c>
      <c r="E23" s="634">
        <f t="shared" si="6"/>
        <v>187.61428596279396</v>
      </c>
      <c r="F23" s="634">
        <f t="shared" si="6"/>
        <v>80.880780599180738</v>
      </c>
      <c r="G23" s="634">
        <f t="shared" ref="G23:Q23" si="7">G5/G$20</f>
        <v>62.238931699397348</v>
      </c>
      <c r="H23" s="634">
        <f>H5*Incurred!N$17/Incurred!$R$17</f>
        <v>28.228739246724377</v>
      </c>
      <c r="I23" s="634">
        <f>I5*Incurred!O$17/Incurred!$R$17</f>
        <v>10.568945512492082</v>
      </c>
      <c r="J23" s="634">
        <f>J5*Incurred!P$17/Incurred!$R$17</f>
        <v>38.108694114226005</v>
      </c>
      <c r="K23" s="634">
        <f>K5*Incurred!Q$17/Incurred!$R$17</f>
        <v>16.267363772418005</v>
      </c>
      <c r="L23" s="634">
        <f>L5*Incurred!R$17/Incurred!$R$17</f>
        <v>17.827556392153447</v>
      </c>
      <c r="M23" s="634">
        <f t="shared" si="7"/>
        <v>13.825515364555063</v>
      </c>
      <c r="N23" s="634">
        <f t="shared" si="7"/>
        <v>1.5904189103725501</v>
      </c>
      <c r="O23" s="634">
        <f t="shared" si="7"/>
        <v>0.13199481610971622</v>
      </c>
      <c r="P23" s="634">
        <f t="shared" si="7"/>
        <v>0</v>
      </c>
      <c r="Q23" s="634">
        <f t="shared" si="7"/>
        <v>0</v>
      </c>
    </row>
    <row r="24" spans="2:17" x14ac:dyDescent="0.2">
      <c r="B24" s="447" t="str">
        <f t="shared" si="4"/>
        <v>Connection</v>
      </c>
      <c r="C24" s="634">
        <f t="shared" si="5"/>
        <v>14.445967478767665</v>
      </c>
      <c r="D24" s="634">
        <f t="shared" ref="D24:F31" si="8">D6/D$20</f>
        <v>24.843690978745208</v>
      </c>
      <c r="E24" s="634">
        <f t="shared" si="8"/>
        <v>33.510833524874812</v>
      </c>
      <c r="F24" s="634">
        <f t="shared" si="8"/>
        <v>26.586331486831948</v>
      </c>
      <c r="G24" s="634">
        <f t="shared" ref="G24:Q24" si="9">G6/G$20</f>
        <v>39.285566817350102</v>
      </c>
      <c r="H24" s="634">
        <f>H6*Incurred!N$17/Incurred!$R$17</f>
        <v>12.783308674989454</v>
      </c>
      <c r="I24" s="634">
        <f>I6*Incurred!O$17/Incurred!$R$17</f>
        <v>20.141357340660683</v>
      </c>
      <c r="J24" s="634">
        <f>J6*Incurred!P$17/Incurred!$R$17</f>
        <v>2.8171807433477745</v>
      </c>
      <c r="K24" s="634">
        <f>K6*Incurred!Q$17/Incurred!$R$17</f>
        <v>3.6680455778670011</v>
      </c>
      <c r="L24" s="634">
        <f>L6*Incurred!R$17/Incurred!$R$17</f>
        <v>0</v>
      </c>
      <c r="M24" s="634">
        <f t="shared" si="9"/>
        <v>8.4334420893101406E-2</v>
      </c>
      <c r="N24" s="634">
        <f t="shared" si="9"/>
        <v>1.2498076207092821</v>
      </c>
      <c r="O24" s="634">
        <f t="shared" si="9"/>
        <v>4.9868070349059153</v>
      </c>
      <c r="P24" s="634">
        <f t="shared" si="9"/>
        <v>6.3729012505686425E-3</v>
      </c>
      <c r="Q24" s="634">
        <f t="shared" si="9"/>
        <v>0</v>
      </c>
    </row>
    <row r="25" spans="2:17" x14ac:dyDescent="0.2">
      <c r="B25" s="447" t="str">
        <f t="shared" si="4"/>
        <v>Replacement</v>
      </c>
      <c r="C25" s="634">
        <f t="shared" si="5"/>
        <v>67.700169625072178</v>
      </c>
      <c r="D25" s="634">
        <f t="shared" si="8"/>
        <v>41.804287704619341</v>
      </c>
      <c r="E25" s="634">
        <f t="shared" si="8"/>
        <v>22.263252722408179</v>
      </c>
      <c r="F25" s="634">
        <f t="shared" si="8"/>
        <v>52.723948518189943</v>
      </c>
      <c r="G25" s="634">
        <f t="shared" ref="G25:Q25" si="10">G7/G$20</f>
        <v>76.695137466455961</v>
      </c>
      <c r="H25" s="634">
        <f>H7*Incurred!N$17/Incurred!$R$17</f>
        <v>69.381685360246692</v>
      </c>
      <c r="I25" s="634">
        <f>I7*Incurred!O$17/Incurred!$R$17</f>
        <v>59.728815963151703</v>
      </c>
      <c r="J25" s="634">
        <f>J7*Incurred!P$17/Incurred!$R$17</f>
        <v>77.027932158673551</v>
      </c>
      <c r="K25" s="634">
        <f>K7*Incurred!Q$17/Incurred!$R$17</f>
        <v>74.347227507267021</v>
      </c>
      <c r="L25" s="634">
        <f>L7*Incurred!R$17/Incurred!$R$17</f>
        <v>69.062252061825021</v>
      </c>
      <c r="M25" s="634">
        <f t="shared" si="10"/>
        <v>32.006130987790364</v>
      </c>
      <c r="N25" s="634">
        <f t="shared" si="10"/>
        <v>34.806087528098914</v>
      </c>
      <c r="O25" s="634">
        <f t="shared" si="10"/>
        <v>37.735786888925162</v>
      </c>
      <c r="P25" s="634">
        <f t="shared" si="10"/>
        <v>43.067724336845338</v>
      </c>
      <c r="Q25" s="634">
        <f t="shared" si="10"/>
        <v>19.038431563338143</v>
      </c>
    </row>
    <row r="26" spans="2:17" x14ac:dyDescent="0.2">
      <c r="B26" s="447" t="str">
        <f t="shared" si="4"/>
        <v>Refurbishment</v>
      </c>
      <c r="C26" s="634">
        <f t="shared" si="5"/>
        <v>0</v>
      </c>
      <c r="D26" s="634">
        <f t="shared" si="8"/>
        <v>0</v>
      </c>
      <c r="E26" s="634">
        <f t="shared" si="8"/>
        <v>0</v>
      </c>
      <c r="F26" s="634">
        <f t="shared" si="8"/>
        <v>0</v>
      </c>
      <c r="G26" s="634">
        <f t="shared" ref="G26:Q26" si="11">G8/G$20</f>
        <v>0</v>
      </c>
      <c r="H26" s="634">
        <f>H8*Incurred!N$17/Incurred!$R$17</f>
        <v>2.1796523308557498</v>
      </c>
      <c r="I26" s="634">
        <f>I8*Incurred!O$17/Incurred!$R$17</f>
        <v>10.586853623098319</v>
      </c>
      <c r="J26" s="634">
        <f>J8*Incurred!P$17/Incurred!$R$17</f>
        <v>25.53585147071275</v>
      </c>
      <c r="K26" s="634">
        <f>K8*Incurred!Q$17/Incurred!$R$17</f>
        <v>24.057507555972002</v>
      </c>
      <c r="L26" s="634">
        <f>L8*Incurred!R$17/Incurred!$R$17</f>
        <v>12.551903641847588</v>
      </c>
      <c r="M26" s="634">
        <f t="shared" si="11"/>
        <v>9.9579906610875764</v>
      </c>
      <c r="N26" s="634">
        <f t="shared" si="11"/>
        <v>38.195636619357863</v>
      </c>
      <c r="O26" s="634">
        <f t="shared" si="11"/>
        <v>47.981635713612583</v>
      </c>
      <c r="P26" s="634">
        <f t="shared" si="11"/>
        <v>40.921946605191962</v>
      </c>
      <c r="Q26" s="634">
        <f t="shared" si="11"/>
        <v>21.752287159685192</v>
      </c>
    </row>
    <row r="27" spans="2:17" x14ac:dyDescent="0.2">
      <c r="B27" s="447" t="str">
        <f t="shared" si="4"/>
        <v>Easements</v>
      </c>
      <c r="C27" s="634">
        <f t="shared" si="5"/>
        <v>1.4690814385187454</v>
      </c>
      <c r="D27" s="634">
        <f t="shared" si="8"/>
        <v>0.23888164402639625</v>
      </c>
      <c r="E27" s="634">
        <f t="shared" si="8"/>
        <v>1.3914532951505112</v>
      </c>
      <c r="F27" s="634">
        <f t="shared" si="8"/>
        <v>13.797969505824177</v>
      </c>
      <c r="G27" s="634">
        <f t="shared" ref="G27:Q27" si="12">G9/G$20</f>
        <v>16.001143787965631</v>
      </c>
      <c r="H27" s="634">
        <f>H9*Incurred!N$17/Incurred!$R$17</f>
        <v>6.0959816168056751</v>
      </c>
      <c r="I27" s="634">
        <f>I9*Incurred!O$17/Incurred!$R$17</f>
        <v>5.8896615529097209</v>
      </c>
      <c r="J27" s="634">
        <f>J9*Incurred!P$17/Incurred!$R$17</f>
        <v>4.6631332177257381</v>
      </c>
      <c r="K27" s="634">
        <f>K9*Incurred!Q$17/Incurred!$R$17</f>
        <v>9.5848769757510031</v>
      </c>
      <c r="L27" s="634">
        <f>L9*Incurred!R$17/Incurred!$R$17</f>
        <v>-7.9069551335967589E-2</v>
      </c>
      <c r="M27" s="634">
        <f t="shared" si="12"/>
        <v>0</v>
      </c>
      <c r="N27" s="634">
        <f t="shared" si="12"/>
        <v>0</v>
      </c>
      <c r="O27" s="634">
        <f t="shared" si="12"/>
        <v>0</v>
      </c>
      <c r="P27" s="634">
        <f t="shared" si="12"/>
        <v>0</v>
      </c>
      <c r="Q27" s="634">
        <f t="shared" si="12"/>
        <v>0</v>
      </c>
    </row>
    <row r="28" spans="2:17" x14ac:dyDescent="0.2">
      <c r="B28" s="447" t="str">
        <f t="shared" si="4"/>
        <v>Security/ Compliance</v>
      </c>
      <c r="C28" s="634">
        <f t="shared" si="5"/>
        <v>4.5296677687661324</v>
      </c>
      <c r="D28" s="634">
        <f t="shared" si="8"/>
        <v>9.5552657610558498</v>
      </c>
      <c r="E28" s="634">
        <f t="shared" si="8"/>
        <v>12.754988538879687</v>
      </c>
      <c r="F28" s="634">
        <f t="shared" si="8"/>
        <v>15.817184555456983</v>
      </c>
      <c r="G28" s="634">
        <f t="shared" ref="G28:Q28" si="13">G10/G$20</f>
        <v>26.263946355419449</v>
      </c>
      <c r="H28" s="634">
        <f>H10*Incurred!N$17/Incurred!$R$17</f>
        <v>6.5015976235271173</v>
      </c>
      <c r="I28" s="634">
        <f>I10*Incurred!O$17/Incurred!$R$17</f>
        <v>3.1939641975357316</v>
      </c>
      <c r="J28" s="634">
        <f>J10*Incurred!P$17/Incurred!$R$17</f>
        <v>12.516675412059149</v>
      </c>
      <c r="K28" s="634">
        <f>K10*Incurred!Q$17/Incurred!$R$17</f>
        <v>15.133165473096007</v>
      </c>
      <c r="L28" s="634">
        <f>L10*Incurred!R$17/Incurred!$R$17</f>
        <v>39.114764036898855</v>
      </c>
      <c r="M28" s="634">
        <f t="shared" si="13"/>
        <v>22.413574445720432</v>
      </c>
      <c r="N28" s="634">
        <f t="shared" si="13"/>
        <v>12.477065374120471</v>
      </c>
      <c r="O28" s="634">
        <f t="shared" si="13"/>
        <v>4.9031030201736003</v>
      </c>
      <c r="P28" s="634">
        <f t="shared" si="13"/>
        <v>3.4783921296408553</v>
      </c>
      <c r="Q28" s="634">
        <f t="shared" si="13"/>
        <v>2.9569019379523982</v>
      </c>
    </row>
    <row r="29" spans="2:17" x14ac:dyDescent="0.2">
      <c r="B29" s="447" t="str">
        <f t="shared" si="4"/>
        <v>Inventory/Spares</v>
      </c>
      <c r="C29" s="634">
        <f t="shared" si="5"/>
        <v>4.6520912219760273</v>
      </c>
      <c r="D29" s="634">
        <f t="shared" si="8"/>
        <v>2.8665797283167547</v>
      </c>
      <c r="E29" s="634">
        <f t="shared" si="8"/>
        <v>2.5509977077759376</v>
      </c>
      <c r="F29" s="634">
        <f t="shared" si="8"/>
        <v>2.6922867328437414</v>
      </c>
      <c r="G29" s="634">
        <f t="shared" ref="G29:Q29" si="14">G11/G$20</f>
        <v>4.5244613469420054</v>
      </c>
      <c r="H29" s="634">
        <f>H11*Incurred!N$17/Incurred!$R$17</f>
        <v>0.57533428321804569</v>
      </c>
      <c r="I29" s="634">
        <f>I11*Incurred!O$17/Incurred!$R$17</f>
        <v>2.1953236766703377</v>
      </c>
      <c r="J29" s="634">
        <f>J11*Incurred!P$17/Incurred!$R$17</f>
        <v>1.8380683227770629</v>
      </c>
      <c r="K29" s="634">
        <f>K11*Incurred!Q$17/Incurred!$R$17</f>
        <v>4.4244156394350007</v>
      </c>
      <c r="L29" s="634">
        <f>L11*Incurred!R$17/Incurred!$R$17</f>
        <v>4.5017601317595997</v>
      </c>
      <c r="M29" s="634">
        <f t="shared" si="14"/>
        <v>2.3026802559468202</v>
      </c>
      <c r="N29" s="634">
        <f t="shared" si="14"/>
        <v>2.3080121330200827</v>
      </c>
      <c r="O29" s="634">
        <f t="shared" si="14"/>
        <v>2.2925712319475524</v>
      </c>
      <c r="P29" s="634">
        <f t="shared" si="14"/>
        <v>2.2956959245813593</v>
      </c>
      <c r="Q29" s="634">
        <f t="shared" si="14"/>
        <v>2.2974542880650159</v>
      </c>
    </row>
    <row r="30" spans="2:17" x14ac:dyDescent="0.2">
      <c r="B30" s="447" t="str">
        <f t="shared" si="4"/>
        <v>Information Technology</v>
      </c>
      <c r="C30" s="634">
        <f t="shared" si="5"/>
        <v>7.8351010054333097</v>
      </c>
      <c r="D30" s="634">
        <f t="shared" si="8"/>
        <v>6.9275676767654906</v>
      </c>
      <c r="E30" s="634">
        <f t="shared" si="8"/>
        <v>8.46467421216561</v>
      </c>
      <c r="F30" s="634">
        <f t="shared" si="8"/>
        <v>8.6377532678736717</v>
      </c>
      <c r="G30" s="634">
        <f t="shared" ref="G30:Q30" si="15">G12/G$20</f>
        <v>14.014794903942311</v>
      </c>
      <c r="H30" s="634">
        <f>H12*Incurred!N$17/Incurred!$R$17</f>
        <v>13.25190190380712</v>
      </c>
      <c r="I30" s="634">
        <f>I12*Incurred!O$17/Incurred!$R$17</f>
        <v>7.4908573247614072</v>
      </c>
      <c r="J30" s="634">
        <f>J12*Incurred!P$17/Incurred!$R$17</f>
        <v>10.229609445914482</v>
      </c>
      <c r="K30" s="634">
        <f>K12*Incurred!Q$17/Incurred!$R$17</f>
        <v>13.736061420345004</v>
      </c>
      <c r="L30" s="634">
        <f>L12*Incurred!R$17/Incurred!$R$17</f>
        <v>12.491433890173571</v>
      </c>
      <c r="M30" s="634">
        <f t="shared" si="15"/>
        <v>14.571696358170698</v>
      </c>
      <c r="N30" s="634">
        <f t="shared" si="15"/>
        <v>7.9928678817225078</v>
      </c>
      <c r="O30" s="634">
        <f t="shared" si="15"/>
        <v>9.0099631902490902</v>
      </c>
      <c r="P30" s="634">
        <f t="shared" si="15"/>
        <v>9.3547824852610137</v>
      </c>
      <c r="Q30" s="634">
        <f t="shared" si="15"/>
        <v>6.5305684419209609</v>
      </c>
    </row>
    <row r="31" spans="2:17" x14ac:dyDescent="0.2">
      <c r="B31" s="447" t="str">
        <f t="shared" si="4"/>
        <v>Facilities</v>
      </c>
      <c r="C31" s="634">
        <f t="shared" si="5"/>
        <v>1.1018110788890592</v>
      </c>
      <c r="D31" s="634">
        <f t="shared" si="8"/>
        <v>3.3443430163695469</v>
      </c>
      <c r="E31" s="634">
        <f t="shared" si="8"/>
        <v>0.81168108883779821</v>
      </c>
      <c r="F31" s="634">
        <f t="shared" si="8"/>
        <v>1.3461433664218707</v>
      </c>
      <c r="G31" s="634">
        <f t="shared" ref="G31:Q31" si="16">G13/G$20</f>
        <v>2.096701599802393</v>
      </c>
      <c r="H31" s="634">
        <f>H13*Incurred!N$17/Incurred!$R$17</f>
        <v>1.2969038109646114</v>
      </c>
      <c r="I31" s="634">
        <f>I13*Incurred!O$17/Incurred!$R$17</f>
        <v>0.72896544350089909</v>
      </c>
      <c r="J31" s="634">
        <f>J13*Incurred!P$17/Incurred!$R$17</f>
        <v>0.9078512404805813</v>
      </c>
      <c r="K31" s="634">
        <f>K13*Incurred!Q$17/Incurred!$R$17</f>
        <v>2.8958831266860003</v>
      </c>
      <c r="L31" s="634">
        <f>L13*Incurred!R$17/Incurred!$R$17</f>
        <v>4.8135962526582228</v>
      </c>
      <c r="M31" s="634">
        <f t="shared" si="16"/>
        <v>1.4766230250199501</v>
      </c>
      <c r="N31" s="634">
        <f t="shared" si="16"/>
        <v>1.1520524078218526</v>
      </c>
      <c r="O31" s="634">
        <f t="shared" si="16"/>
        <v>1.5011450756206841</v>
      </c>
      <c r="P31" s="634">
        <f t="shared" si="16"/>
        <v>1.1250693926290236</v>
      </c>
      <c r="Q31" s="634">
        <f t="shared" si="16"/>
        <v>0.65939100007382101</v>
      </c>
    </row>
    <row r="32" spans="2:17" x14ac:dyDescent="0.2">
      <c r="B32" s="447" t="s">
        <v>107</v>
      </c>
      <c r="C32" s="634">
        <v>0</v>
      </c>
      <c r="D32" s="634">
        <v>0</v>
      </c>
      <c r="E32" s="634">
        <v>0</v>
      </c>
      <c r="F32" s="634">
        <v>0</v>
      </c>
      <c r="G32" s="634">
        <v>0</v>
      </c>
      <c r="H32" s="634">
        <v>0</v>
      </c>
      <c r="I32" s="634">
        <v>0</v>
      </c>
      <c r="J32" s="634">
        <f>J14*Incurred!P$17/Incurred!$R$17</f>
        <v>3.0901108718759413E-2</v>
      </c>
      <c r="K32" s="634">
        <f>K14*Incurred!Q$17/Incurred!$R$17</f>
        <v>0.95640274451700014</v>
      </c>
      <c r="L32" s="634">
        <f>L14*Incurred!R$17/Incurred!$R$17</f>
        <v>3.0237587892393969</v>
      </c>
      <c r="M32" s="634">
        <v>0</v>
      </c>
      <c r="N32" s="634">
        <v>0</v>
      </c>
      <c r="O32" s="634">
        <v>0</v>
      </c>
      <c r="P32" s="634">
        <v>0</v>
      </c>
      <c r="Q32" s="634">
        <v>0</v>
      </c>
    </row>
    <row r="33" spans="2:17" ht="8.1" customHeight="1" x14ac:dyDescent="0.2"/>
    <row r="34" spans="2:17" ht="15" x14ac:dyDescent="0.25">
      <c r="B34" s="641" t="s">
        <v>3053</v>
      </c>
      <c r="C34" s="642">
        <f t="shared" ref="C34:Q34" si="17">SUM(C23:C31)</f>
        <v>119.24044342643816</v>
      </c>
      <c r="D34" s="642">
        <f t="shared" si="17"/>
        <v>140.34296586550778</v>
      </c>
      <c r="E34" s="642">
        <f t="shared" si="17"/>
        <v>269.36216705288649</v>
      </c>
      <c r="F34" s="642">
        <f t="shared" si="17"/>
        <v>202.48239803262305</v>
      </c>
      <c r="G34" s="642">
        <f t="shared" si="17"/>
        <v>241.12068397727526</v>
      </c>
      <c r="H34" s="642">
        <f t="shared" si="17"/>
        <v>140.29510485113883</v>
      </c>
      <c r="I34" s="642">
        <f t="shared" si="17"/>
        <v>120.52474463478089</v>
      </c>
      <c r="J34" s="642">
        <f>SUM(J23:J32)</f>
        <v>173.67589723463587</v>
      </c>
      <c r="K34" s="642">
        <f>SUM(K23:K32)</f>
        <v>165.07094979335403</v>
      </c>
      <c r="L34" s="642">
        <f>SUM(L23:L32)</f>
        <v>163.30795564521972</v>
      </c>
      <c r="M34" s="642">
        <f t="shared" si="17"/>
        <v>96.638545519184007</v>
      </c>
      <c r="N34" s="642">
        <f t="shared" si="17"/>
        <v>99.771948475223525</v>
      </c>
      <c r="O34" s="642">
        <f t="shared" si="17"/>
        <v>108.5430069715443</v>
      </c>
      <c r="P34" s="642">
        <f t="shared" si="17"/>
        <v>100.24998377540012</v>
      </c>
      <c r="Q34" s="642">
        <f t="shared" si="17"/>
        <v>53.235034391035526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00B0F0"/>
    <pageSetUpPr fitToPage="1"/>
  </sheetPr>
  <dimension ref="A1:U64"/>
  <sheetViews>
    <sheetView showGridLines="0" zoomScale="80" zoomScaleNormal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2" sqref="B2"/>
    </sheetView>
  </sheetViews>
  <sheetFormatPr defaultRowHeight="12.75" outlineLevelCol="1" x14ac:dyDescent="0.2"/>
  <cols>
    <col min="1" max="1" width="54.5703125" style="649" bestFit="1" customWidth="1"/>
    <col min="2" max="7" width="10.140625" style="649" customWidth="1" outlineLevel="1"/>
    <col min="8" max="8" width="3.42578125" style="649" customWidth="1" outlineLevel="1"/>
    <col min="9" max="14" width="10.140625" style="649" customWidth="1" outlineLevel="1"/>
    <col min="15" max="15" width="3.28515625" style="649" customWidth="1"/>
    <col min="16" max="20" width="10.140625" style="649" customWidth="1"/>
    <col min="21" max="21" width="9.5703125" style="649" bestFit="1" customWidth="1"/>
    <col min="22" max="16384" width="9.140625" style="649"/>
  </cols>
  <sheetData>
    <row r="1" spans="1:21" x14ac:dyDescent="0.2">
      <c r="I1" s="684" t="s">
        <v>2337</v>
      </c>
      <c r="P1" s="684" t="s">
        <v>3063</v>
      </c>
    </row>
    <row r="2" spans="1:21" ht="15" x14ac:dyDescent="0.25">
      <c r="B2" s="807" t="str">
        <f>IF(Incurred!$B$12&lt;&gt;"$Nominal","ERROR: Incurred spend A18 must be set to 0 for $Nominal","OK. Incurred spend set to $Nominal")</f>
        <v>OK. Incurred spend set to $Nominal</v>
      </c>
      <c r="I2" s="688">
        <f>Incurred!A14</f>
        <v>1.9699999999999999E-2</v>
      </c>
      <c r="J2" s="688">
        <f>I2</f>
        <v>1.9699999999999999E-2</v>
      </c>
      <c r="K2" s="688">
        <f t="shared" ref="K2:M2" si="0">J2</f>
        <v>1.9699999999999999E-2</v>
      </c>
      <c r="L2" s="688">
        <f t="shared" si="0"/>
        <v>1.9699999999999999E-2</v>
      </c>
      <c r="M2" s="688">
        <f t="shared" si="0"/>
        <v>1.9699999999999999E-2</v>
      </c>
      <c r="P2" s="688">
        <f>Incurred!A14</f>
        <v>1.9699999999999999E-2</v>
      </c>
    </row>
    <row r="3" spans="1:21" x14ac:dyDescent="0.2">
      <c r="I3" s="724">
        <f>IF(Incurred!A18=1,1,1+I2)</f>
        <v>1.0197000000000001</v>
      </c>
      <c r="J3" s="724">
        <f>IF(Incurred!$A$18=1,1,I3*(1+J2))</f>
        <v>1.0397880900000001</v>
      </c>
      <c r="K3" s="724">
        <f>IF(Incurred!$A$18=1,1,J3*(1+K2))</f>
        <v>1.060271915373</v>
      </c>
      <c r="L3" s="724">
        <f>IF(Incurred!$A$18=1,1,K3*(1+L2))</f>
        <v>1.0811592721058483</v>
      </c>
      <c r="M3" s="724">
        <f>IF(Incurred!$A$18=1,1,L3*(1+M2))</f>
        <v>1.1024581097663335</v>
      </c>
      <c r="P3" s="725">
        <f>(1+P2)^0.5</f>
        <v>1.00980196078241</v>
      </c>
    </row>
    <row r="5" spans="1:21" x14ac:dyDescent="0.2">
      <c r="B5" s="726"/>
      <c r="C5" s="726"/>
      <c r="D5" s="726"/>
      <c r="E5" s="726"/>
      <c r="F5" s="726"/>
      <c r="G5" s="726"/>
      <c r="H5" s="726"/>
      <c r="I5" s="726"/>
      <c r="J5" s="726"/>
      <c r="K5" s="726"/>
      <c r="L5" s="726"/>
      <c r="M5" s="726"/>
      <c r="N5" s="726"/>
      <c r="P5" s="720" t="s">
        <v>3029</v>
      </c>
      <c r="Q5" s="712"/>
      <c r="R5" s="712"/>
      <c r="S5" s="712"/>
      <c r="T5" s="712"/>
      <c r="U5" s="712"/>
    </row>
    <row r="6" spans="1:21" ht="13.5" thickBot="1" x14ac:dyDescent="0.25">
      <c r="B6" s="726" t="s">
        <v>2299</v>
      </c>
      <c r="C6" s="727"/>
      <c r="D6" s="727"/>
      <c r="E6" s="727"/>
      <c r="F6" s="727"/>
      <c r="G6" s="726"/>
      <c r="H6" s="726"/>
      <c r="I6" s="728" t="s">
        <v>2300</v>
      </c>
      <c r="J6" s="726"/>
      <c r="K6" s="726"/>
      <c r="L6" s="726"/>
      <c r="M6" s="726"/>
      <c r="N6" s="726"/>
      <c r="P6" s="729" t="s">
        <v>2996</v>
      </c>
    </row>
    <row r="7" spans="1:21" x14ac:dyDescent="0.2">
      <c r="A7" s="730" t="s">
        <v>2276</v>
      </c>
      <c r="B7" s="731" t="s">
        <v>2281</v>
      </c>
      <c r="C7" s="732" t="s">
        <v>2282</v>
      </c>
      <c r="D7" s="732" t="s">
        <v>2283</v>
      </c>
      <c r="E7" s="732" t="s">
        <v>2284</v>
      </c>
      <c r="F7" s="732" t="s">
        <v>2285</v>
      </c>
      <c r="G7" s="733" t="s">
        <v>639</v>
      </c>
      <c r="H7" s="726"/>
      <c r="I7" s="731" t="s">
        <v>2281</v>
      </c>
      <c r="J7" s="732" t="s">
        <v>2282</v>
      </c>
      <c r="K7" s="732" t="s">
        <v>2283</v>
      </c>
      <c r="L7" s="732" t="s">
        <v>2284</v>
      </c>
      <c r="M7" s="732" t="s">
        <v>2285</v>
      </c>
      <c r="N7" s="733" t="s">
        <v>639</v>
      </c>
      <c r="P7" s="734" t="s">
        <v>2281</v>
      </c>
      <c r="Q7" s="735" t="s">
        <v>2282</v>
      </c>
      <c r="R7" s="735" t="s">
        <v>2283</v>
      </c>
      <c r="S7" s="735" t="s">
        <v>2284</v>
      </c>
      <c r="T7" s="735" t="s">
        <v>2285</v>
      </c>
      <c r="U7" s="736" t="s">
        <v>639</v>
      </c>
    </row>
    <row r="8" spans="1:21" x14ac:dyDescent="0.2">
      <c r="A8" s="737" t="s">
        <v>1031</v>
      </c>
      <c r="B8" s="738">
        <f>'For RFM &amp; PTRM'!AI8</f>
        <v>1.552</v>
      </c>
      <c r="C8" s="739">
        <f>'For RFM &amp; PTRM'!AJ8</f>
        <v>0.68899999999999995</v>
      </c>
      <c r="D8" s="739">
        <f>'For RFM &amp; PTRM'!AK8</f>
        <v>1.0669999999999999</v>
      </c>
      <c r="E8" s="739">
        <f>'For RFM &amp; PTRM'!AL8</f>
        <v>0.8</v>
      </c>
      <c r="F8" s="740">
        <f>'For RFM &amp; PTRM'!AM8</f>
        <v>0.33600000000000002</v>
      </c>
      <c r="G8" s="741">
        <f>SUM(B8:F8)</f>
        <v>4.444</v>
      </c>
      <c r="H8" s="742"/>
      <c r="I8" s="738">
        <f>B8/I$3</f>
        <v>1.5220162792978327</v>
      </c>
      <c r="J8" s="739">
        <f t="shared" ref="J8:M8" si="1">C8/J$3</f>
        <v>0.66263501825646021</v>
      </c>
      <c r="K8" s="739">
        <f t="shared" si="1"/>
        <v>1.0063456218442162</v>
      </c>
      <c r="L8" s="739">
        <f t="shared" si="1"/>
        <v>0.73994648211431879</v>
      </c>
      <c r="M8" s="740">
        <f t="shared" si="1"/>
        <v>0.30477348483673034</v>
      </c>
      <c r="N8" s="741">
        <f>SUM(I8:M8)</f>
        <v>4.2357168863495582</v>
      </c>
      <c r="O8" s="742"/>
      <c r="P8" s="738">
        <f>I8*$P$3</f>
        <v>1.5369350231776997</v>
      </c>
      <c r="Q8" s="739">
        <f t="shared" ref="Q8:Q32" si="2">J8*$P$3</f>
        <v>0.66913014071846155</v>
      </c>
      <c r="R8" s="739">
        <f t="shared" ref="R8:R32" si="3">K8*$P$3</f>
        <v>1.0162097821630831</v>
      </c>
      <c r="S8" s="739">
        <f t="shared" ref="S8:S32" si="4">L8*$P$3</f>
        <v>0.74719940851308564</v>
      </c>
      <c r="T8" s="740">
        <f t="shared" ref="T8:T32" si="5">M8*$P$3</f>
        <v>0.30776086258261842</v>
      </c>
      <c r="U8" s="741">
        <f>SUM(P8:T8)</f>
        <v>4.2772352171549484</v>
      </c>
    </row>
    <row r="9" spans="1:21" x14ac:dyDescent="0.2">
      <c r="A9" s="737" t="s">
        <v>1032</v>
      </c>
      <c r="B9" s="743">
        <f>'For RFM &amp; PTRM'!AI9</f>
        <v>2.7330000000000001</v>
      </c>
      <c r="C9" s="744">
        <f>'For RFM &amp; PTRM'!AJ9</f>
        <v>0.94099999999999995</v>
      </c>
      <c r="D9" s="744">
        <f>'For RFM &amp; PTRM'!AK9</f>
        <v>1.2529999999999999</v>
      </c>
      <c r="E9" s="744">
        <f>'For RFM &amp; PTRM'!AL9</f>
        <v>1.89</v>
      </c>
      <c r="F9" s="745">
        <f>'For RFM &amp; PTRM'!AM9</f>
        <v>1.7999999999999999E-2</v>
      </c>
      <c r="G9" s="741">
        <f t="shared" ref="G9:G32" si="6">SUM(B9:F9)</f>
        <v>6.8349999999999991</v>
      </c>
      <c r="H9" s="742"/>
      <c r="I9" s="743">
        <f t="shared" ref="I9:I32" si="7">B9/I$3</f>
        <v>2.6802000588408355</v>
      </c>
      <c r="J9" s="744">
        <f t="shared" ref="J9:J32" si="8">C9/J$3</f>
        <v>0.90499209314851825</v>
      </c>
      <c r="K9" s="744">
        <f t="shared" ref="K9:K32" si="9">D9/K$3</f>
        <v>1.1817723188104994</v>
      </c>
      <c r="L9" s="744">
        <f t="shared" ref="L9:L32" si="10">E9/L$3</f>
        <v>1.7481235639950781</v>
      </c>
      <c r="M9" s="745">
        <f t="shared" ref="M9:M32" si="11">F9/M$3</f>
        <v>1.6327150973396265E-2</v>
      </c>
      <c r="N9" s="741">
        <f t="shared" ref="N9:N32" si="12">SUM(I9:M9)</f>
        <v>6.5314151857683269</v>
      </c>
      <c r="O9" s="742"/>
      <c r="P9" s="743">
        <f t="shared" ref="P9:P32" si="13">I9*$P$3</f>
        <v>2.7064712747066064</v>
      </c>
      <c r="Q9" s="744">
        <f t="shared" si="2"/>
        <v>0.91386279015395122</v>
      </c>
      <c r="R9" s="744">
        <f t="shared" si="3"/>
        <v>1.1933560047332177</v>
      </c>
      <c r="S9" s="744">
        <f t="shared" si="4"/>
        <v>1.7652586026121646</v>
      </c>
      <c r="T9" s="745">
        <f t="shared" si="5"/>
        <v>1.6487189066925981E-2</v>
      </c>
      <c r="U9" s="741">
        <f t="shared" ref="U9:U32" si="14">SUM(P9:T9)</f>
        <v>6.5954358612728665</v>
      </c>
    </row>
    <row r="10" spans="1:21" x14ac:dyDescent="0.2">
      <c r="A10" s="737" t="s">
        <v>1033</v>
      </c>
      <c r="B10" s="743">
        <f>'For RFM &amp; PTRM'!AI10</f>
        <v>0</v>
      </c>
      <c r="C10" s="744">
        <f>'For RFM &amp; PTRM'!AJ10</f>
        <v>0</v>
      </c>
      <c r="D10" s="744">
        <f>'For RFM &amp; PTRM'!AK10</f>
        <v>0</v>
      </c>
      <c r="E10" s="744">
        <f>'For RFM &amp; PTRM'!AL10</f>
        <v>0</v>
      </c>
      <c r="F10" s="745">
        <f>'For RFM &amp; PTRM'!AM10</f>
        <v>0</v>
      </c>
      <c r="G10" s="741">
        <f t="shared" si="6"/>
        <v>0</v>
      </c>
      <c r="H10" s="742"/>
      <c r="I10" s="743">
        <f t="shared" si="7"/>
        <v>0</v>
      </c>
      <c r="J10" s="744">
        <f t="shared" si="8"/>
        <v>0</v>
      </c>
      <c r="K10" s="744">
        <f t="shared" si="9"/>
        <v>0</v>
      </c>
      <c r="L10" s="744">
        <f t="shared" si="10"/>
        <v>0</v>
      </c>
      <c r="M10" s="745">
        <f t="shared" si="11"/>
        <v>0</v>
      </c>
      <c r="N10" s="741">
        <f t="shared" si="12"/>
        <v>0</v>
      </c>
      <c r="O10" s="742"/>
      <c r="P10" s="743">
        <f t="shared" si="13"/>
        <v>0</v>
      </c>
      <c r="Q10" s="744">
        <f t="shared" si="2"/>
        <v>0</v>
      </c>
      <c r="R10" s="744">
        <f t="shared" si="3"/>
        <v>0</v>
      </c>
      <c r="S10" s="744">
        <f t="shared" si="4"/>
        <v>0</v>
      </c>
      <c r="T10" s="745">
        <f t="shared" si="5"/>
        <v>0</v>
      </c>
      <c r="U10" s="741">
        <f t="shared" si="14"/>
        <v>0</v>
      </c>
    </row>
    <row r="11" spans="1:21" x14ac:dyDescent="0.2">
      <c r="A11" s="737" t="s">
        <v>1034</v>
      </c>
      <c r="B11" s="743">
        <f>'For RFM &amp; PTRM'!AI11</f>
        <v>17.321000000000002</v>
      </c>
      <c r="C11" s="744">
        <f>'For RFM &amp; PTRM'!AJ11</f>
        <v>10.954000000000001</v>
      </c>
      <c r="D11" s="744">
        <f>'For RFM &amp; PTRM'!AK11</f>
        <v>13.369</v>
      </c>
      <c r="E11" s="744">
        <f>'For RFM &amp; PTRM'!AL11</f>
        <v>11.535</v>
      </c>
      <c r="F11" s="745">
        <f>'For RFM &amp; PTRM'!AM11</f>
        <v>9.3030000000000008</v>
      </c>
      <c r="G11" s="741">
        <f t="shared" si="6"/>
        <v>62.481999999999999</v>
      </c>
      <c r="H11" s="742"/>
      <c r="I11" s="743">
        <f t="shared" si="7"/>
        <v>16.986368539766598</v>
      </c>
      <c r="J11" s="744">
        <f t="shared" si="8"/>
        <v>10.534838882411126</v>
      </c>
      <c r="K11" s="744">
        <f t="shared" si="9"/>
        <v>12.6090296330228</v>
      </c>
      <c r="L11" s="744">
        <f t="shared" si="10"/>
        <v>10.669103338985835</v>
      </c>
      <c r="M11" s="745">
        <f t="shared" si="11"/>
        <v>8.4384158614169706</v>
      </c>
      <c r="N11" s="741">
        <f t="shared" si="12"/>
        <v>59.23775625560333</v>
      </c>
      <c r="O11" s="742"/>
      <c r="P11" s="743">
        <f t="shared" si="13"/>
        <v>17.152868258028953</v>
      </c>
      <c r="Q11" s="744">
        <f t="shared" si="2"/>
        <v>10.638100959985529</v>
      </c>
      <c r="R11" s="744">
        <f t="shared" si="3"/>
        <v>12.732622846989935</v>
      </c>
      <c r="S11" s="744">
        <f t="shared" si="4"/>
        <v>10.773681471498053</v>
      </c>
      <c r="T11" s="745">
        <f t="shared" si="5"/>
        <v>8.5211288827562459</v>
      </c>
      <c r="U11" s="741">
        <f t="shared" si="14"/>
        <v>59.81840241925871</v>
      </c>
    </row>
    <row r="12" spans="1:21" x14ac:dyDescent="0.2">
      <c r="A12" s="737" t="s">
        <v>1035</v>
      </c>
      <c r="B12" s="743">
        <f>'For RFM &amp; PTRM'!AI12</f>
        <v>5.0000000000000001E-3</v>
      </c>
      <c r="C12" s="744">
        <f>'For RFM &amp; PTRM'!AJ12</f>
        <v>0</v>
      </c>
      <c r="D12" s="744">
        <f>'For RFM &amp; PTRM'!AK12</f>
        <v>0</v>
      </c>
      <c r="E12" s="744">
        <f>'For RFM &amp; PTRM'!AL12</f>
        <v>0</v>
      </c>
      <c r="F12" s="745">
        <f>'For RFM &amp; PTRM'!AM12</f>
        <v>0</v>
      </c>
      <c r="G12" s="741">
        <f t="shared" si="6"/>
        <v>5.0000000000000001E-3</v>
      </c>
      <c r="H12" s="742"/>
      <c r="I12" s="743">
        <f t="shared" si="7"/>
        <v>4.9034029616553884E-3</v>
      </c>
      <c r="J12" s="744">
        <f t="shared" si="8"/>
        <v>0</v>
      </c>
      <c r="K12" s="744">
        <f t="shared" si="9"/>
        <v>0</v>
      </c>
      <c r="L12" s="744">
        <f t="shared" si="10"/>
        <v>0</v>
      </c>
      <c r="M12" s="745">
        <f t="shared" si="11"/>
        <v>0</v>
      </c>
      <c r="N12" s="741">
        <f t="shared" si="12"/>
        <v>4.9034029616553884E-3</v>
      </c>
      <c r="O12" s="742"/>
      <c r="P12" s="743">
        <f t="shared" si="13"/>
        <v>4.9514659251858875E-3</v>
      </c>
      <c r="Q12" s="744">
        <f t="shared" si="2"/>
        <v>0</v>
      </c>
      <c r="R12" s="744">
        <f t="shared" si="3"/>
        <v>0</v>
      </c>
      <c r="S12" s="744">
        <f t="shared" si="4"/>
        <v>0</v>
      </c>
      <c r="T12" s="745">
        <f t="shared" si="5"/>
        <v>0</v>
      </c>
      <c r="U12" s="741">
        <f t="shared" si="14"/>
        <v>4.9514659251858875E-3</v>
      </c>
    </row>
    <row r="13" spans="1:21" x14ac:dyDescent="0.2">
      <c r="A13" s="737" t="s">
        <v>854</v>
      </c>
      <c r="B13" s="743">
        <f>'For RFM &amp; PTRM'!AI13</f>
        <v>0.20200000000000001</v>
      </c>
      <c r="C13" s="744">
        <f>'For RFM &amp; PTRM'!AJ13</f>
        <v>8.2000000000000003E-2</v>
      </c>
      <c r="D13" s="744">
        <f>'For RFM &amp; PTRM'!AK13</f>
        <v>1.2E-2</v>
      </c>
      <c r="E13" s="744">
        <f>'For RFM &amp; PTRM'!AL13</f>
        <v>0</v>
      </c>
      <c r="F13" s="745">
        <f>'For RFM &amp; PTRM'!AM13</f>
        <v>0</v>
      </c>
      <c r="G13" s="741">
        <f t="shared" si="6"/>
        <v>0.29600000000000004</v>
      </c>
      <c r="H13" s="742"/>
      <c r="I13" s="743">
        <f t="shared" si="7"/>
        <v>0.19809747965087771</v>
      </c>
      <c r="J13" s="744">
        <f t="shared" si="8"/>
        <v>7.8862222782336344E-2</v>
      </c>
      <c r="K13" s="744">
        <f t="shared" si="9"/>
        <v>1.1317851417179565E-2</v>
      </c>
      <c r="L13" s="744">
        <f t="shared" si="10"/>
        <v>0</v>
      </c>
      <c r="M13" s="745">
        <f t="shared" si="11"/>
        <v>0</v>
      </c>
      <c r="N13" s="741">
        <f t="shared" si="12"/>
        <v>0.28827755385039361</v>
      </c>
      <c r="O13" s="742"/>
      <c r="P13" s="743">
        <f t="shared" si="13"/>
        <v>0.20003922337750987</v>
      </c>
      <c r="Q13" s="744">
        <f t="shared" si="2"/>
        <v>7.9635227197262487E-2</v>
      </c>
      <c r="R13" s="744">
        <f t="shared" si="3"/>
        <v>1.1428788552911903E-2</v>
      </c>
      <c r="S13" s="744">
        <f t="shared" si="4"/>
        <v>0</v>
      </c>
      <c r="T13" s="745">
        <f t="shared" si="5"/>
        <v>0</v>
      </c>
      <c r="U13" s="741">
        <f t="shared" si="14"/>
        <v>0.29110323912768427</v>
      </c>
    </row>
    <row r="14" spans="1:21" x14ac:dyDescent="0.2">
      <c r="A14" s="737" t="s">
        <v>1036</v>
      </c>
      <c r="B14" s="743">
        <f>'For RFM &amp; PTRM'!AI14</f>
        <v>0.46100000000000002</v>
      </c>
      <c r="C14" s="744">
        <f>'For RFM &amp; PTRM'!AJ14</f>
        <v>0</v>
      </c>
      <c r="D14" s="744">
        <f>'For RFM &amp; PTRM'!AK14</f>
        <v>0.17899999999999999</v>
      </c>
      <c r="E14" s="744">
        <f>'For RFM &amp; PTRM'!AL14</f>
        <v>0.68200000000000005</v>
      </c>
      <c r="F14" s="745">
        <f>'For RFM &amp; PTRM'!AM14</f>
        <v>0.91500000000000004</v>
      </c>
      <c r="G14" s="741">
        <f t="shared" si="6"/>
        <v>2.2370000000000001</v>
      </c>
      <c r="H14" s="742"/>
      <c r="I14" s="743">
        <f t="shared" si="7"/>
        <v>0.45209375306462685</v>
      </c>
      <c r="J14" s="744">
        <f t="shared" si="8"/>
        <v>0</v>
      </c>
      <c r="K14" s="744">
        <f t="shared" si="9"/>
        <v>0.1688246169729285</v>
      </c>
      <c r="L14" s="744">
        <f t="shared" si="10"/>
        <v>0.63080437600245687</v>
      </c>
      <c r="M14" s="745">
        <f t="shared" si="11"/>
        <v>0.82996350781431028</v>
      </c>
      <c r="N14" s="741">
        <f t="shared" si="12"/>
        <v>2.0816862538543224</v>
      </c>
      <c r="O14" s="742"/>
      <c r="P14" s="743">
        <f t="shared" si="13"/>
        <v>0.45652515830213886</v>
      </c>
      <c r="Q14" s="744">
        <f t="shared" si="2"/>
        <v>0</v>
      </c>
      <c r="R14" s="744">
        <f t="shared" si="3"/>
        <v>0.17047942924760254</v>
      </c>
      <c r="S14" s="744">
        <f t="shared" si="4"/>
        <v>0.63698749575740554</v>
      </c>
      <c r="T14" s="745">
        <f t="shared" si="5"/>
        <v>0.83809877756873763</v>
      </c>
      <c r="U14" s="741">
        <f t="shared" si="14"/>
        <v>2.1020908608758848</v>
      </c>
    </row>
    <row r="15" spans="1:21" x14ac:dyDescent="0.2">
      <c r="A15" s="737" t="s">
        <v>1037</v>
      </c>
      <c r="B15" s="743">
        <f>'For RFM &amp; PTRM'!AI15</f>
        <v>0.61</v>
      </c>
      <c r="C15" s="744">
        <f>'For RFM &amp; PTRM'!AJ15</f>
        <v>3.347</v>
      </c>
      <c r="D15" s="744">
        <f>'For RFM &amp; PTRM'!AK15</f>
        <v>2.9319999999999999</v>
      </c>
      <c r="E15" s="744">
        <f>'For RFM &amp; PTRM'!AL15</f>
        <v>1.8360000000000001</v>
      </c>
      <c r="F15" s="745">
        <f>'For RFM &amp; PTRM'!AM15</f>
        <v>0.875</v>
      </c>
      <c r="G15" s="741">
        <f t="shared" si="6"/>
        <v>9.6</v>
      </c>
      <c r="H15" s="742"/>
      <c r="I15" s="743">
        <f t="shared" si="7"/>
        <v>0.5982151613219574</v>
      </c>
      <c r="J15" s="744">
        <f t="shared" si="8"/>
        <v>3.2189251177131677</v>
      </c>
      <c r="K15" s="744">
        <f t="shared" si="9"/>
        <v>2.7653283629308736</v>
      </c>
      <c r="L15" s="744">
        <f t="shared" si="10"/>
        <v>1.6981771764523617</v>
      </c>
      <c r="M15" s="745">
        <f t="shared" si="11"/>
        <v>0.79368095009565187</v>
      </c>
      <c r="N15" s="741">
        <f t="shared" si="12"/>
        <v>9.0743267685140125</v>
      </c>
      <c r="O15" s="742"/>
      <c r="P15" s="743">
        <f t="shared" si="13"/>
        <v>0.60407884287267832</v>
      </c>
      <c r="Q15" s="744">
        <f t="shared" si="2"/>
        <v>3.2504768954785068</v>
      </c>
      <c r="R15" s="744">
        <f t="shared" si="3"/>
        <v>2.792434003094808</v>
      </c>
      <c r="S15" s="744">
        <f t="shared" si="4"/>
        <v>1.7148226425375315</v>
      </c>
      <c r="T15" s="745">
        <f t="shared" si="5"/>
        <v>0.80146057964223538</v>
      </c>
      <c r="U15" s="741">
        <f t="shared" si="14"/>
        <v>9.1632729636257597</v>
      </c>
    </row>
    <row r="16" spans="1:21" x14ac:dyDescent="0.2">
      <c r="A16" s="737" t="s">
        <v>41</v>
      </c>
      <c r="B16" s="743">
        <f>'For RFM &amp; PTRM'!AI16</f>
        <v>0</v>
      </c>
      <c r="C16" s="744">
        <f>'For RFM &amp; PTRM'!AJ16</f>
        <v>0</v>
      </c>
      <c r="D16" s="744">
        <f>'For RFM &amp; PTRM'!AK16</f>
        <v>0</v>
      </c>
      <c r="E16" s="744">
        <f>'For RFM &amp; PTRM'!AL16</f>
        <v>0</v>
      </c>
      <c r="F16" s="745">
        <f>'For RFM &amp; PTRM'!AM16</f>
        <v>0</v>
      </c>
      <c r="G16" s="741">
        <f t="shared" si="6"/>
        <v>0</v>
      </c>
      <c r="H16" s="742"/>
      <c r="I16" s="743">
        <f t="shared" si="7"/>
        <v>0</v>
      </c>
      <c r="J16" s="744">
        <f t="shared" si="8"/>
        <v>0</v>
      </c>
      <c r="K16" s="744">
        <f t="shared" si="9"/>
        <v>0</v>
      </c>
      <c r="L16" s="744">
        <f t="shared" si="10"/>
        <v>0</v>
      </c>
      <c r="M16" s="745">
        <f t="shared" si="11"/>
        <v>0</v>
      </c>
      <c r="N16" s="741">
        <f t="shared" si="12"/>
        <v>0</v>
      </c>
      <c r="O16" s="742"/>
      <c r="P16" s="743">
        <f t="shared" si="13"/>
        <v>0</v>
      </c>
      <c r="Q16" s="744">
        <f t="shared" si="2"/>
        <v>0</v>
      </c>
      <c r="R16" s="744">
        <f t="shared" si="3"/>
        <v>0</v>
      </c>
      <c r="S16" s="744">
        <f t="shared" si="4"/>
        <v>0</v>
      </c>
      <c r="T16" s="745">
        <f t="shared" si="5"/>
        <v>0</v>
      </c>
      <c r="U16" s="741">
        <f t="shared" si="14"/>
        <v>0</v>
      </c>
    </row>
    <row r="17" spans="1:21" x14ac:dyDescent="0.2">
      <c r="A17" s="737" t="s">
        <v>1038</v>
      </c>
      <c r="B17" s="743">
        <f>'For RFM &amp; PTRM'!AI17</f>
        <v>13.742000000000001</v>
      </c>
      <c r="C17" s="744">
        <f>'For RFM &amp; PTRM'!AJ17</f>
        <v>13.222</v>
      </c>
      <c r="D17" s="744">
        <f>'For RFM &amp; PTRM'!AK17</f>
        <v>18.716999999999999</v>
      </c>
      <c r="E17" s="744">
        <f>'For RFM &amp; PTRM'!AL17</f>
        <v>17.122</v>
      </c>
      <c r="F17" s="745">
        <f>'For RFM &amp; PTRM'!AM17</f>
        <v>12.353999999999999</v>
      </c>
      <c r="G17" s="741">
        <f t="shared" si="6"/>
        <v>75.156999999999996</v>
      </c>
      <c r="H17" s="742"/>
      <c r="I17" s="743">
        <f t="shared" si="7"/>
        <v>13.476512699813672</v>
      </c>
      <c r="J17" s="744">
        <f t="shared" si="8"/>
        <v>12.716052556439648</v>
      </c>
      <c r="K17" s="744">
        <f t="shared" si="9"/>
        <v>17.653018747945826</v>
      </c>
      <c r="L17" s="744">
        <f t="shared" si="10"/>
        <v>15.836704583451708</v>
      </c>
      <c r="M17" s="745">
        <f t="shared" si="11"/>
        <v>11.205867951407637</v>
      </c>
      <c r="N17" s="741">
        <f t="shared" si="12"/>
        <v>70.888156539058485</v>
      </c>
      <c r="O17" s="742"/>
      <c r="P17" s="743">
        <f t="shared" si="13"/>
        <v>13.608608948780896</v>
      </c>
      <c r="Q17" s="744">
        <f t="shared" si="2"/>
        <v>12.840694804904933</v>
      </c>
      <c r="R17" s="744">
        <f t="shared" si="3"/>
        <v>17.826052945404339</v>
      </c>
      <c r="S17" s="744">
        <f t="shared" si="4"/>
        <v>15.991935340701314</v>
      </c>
      <c r="T17" s="745">
        <f t="shared" si="5"/>
        <v>11.3157074296002</v>
      </c>
      <c r="U17" s="741">
        <f t="shared" si="14"/>
        <v>71.58299946939168</v>
      </c>
    </row>
    <row r="18" spans="1:21" x14ac:dyDescent="0.2">
      <c r="A18" s="737" t="s">
        <v>1039</v>
      </c>
      <c r="B18" s="743">
        <f>'For RFM &amp; PTRM'!AI18</f>
        <v>0.41199999999999998</v>
      </c>
      <c r="C18" s="744">
        <f>'For RFM &amp; PTRM'!AJ18</f>
        <v>0.33800000000000002</v>
      </c>
      <c r="D18" s="744">
        <f>'For RFM &amp; PTRM'!AK18</f>
        <v>1.115</v>
      </c>
      <c r="E18" s="744">
        <f>'For RFM &amp; PTRM'!AL18</f>
        <v>0.95</v>
      </c>
      <c r="F18" s="745">
        <f>'For RFM &amp; PTRM'!AM18</f>
        <v>0</v>
      </c>
      <c r="G18" s="741">
        <f t="shared" si="6"/>
        <v>2.8149999999999999</v>
      </c>
      <c r="H18" s="742"/>
      <c r="I18" s="743">
        <f t="shared" si="7"/>
        <v>0.40404040404040398</v>
      </c>
      <c r="J18" s="744">
        <f t="shared" si="8"/>
        <v>0.32506623537109375</v>
      </c>
      <c r="K18" s="744">
        <f t="shared" si="9"/>
        <v>1.0516170275129346</v>
      </c>
      <c r="L18" s="744">
        <f t="shared" si="10"/>
        <v>0.87868644751075353</v>
      </c>
      <c r="M18" s="745">
        <f t="shared" si="11"/>
        <v>0</v>
      </c>
      <c r="N18" s="741">
        <f t="shared" si="12"/>
        <v>2.659410114435186</v>
      </c>
      <c r="O18" s="742"/>
      <c r="P18" s="743">
        <f t="shared" si="13"/>
        <v>0.4080007922353171</v>
      </c>
      <c r="Q18" s="744">
        <f t="shared" si="2"/>
        <v>0.32825252186188686</v>
      </c>
      <c r="R18" s="744">
        <f t="shared" si="3"/>
        <v>1.061924936374731</v>
      </c>
      <c r="S18" s="744">
        <f t="shared" si="4"/>
        <v>0.88729929760928916</v>
      </c>
      <c r="T18" s="745">
        <f t="shared" si="5"/>
        <v>0</v>
      </c>
      <c r="U18" s="741">
        <f t="shared" si="14"/>
        <v>2.6854775480812241</v>
      </c>
    </row>
    <row r="19" spans="1:21" x14ac:dyDescent="0.2">
      <c r="A19" s="737" t="s">
        <v>1040</v>
      </c>
      <c r="B19" s="743">
        <f>'For RFM &amp; PTRM'!AI19</f>
        <v>14.253</v>
      </c>
      <c r="C19" s="744">
        <f>'For RFM &amp; PTRM'!AJ19</f>
        <v>11.625</v>
      </c>
      <c r="D19" s="744">
        <f>'For RFM &amp; PTRM'!AK19</f>
        <v>5.1980000000000004</v>
      </c>
      <c r="E19" s="744">
        <f>'For RFM &amp; PTRM'!AL19</f>
        <v>1.3859999999999999</v>
      </c>
      <c r="F19" s="745">
        <f>'For RFM &amp; PTRM'!AM19</f>
        <v>0.90300000000000002</v>
      </c>
      <c r="G19" s="741">
        <f t="shared" si="6"/>
        <v>33.365000000000002</v>
      </c>
      <c r="H19" s="742"/>
      <c r="I19" s="743">
        <f t="shared" si="7"/>
        <v>13.97764048249485</v>
      </c>
      <c r="J19" s="744">
        <f t="shared" si="8"/>
        <v>11.180162681032439</v>
      </c>
      <c r="K19" s="744">
        <f t="shared" si="9"/>
        <v>4.9025159722082821</v>
      </c>
      <c r="L19" s="744">
        <f t="shared" si="10"/>
        <v>1.2819572802630572</v>
      </c>
      <c r="M19" s="745">
        <f t="shared" si="11"/>
        <v>0.81907874049871277</v>
      </c>
      <c r="N19" s="741">
        <f t="shared" si="12"/>
        <v>32.161355156497343</v>
      </c>
      <c r="O19" s="742"/>
      <c r="P19" s="743">
        <f t="shared" si="13"/>
        <v>14.114648766334891</v>
      </c>
      <c r="Q19" s="744">
        <f t="shared" si="2"/>
        <v>11.289750197172882</v>
      </c>
      <c r="R19" s="744">
        <f t="shared" si="3"/>
        <v>4.950570241503006</v>
      </c>
      <c r="S19" s="744">
        <f t="shared" si="4"/>
        <v>1.2945229752489207</v>
      </c>
      <c r="T19" s="745">
        <f t="shared" si="5"/>
        <v>0.82710731819078698</v>
      </c>
      <c r="U19" s="741">
        <f t="shared" si="14"/>
        <v>32.476599498450483</v>
      </c>
    </row>
    <row r="20" spans="1:21" x14ac:dyDescent="0.2">
      <c r="A20" s="737" t="s">
        <v>1041</v>
      </c>
      <c r="B20" s="743">
        <f>'For RFM &amp; PTRM'!AI20</f>
        <v>0.85199999999999998</v>
      </c>
      <c r="C20" s="744">
        <f>'For RFM &amp; PTRM'!AJ20</f>
        <v>1.6020000000000001</v>
      </c>
      <c r="D20" s="744">
        <f>'For RFM &amp; PTRM'!AK20</f>
        <v>0.98399999999999999</v>
      </c>
      <c r="E20" s="744">
        <f>'For RFM &amp; PTRM'!AL20</f>
        <v>9.6000000000000002E-2</v>
      </c>
      <c r="F20" s="745">
        <f>'For RFM &amp; PTRM'!AM20</f>
        <v>3.1E-2</v>
      </c>
      <c r="G20" s="741">
        <f t="shared" si="6"/>
        <v>3.5650000000000004</v>
      </c>
      <c r="H20" s="742"/>
      <c r="I20" s="743">
        <f t="shared" si="7"/>
        <v>0.83553986466607821</v>
      </c>
      <c r="J20" s="744">
        <f t="shared" si="8"/>
        <v>1.5406985475280834</v>
      </c>
      <c r="K20" s="744">
        <f t="shared" si="9"/>
        <v>0.92806381620872436</v>
      </c>
      <c r="L20" s="744">
        <f t="shared" si="10"/>
        <v>8.8793577853718261E-2</v>
      </c>
      <c r="M20" s="745">
        <f t="shared" si="11"/>
        <v>2.8118982231960236E-2</v>
      </c>
      <c r="N20" s="741">
        <f t="shared" si="12"/>
        <v>3.4212147884885646</v>
      </c>
      <c r="O20" s="742"/>
      <c r="P20" s="743">
        <f t="shared" si="13"/>
        <v>0.84372979365167533</v>
      </c>
      <c r="Q20" s="744">
        <f t="shared" si="2"/>
        <v>1.5558004142684698</v>
      </c>
      <c r="R20" s="744">
        <f t="shared" si="3"/>
        <v>0.93716066133877607</v>
      </c>
      <c r="S20" s="744">
        <f t="shared" si="4"/>
        <v>8.9663929021570277E-2</v>
      </c>
      <c r="T20" s="745">
        <f t="shared" si="5"/>
        <v>2.8394603393039196E-2</v>
      </c>
      <c r="U20" s="741">
        <f t="shared" si="14"/>
        <v>3.4547494016735305</v>
      </c>
    </row>
    <row r="21" spans="1:21" x14ac:dyDescent="0.2">
      <c r="A21" s="737" t="s">
        <v>1042</v>
      </c>
      <c r="B21" s="743">
        <f>'For RFM &amp; PTRM'!AI21</f>
        <v>0</v>
      </c>
      <c r="C21" s="744">
        <f>'For RFM &amp; PTRM'!AJ21</f>
        <v>0</v>
      </c>
      <c r="D21" s="744">
        <f>'For RFM &amp; PTRM'!AK21</f>
        <v>0</v>
      </c>
      <c r="E21" s="744">
        <f>'For RFM &amp; PTRM'!AL21</f>
        <v>0</v>
      </c>
      <c r="F21" s="745">
        <f>'For RFM &amp; PTRM'!AM21</f>
        <v>0</v>
      </c>
      <c r="G21" s="741">
        <f t="shared" si="6"/>
        <v>0</v>
      </c>
      <c r="H21" s="742"/>
      <c r="I21" s="743">
        <f t="shared" si="7"/>
        <v>0</v>
      </c>
      <c r="J21" s="744">
        <f t="shared" si="8"/>
        <v>0</v>
      </c>
      <c r="K21" s="744">
        <f t="shared" si="9"/>
        <v>0</v>
      </c>
      <c r="L21" s="744">
        <f t="shared" si="10"/>
        <v>0</v>
      </c>
      <c r="M21" s="745">
        <f t="shared" si="11"/>
        <v>0</v>
      </c>
      <c r="N21" s="741">
        <f t="shared" si="12"/>
        <v>0</v>
      </c>
      <c r="O21" s="742"/>
      <c r="P21" s="743">
        <f t="shared" si="13"/>
        <v>0</v>
      </c>
      <c r="Q21" s="744">
        <f t="shared" si="2"/>
        <v>0</v>
      </c>
      <c r="R21" s="744">
        <f t="shared" si="3"/>
        <v>0</v>
      </c>
      <c r="S21" s="744">
        <f t="shared" si="4"/>
        <v>0</v>
      </c>
      <c r="T21" s="745">
        <f t="shared" si="5"/>
        <v>0</v>
      </c>
      <c r="U21" s="741">
        <f t="shared" si="14"/>
        <v>0</v>
      </c>
    </row>
    <row r="22" spans="1:21" x14ac:dyDescent="0.2">
      <c r="A22" s="737" t="s">
        <v>1043</v>
      </c>
      <c r="B22" s="743">
        <f>'For RFM &amp; PTRM'!AI22</f>
        <v>20.350999999999999</v>
      </c>
      <c r="C22" s="744">
        <f>'For RFM &amp; PTRM'!AJ22</f>
        <v>15.986000000000001</v>
      </c>
      <c r="D22" s="744">
        <f>'For RFM &amp; PTRM'!AK22</f>
        <v>13.592000000000001</v>
      </c>
      <c r="E22" s="744">
        <f>'For RFM &amp; PTRM'!AL22</f>
        <v>13.401999999999999</v>
      </c>
      <c r="F22" s="745">
        <f>'For RFM &amp; PTRM'!AM22</f>
        <v>7.4779999999999998</v>
      </c>
      <c r="G22" s="741">
        <f t="shared" si="6"/>
        <v>70.808999999999997</v>
      </c>
      <c r="H22" s="742"/>
      <c r="I22" s="743">
        <f t="shared" si="7"/>
        <v>19.957830734529761</v>
      </c>
      <c r="J22" s="744">
        <f t="shared" si="8"/>
        <v>15.374286504858889</v>
      </c>
      <c r="K22" s="744">
        <f t="shared" si="9"/>
        <v>12.819353038525387</v>
      </c>
      <c r="L22" s="744">
        <f t="shared" si="10"/>
        <v>12.395953441620126</v>
      </c>
      <c r="M22" s="745">
        <f t="shared" si="11"/>
        <v>6.783024165503182</v>
      </c>
      <c r="N22" s="741">
        <f t="shared" si="12"/>
        <v>67.330447885037344</v>
      </c>
      <c r="O22" s="742"/>
      <c r="P22" s="743">
        <f t="shared" si="13"/>
        <v>20.153456608691599</v>
      </c>
      <c r="Q22" s="744">
        <f t="shared" si="2"/>
        <v>15.524984658237051</v>
      </c>
      <c r="R22" s="744">
        <f t="shared" si="3"/>
        <v>12.945007834264882</v>
      </c>
      <c r="S22" s="744">
        <f t="shared" si="4"/>
        <v>12.517458091115467</v>
      </c>
      <c r="T22" s="745">
        <f t="shared" si="5"/>
        <v>6.8495111023595836</v>
      </c>
      <c r="U22" s="741">
        <f t="shared" si="14"/>
        <v>67.990418294668572</v>
      </c>
    </row>
    <row r="23" spans="1:21" x14ac:dyDescent="0.2">
      <c r="A23" s="737" t="s">
        <v>1044</v>
      </c>
      <c r="B23" s="743">
        <f>'For RFM &amp; PTRM'!AI23</f>
        <v>1.1559999999999999</v>
      </c>
      <c r="C23" s="744">
        <f>'For RFM &amp; PTRM'!AJ23</f>
        <v>0.80400000000000005</v>
      </c>
      <c r="D23" s="744">
        <f>'For RFM &amp; PTRM'!AK23</f>
        <v>0.995</v>
      </c>
      <c r="E23" s="744">
        <f>'For RFM &amp; PTRM'!AL23</f>
        <v>9.4909999999999997</v>
      </c>
      <c r="F23" s="745">
        <f>'For RFM &amp; PTRM'!AM23</f>
        <v>0.11</v>
      </c>
      <c r="G23" s="741">
        <f t="shared" si="6"/>
        <v>12.555999999999999</v>
      </c>
      <c r="H23" s="742"/>
      <c r="I23" s="743">
        <f t="shared" si="7"/>
        <v>1.1336667647347258</v>
      </c>
      <c r="J23" s="744">
        <f t="shared" si="8"/>
        <v>0.77323447703656623</v>
      </c>
      <c r="K23" s="744">
        <f t="shared" si="9"/>
        <v>0.93843851334113892</v>
      </c>
      <c r="L23" s="744">
        <f t="shared" si="10"/>
        <v>8.7785400771837487</v>
      </c>
      <c r="M23" s="745">
        <f t="shared" si="11"/>
        <v>9.9777033726310513E-2</v>
      </c>
      <c r="N23" s="741">
        <f t="shared" si="12"/>
        <v>11.723656866022489</v>
      </c>
      <c r="O23" s="742"/>
      <c r="P23" s="743">
        <f t="shared" si="13"/>
        <v>1.1447789219029774</v>
      </c>
      <c r="Q23" s="744">
        <f t="shared" si="2"/>
        <v>0.780813691056086</v>
      </c>
      <c r="R23" s="744">
        <f t="shared" si="3"/>
        <v>0.94763705084561189</v>
      </c>
      <c r="S23" s="744">
        <f t="shared" si="4"/>
        <v>8.8645869827471184</v>
      </c>
      <c r="T23" s="745">
        <f t="shared" si="5"/>
        <v>0.10075504429788101</v>
      </c>
      <c r="U23" s="741">
        <f t="shared" si="14"/>
        <v>11.838571690849674</v>
      </c>
    </row>
    <row r="24" spans="1:21" x14ac:dyDescent="0.2">
      <c r="A24" s="737" t="s">
        <v>1045</v>
      </c>
      <c r="B24" s="743">
        <f>'For RFM &amp; PTRM'!AI24</f>
        <v>0.26700000000000002</v>
      </c>
      <c r="C24" s="744">
        <f>'For RFM &amp; PTRM'!AJ24</f>
        <v>1.2E-2</v>
      </c>
      <c r="D24" s="744">
        <f>'For RFM &amp; PTRM'!AK24</f>
        <v>3.1E-2</v>
      </c>
      <c r="E24" s="744">
        <f>'For RFM &amp; PTRM'!AL24</f>
        <v>4.8000000000000001E-2</v>
      </c>
      <c r="F24" s="745">
        <f>'For RFM &amp; PTRM'!AM24</f>
        <v>7.4999999999999997E-2</v>
      </c>
      <c r="G24" s="741">
        <f t="shared" si="6"/>
        <v>0.43300000000000005</v>
      </c>
      <c r="H24" s="742"/>
      <c r="I24" s="743">
        <f t="shared" si="7"/>
        <v>0.26184171815239776</v>
      </c>
      <c r="J24" s="744">
        <f t="shared" si="8"/>
        <v>1.1540813090098002E-2</v>
      </c>
      <c r="K24" s="744">
        <f t="shared" si="9"/>
        <v>2.9237782827713877E-2</v>
      </c>
      <c r="L24" s="744">
        <f t="shared" si="10"/>
        <v>4.4396788926859131E-2</v>
      </c>
      <c r="M24" s="745">
        <f t="shared" si="11"/>
        <v>6.8029795722484437E-2</v>
      </c>
      <c r="N24" s="741">
        <f t="shared" si="12"/>
        <v>0.41504689871955325</v>
      </c>
      <c r="O24" s="742"/>
      <c r="P24" s="743">
        <f t="shared" si="13"/>
        <v>0.26440828040492642</v>
      </c>
      <c r="Q24" s="744">
        <f t="shared" si="2"/>
        <v>1.1653935687404268E-2</v>
      </c>
      <c r="R24" s="744">
        <f t="shared" si="3"/>
        <v>2.9524370428355751E-2</v>
      </c>
      <c r="S24" s="744">
        <f t="shared" si="4"/>
        <v>4.4831964510785138E-2</v>
      </c>
      <c r="T24" s="745">
        <f t="shared" si="5"/>
        <v>6.8696621112191589E-2</v>
      </c>
      <c r="U24" s="741">
        <f t="shared" si="14"/>
        <v>0.41911517214366317</v>
      </c>
    </row>
    <row r="25" spans="1:21" x14ac:dyDescent="0.2">
      <c r="A25" s="737" t="s">
        <v>2273</v>
      </c>
      <c r="B25" s="743">
        <f>'For RFM &amp; PTRM'!AI25</f>
        <v>0</v>
      </c>
      <c r="C25" s="744">
        <f>'For RFM &amp; PTRM'!AJ25</f>
        <v>0</v>
      </c>
      <c r="D25" s="744">
        <f>'For RFM &amp; PTRM'!AK25</f>
        <v>0</v>
      </c>
      <c r="E25" s="744">
        <f>'For RFM &amp; PTRM'!AL25</f>
        <v>0</v>
      </c>
      <c r="F25" s="745">
        <f>'For RFM &amp; PTRM'!AM25</f>
        <v>0</v>
      </c>
      <c r="G25" s="741">
        <f t="shared" si="6"/>
        <v>0</v>
      </c>
      <c r="H25" s="742"/>
      <c r="I25" s="743">
        <f t="shared" si="7"/>
        <v>0</v>
      </c>
      <c r="J25" s="744">
        <f t="shared" si="8"/>
        <v>0</v>
      </c>
      <c r="K25" s="744">
        <f t="shared" si="9"/>
        <v>0</v>
      </c>
      <c r="L25" s="744">
        <f t="shared" si="10"/>
        <v>0</v>
      </c>
      <c r="M25" s="745">
        <f t="shared" si="11"/>
        <v>0</v>
      </c>
      <c r="N25" s="741">
        <f t="shared" si="12"/>
        <v>0</v>
      </c>
      <c r="O25" s="742"/>
      <c r="P25" s="743">
        <f t="shared" si="13"/>
        <v>0</v>
      </c>
      <c r="Q25" s="744">
        <f t="shared" si="2"/>
        <v>0</v>
      </c>
      <c r="R25" s="744">
        <f t="shared" si="3"/>
        <v>0</v>
      </c>
      <c r="S25" s="744">
        <f t="shared" si="4"/>
        <v>0</v>
      </c>
      <c r="T25" s="745">
        <f t="shared" si="5"/>
        <v>0</v>
      </c>
      <c r="U25" s="741">
        <f t="shared" si="14"/>
        <v>0</v>
      </c>
    </row>
    <row r="26" spans="1:21" x14ac:dyDescent="0.2">
      <c r="A26" s="737" t="s">
        <v>2274</v>
      </c>
      <c r="B26" s="743">
        <f>'For RFM &amp; PTRM'!AI26</f>
        <v>0</v>
      </c>
      <c r="C26" s="744">
        <f>'For RFM &amp; PTRM'!AJ26</f>
        <v>0</v>
      </c>
      <c r="D26" s="744">
        <f>'For RFM &amp; PTRM'!AK26</f>
        <v>0</v>
      </c>
      <c r="E26" s="744">
        <f>'For RFM &amp; PTRM'!AL26</f>
        <v>0</v>
      </c>
      <c r="F26" s="745">
        <f>'For RFM &amp; PTRM'!AM26</f>
        <v>0</v>
      </c>
      <c r="G26" s="741">
        <f t="shared" si="6"/>
        <v>0</v>
      </c>
      <c r="H26" s="742"/>
      <c r="I26" s="743">
        <f t="shared" si="7"/>
        <v>0</v>
      </c>
      <c r="J26" s="744">
        <f t="shared" si="8"/>
        <v>0</v>
      </c>
      <c r="K26" s="744">
        <f t="shared" si="9"/>
        <v>0</v>
      </c>
      <c r="L26" s="744">
        <f t="shared" si="10"/>
        <v>0</v>
      </c>
      <c r="M26" s="745">
        <f t="shared" si="11"/>
        <v>0</v>
      </c>
      <c r="N26" s="741">
        <f t="shared" si="12"/>
        <v>0</v>
      </c>
      <c r="O26" s="742"/>
      <c r="P26" s="743">
        <f t="shared" si="13"/>
        <v>0</v>
      </c>
      <c r="Q26" s="744">
        <f t="shared" si="2"/>
        <v>0</v>
      </c>
      <c r="R26" s="744">
        <f t="shared" si="3"/>
        <v>0</v>
      </c>
      <c r="S26" s="744">
        <f t="shared" si="4"/>
        <v>0</v>
      </c>
      <c r="T26" s="745">
        <f t="shared" si="5"/>
        <v>0</v>
      </c>
      <c r="U26" s="741">
        <f t="shared" si="14"/>
        <v>0</v>
      </c>
    </row>
    <row r="27" spans="1:21" x14ac:dyDescent="0.2">
      <c r="A27" s="737" t="s">
        <v>2275</v>
      </c>
      <c r="B27" s="743">
        <f>'For RFM &amp; PTRM'!AI27</f>
        <v>0</v>
      </c>
      <c r="C27" s="744">
        <f>'For RFM &amp; PTRM'!AJ27</f>
        <v>0</v>
      </c>
      <c r="D27" s="744">
        <f>'For RFM &amp; PTRM'!AK27</f>
        <v>0</v>
      </c>
      <c r="E27" s="744">
        <f>'For RFM &amp; PTRM'!AL27</f>
        <v>0</v>
      </c>
      <c r="F27" s="745">
        <f>'For RFM &amp; PTRM'!AM27</f>
        <v>0</v>
      </c>
      <c r="G27" s="741">
        <f t="shared" si="6"/>
        <v>0</v>
      </c>
      <c r="H27" s="742"/>
      <c r="I27" s="743">
        <f t="shared" si="7"/>
        <v>0</v>
      </c>
      <c r="J27" s="744">
        <f t="shared" si="8"/>
        <v>0</v>
      </c>
      <c r="K27" s="744">
        <f t="shared" si="9"/>
        <v>0</v>
      </c>
      <c r="L27" s="744">
        <f t="shared" si="10"/>
        <v>0</v>
      </c>
      <c r="M27" s="745">
        <f t="shared" si="11"/>
        <v>0</v>
      </c>
      <c r="N27" s="741">
        <f t="shared" si="12"/>
        <v>0</v>
      </c>
      <c r="O27" s="742"/>
      <c r="P27" s="743">
        <f t="shared" si="13"/>
        <v>0</v>
      </c>
      <c r="Q27" s="744">
        <f t="shared" si="2"/>
        <v>0</v>
      </c>
      <c r="R27" s="744">
        <f t="shared" si="3"/>
        <v>0</v>
      </c>
      <c r="S27" s="744">
        <f t="shared" si="4"/>
        <v>0</v>
      </c>
      <c r="T27" s="745">
        <f t="shared" si="5"/>
        <v>0</v>
      </c>
      <c r="U27" s="741">
        <f t="shared" si="14"/>
        <v>0</v>
      </c>
    </row>
    <row r="28" spans="1:21" x14ac:dyDescent="0.2">
      <c r="A28" s="737" t="s">
        <v>1059</v>
      </c>
      <c r="B28" s="743">
        <f>'For RFM &amp; PTRM'!AI28</f>
        <v>0</v>
      </c>
      <c r="C28" s="744">
        <f>'For RFM &amp; PTRM'!AJ28</f>
        <v>0</v>
      </c>
      <c r="D28" s="744">
        <f>'For RFM &amp; PTRM'!AK28</f>
        <v>0</v>
      </c>
      <c r="E28" s="744">
        <f>'For RFM &amp; PTRM'!AL28</f>
        <v>0</v>
      </c>
      <c r="F28" s="745">
        <f>'For RFM &amp; PTRM'!AM28</f>
        <v>0</v>
      </c>
      <c r="G28" s="741">
        <f t="shared" si="6"/>
        <v>0</v>
      </c>
      <c r="H28" s="742"/>
      <c r="I28" s="743">
        <f t="shared" si="7"/>
        <v>0</v>
      </c>
      <c r="J28" s="744">
        <f t="shared" si="8"/>
        <v>0</v>
      </c>
      <c r="K28" s="744">
        <f t="shared" si="9"/>
        <v>0</v>
      </c>
      <c r="L28" s="744">
        <f t="shared" si="10"/>
        <v>0</v>
      </c>
      <c r="M28" s="745">
        <f t="shared" si="11"/>
        <v>0</v>
      </c>
      <c r="N28" s="741">
        <f t="shared" si="12"/>
        <v>0</v>
      </c>
      <c r="O28" s="742"/>
      <c r="P28" s="743">
        <f t="shared" si="13"/>
        <v>0</v>
      </c>
      <c r="Q28" s="744">
        <f t="shared" si="2"/>
        <v>0</v>
      </c>
      <c r="R28" s="744">
        <f t="shared" si="3"/>
        <v>0</v>
      </c>
      <c r="S28" s="744">
        <f t="shared" si="4"/>
        <v>0</v>
      </c>
      <c r="T28" s="745">
        <f t="shared" si="5"/>
        <v>0</v>
      </c>
      <c r="U28" s="741">
        <f t="shared" si="14"/>
        <v>0</v>
      </c>
    </row>
    <row r="29" spans="1:21" x14ac:dyDescent="0.2">
      <c r="A29" s="737" t="s">
        <v>1060</v>
      </c>
      <c r="B29" s="743">
        <f>'For RFM &amp; PTRM'!AI29</f>
        <v>0</v>
      </c>
      <c r="C29" s="744">
        <f>'For RFM &amp; PTRM'!AJ29</f>
        <v>0</v>
      </c>
      <c r="D29" s="744">
        <f>'For RFM &amp; PTRM'!AK29</f>
        <v>0</v>
      </c>
      <c r="E29" s="744">
        <f>'For RFM &amp; PTRM'!AL29</f>
        <v>0</v>
      </c>
      <c r="F29" s="745">
        <f>'For RFM &amp; PTRM'!AM29</f>
        <v>0</v>
      </c>
      <c r="G29" s="741">
        <f t="shared" si="6"/>
        <v>0</v>
      </c>
      <c r="H29" s="742"/>
      <c r="I29" s="743">
        <f t="shared" si="7"/>
        <v>0</v>
      </c>
      <c r="J29" s="744">
        <f t="shared" si="8"/>
        <v>0</v>
      </c>
      <c r="K29" s="744">
        <f t="shared" si="9"/>
        <v>0</v>
      </c>
      <c r="L29" s="744">
        <f t="shared" si="10"/>
        <v>0</v>
      </c>
      <c r="M29" s="745">
        <f t="shared" si="11"/>
        <v>0</v>
      </c>
      <c r="N29" s="741">
        <f t="shared" si="12"/>
        <v>0</v>
      </c>
      <c r="O29" s="742"/>
      <c r="P29" s="743">
        <f t="shared" si="13"/>
        <v>0</v>
      </c>
      <c r="Q29" s="744">
        <f t="shared" si="2"/>
        <v>0</v>
      </c>
      <c r="R29" s="744">
        <f t="shared" si="3"/>
        <v>0</v>
      </c>
      <c r="S29" s="744">
        <f t="shared" si="4"/>
        <v>0</v>
      </c>
      <c r="T29" s="745">
        <f t="shared" si="5"/>
        <v>0</v>
      </c>
      <c r="U29" s="741">
        <f t="shared" si="14"/>
        <v>0</v>
      </c>
    </row>
    <row r="30" spans="1:21" x14ac:dyDescent="0.2">
      <c r="A30" s="737" t="s">
        <v>1047</v>
      </c>
      <c r="B30" s="743">
        <f>'For RFM &amp; PTRM'!AI30</f>
        <v>10.083</v>
      </c>
      <c r="C30" s="744">
        <f>'For RFM &amp; PTRM'!AJ30</f>
        <v>39.552</v>
      </c>
      <c r="D30" s="744">
        <f>'For RFM &amp; PTRM'!AK30</f>
        <v>50.654000000000003</v>
      </c>
      <c r="E30" s="744">
        <f>'For RFM &amp; PTRM'!AL30</f>
        <v>44.314999999999998</v>
      </c>
      <c r="F30" s="745">
        <f>'For RFM &amp; PTRM'!AM30</f>
        <v>23.847999999999999</v>
      </c>
      <c r="G30" s="741">
        <f t="shared" si="6"/>
        <v>168.452</v>
      </c>
      <c r="H30" s="742"/>
      <c r="I30" s="743">
        <f t="shared" si="7"/>
        <v>9.8882024124742571</v>
      </c>
      <c r="J30" s="744">
        <f t="shared" si="8"/>
        <v>38.038519944963014</v>
      </c>
      <c r="K30" s="744">
        <f t="shared" si="9"/>
        <v>47.774537140484476</v>
      </c>
      <c r="L30" s="744">
        <f t="shared" si="10"/>
        <v>40.988410443620047</v>
      </c>
      <c r="M30" s="745">
        <f t="shared" si="11"/>
        <v>21.63166091186412</v>
      </c>
      <c r="N30" s="741">
        <f t="shared" si="12"/>
        <v>158.3213308534059</v>
      </c>
      <c r="O30" s="742"/>
      <c r="P30" s="743">
        <f t="shared" si="13"/>
        <v>9.9851261847298627</v>
      </c>
      <c r="Q30" s="744">
        <f t="shared" si="2"/>
        <v>38.411372025684464</v>
      </c>
      <c r="R30" s="744">
        <f t="shared" si="3"/>
        <v>48.242821279933295</v>
      </c>
      <c r="S30" s="744">
        <f t="shared" si="4"/>
        <v>41.390177235321737</v>
      </c>
      <c r="T30" s="745">
        <f t="shared" si="5"/>
        <v>21.843693603780604</v>
      </c>
      <c r="U30" s="741">
        <f t="shared" si="14"/>
        <v>159.87319032944995</v>
      </c>
    </row>
    <row r="31" spans="1:21" x14ac:dyDescent="0.2">
      <c r="A31" s="737" t="s">
        <v>2997</v>
      </c>
      <c r="B31" s="743">
        <f>'For RFM &amp; PTRM'!AI31</f>
        <v>13.853999999999999</v>
      </c>
      <c r="C31" s="744">
        <f>'For RFM &amp; PTRM'!AJ31</f>
        <v>4.1280000000000001</v>
      </c>
      <c r="D31" s="744">
        <f>'For RFM &amp; PTRM'!AK31</f>
        <v>4.4630000000000001</v>
      </c>
      <c r="E31" s="744">
        <f>'For RFM &amp; PTRM'!AL31</f>
        <v>4.3879999999999999</v>
      </c>
      <c r="F31" s="745">
        <f>'For RFM &amp; PTRM'!AM31</f>
        <v>2.1190000000000002</v>
      </c>
      <c r="G31" s="741">
        <f t="shared" si="6"/>
        <v>28.951999999999998</v>
      </c>
      <c r="H31" s="742"/>
      <c r="I31" s="743">
        <f t="shared" si="7"/>
        <v>13.58634892615475</v>
      </c>
      <c r="J31" s="744">
        <f t="shared" si="8"/>
        <v>3.9700397029937129</v>
      </c>
      <c r="K31" s="744">
        <f t="shared" si="9"/>
        <v>4.2092975729060331</v>
      </c>
      <c r="L31" s="744">
        <f t="shared" si="10"/>
        <v>4.0586064543970384</v>
      </c>
      <c r="M31" s="745">
        <f t="shared" si="11"/>
        <v>1.9220684951459273</v>
      </c>
      <c r="N31" s="741">
        <f t="shared" si="12"/>
        <v>27.746361151597462</v>
      </c>
      <c r="O31" s="742"/>
      <c r="P31" s="743">
        <f t="shared" si="13"/>
        <v>13.719521785505057</v>
      </c>
      <c r="Q31" s="744">
        <f t="shared" si="2"/>
        <v>4.0089538764670678</v>
      </c>
      <c r="R31" s="744">
        <f t="shared" si="3"/>
        <v>4.2505569426371519</v>
      </c>
      <c r="S31" s="744">
        <f t="shared" si="4"/>
        <v>4.0983887556942742</v>
      </c>
      <c r="T31" s="745">
        <f t="shared" si="5"/>
        <v>1.9409085351564535</v>
      </c>
      <c r="U31" s="741">
        <f t="shared" si="14"/>
        <v>28.018329895460006</v>
      </c>
    </row>
    <row r="32" spans="1:21" x14ac:dyDescent="0.2">
      <c r="A32" s="737">
        <v>0</v>
      </c>
      <c r="B32" s="743">
        <f>'For RFM &amp; PTRM'!AI32</f>
        <v>0</v>
      </c>
      <c r="C32" s="744">
        <f>'For RFM &amp; PTRM'!AJ32</f>
        <v>0</v>
      </c>
      <c r="D32" s="744">
        <f>'For RFM &amp; PTRM'!AK32</f>
        <v>0</v>
      </c>
      <c r="E32" s="744">
        <f>'For RFM &amp; PTRM'!AL32</f>
        <v>0</v>
      </c>
      <c r="F32" s="745">
        <f>'For RFM &amp; PTRM'!AM32</f>
        <v>0</v>
      </c>
      <c r="G32" s="741">
        <f t="shared" si="6"/>
        <v>0</v>
      </c>
      <c r="H32" s="742"/>
      <c r="I32" s="743">
        <f t="shared" si="7"/>
        <v>0</v>
      </c>
      <c r="J32" s="744">
        <f t="shared" si="8"/>
        <v>0</v>
      </c>
      <c r="K32" s="744">
        <f t="shared" si="9"/>
        <v>0</v>
      </c>
      <c r="L32" s="744">
        <f t="shared" si="10"/>
        <v>0</v>
      </c>
      <c r="M32" s="745">
        <f t="shared" si="11"/>
        <v>0</v>
      </c>
      <c r="N32" s="741">
        <f t="shared" si="12"/>
        <v>0</v>
      </c>
      <c r="O32" s="742"/>
      <c r="P32" s="743">
        <f t="shared" si="13"/>
        <v>0</v>
      </c>
      <c r="Q32" s="744">
        <f t="shared" si="2"/>
        <v>0</v>
      </c>
      <c r="R32" s="744">
        <f t="shared" si="3"/>
        <v>0</v>
      </c>
      <c r="S32" s="744">
        <f t="shared" si="4"/>
        <v>0</v>
      </c>
      <c r="T32" s="745">
        <f t="shared" si="5"/>
        <v>0</v>
      </c>
      <c r="U32" s="741">
        <f t="shared" si="14"/>
        <v>0</v>
      </c>
    </row>
    <row r="33" spans="1:21" ht="13.5" thickBot="1" x14ac:dyDescent="0.25">
      <c r="A33" s="746" t="s">
        <v>639</v>
      </c>
      <c r="B33" s="747">
        <f t="shared" ref="B33:E33" si="15">SUM(B8:B32)</f>
        <v>97.853999999999999</v>
      </c>
      <c r="C33" s="748">
        <f t="shared" si="15"/>
        <v>103.282</v>
      </c>
      <c r="D33" s="748">
        <f t="shared" si="15"/>
        <v>114.56099999999999</v>
      </c>
      <c r="E33" s="748">
        <f t="shared" si="15"/>
        <v>107.941</v>
      </c>
      <c r="F33" s="749">
        <f>SUM(F8:F32)</f>
        <v>58.364999999999995</v>
      </c>
      <c r="G33" s="750">
        <f>SUM(G8:G32)</f>
        <v>482.00299999999999</v>
      </c>
      <c r="H33" s="742"/>
      <c r="I33" s="747">
        <f t="shared" ref="I33:L33" si="16">SUM(I8:I32)</f>
        <v>95.963518681965283</v>
      </c>
      <c r="J33" s="748">
        <f t="shared" si="16"/>
        <v>99.32985479762516</v>
      </c>
      <c r="K33" s="748">
        <f t="shared" si="16"/>
        <v>108.04869801695902</v>
      </c>
      <c r="L33" s="748">
        <f t="shared" si="16"/>
        <v>99.838204032377107</v>
      </c>
      <c r="M33" s="749">
        <f>SUM(M8:M32)</f>
        <v>52.940787031237399</v>
      </c>
      <c r="N33" s="750">
        <f>SUM(N8:N32)</f>
        <v>456.12106256016392</v>
      </c>
      <c r="O33" s="742"/>
      <c r="P33" s="747">
        <f t="shared" ref="P33:S33" si="17">SUM(P8:P32)</f>
        <v>96.904149328627966</v>
      </c>
      <c r="Q33" s="748">
        <f t="shared" si="17"/>
        <v>100.30348213887396</v>
      </c>
      <c r="R33" s="748">
        <f t="shared" si="17"/>
        <v>109.10778711751171</v>
      </c>
      <c r="S33" s="748">
        <f t="shared" si="17"/>
        <v>100.81681419288871</v>
      </c>
      <c r="T33" s="749">
        <f>SUM(T8:T32)</f>
        <v>53.459710549507506</v>
      </c>
      <c r="U33" s="750">
        <f>SUM(U8:U32)</f>
        <v>460.59194332740975</v>
      </c>
    </row>
    <row r="34" spans="1:21" x14ac:dyDescent="0.2">
      <c r="E34" s="726"/>
      <c r="F34" s="726"/>
      <c r="G34" s="726"/>
      <c r="H34" s="726"/>
      <c r="I34" s="726"/>
      <c r="J34" s="726"/>
      <c r="K34" s="726"/>
      <c r="L34" s="726"/>
      <c r="M34" s="726"/>
      <c r="N34" s="726"/>
    </row>
    <row r="35" spans="1:21" x14ac:dyDescent="0.2">
      <c r="B35" s="726"/>
      <c r="C35" s="726"/>
      <c r="D35" s="726"/>
      <c r="E35" s="726"/>
      <c r="F35" s="726"/>
      <c r="G35" s="726"/>
      <c r="H35" s="726"/>
      <c r="I35" s="726"/>
      <c r="J35" s="726"/>
      <c r="K35" s="726"/>
      <c r="L35" s="726"/>
      <c r="M35" s="726"/>
      <c r="N35" s="726"/>
    </row>
    <row r="36" spans="1:21" x14ac:dyDescent="0.2">
      <c r="B36" s="726"/>
      <c r="C36" s="726"/>
      <c r="D36" s="726"/>
      <c r="E36" s="726"/>
      <c r="F36" s="726"/>
      <c r="G36" s="726"/>
      <c r="H36" s="726"/>
      <c r="I36" s="726"/>
      <c r="J36" s="726"/>
      <c r="K36" s="726"/>
      <c r="L36" s="726"/>
      <c r="M36" s="726"/>
      <c r="N36" s="726"/>
      <c r="P36" s="720" t="s">
        <v>3029</v>
      </c>
      <c r="Q36" s="712"/>
      <c r="R36" s="712"/>
      <c r="S36" s="712"/>
      <c r="T36" s="712"/>
      <c r="U36" s="712"/>
    </row>
    <row r="37" spans="1:21" ht="13.5" thickBot="1" x14ac:dyDescent="0.25">
      <c r="B37" s="726" t="s">
        <v>2299</v>
      </c>
      <c r="C37" s="727"/>
      <c r="D37" s="727"/>
      <c r="E37" s="727"/>
      <c r="F37" s="727"/>
      <c r="G37" s="726"/>
      <c r="H37" s="726"/>
      <c r="I37" s="728" t="s">
        <v>2300</v>
      </c>
      <c r="J37" s="726"/>
      <c r="K37" s="726"/>
      <c r="L37" s="726"/>
      <c r="M37" s="726"/>
      <c r="N37" s="726"/>
      <c r="P37" s="729" t="s">
        <v>2996</v>
      </c>
      <c r="Q37" s="751"/>
      <c r="R37" s="751"/>
      <c r="S37" s="751"/>
      <c r="T37" s="751"/>
      <c r="U37" s="751"/>
    </row>
    <row r="38" spans="1:21" x14ac:dyDescent="0.2">
      <c r="A38" s="730" t="s">
        <v>2277</v>
      </c>
      <c r="B38" s="731" t="s">
        <v>2281</v>
      </c>
      <c r="C38" s="732" t="s">
        <v>2282</v>
      </c>
      <c r="D38" s="732" t="s">
        <v>2283</v>
      </c>
      <c r="E38" s="732" t="s">
        <v>2284</v>
      </c>
      <c r="F38" s="732" t="s">
        <v>2285</v>
      </c>
      <c r="G38" s="733" t="s">
        <v>639</v>
      </c>
      <c r="H38" s="726"/>
      <c r="I38" s="731" t="s">
        <v>2281</v>
      </c>
      <c r="J38" s="732" t="s">
        <v>2282</v>
      </c>
      <c r="K38" s="732" t="s">
        <v>2283</v>
      </c>
      <c r="L38" s="732" t="s">
        <v>2284</v>
      </c>
      <c r="M38" s="732" t="s">
        <v>2285</v>
      </c>
      <c r="N38" s="733" t="s">
        <v>639</v>
      </c>
      <c r="P38" s="752" t="s">
        <v>2281</v>
      </c>
      <c r="Q38" s="753" t="s">
        <v>2282</v>
      </c>
      <c r="R38" s="753" t="s">
        <v>2283</v>
      </c>
      <c r="S38" s="753" t="s">
        <v>2284</v>
      </c>
      <c r="T38" s="753" t="s">
        <v>2285</v>
      </c>
      <c r="U38" s="754" t="s">
        <v>639</v>
      </c>
    </row>
    <row r="39" spans="1:21" x14ac:dyDescent="0.2">
      <c r="A39" s="737" t="s">
        <v>1031</v>
      </c>
      <c r="B39" s="738">
        <f>'For RFM &amp; PTRM'!AI39</f>
        <v>2.1469999999999998</v>
      </c>
      <c r="C39" s="739">
        <f>'For RFM &amp; PTRM'!AJ39</f>
        <v>0.63100000000000001</v>
      </c>
      <c r="D39" s="739">
        <f>'For RFM &amp; PTRM'!AK39</f>
        <v>1.105</v>
      </c>
      <c r="E39" s="739">
        <f>'For RFM &amp; PTRM'!AL39</f>
        <v>1.079</v>
      </c>
      <c r="F39" s="740">
        <f>'For RFM &amp; PTRM'!AM39</f>
        <v>0.13</v>
      </c>
      <c r="G39" s="741">
        <f>SUM(B39:F39)</f>
        <v>5.0919999999999996</v>
      </c>
      <c r="H39" s="742"/>
      <c r="I39" s="738">
        <f>B39/I$3</f>
        <v>2.1055212317348238</v>
      </c>
      <c r="J39" s="739">
        <f t="shared" ref="J39:J63" si="18">C39/J$3</f>
        <v>0.60685442165431991</v>
      </c>
      <c r="K39" s="739">
        <f t="shared" ref="K39:K63" si="19">D39/K$3</f>
        <v>1.0421854846652849</v>
      </c>
      <c r="L39" s="739">
        <f t="shared" ref="L39:L63" si="20">E39/L$3</f>
        <v>0.99800281775168742</v>
      </c>
      <c r="M39" s="740">
        <f t="shared" ref="M39:M63" si="21">F39/M$3</f>
        <v>0.1179183125856397</v>
      </c>
      <c r="N39" s="741">
        <f>SUM(I39:M39)</f>
        <v>4.870482268391755</v>
      </c>
      <c r="O39" s="742"/>
      <c r="P39" s="738">
        <f>I39*$P$3</f>
        <v>2.1261594682748202</v>
      </c>
      <c r="Q39" s="739">
        <f>J39*$P$3</f>
        <v>0.6128027848960077</v>
      </c>
      <c r="R39" s="739">
        <f t="shared" ref="R39:R63" si="22">K39*$P$3</f>
        <v>1.0524009459139709</v>
      </c>
      <c r="S39" s="739">
        <f t="shared" ref="S39:S63" si="23">L39*$P$3</f>
        <v>1.0077852022320242</v>
      </c>
      <c r="T39" s="740">
        <f t="shared" ref="T39:T63" si="24">M39*$P$3</f>
        <v>0.11907414326113211</v>
      </c>
      <c r="U39" s="741">
        <f>SUM(P39:T39)</f>
        <v>4.9182225445779553</v>
      </c>
    </row>
    <row r="40" spans="1:21" x14ac:dyDescent="0.2">
      <c r="A40" s="737" t="s">
        <v>1032</v>
      </c>
      <c r="B40" s="743">
        <f>'For RFM &amp; PTRM'!AI40</f>
        <v>11.912000000000001</v>
      </c>
      <c r="C40" s="744">
        <f>'For RFM &amp; PTRM'!AJ40</f>
        <v>1.3109999999999999</v>
      </c>
      <c r="D40" s="744">
        <f>'For RFM &amp; PTRM'!AK40</f>
        <v>0.82199999999999995</v>
      </c>
      <c r="E40" s="744">
        <f>'For RFM &amp; PTRM'!AL40</f>
        <v>3.1019999999999999</v>
      </c>
      <c r="F40" s="745">
        <f>'For RFM &amp; PTRM'!AM40</f>
        <v>5.5E-2</v>
      </c>
      <c r="G40" s="741">
        <f t="shared" ref="G40:G63" si="25">SUM(B40:F40)</f>
        <v>17.201999999999998</v>
      </c>
      <c r="H40" s="742"/>
      <c r="I40" s="743">
        <f t="shared" ref="I40:I63" si="26">B40/I$3</f>
        <v>11.681867215847799</v>
      </c>
      <c r="J40" s="744">
        <f t="shared" si="18"/>
        <v>1.2608338300932067</v>
      </c>
      <c r="K40" s="744">
        <f t="shared" si="19"/>
        <v>0.77527282207680015</v>
      </c>
      <c r="L40" s="744">
        <f t="shared" si="20"/>
        <v>2.8691424843982709</v>
      </c>
      <c r="M40" s="745">
        <f t="shared" si="21"/>
        <v>4.9888516863155256E-2</v>
      </c>
      <c r="N40" s="741">
        <f t="shared" ref="N40:N63" si="27">SUM(I40:M40)</f>
        <v>16.637004869279231</v>
      </c>
      <c r="O40" s="742"/>
      <c r="P40" s="743">
        <f t="shared" ref="P40:P63" si="28">I40*$P$3</f>
        <v>11.796372420162861</v>
      </c>
      <c r="Q40" s="744">
        <f t="shared" ref="Q40:Q63" si="29">J40*$P$3</f>
        <v>1.2731924738489162</v>
      </c>
      <c r="R40" s="744">
        <f t="shared" si="22"/>
        <v>0.78287201587446531</v>
      </c>
      <c r="S40" s="744">
        <f t="shared" si="23"/>
        <v>2.8972657065094891</v>
      </c>
      <c r="T40" s="745">
        <f t="shared" si="24"/>
        <v>5.0377522148940507E-2</v>
      </c>
      <c r="U40" s="741">
        <f t="shared" ref="U40:U63" si="30">SUM(P40:T40)</f>
        <v>16.800080138544672</v>
      </c>
    </row>
    <row r="41" spans="1:21" x14ac:dyDescent="0.2">
      <c r="A41" s="737" t="s">
        <v>1033</v>
      </c>
      <c r="B41" s="743">
        <f>'For RFM &amp; PTRM'!AI41</f>
        <v>0</v>
      </c>
      <c r="C41" s="744">
        <f>'For RFM &amp; PTRM'!AJ41</f>
        <v>0</v>
      </c>
      <c r="D41" s="744">
        <f>'For RFM &amp; PTRM'!AK41</f>
        <v>0</v>
      </c>
      <c r="E41" s="744">
        <f>'For RFM &amp; PTRM'!AL41</f>
        <v>0</v>
      </c>
      <c r="F41" s="745">
        <f>'For RFM &amp; PTRM'!AM41</f>
        <v>0</v>
      </c>
      <c r="G41" s="741">
        <f t="shared" si="25"/>
        <v>0</v>
      </c>
      <c r="H41" s="742"/>
      <c r="I41" s="743">
        <f t="shared" si="26"/>
        <v>0</v>
      </c>
      <c r="J41" s="744">
        <f t="shared" si="18"/>
        <v>0</v>
      </c>
      <c r="K41" s="744">
        <f t="shared" si="19"/>
        <v>0</v>
      </c>
      <c r="L41" s="744">
        <f t="shared" si="20"/>
        <v>0</v>
      </c>
      <c r="M41" s="745">
        <f t="shared" si="21"/>
        <v>0</v>
      </c>
      <c r="N41" s="741">
        <f t="shared" si="27"/>
        <v>0</v>
      </c>
      <c r="O41" s="742"/>
      <c r="P41" s="743">
        <f t="shared" si="28"/>
        <v>0</v>
      </c>
      <c r="Q41" s="744">
        <f t="shared" si="29"/>
        <v>0</v>
      </c>
      <c r="R41" s="744">
        <f t="shared" si="22"/>
        <v>0</v>
      </c>
      <c r="S41" s="744">
        <f t="shared" si="23"/>
        <v>0</v>
      </c>
      <c r="T41" s="745">
        <f t="shared" si="24"/>
        <v>0</v>
      </c>
      <c r="U41" s="741">
        <f t="shared" si="30"/>
        <v>0</v>
      </c>
    </row>
    <row r="42" spans="1:21" x14ac:dyDescent="0.2">
      <c r="A42" s="737" t="s">
        <v>1034</v>
      </c>
      <c r="B42" s="743">
        <f>'For RFM &amp; PTRM'!AI42</f>
        <v>25.132000000000001</v>
      </c>
      <c r="C42" s="744">
        <f>'For RFM &amp; PTRM'!AJ42</f>
        <v>8.9879999999999995</v>
      </c>
      <c r="D42" s="744">
        <f>'For RFM &amp; PTRM'!AK42</f>
        <v>14.058999999999999</v>
      </c>
      <c r="E42" s="744">
        <f>'For RFM &amp; PTRM'!AL42</f>
        <v>9.9529999999999994</v>
      </c>
      <c r="F42" s="745">
        <f>'For RFM &amp; PTRM'!AM42</f>
        <v>13.958</v>
      </c>
      <c r="G42" s="741">
        <f t="shared" si="25"/>
        <v>72.09</v>
      </c>
      <c r="H42" s="742"/>
      <c r="I42" s="743">
        <f t="shared" si="26"/>
        <v>24.646464646464647</v>
      </c>
      <c r="J42" s="744">
        <f t="shared" si="18"/>
        <v>8.6440690044834039</v>
      </c>
      <c r="K42" s="744">
        <f t="shared" si="19"/>
        <v>13.259806089510624</v>
      </c>
      <c r="L42" s="744">
        <f t="shared" si="20"/>
        <v>9.2058591706047679</v>
      </c>
      <c r="M42" s="745">
        <f t="shared" si="21"/>
        <v>12.660798515925839</v>
      </c>
      <c r="N42" s="741">
        <f t="shared" si="27"/>
        <v>68.416997426989283</v>
      </c>
      <c r="O42" s="742"/>
      <c r="P42" s="743">
        <f t="shared" si="28"/>
        <v>24.888048326354347</v>
      </c>
      <c r="Q42" s="744">
        <f t="shared" si="29"/>
        <v>8.7287978298657958</v>
      </c>
      <c r="R42" s="744">
        <f t="shared" si="22"/>
        <v>13.389778188782369</v>
      </c>
      <c r="S42" s="744">
        <f t="shared" si="23"/>
        <v>9.2960946411634247</v>
      </c>
      <c r="T42" s="745">
        <f t="shared" si="24"/>
        <v>12.78489916645294</v>
      </c>
      <c r="U42" s="741">
        <f t="shared" si="30"/>
        <v>69.087618152618873</v>
      </c>
    </row>
    <row r="43" spans="1:21" x14ac:dyDescent="0.2">
      <c r="A43" s="737" t="s">
        <v>1035</v>
      </c>
      <c r="B43" s="743">
        <f>'For RFM &amp; PTRM'!AI43</f>
        <v>1.4E-2</v>
      </c>
      <c r="C43" s="744">
        <f>'For RFM &amp; PTRM'!AJ43</f>
        <v>0</v>
      </c>
      <c r="D43" s="744">
        <f>'For RFM &amp; PTRM'!AK43</f>
        <v>0</v>
      </c>
      <c r="E43" s="744">
        <f>'For RFM &amp; PTRM'!AL43</f>
        <v>0</v>
      </c>
      <c r="F43" s="745">
        <f>'For RFM &amp; PTRM'!AM43</f>
        <v>0</v>
      </c>
      <c r="G43" s="741">
        <f t="shared" si="25"/>
        <v>1.4E-2</v>
      </c>
      <c r="H43" s="742"/>
      <c r="I43" s="743">
        <f t="shared" si="26"/>
        <v>1.3729528292635088E-2</v>
      </c>
      <c r="J43" s="744">
        <f t="shared" si="18"/>
        <v>0</v>
      </c>
      <c r="K43" s="744">
        <f t="shared" si="19"/>
        <v>0</v>
      </c>
      <c r="L43" s="744">
        <f t="shared" si="20"/>
        <v>0</v>
      </c>
      <c r="M43" s="745">
        <f t="shared" si="21"/>
        <v>0</v>
      </c>
      <c r="N43" s="741">
        <f t="shared" si="27"/>
        <v>1.3729528292635088E-2</v>
      </c>
      <c r="O43" s="742"/>
      <c r="P43" s="743">
        <f t="shared" si="28"/>
        <v>1.3864104590520485E-2</v>
      </c>
      <c r="Q43" s="744">
        <f t="shared" si="29"/>
        <v>0</v>
      </c>
      <c r="R43" s="744">
        <f t="shared" si="22"/>
        <v>0</v>
      </c>
      <c r="S43" s="744">
        <f t="shared" si="23"/>
        <v>0</v>
      </c>
      <c r="T43" s="745">
        <f t="shared" si="24"/>
        <v>0</v>
      </c>
      <c r="U43" s="741">
        <f t="shared" si="30"/>
        <v>1.3864104590520485E-2</v>
      </c>
    </row>
    <row r="44" spans="1:21" x14ac:dyDescent="0.2">
      <c r="A44" s="737" t="s">
        <v>854</v>
      </c>
      <c r="B44" s="743">
        <f>'For RFM &amp; PTRM'!AI44</f>
        <v>0.188</v>
      </c>
      <c r="C44" s="744">
        <f>'For RFM &amp; PTRM'!AJ44</f>
        <v>0.11</v>
      </c>
      <c r="D44" s="744">
        <f>'For RFM &amp; PTRM'!AK44</f>
        <v>4.4999999999999998E-2</v>
      </c>
      <c r="E44" s="744">
        <f>'For RFM &amp; PTRM'!AL44</f>
        <v>0</v>
      </c>
      <c r="F44" s="745">
        <f>'For RFM &amp; PTRM'!AM44</f>
        <v>0</v>
      </c>
      <c r="G44" s="741">
        <f t="shared" si="25"/>
        <v>0.34299999999999997</v>
      </c>
      <c r="H44" s="742"/>
      <c r="I44" s="743">
        <f t="shared" si="26"/>
        <v>0.1843679513582426</v>
      </c>
      <c r="J44" s="744">
        <f t="shared" si="18"/>
        <v>0.10579078665923168</v>
      </c>
      <c r="K44" s="744">
        <f t="shared" si="19"/>
        <v>4.2441942814423365E-2</v>
      </c>
      <c r="L44" s="744">
        <f t="shared" si="20"/>
        <v>0</v>
      </c>
      <c r="M44" s="745">
        <f t="shared" si="21"/>
        <v>0</v>
      </c>
      <c r="N44" s="741">
        <f t="shared" si="27"/>
        <v>0.33260068083189764</v>
      </c>
      <c r="O44" s="742"/>
      <c r="P44" s="743">
        <f t="shared" si="28"/>
        <v>0.18617511878698939</v>
      </c>
      <c r="Q44" s="744">
        <f t="shared" si="29"/>
        <v>0.10682774380120577</v>
      </c>
      <c r="R44" s="744">
        <f t="shared" si="22"/>
        <v>4.2857957073419634E-2</v>
      </c>
      <c r="S44" s="744">
        <f t="shared" si="23"/>
        <v>0</v>
      </c>
      <c r="T44" s="745">
        <f t="shared" si="24"/>
        <v>0</v>
      </c>
      <c r="U44" s="741">
        <f t="shared" si="30"/>
        <v>0.33586081966161485</v>
      </c>
    </row>
    <row r="45" spans="1:21" x14ac:dyDescent="0.2">
      <c r="A45" s="737" t="s">
        <v>1036</v>
      </c>
      <c r="B45" s="743">
        <f>'For RFM &amp; PTRM'!AI45</f>
        <v>1.7110000000000001</v>
      </c>
      <c r="C45" s="744">
        <f>'For RFM &amp; PTRM'!AJ45</f>
        <v>0</v>
      </c>
      <c r="D45" s="744">
        <f>'For RFM &amp; PTRM'!AK45</f>
        <v>0</v>
      </c>
      <c r="E45" s="744">
        <f>'For RFM &amp; PTRM'!AL45</f>
        <v>0</v>
      </c>
      <c r="F45" s="745">
        <f>'For RFM &amp; PTRM'!AM45</f>
        <v>1.798</v>
      </c>
      <c r="G45" s="741">
        <f t="shared" si="25"/>
        <v>3.5090000000000003</v>
      </c>
      <c r="H45" s="742"/>
      <c r="I45" s="743">
        <f t="shared" si="26"/>
        <v>1.677944493478474</v>
      </c>
      <c r="J45" s="744">
        <f t="shared" si="18"/>
        <v>0</v>
      </c>
      <c r="K45" s="744">
        <f t="shared" si="19"/>
        <v>0</v>
      </c>
      <c r="L45" s="744">
        <f t="shared" si="20"/>
        <v>0</v>
      </c>
      <c r="M45" s="745">
        <f t="shared" si="21"/>
        <v>1.6309009694536938</v>
      </c>
      <c r="N45" s="741">
        <f t="shared" si="27"/>
        <v>3.308845462932168</v>
      </c>
      <c r="O45" s="742"/>
      <c r="P45" s="743">
        <f t="shared" si="28"/>
        <v>1.6943916395986107</v>
      </c>
      <c r="Q45" s="744">
        <f t="shared" si="29"/>
        <v>0</v>
      </c>
      <c r="R45" s="744">
        <f t="shared" si="22"/>
        <v>0</v>
      </c>
      <c r="S45" s="744">
        <f t="shared" si="23"/>
        <v>0</v>
      </c>
      <c r="T45" s="745">
        <f t="shared" si="24"/>
        <v>1.6468869967962734</v>
      </c>
      <c r="U45" s="741">
        <f t="shared" si="30"/>
        <v>3.3412786363948843</v>
      </c>
    </row>
    <row r="46" spans="1:21" x14ac:dyDescent="0.2">
      <c r="A46" s="737" t="s">
        <v>1037</v>
      </c>
      <c r="B46" s="743">
        <f>'For RFM &amp; PTRM'!AI46</f>
        <v>0.55500000000000005</v>
      </c>
      <c r="C46" s="744">
        <f>'For RFM &amp; PTRM'!AJ46</f>
        <v>2.1520000000000001</v>
      </c>
      <c r="D46" s="744">
        <f>'For RFM &amp; PTRM'!AK46</f>
        <v>0.53300000000000003</v>
      </c>
      <c r="E46" s="744">
        <f>'For RFM &amp; PTRM'!AL46</f>
        <v>3.9249999999999998</v>
      </c>
      <c r="F46" s="745">
        <f>'For RFM &amp; PTRM'!AM46</f>
        <v>2.8740000000000001</v>
      </c>
      <c r="G46" s="741">
        <f t="shared" si="25"/>
        <v>10.039</v>
      </c>
      <c r="H46" s="742"/>
      <c r="I46" s="743">
        <f t="shared" si="26"/>
        <v>0.54427772874374813</v>
      </c>
      <c r="J46" s="744">
        <f t="shared" si="18"/>
        <v>2.0696524808242418</v>
      </c>
      <c r="K46" s="744">
        <f t="shared" si="19"/>
        <v>0.50270123377972575</v>
      </c>
      <c r="L46" s="744">
        <f t="shared" si="20"/>
        <v>3.6303624278733766</v>
      </c>
      <c r="M46" s="745">
        <f t="shared" si="21"/>
        <v>2.606901772085604</v>
      </c>
      <c r="N46" s="741">
        <f t="shared" si="27"/>
        <v>9.3538956433066964</v>
      </c>
      <c r="O46" s="742"/>
      <c r="P46" s="743">
        <f t="shared" si="28"/>
        <v>0.54961271769563358</v>
      </c>
      <c r="Q46" s="744">
        <f t="shared" si="29"/>
        <v>2.0899391332744988</v>
      </c>
      <c r="R46" s="744">
        <f t="shared" si="22"/>
        <v>0.50762869155850376</v>
      </c>
      <c r="S46" s="744">
        <f t="shared" si="23"/>
        <v>3.6659470980173263</v>
      </c>
      <c r="T46" s="745">
        <f t="shared" si="24"/>
        <v>2.6324545210191825</v>
      </c>
      <c r="U46" s="741">
        <f t="shared" si="30"/>
        <v>9.4455821615651452</v>
      </c>
    </row>
    <row r="47" spans="1:21" x14ac:dyDescent="0.2">
      <c r="A47" s="737" t="s">
        <v>41</v>
      </c>
      <c r="B47" s="743">
        <f>'For RFM &amp; PTRM'!AI47</f>
        <v>0</v>
      </c>
      <c r="C47" s="744">
        <f>'For RFM &amp; PTRM'!AJ47</f>
        <v>0</v>
      </c>
      <c r="D47" s="744">
        <f>'For RFM &amp; PTRM'!AK47</f>
        <v>0</v>
      </c>
      <c r="E47" s="744">
        <f>'For RFM &amp; PTRM'!AL47</f>
        <v>0</v>
      </c>
      <c r="F47" s="745">
        <f>'For RFM &amp; PTRM'!AM47</f>
        <v>0</v>
      </c>
      <c r="G47" s="741">
        <f t="shared" si="25"/>
        <v>0</v>
      </c>
      <c r="H47" s="742"/>
      <c r="I47" s="743">
        <f t="shared" si="26"/>
        <v>0</v>
      </c>
      <c r="J47" s="744">
        <f t="shared" si="18"/>
        <v>0</v>
      </c>
      <c r="K47" s="744">
        <f t="shared" si="19"/>
        <v>0</v>
      </c>
      <c r="L47" s="744">
        <f t="shared" si="20"/>
        <v>0</v>
      </c>
      <c r="M47" s="745">
        <f t="shared" si="21"/>
        <v>0</v>
      </c>
      <c r="N47" s="741">
        <f t="shared" si="27"/>
        <v>0</v>
      </c>
      <c r="O47" s="742"/>
      <c r="P47" s="743">
        <f t="shared" si="28"/>
        <v>0</v>
      </c>
      <c r="Q47" s="744">
        <f t="shared" si="29"/>
        <v>0</v>
      </c>
      <c r="R47" s="744">
        <f t="shared" si="22"/>
        <v>0</v>
      </c>
      <c r="S47" s="744">
        <f t="shared" si="23"/>
        <v>0</v>
      </c>
      <c r="T47" s="745">
        <f t="shared" si="24"/>
        <v>0</v>
      </c>
      <c r="U47" s="741">
        <f t="shared" si="30"/>
        <v>0</v>
      </c>
    </row>
    <row r="48" spans="1:21" x14ac:dyDescent="0.2">
      <c r="A48" s="737" t="s">
        <v>1038</v>
      </c>
      <c r="B48" s="743">
        <f>'For RFM &amp; PTRM'!AI48</f>
        <v>22.34</v>
      </c>
      <c r="C48" s="744">
        <f>'For RFM &amp; PTRM'!AJ48</f>
        <v>8.2550000000000008</v>
      </c>
      <c r="D48" s="744">
        <f>'For RFM &amp; PTRM'!AK48</f>
        <v>21.942</v>
      </c>
      <c r="E48" s="744">
        <f>'For RFM &amp; PTRM'!AL48</f>
        <v>5.5609999999999999</v>
      </c>
      <c r="F48" s="745">
        <f>'For RFM &amp; PTRM'!AM48</f>
        <v>30.928000000000001</v>
      </c>
      <c r="G48" s="741">
        <f t="shared" si="25"/>
        <v>89.025999999999996</v>
      </c>
      <c r="H48" s="742"/>
      <c r="I48" s="743">
        <f t="shared" si="26"/>
        <v>21.908404432676274</v>
      </c>
      <c r="J48" s="744">
        <f t="shared" si="18"/>
        <v>7.9391176715632517</v>
      </c>
      <c r="K48" s="744">
        <f t="shared" si="19"/>
        <v>20.694691316312834</v>
      </c>
      <c r="L48" s="744">
        <f t="shared" si="20"/>
        <v>5.143552983797159</v>
      </c>
      <c r="M48" s="745">
        <f t="shared" si="21"/>
        <v>28.053673628066651</v>
      </c>
      <c r="N48" s="741">
        <f t="shared" si="27"/>
        <v>83.739440032416169</v>
      </c>
      <c r="O48" s="742"/>
      <c r="P48" s="743">
        <f t="shared" si="28"/>
        <v>22.123149753730544</v>
      </c>
      <c r="Q48" s="744">
        <f t="shared" si="29"/>
        <v>8.0169365916268536</v>
      </c>
      <c r="R48" s="744">
        <f t="shared" si="22"/>
        <v>20.897539868999413</v>
      </c>
      <c r="S48" s="744">
        <f t="shared" si="23"/>
        <v>5.1939698884265866</v>
      </c>
      <c r="T48" s="745">
        <f t="shared" si="24"/>
        <v>28.328654636771489</v>
      </c>
      <c r="U48" s="741">
        <f t="shared" si="30"/>
        <v>84.560250739554874</v>
      </c>
    </row>
    <row r="49" spans="1:21" x14ac:dyDescent="0.2">
      <c r="A49" s="737" t="s">
        <v>1039</v>
      </c>
      <c r="B49" s="743">
        <f>'For RFM &amp; PTRM'!AI49</f>
        <v>1.145</v>
      </c>
      <c r="C49" s="744">
        <f>'For RFM &amp; PTRM'!AJ49</f>
        <v>0.156</v>
      </c>
      <c r="D49" s="744">
        <f>'For RFM &amp; PTRM'!AK49</f>
        <v>0.216</v>
      </c>
      <c r="E49" s="744">
        <f>'For RFM &amp; PTRM'!AL49</f>
        <v>2.2029999999999998</v>
      </c>
      <c r="F49" s="745">
        <f>'For RFM &amp; PTRM'!AM49</f>
        <v>0</v>
      </c>
      <c r="G49" s="741">
        <f t="shared" si="25"/>
        <v>3.7199999999999998</v>
      </c>
      <c r="H49" s="742"/>
      <c r="I49" s="743">
        <f t="shared" si="26"/>
        <v>1.122879278219084</v>
      </c>
      <c r="J49" s="744">
        <f t="shared" si="18"/>
        <v>0.15003057017127402</v>
      </c>
      <c r="K49" s="744">
        <f t="shared" si="19"/>
        <v>0.20372132550923217</v>
      </c>
      <c r="L49" s="744">
        <f t="shared" si="20"/>
        <v>2.0376276251223051</v>
      </c>
      <c r="M49" s="745">
        <f t="shared" si="21"/>
        <v>0</v>
      </c>
      <c r="N49" s="741">
        <f t="shared" si="27"/>
        <v>3.5142587990218952</v>
      </c>
      <c r="O49" s="742"/>
      <c r="P49" s="743">
        <f t="shared" si="28"/>
        <v>1.1338856968675683</v>
      </c>
      <c r="Q49" s="744">
        <f t="shared" si="29"/>
        <v>0.15150116393625546</v>
      </c>
      <c r="R49" s="744">
        <f t="shared" si="22"/>
        <v>0.20571819395241425</v>
      </c>
      <c r="S49" s="744">
        <f t="shared" si="23"/>
        <v>2.0576003711929092</v>
      </c>
      <c r="T49" s="745">
        <f t="shared" si="24"/>
        <v>0</v>
      </c>
      <c r="U49" s="741">
        <f t="shared" si="30"/>
        <v>3.5487054259491471</v>
      </c>
    </row>
    <row r="50" spans="1:21" x14ac:dyDescent="0.2">
      <c r="A50" s="737" t="s">
        <v>1040</v>
      </c>
      <c r="B50" s="743">
        <f>'For RFM &amp; PTRM'!AI50</f>
        <v>19.367000000000001</v>
      </c>
      <c r="C50" s="744">
        <f>'For RFM &amp; PTRM'!AJ50</f>
        <v>15.675000000000001</v>
      </c>
      <c r="D50" s="744">
        <f>'For RFM &amp; PTRM'!AK50</f>
        <v>10.167999999999999</v>
      </c>
      <c r="E50" s="744">
        <f>'For RFM &amp; PTRM'!AL50</f>
        <v>0.376</v>
      </c>
      <c r="F50" s="745">
        <f>'For RFM &amp; PTRM'!AM50</f>
        <v>2.153</v>
      </c>
      <c r="G50" s="741">
        <f t="shared" si="25"/>
        <v>47.738999999999997</v>
      </c>
      <c r="H50" s="742"/>
      <c r="I50" s="743">
        <f t="shared" si="26"/>
        <v>18.992841031675983</v>
      </c>
      <c r="J50" s="744">
        <f t="shared" si="18"/>
        <v>15.075187098940516</v>
      </c>
      <c r="K50" s="744">
        <f t="shared" si="19"/>
        <v>9.5899927674901502</v>
      </c>
      <c r="L50" s="744">
        <f t="shared" si="20"/>
        <v>0.34777484659372981</v>
      </c>
      <c r="M50" s="745">
        <f t="shared" si="21"/>
        <v>1.9529086692067867</v>
      </c>
      <c r="N50" s="741">
        <f t="shared" si="27"/>
        <v>45.958704413907164</v>
      </c>
      <c r="O50" s="742"/>
      <c r="P50" s="743">
        <f t="shared" si="28"/>
        <v>19.179008114615019</v>
      </c>
      <c r="Q50" s="744">
        <f t="shared" si="29"/>
        <v>15.222953491671824</v>
      </c>
      <c r="R50" s="744">
        <f t="shared" si="22"/>
        <v>9.6839935005006836</v>
      </c>
      <c r="S50" s="744">
        <f t="shared" si="23"/>
        <v>0.35118372200115022</v>
      </c>
      <c r="T50" s="745">
        <f t="shared" si="24"/>
        <v>1.9720510033939802</v>
      </c>
      <c r="U50" s="741">
        <f t="shared" si="30"/>
        <v>46.409189832182662</v>
      </c>
    </row>
    <row r="51" spans="1:21" x14ac:dyDescent="0.2">
      <c r="A51" s="737" t="s">
        <v>1041</v>
      </c>
      <c r="B51" s="743">
        <f>'For RFM &amp; PTRM'!AI51</f>
        <v>0.20200000000000001</v>
      </c>
      <c r="C51" s="744">
        <f>'For RFM &amp; PTRM'!AJ51</f>
        <v>0.219</v>
      </c>
      <c r="D51" s="744">
        <f>'For RFM &amp; PTRM'!AK51</f>
        <v>3.2679999999999998</v>
      </c>
      <c r="E51" s="744">
        <f>'For RFM &amp; PTRM'!AL51</f>
        <v>0.17399999999999999</v>
      </c>
      <c r="F51" s="745">
        <f>'For RFM &amp; PTRM'!AM51</f>
        <v>4.8000000000000001E-2</v>
      </c>
      <c r="G51" s="741">
        <f t="shared" si="25"/>
        <v>3.911</v>
      </c>
      <c r="H51" s="742"/>
      <c r="I51" s="743">
        <f t="shared" si="26"/>
        <v>0.19809747965087771</v>
      </c>
      <c r="J51" s="744">
        <f t="shared" si="18"/>
        <v>0.21061983889428854</v>
      </c>
      <c r="K51" s="744">
        <f t="shared" si="19"/>
        <v>3.0822282026119012</v>
      </c>
      <c r="L51" s="744">
        <f t="shared" si="20"/>
        <v>0.16093835985986432</v>
      </c>
      <c r="M51" s="745">
        <f t="shared" si="21"/>
        <v>4.3539069262390047E-2</v>
      </c>
      <c r="N51" s="741">
        <f t="shared" si="27"/>
        <v>3.6954229502793221</v>
      </c>
      <c r="O51" s="742"/>
      <c r="P51" s="743">
        <f t="shared" si="28"/>
        <v>0.20003922337750987</v>
      </c>
      <c r="Q51" s="744">
        <f t="shared" si="29"/>
        <v>0.21268432629512787</v>
      </c>
      <c r="R51" s="744">
        <f t="shared" si="22"/>
        <v>3.1124400825763412</v>
      </c>
      <c r="S51" s="744">
        <f t="shared" si="23"/>
        <v>0.16251587135159609</v>
      </c>
      <c r="T51" s="745">
        <f t="shared" si="24"/>
        <v>4.3965837511802629E-2</v>
      </c>
      <c r="U51" s="741">
        <f t="shared" si="30"/>
        <v>3.7316453411123778</v>
      </c>
    </row>
    <row r="52" spans="1:21" x14ac:dyDescent="0.2">
      <c r="A52" s="737" t="s">
        <v>1042</v>
      </c>
      <c r="B52" s="743">
        <f>'For RFM &amp; PTRM'!AI52</f>
        <v>0</v>
      </c>
      <c r="C52" s="744">
        <f>'For RFM &amp; PTRM'!AJ52</f>
        <v>0</v>
      </c>
      <c r="D52" s="744">
        <f>'For RFM &amp; PTRM'!AK52</f>
        <v>0</v>
      </c>
      <c r="E52" s="744">
        <f>'For RFM &amp; PTRM'!AL52</f>
        <v>0</v>
      </c>
      <c r="F52" s="745">
        <f>'For RFM &amp; PTRM'!AM52</f>
        <v>0</v>
      </c>
      <c r="G52" s="741">
        <f t="shared" si="25"/>
        <v>0</v>
      </c>
      <c r="H52" s="742"/>
      <c r="I52" s="743">
        <f t="shared" si="26"/>
        <v>0</v>
      </c>
      <c r="J52" s="744">
        <f t="shared" si="18"/>
        <v>0</v>
      </c>
      <c r="K52" s="744">
        <f t="shared" si="19"/>
        <v>0</v>
      </c>
      <c r="L52" s="744">
        <f t="shared" si="20"/>
        <v>0</v>
      </c>
      <c r="M52" s="745">
        <f t="shared" si="21"/>
        <v>0</v>
      </c>
      <c r="N52" s="741">
        <f t="shared" si="27"/>
        <v>0</v>
      </c>
      <c r="O52" s="742"/>
      <c r="P52" s="743">
        <f t="shared" si="28"/>
        <v>0</v>
      </c>
      <c r="Q52" s="744">
        <f t="shared" si="29"/>
        <v>0</v>
      </c>
      <c r="R52" s="744">
        <f t="shared" si="22"/>
        <v>0</v>
      </c>
      <c r="S52" s="744">
        <f t="shared" si="23"/>
        <v>0</v>
      </c>
      <c r="T52" s="745">
        <f t="shared" si="24"/>
        <v>0</v>
      </c>
      <c r="U52" s="741">
        <f t="shared" si="30"/>
        <v>0</v>
      </c>
    </row>
    <row r="53" spans="1:21" x14ac:dyDescent="0.2">
      <c r="A53" s="737" t="s">
        <v>1043</v>
      </c>
      <c r="B53" s="743">
        <f>'For RFM &amp; PTRM'!AI53</f>
        <v>21.384</v>
      </c>
      <c r="C53" s="744">
        <f>'For RFM &amp; PTRM'!AJ53</f>
        <v>10.462</v>
      </c>
      <c r="D53" s="744">
        <f>'For RFM &amp; PTRM'!AK53</f>
        <v>13.519</v>
      </c>
      <c r="E53" s="744">
        <f>'For RFM &amp; PTRM'!AL53</f>
        <v>6.2149999999999999</v>
      </c>
      <c r="F53" s="745">
        <f>'For RFM &amp; PTRM'!AM53</f>
        <v>37.912999999999997</v>
      </c>
      <c r="G53" s="741">
        <f t="shared" si="25"/>
        <v>89.492999999999995</v>
      </c>
      <c r="H53" s="742"/>
      <c r="I53" s="743">
        <f t="shared" si="26"/>
        <v>20.970873786407765</v>
      </c>
      <c r="J53" s="744">
        <f t="shared" si="18"/>
        <v>10.061665545717108</v>
      </c>
      <c r="K53" s="744">
        <f t="shared" si="19"/>
        <v>12.750502775737544</v>
      </c>
      <c r="L53" s="744">
        <f t="shared" si="20"/>
        <v>5.7484592329256143</v>
      </c>
      <c r="M53" s="745">
        <f t="shared" si="21"/>
        <v>34.389515269687365</v>
      </c>
      <c r="N53" s="741">
        <f t="shared" si="27"/>
        <v>83.921016610475391</v>
      </c>
      <c r="O53" s="742"/>
      <c r="P53" s="743">
        <f t="shared" si="28"/>
        <v>21.176429468835003</v>
      </c>
      <c r="Q53" s="744">
        <f t="shared" si="29"/>
        <v>10.160289596801954</v>
      </c>
      <c r="R53" s="744">
        <f t="shared" si="22"/>
        <v>12.875482703901334</v>
      </c>
      <c r="S53" s="744">
        <f t="shared" si="23"/>
        <v>5.804805404886034</v>
      </c>
      <c r="T53" s="745">
        <f t="shared" si="24"/>
        <v>34.726599949686928</v>
      </c>
      <c r="U53" s="741">
        <f t="shared" si="30"/>
        <v>84.74360712411125</v>
      </c>
    </row>
    <row r="54" spans="1:21" x14ac:dyDescent="0.2">
      <c r="A54" s="737" t="s">
        <v>1044</v>
      </c>
      <c r="B54" s="743">
        <f>'For RFM &amp; PTRM'!AI54</f>
        <v>1.0389999999999999</v>
      </c>
      <c r="C54" s="744">
        <f>'For RFM &amp; PTRM'!AJ54</f>
        <v>0.23300000000000001</v>
      </c>
      <c r="D54" s="744">
        <f>'For RFM &amp; PTRM'!AK54</f>
        <v>0.69399999999999995</v>
      </c>
      <c r="E54" s="744">
        <f>'For RFM &amp; PTRM'!AL54</f>
        <v>10.407</v>
      </c>
      <c r="F54" s="745">
        <f>'For RFM &amp; PTRM'!AM54</f>
        <v>0.157</v>
      </c>
      <c r="G54" s="741">
        <f t="shared" si="25"/>
        <v>12.53</v>
      </c>
      <c r="H54" s="742"/>
      <c r="I54" s="743">
        <f t="shared" si="26"/>
        <v>1.0189271354319898</v>
      </c>
      <c r="J54" s="744">
        <f t="shared" si="18"/>
        <v>0.22408412083273621</v>
      </c>
      <c r="K54" s="744">
        <f t="shared" si="19"/>
        <v>0.65454907362688475</v>
      </c>
      <c r="L54" s="744">
        <f t="shared" si="20"/>
        <v>9.6257787992046442</v>
      </c>
      <c r="M54" s="745">
        <f t="shared" si="21"/>
        <v>0.1424090390457341</v>
      </c>
      <c r="N54" s="741">
        <f t="shared" si="27"/>
        <v>11.66574816814199</v>
      </c>
      <c r="O54" s="742"/>
      <c r="P54" s="743">
        <f t="shared" si="28"/>
        <v>1.0289146192536276</v>
      </c>
      <c r="Q54" s="744">
        <f t="shared" si="29"/>
        <v>0.22628058459709952</v>
      </c>
      <c r="R54" s="744">
        <f t="shared" si="22"/>
        <v>0.66096493797673828</v>
      </c>
      <c r="S54" s="744">
        <f t="shared" si="23"/>
        <v>9.7201303054946013</v>
      </c>
      <c r="T54" s="745">
        <f t="shared" si="24"/>
        <v>0.14380492686152108</v>
      </c>
      <c r="U54" s="741">
        <f t="shared" si="30"/>
        <v>11.780095374183587</v>
      </c>
    </row>
    <row r="55" spans="1:21" x14ac:dyDescent="0.2">
      <c r="A55" s="737" t="s">
        <v>1045</v>
      </c>
      <c r="B55" s="743">
        <f>'For RFM &amp; PTRM'!AI55</f>
        <v>0.57999999999999996</v>
      </c>
      <c r="C55" s="744">
        <f>'For RFM &amp; PTRM'!AJ55</f>
        <v>0</v>
      </c>
      <c r="D55" s="744">
        <f>'For RFM &amp; PTRM'!AK55</f>
        <v>2.4E-2</v>
      </c>
      <c r="E55" s="744">
        <f>'For RFM &amp; PTRM'!AL55</f>
        <v>1.4E-2</v>
      </c>
      <c r="F55" s="745">
        <f>'For RFM &amp; PTRM'!AM55</f>
        <v>0.125</v>
      </c>
      <c r="G55" s="741">
        <f t="shared" si="25"/>
        <v>0.74299999999999999</v>
      </c>
      <c r="H55" s="742"/>
      <c r="I55" s="743">
        <f t="shared" si="26"/>
        <v>0.56879474355202508</v>
      </c>
      <c r="J55" s="744">
        <f t="shared" si="18"/>
        <v>0</v>
      </c>
      <c r="K55" s="744">
        <f t="shared" si="19"/>
        <v>2.2635702834359131E-2</v>
      </c>
      <c r="L55" s="744">
        <f t="shared" si="20"/>
        <v>1.294906343700058E-2</v>
      </c>
      <c r="M55" s="745">
        <f t="shared" si="21"/>
        <v>0.1133829928708074</v>
      </c>
      <c r="N55" s="741">
        <f t="shared" si="27"/>
        <v>0.71776250269419217</v>
      </c>
      <c r="O55" s="742"/>
      <c r="P55" s="743">
        <f t="shared" si="28"/>
        <v>0.57437004732156305</v>
      </c>
      <c r="Q55" s="744">
        <f t="shared" si="29"/>
        <v>0</v>
      </c>
      <c r="R55" s="744">
        <f t="shared" si="22"/>
        <v>2.2857577105823805E-2</v>
      </c>
      <c r="S55" s="744">
        <f t="shared" si="23"/>
        <v>1.3075989648978999E-2</v>
      </c>
      <c r="T55" s="745">
        <f t="shared" si="24"/>
        <v>0.11449436852031933</v>
      </c>
      <c r="U55" s="741">
        <f t="shared" si="30"/>
        <v>0.72479798259668526</v>
      </c>
    </row>
    <row r="56" spans="1:21" x14ac:dyDescent="0.2">
      <c r="A56" s="737" t="s">
        <v>2273</v>
      </c>
      <c r="B56" s="743">
        <f>'For RFM &amp; PTRM'!AI56</f>
        <v>0</v>
      </c>
      <c r="C56" s="744">
        <f>'For RFM &amp; PTRM'!AJ56</f>
        <v>0</v>
      </c>
      <c r="D56" s="744">
        <f>'For RFM &amp; PTRM'!AK56</f>
        <v>0</v>
      </c>
      <c r="E56" s="744">
        <f>'For RFM &amp; PTRM'!AL56</f>
        <v>0</v>
      </c>
      <c r="F56" s="745">
        <f>'For RFM &amp; PTRM'!AM56</f>
        <v>0</v>
      </c>
      <c r="G56" s="741">
        <f t="shared" si="25"/>
        <v>0</v>
      </c>
      <c r="H56" s="742"/>
      <c r="I56" s="743">
        <f t="shared" si="26"/>
        <v>0</v>
      </c>
      <c r="J56" s="744">
        <f t="shared" si="18"/>
        <v>0</v>
      </c>
      <c r="K56" s="744">
        <f t="shared" si="19"/>
        <v>0</v>
      </c>
      <c r="L56" s="744">
        <f t="shared" si="20"/>
        <v>0</v>
      </c>
      <c r="M56" s="745">
        <f t="shared" si="21"/>
        <v>0</v>
      </c>
      <c r="N56" s="741">
        <f t="shared" si="27"/>
        <v>0</v>
      </c>
      <c r="O56" s="742"/>
      <c r="P56" s="743">
        <f t="shared" si="28"/>
        <v>0</v>
      </c>
      <c r="Q56" s="744">
        <f t="shared" si="29"/>
        <v>0</v>
      </c>
      <c r="R56" s="744">
        <f t="shared" si="22"/>
        <v>0</v>
      </c>
      <c r="S56" s="744">
        <f t="shared" si="23"/>
        <v>0</v>
      </c>
      <c r="T56" s="745">
        <f t="shared" si="24"/>
        <v>0</v>
      </c>
      <c r="U56" s="741">
        <f t="shared" si="30"/>
        <v>0</v>
      </c>
    </row>
    <row r="57" spans="1:21" x14ac:dyDescent="0.2">
      <c r="A57" s="737" t="s">
        <v>2274</v>
      </c>
      <c r="B57" s="743">
        <f>'For RFM &amp; PTRM'!AI57</f>
        <v>0</v>
      </c>
      <c r="C57" s="744">
        <f>'For RFM &amp; PTRM'!AJ57</f>
        <v>0</v>
      </c>
      <c r="D57" s="744">
        <f>'For RFM &amp; PTRM'!AK57</f>
        <v>0</v>
      </c>
      <c r="E57" s="744">
        <f>'For RFM &amp; PTRM'!AL57</f>
        <v>0</v>
      </c>
      <c r="F57" s="745">
        <f>'For RFM &amp; PTRM'!AM57</f>
        <v>0</v>
      </c>
      <c r="G57" s="741">
        <f t="shared" si="25"/>
        <v>0</v>
      </c>
      <c r="H57" s="742"/>
      <c r="I57" s="743">
        <f t="shared" si="26"/>
        <v>0</v>
      </c>
      <c r="J57" s="744">
        <f t="shared" si="18"/>
        <v>0</v>
      </c>
      <c r="K57" s="744">
        <f t="shared" si="19"/>
        <v>0</v>
      </c>
      <c r="L57" s="744">
        <f t="shared" si="20"/>
        <v>0</v>
      </c>
      <c r="M57" s="745">
        <f t="shared" si="21"/>
        <v>0</v>
      </c>
      <c r="N57" s="741">
        <f t="shared" si="27"/>
        <v>0</v>
      </c>
      <c r="O57" s="742"/>
      <c r="P57" s="743">
        <f t="shared" si="28"/>
        <v>0</v>
      </c>
      <c r="Q57" s="744">
        <f t="shared" si="29"/>
        <v>0</v>
      </c>
      <c r="R57" s="744">
        <f t="shared" si="22"/>
        <v>0</v>
      </c>
      <c r="S57" s="744">
        <f t="shared" si="23"/>
        <v>0</v>
      </c>
      <c r="T57" s="745">
        <f t="shared" si="24"/>
        <v>0</v>
      </c>
      <c r="U57" s="741">
        <f t="shared" si="30"/>
        <v>0</v>
      </c>
    </row>
    <row r="58" spans="1:21" x14ac:dyDescent="0.2">
      <c r="A58" s="737" t="s">
        <v>2275</v>
      </c>
      <c r="B58" s="743">
        <f>'For RFM &amp; PTRM'!AI58</f>
        <v>0</v>
      </c>
      <c r="C58" s="744">
        <f>'For RFM &amp; PTRM'!AJ58</f>
        <v>0</v>
      </c>
      <c r="D58" s="744">
        <f>'For RFM &amp; PTRM'!AK58</f>
        <v>0</v>
      </c>
      <c r="E58" s="744">
        <f>'For RFM &amp; PTRM'!AL58</f>
        <v>0</v>
      </c>
      <c r="F58" s="745">
        <f>'For RFM &amp; PTRM'!AM58</f>
        <v>0</v>
      </c>
      <c r="G58" s="741">
        <f t="shared" si="25"/>
        <v>0</v>
      </c>
      <c r="H58" s="742"/>
      <c r="I58" s="743">
        <f t="shared" si="26"/>
        <v>0</v>
      </c>
      <c r="J58" s="744">
        <f t="shared" si="18"/>
        <v>0</v>
      </c>
      <c r="K58" s="744">
        <f t="shared" si="19"/>
        <v>0</v>
      </c>
      <c r="L58" s="744">
        <f t="shared" si="20"/>
        <v>0</v>
      </c>
      <c r="M58" s="745">
        <f t="shared" si="21"/>
        <v>0</v>
      </c>
      <c r="N58" s="741">
        <f t="shared" si="27"/>
        <v>0</v>
      </c>
      <c r="O58" s="742"/>
      <c r="P58" s="743">
        <f t="shared" si="28"/>
        <v>0</v>
      </c>
      <c r="Q58" s="744">
        <f t="shared" si="29"/>
        <v>0</v>
      </c>
      <c r="R58" s="744">
        <f t="shared" si="22"/>
        <v>0</v>
      </c>
      <c r="S58" s="744">
        <f t="shared" si="23"/>
        <v>0</v>
      </c>
      <c r="T58" s="745">
        <f t="shared" si="24"/>
        <v>0</v>
      </c>
      <c r="U58" s="741">
        <f t="shared" si="30"/>
        <v>0</v>
      </c>
    </row>
    <row r="59" spans="1:21" x14ac:dyDescent="0.2">
      <c r="A59" s="737" t="s">
        <v>1059</v>
      </c>
      <c r="B59" s="743">
        <f>'For RFM &amp; PTRM'!AI59</f>
        <v>0</v>
      </c>
      <c r="C59" s="744">
        <f>'For RFM &amp; PTRM'!AJ59</f>
        <v>0</v>
      </c>
      <c r="D59" s="744">
        <f>'For RFM &amp; PTRM'!AK59</f>
        <v>0</v>
      </c>
      <c r="E59" s="744">
        <f>'For RFM &amp; PTRM'!AL59</f>
        <v>0</v>
      </c>
      <c r="F59" s="745">
        <f>'For RFM &amp; PTRM'!AM59</f>
        <v>0</v>
      </c>
      <c r="G59" s="741">
        <f t="shared" si="25"/>
        <v>0</v>
      </c>
      <c r="H59" s="742"/>
      <c r="I59" s="743">
        <f t="shared" si="26"/>
        <v>0</v>
      </c>
      <c r="J59" s="744">
        <f t="shared" si="18"/>
        <v>0</v>
      </c>
      <c r="K59" s="744">
        <f t="shared" si="19"/>
        <v>0</v>
      </c>
      <c r="L59" s="744">
        <f t="shared" si="20"/>
        <v>0</v>
      </c>
      <c r="M59" s="745">
        <f t="shared" si="21"/>
        <v>0</v>
      </c>
      <c r="N59" s="741">
        <f t="shared" si="27"/>
        <v>0</v>
      </c>
      <c r="O59" s="742"/>
      <c r="P59" s="743">
        <f t="shared" si="28"/>
        <v>0</v>
      </c>
      <c r="Q59" s="744">
        <f t="shared" si="29"/>
        <v>0</v>
      </c>
      <c r="R59" s="744">
        <f t="shared" si="22"/>
        <v>0</v>
      </c>
      <c r="S59" s="744">
        <f t="shared" si="23"/>
        <v>0</v>
      </c>
      <c r="T59" s="745">
        <f t="shared" si="24"/>
        <v>0</v>
      </c>
      <c r="U59" s="741">
        <f t="shared" si="30"/>
        <v>0</v>
      </c>
    </row>
    <row r="60" spans="1:21" x14ac:dyDescent="0.2">
      <c r="A60" s="737" t="s">
        <v>1060</v>
      </c>
      <c r="B60" s="743">
        <f>'For RFM &amp; PTRM'!AI60</f>
        <v>0</v>
      </c>
      <c r="C60" s="744">
        <f>'For RFM &amp; PTRM'!AJ60</f>
        <v>0</v>
      </c>
      <c r="D60" s="744">
        <f>'For RFM &amp; PTRM'!AK60</f>
        <v>0</v>
      </c>
      <c r="E60" s="744">
        <f>'For RFM &amp; PTRM'!AL60</f>
        <v>0</v>
      </c>
      <c r="F60" s="745">
        <f>'For RFM &amp; PTRM'!AM60</f>
        <v>0</v>
      </c>
      <c r="G60" s="741">
        <f t="shared" si="25"/>
        <v>0</v>
      </c>
      <c r="H60" s="742"/>
      <c r="I60" s="743">
        <f t="shared" si="26"/>
        <v>0</v>
      </c>
      <c r="J60" s="744">
        <f t="shared" si="18"/>
        <v>0</v>
      </c>
      <c r="K60" s="744">
        <f t="shared" si="19"/>
        <v>0</v>
      </c>
      <c r="L60" s="744">
        <f t="shared" si="20"/>
        <v>0</v>
      </c>
      <c r="M60" s="745">
        <f t="shared" si="21"/>
        <v>0</v>
      </c>
      <c r="N60" s="741">
        <f t="shared" si="27"/>
        <v>0</v>
      </c>
      <c r="O60" s="742"/>
      <c r="P60" s="743">
        <f t="shared" si="28"/>
        <v>0</v>
      </c>
      <c r="Q60" s="744">
        <f t="shared" si="29"/>
        <v>0</v>
      </c>
      <c r="R60" s="744">
        <f t="shared" si="22"/>
        <v>0</v>
      </c>
      <c r="S60" s="744">
        <f t="shared" si="23"/>
        <v>0</v>
      </c>
      <c r="T60" s="745">
        <f t="shared" si="24"/>
        <v>0</v>
      </c>
      <c r="U60" s="741">
        <f t="shared" si="30"/>
        <v>0</v>
      </c>
    </row>
    <row r="61" spans="1:21" x14ac:dyDescent="0.2">
      <c r="A61" s="737" t="s">
        <v>1047</v>
      </c>
      <c r="B61" s="743">
        <f>'For RFM &amp; PTRM'!AI61</f>
        <v>3.9470000000000001</v>
      </c>
      <c r="C61" s="744">
        <f>'For RFM &amp; PTRM'!AJ61</f>
        <v>10.327999999999999</v>
      </c>
      <c r="D61" s="744">
        <f>'For RFM &amp; PTRM'!AK61</f>
        <v>22.181999999999999</v>
      </c>
      <c r="E61" s="744">
        <f>'For RFM &amp; PTRM'!AL61</f>
        <v>63.874000000000002</v>
      </c>
      <c r="F61" s="745">
        <f>'For RFM &amp; PTRM'!AM61</f>
        <v>73.430000000000007</v>
      </c>
      <c r="G61" s="741">
        <f t="shared" si="25"/>
        <v>173.761</v>
      </c>
      <c r="H61" s="742"/>
      <c r="I61" s="743">
        <f t="shared" si="26"/>
        <v>3.8707462979307636</v>
      </c>
      <c r="J61" s="744">
        <f t="shared" si="18"/>
        <v>9.9327931328776806</v>
      </c>
      <c r="K61" s="744">
        <f t="shared" si="19"/>
        <v>20.921048344656423</v>
      </c>
      <c r="L61" s="744">
        <f t="shared" si="20"/>
        <v>59.079176998212503</v>
      </c>
      <c r="M61" s="745">
        <f t="shared" si="21"/>
        <v>66.605705332027114</v>
      </c>
      <c r="N61" s="741">
        <f t="shared" si="27"/>
        <v>160.40947010570449</v>
      </c>
      <c r="O61" s="742"/>
      <c r="P61" s="743">
        <f t="shared" si="28"/>
        <v>3.9086872013417397</v>
      </c>
      <c r="Q61" s="744">
        <f t="shared" si="29"/>
        <v>10.03015398162594</v>
      </c>
      <c r="R61" s="744">
        <f t="shared" si="22"/>
        <v>21.126115640057648</v>
      </c>
      <c r="S61" s="744">
        <f t="shared" si="23"/>
        <v>59.658268774206043</v>
      </c>
      <c r="T61" s="745">
        <f t="shared" si="24"/>
        <v>67.258571843576405</v>
      </c>
      <c r="U61" s="741">
        <f t="shared" si="30"/>
        <v>161.98179744080778</v>
      </c>
    </row>
    <row r="62" spans="1:21" x14ac:dyDescent="0.2">
      <c r="A62" s="737" t="s">
        <v>2997</v>
      </c>
      <c r="B62" s="743">
        <f>'For RFM &amp; PTRM'!AI62</f>
        <v>22.731999999999999</v>
      </c>
      <c r="C62" s="744">
        <f>'For RFM &amp; PTRM'!AJ62</f>
        <v>14.494</v>
      </c>
      <c r="D62" s="744">
        <f>'For RFM &amp; PTRM'!AK62</f>
        <v>3.7789999999999999</v>
      </c>
      <c r="E62" s="744">
        <f>'For RFM &amp; PTRM'!AL62</f>
        <v>1.956</v>
      </c>
      <c r="F62" s="745">
        <f>'For RFM &amp; PTRM'!AM62</f>
        <v>10.473000000000001</v>
      </c>
      <c r="G62" s="741">
        <f t="shared" si="25"/>
        <v>53.433999999999997</v>
      </c>
      <c r="H62" s="742"/>
      <c r="I62" s="743">
        <f t="shared" si="26"/>
        <v>22.292831224870056</v>
      </c>
      <c r="J62" s="744">
        <f t="shared" si="18"/>
        <v>13.939378743990037</v>
      </c>
      <c r="K62" s="744">
        <f t="shared" si="19"/>
        <v>3.564180042126798</v>
      </c>
      <c r="L62" s="744">
        <f t="shared" si="20"/>
        <v>1.8091691487695094</v>
      </c>
      <c r="M62" s="745">
        <f t="shared" si="21"/>
        <v>9.4996806746877276</v>
      </c>
      <c r="N62" s="741">
        <f t="shared" si="27"/>
        <v>51.10523983444412</v>
      </c>
      <c r="O62" s="742"/>
      <c r="P62" s="743">
        <f t="shared" si="28"/>
        <v>22.511344682265118</v>
      </c>
      <c r="Q62" s="744">
        <f t="shared" si="29"/>
        <v>14.076011987769787</v>
      </c>
      <c r="R62" s="744">
        <f t="shared" si="22"/>
        <v>3.5991159951211733</v>
      </c>
      <c r="S62" s="744">
        <f t="shared" si="23"/>
        <v>1.8269025538144943</v>
      </c>
      <c r="T62" s="745">
        <f t="shared" si="24"/>
        <v>9.5927961721064356</v>
      </c>
      <c r="U62" s="741">
        <f t="shared" si="30"/>
        <v>51.606171391077012</v>
      </c>
    </row>
    <row r="63" spans="1:21" x14ac:dyDescent="0.2">
      <c r="A63" s="737">
        <v>0</v>
      </c>
      <c r="B63" s="743">
        <f>'For RFM &amp; PTRM'!AI63</f>
        <v>0</v>
      </c>
      <c r="C63" s="744">
        <f>'For RFM &amp; PTRM'!AJ63</f>
        <v>0</v>
      </c>
      <c r="D63" s="744">
        <f>'For RFM &amp; PTRM'!AK63</f>
        <v>0</v>
      </c>
      <c r="E63" s="744">
        <f>'For RFM &amp; PTRM'!AL63</f>
        <v>0</v>
      </c>
      <c r="F63" s="745">
        <f>'For RFM &amp; PTRM'!AM63</f>
        <v>0</v>
      </c>
      <c r="G63" s="741">
        <f t="shared" si="25"/>
        <v>0</v>
      </c>
      <c r="H63" s="742"/>
      <c r="I63" s="743">
        <f t="shared" si="26"/>
        <v>0</v>
      </c>
      <c r="J63" s="744">
        <f t="shared" si="18"/>
        <v>0</v>
      </c>
      <c r="K63" s="744">
        <f t="shared" si="19"/>
        <v>0</v>
      </c>
      <c r="L63" s="744">
        <f t="shared" si="20"/>
        <v>0</v>
      </c>
      <c r="M63" s="745">
        <f t="shared" si="21"/>
        <v>0</v>
      </c>
      <c r="N63" s="741">
        <f t="shared" si="27"/>
        <v>0</v>
      </c>
      <c r="O63" s="742"/>
      <c r="P63" s="743">
        <f t="shared" si="28"/>
        <v>0</v>
      </c>
      <c r="Q63" s="744">
        <f t="shared" si="29"/>
        <v>0</v>
      </c>
      <c r="R63" s="744">
        <f t="shared" si="22"/>
        <v>0</v>
      </c>
      <c r="S63" s="744">
        <f t="shared" si="23"/>
        <v>0</v>
      </c>
      <c r="T63" s="745">
        <f t="shared" si="24"/>
        <v>0</v>
      </c>
      <c r="U63" s="741">
        <f t="shared" si="30"/>
        <v>0</v>
      </c>
    </row>
    <row r="64" spans="1:21" ht="13.5" thickBot="1" x14ac:dyDescent="0.25">
      <c r="A64" s="746" t="s">
        <v>639</v>
      </c>
      <c r="B64" s="747">
        <f>'For RFM &amp; PTRM'!AI64</f>
        <v>134.39500000000001</v>
      </c>
      <c r="C64" s="748">
        <f>'For RFM &amp; PTRM'!AJ64</f>
        <v>73.013999999999996</v>
      </c>
      <c r="D64" s="748">
        <f>'For RFM &amp; PTRM'!AK64</f>
        <v>92.356000000000009</v>
      </c>
      <c r="E64" s="748">
        <f>'For RFM &amp; PTRM'!AL64</f>
        <v>108.83900000000001</v>
      </c>
      <c r="F64" s="749">
        <f>'For RFM &amp; PTRM'!AM64</f>
        <v>174.04200000000003</v>
      </c>
      <c r="G64" s="750">
        <f>SUM(G39:G63)</f>
        <v>582.64599999999996</v>
      </c>
      <c r="H64" s="742"/>
      <c r="I64" s="747">
        <f t="shared" ref="I64" si="31">SUM(I39:I63)</f>
        <v>131.79856820633518</v>
      </c>
      <c r="J64" s="748">
        <f t="shared" ref="J64" si="32">SUM(J39:J63)</f>
        <v>70.220077246701294</v>
      </c>
      <c r="K64" s="748">
        <f t="shared" ref="K64" si="33">SUM(K39:K63)</f>
        <v>87.105957123752987</v>
      </c>
      <c r="L64" s="748">
        <f t="shared" ref="L64" si="34">SUM(L39:L63)</f>
        <v>100.66879395855042</v>
      </c>
      <c r="M64" s="749">
        <f>SUM(M39:M63)</f>
        <v>157.86722276176852</v>
      </c>
      <c r="N64" s="750">
        <f>SUM(N39:N63)</f>
        <v>547.66061929710838</v>
      </c>
      <c r="O64" s="742"/>
      <c r="P64" s="747">
        <f t="shared" ref="P64:S64" si="35">SUM(P39:P63)</f>
        <v>133.09045260307147</v>
      </c>
      <c r="Q64" s="748">
        <f t="shared" si="35"/>
        <v>70.908371690011265</v>
      </c>
      <c r="R64" s="748">
        <f t="shared" si="35"/>
        <v>87.959766299394289</v>
      </c>
      <c r="S64" s="748">
        <f t="shared" si="35"/>
        <v>101.65554552894464</v>
      </c>
      <c r="T64" s="749">
        <f>SUM(T39:T63)</f>
        <v>159.41463108810734</v>
      </c>
      <c r="U64" s="750">
        <f>SUM(U39:U63)</f>
        <v>553.02876720952906</v>
      </c>
    </row>
  </sheetData>
  <pageMargins left="0.28000000000000003" right="0.18" top="0.24" bottom="0.27" header="0.17" footer="0.17"/>
  <pageSetup paperSize="9" scale="64" orientation="landscape" r:id="rId1"/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00B0F0"/>
  </sheetPr>
  <dimension ref="A1:E62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1" sqref="B1"/>
    </sheetView>
  </sheetViews>
  <sheetFormatPr defaultRowHeight="12.75" x14ac:dyDescent="0.2"/>
  <cols>
    <col min="1" max="1" width="57.85546875" style="649" customWidth="1"/>
    <col min="2" max="2" width="10.85546875" style="649" customWidth="1"/>
    <col min="3" max="3" width="9" style="649" bestFit="1" customWidth="1"/>
    <col min="4" max="4" width="9.28515625" style="649" customWidth="1"/>
    <col min="5" max="7" width="9.140625" style="649"/>
    <col min="8" max="8" width="11.42578125" style="649" bestFit="1" customWidth="1"/>
    <col min="9" max="9" width="9.140625" style="649"/>
    <col min="10" max="10" width="30.85546875" style="649" bestFit="1" customWidth="1"/>
    <col min="11" max="12" width="9.140625" style="649"/>
    <col min="13" max="13" width="9" style="649" bestFit="1" customWidth="1"/>
    <col min="14" max="14" width="27.140625" style="649" bestFit="1" customWidth="1"/>
    <col min="15" max="15" width="10.28515625" style="649" bestFit="1" customWidth="1"/>
    <col min="16" max="16" width="11.28515625" style="649" bestFit="1" customWidth="1"/>
    <col min="17" max="19" width="11.42578125" style="649" bestFit="1" customWidth="1"/>
    <col min="20" max="20" width="10.28515625" style="649" bestFit="1" customWidth="1"/>
    <col min="21" max="21" width="9.140625" style="649"/>
    <col min="22" max="22" width="12.42578125" style="649" bestFit="1" customWidth="1"/>
    <col min="23" max="16384" width="9.140625" style="649"/>
  </cols>
  <sheetData>
    <row r="1" spans="1:4" ht="15" x14ac:dyDescent="0.25">
      <c r="B1" s="807" t="str">
        <f>IF(Incurred!$B$12&lt;&gt;"$Nominal","ERROR: Incurred spend A18 must be set to 0 for $Nominal","OK. Incurred spend set to $Nominal")</f>
        <v>OK. Incurred spend set to $Nominal</v>
      </c>
    </row>
    <row r="3" spans="1:4" x14ac:dyDescent="0.2">
      <c r="A3" s="720" t="s">
        <v>3028</v>
      </c>
    </row>
    <row r="4" spans="1:4" x14ac:dyDescent="0.2">
      <c r="A4" s="649" t="str">
        <f>'For RFM &amp; PTRM'!AE6</f>
        <v>$m Nominal</v>
      </c>
      <c r="B4" s="689" t="str">
        <f>'For RFM &amp; PTRM'!AF6</f>
        <v>RFM</v>
      </c>
      <c r="C4" s="689" t="str">
        <f>'For RFM &amp; PTRM'!AG6</f>
        <v>RFM</v>
      </c>
      <c r="D4" s="689" t="str">
        <f>'For RFM &amp; PTRM'!AH6</f>
        <v>RFM</v>
      </c>
    </row>
    <row r="5" spans="1:4" x14ac:dyDescent="0.2">
      <c r="A5" s="690" t="str">
        <f>'For RFM &amp; PTRM'!AE7</f>
        <v>INCURRED</v>
      </c>
      <c r="B5" s="691" t="str">
        <f>'For RFM &amp; PTRM'!AF7</f>
        <v>F16</v>
      </c>
      <c r="C5" s="691" t="str">
        <f>'For RFM &amp; PTRM'!AG7</f>
        <v>F17</v>
      </c>
      <c r="D5" s="691" t="str">
        <f>'For RFM &amp; PTRM'!AH7</f>
        <v>F18</v>
      </c>
    </row>
    <row r="6" spans="1:4" x14ac:dyDescent="0.2">
      <c r="A6" s="43" t="str">
        <f>'For RFM &amp; PTRM'!AE8</f>
        <v>Commercial Buildings</v>
      </c>
      <c r="B6" s="649">
        <f>'For RFM &amp; PTRM'!AF8</f>
        <v>1.0740000000000001</v>
      </c>
      <c r="C6" s="649">
        <f>'For RFM &amp; PTRM'!AG8</f>
        <v>2.0139999999999998</v>
      </c>
      <c r="D6" s="649">
        <f>'For RFM &amp; PTRM'!AH8</f>
        <v>4.6390000000000002</v>
      </c>
    </row>
    <row r="7" spans="1:4" x14ac:dyDescent="0.2">
      <c r="A7" s="43" t="str">
        <f>'For RFM &amp; PTRM'!AE9</f>
        <v>Communications - Civil</v>
      </c>
      <c r="B7" s="649">
        <f>'For RFM &amp; PTRM'!AF9</f>
        <v>4.0510000000000002</v>
      </c>
      <c r="C7" s="649">
        <f>'For RFM &amp; PTRM'!AG9</f>
        <v>2.83</v>
      </c>
      <c r="D7" s="649">
        <f>'For RFM &amp; PTRM'!AH9</f>
        <v>10.121</v>
      </c>
    </row>
    <row r="8" spans="1:4" x14ac:dyDescent="0.2">
      <c r="A8" s="43" t="str">
        <f>'For RFM &amp; PTRM'!AE10</f>
        <v>Communications - Other</v>
      </c>
      <c r="B8" s="649">
        <f>'For RFM &amp; PTRM'!AF10</f>
        <v>16.776</v>
      </c>
      <c r="C8" s="649">
        <f>'For RFM &amp; PTRM'!AG10</f>
        <v>11.315</v>
      </c>
      <c r="D8" s="649">
        <f>'For RFM &amp; PTRM'!AH10</f>
        <v>16.233000000000001</v>
      </c>
    </row>
    <row r="9" spans="1:4" x14ac:dyDescent="0.2">
      <c r="A9" s="693" t="str">
        <f>'For RFM &amp; PTRM'!AE11</f>
        <v>Computers, software, and office machines</v>
      </c>
      <c r="B9" s="649">
        <f>'For RFM &amp; PTRM'!AF11</f>
        <v>11.000999999999999</v>
      </c>
      <c r="C9" s="649">
        <f>'For RFM &amp; PTRM'!AG11</f>
        <v>17.288</v>
      </c>
      <c r="D9" s="649">
        <f>'For RFM &amp; PTRM'!AH11</f>
        <v>16.988</v>
      </c>
    </row>
    <row r="10" spans="1:4" x14ac:dyDescent="0.2">
      <c r="A10" s="43" t="str">
        <f>'For RFM &amp; PTRM'!AE12</f>
        <v>Easement</v>
      </c>
      <c r="B10" s="649">
        <f>'For RFM &amp; PTRM'!AF12</f>
        <v>3.379</v>
      </c>
      <c r="C10" s="649">
        <f>'For RFM &amp; PTRM'!AG12</f>
        <v>3.2349999999999999</v>
      </c>
      <c r="D10" s="649">
        <f>'For RFM &amp; PTRM'!AH12</f>
        <v>-8.1000000000000003E-2</v>
      </c>
    </row>
    <row r="11" spans="1:4" x14ac:dyDescent="0.2">
      <c r="A11" s="693" t="str">
        <f>'For RFM &amp; PTRM'!AE13</f>
        <v>Land</v>
      </c>
      <c r="B11" s="649">
        <f>'For RFM &amp; PTRM'!AF13</f>
        <v>2.3980000000000001</v>
      </c>
      <c r="C11" s="649">
        <f>'For RFM &amp; PTRM'!AG13</f>
        <v>6.2279999999999998</v>
      </c>
      <c r="D11" s="649">
        <f>'For RFM &amp; PTRM'!AH13</f>
        <v>5.0999999999999997E-2</v>
      </c>
    </row>
    <row r="12" spans="1:4" x14ac:dyDescent="0.2">
      <c r="A12" s="693" t="str">
        <f>'For RFM &amp; PTRM'!AE14</f>
        <v>Network Switching Centres</v>
      </c>
      <c r="B12" s="649">
        <f>'For RFM &amp; PTRM'!AF14</f>
        <v>0.64400000000000002</v>
      </c>
      <c r="C12" s="649">
        <f>'For RFM &amp; PTRM'!AG14</f>
        <v>0.312</v>
      </c>
      <c r="D12" s="649">
        <f>'For RFM &amp; PTRM'!AH14</f>
        <v>1.1080000000000001</v>
      </c>
    </row>
    <row r="13" spans="1:4" x14ac:dyDescent="0.2">
      <c r="A13" s="693" t="str">
        <f>'For RFM &amp; PTRM'!AE15</f>
        <v>Office furniture, movable plant, and misc</v>
      </c>
      <c r="B13" s="649">
        <f>'For RFM &amp; PTRM'!AF15</f>
        <v>1.236</v>
      </c>
      <c r="C13" s="649">
        <f>'For RFM &amp; PTRM'!AG15</f>
        <v>6.9180000000000001</v>
      </c>
      <c r="D13" s="649">
        <f>'For RFM &amp; PTRM'!AH15</f>
        <v>4.0890000000000004</v>
      </c>
    </row>
    <row r="14" spans="1:4" x14ac:dyDescent="0.2">
      <c r="A14" s="693" t="str">
        <f>'For RFM &amp; PTRM'!AE16</f>
        <v>Refurbishment</v>
      </c>
      <c r="B14" s="649">
        <f>'For RFM &amp; PTRM'!AF16</f>
        <v>0</v>
      </c>
      <c r="C14" s="649">
        <f>'For RFM &amp; PTRM'!AG16</f>
        <v>0</v>
      </c>
      <c r="D14" s="649">
        <f>'For RFM &amp; PTRM'!AH16</f>
        <v>0</v>
      </c>
    </row>
    <row r="15" spans="1:4" x14ac:dyDescent="0.2">
      <c r="A15" s="693" t="str">
        <f>'For RFM &amp; PTRM'!AE17</f>
        <v>Substation Primary Plant</v>
      </c>
      <c r="B15" s="649">
        <f>'For RFM &amp; PTRM'!AF17</f>
        <v>39.893999999999998</v>
      </c>
      <c r="C15" s="649">
        <f>'For RFM &amp; PTRM'!AG17</f>
        <v>34.811999999999998</v>
      </c>
      <c r="D15" s="649">
        <f>'For RFM &amp; PTRM'!AH17</f>
        <v>34.551000000000002</v>
      </c>
    </row>
    <row r="16" spans="1:4" x14ac:dyDescent="0.2">
      <c r="A16" s="693" t="str">
        <f>'For RFM &amp; PTRM'!AE18</f>
        <v>Substation Demountable Buildings</v>
      </c>
      <c r="B16" s="649">
        <f>'For RFM &amp; PTRM'!AF18</f>
        <v>2.3849999999999998</v>
      </c>
      <c r="C16" s="649">
        <f>'For RFM &amp; PTRM'!AG18</f>
        <v>1.77</v>
      </c>
      <c r="D16" s="649">
        <f>'For RFM &amp; PTRM'!AH18</f>
        <v>1.73</v>
      </c>
    </row>
    <row r="17" spans="1:5" x14ac:dyDescent="0.2">
      <c r="A17" s="693" t="str">
        <f>'For RFM &amp; PTRM'!AE19</f>
        <v>Substation Establishment</v>
      </c>
      <c r="B17" s="649">
        <f>'For RFM &amp; PTRM'!AF19</f>
        <v>17.943000000000001</v>
      </c>
      <c r="C17" s="649">
        <f>'For RFM &amp; PTRM'!AG19</f>
        <v>11.053000000000001</v>
      </c>
      <c r="D17" s="649">
        <f>'For RFM &amp; PTRM'!AH19</f>
        <v>17.363</v>
      </c>
    </row>
    <row r="18" spans="1:5" x14ac:dyDescent="0.2">
      <c r="A18" s="693" t="str">
        <f>'For RFM &amp; PTRM'!AE20</f>
        <v>Substation Fences</v>
      </c>
      <c r="B18" s="649">
        <f>'For RFM &amp; PTRM'!AF20</f>
        <v>1.4890000000000001</v>
      </c>
      <c r="C18" s="649">
        <f>'For RFM &amp; PTRM'!AG20</f>
        <v>0.55500000000000005</v>
      </c>
      <c r="D18" s="649">
        <f>'For RFM &amp; PTRM'!AH20</f>
        <v>0.46500000000000002</v>
      </c>
    </row>
    <row r="19" spans="1:5" x14ac:dyDescent="0.2">
      <c r="A19" s="693" t="str">
        <f>'For RFM &amp; PTRM'!AE21</f>
        <v>Substation Secondary Systems - Electro-mechanical</v>
      </c>
      <c r="B19" s="649">
        <f>'For RFM &amp; PTRM'!AF21</f>
        <v>-4.1360000000000001</v>
      </c>
      <c r="C19" s="649">
        <f>'For RFM &amp; PTRM'!AG21</f>
        <v>0</v>
      </c>
      <c r="D19" s="649">
        <f>'For RFM &amp; PTRM'!AH21</f>
        <v>0</v>
      </c>
    </row>
    <row r="20" spans="1:5" x14ac:dyDescent="0.2">
      <c r="A20" s="693" t="str">
        <f>'For RFM &amp; PTRM'!AE22</f>
        <v>Substation Secondary Systems - Electronic</v>
      </c>
      <c r="B20" s="649">
        <f>'For RFM &amp; PTRM'!AF22</f>
        <v>29.45</v>
      </c>
      <c r="C20" s="649">
        <f>'For RFM &amp; PTRM'!AG22</f>
        <v>27.669</v>
      </c>
      <c r="D20" s="649">
        <f>'For RFM &amp; PTRM'!AH22</f>
        <v>28.718</v>
      </c>
    </row>
    <row r="21" spans="1:5" x14ac:dyDescent="0.2">
      <c r="A21" s="693" t="str">
        <f>'For RFM &amp; PTRM'!AE23</f>
        <v>Transmission lines - Overhead</v>
      </c>
      <c r="B21" s="649">
        <f>'For RFM &amp; PTRM'!AF23</f>
        <v>9.8079999999999998</v>
      </c>
      <c r="C21" s="649">
        <f>'For RFM &amp; PTRM'!AG23</f>
        <v>5.649</v>
      </c>
      <c r="D21" s="649">
        <f>'For RFM &amp; PTRM'!AH23</f>
        <v>10.836</v>
      </c>
    </row>
    <row r="22" spans="1:5" x14ac:dyDescent="0.2">
      <c r="A22" s="693" t="str">
        <f>'For RFM &amp; PTRM'!AE24</f>
        <v>Transmission lines - Underground</v>
      </c>
      <c r="B22" s="649">
        <f>'For RFM &amp; PTRM'!AF24</f>
        <v>1.748</v>
      </c>
      <c r="C22" s="649">
        <f>'For RFM &amp; PTRM'!AG24</f>
        <v>2.2509999999999999</v>
      </c>
      <c r="D22" s="649">
        <f>'For RFM &amp; PTRM'!AH24</f>
        <v>2.484</v>
      </c>
    </row>
    <row r="23" spans="1:5" x14ac:dyDescent="0.2">
      <c r="A23" s="693" t="str">
        <f>'For RFM &amp; PTRM'!AE25</f>
        <v>Working Capital</v>
      </c>
      <c r="B23" s="649">
        <f>'For RFM &amp; PTRM'!AF25</f>
        <v>0</v>
      </c>
      <c r="C23" s="649">
        <f>'For RFM &amp; PTRM'!AG25</f>
        <v>0</v>
      </c>
      <c r="D23" s="649">
        <f>'For RFM &amp; PTRM'!AH25</f>
        <v>0</v>
      </c>
    </row>
    <row r="24" spans="1:5" x14ac:dyDescent="0.2">
      <c r="A24" s="693" t="str">
        <f>'For RFM &amp; PTRM'!AE26</f>
        <v>Accelerated Depreciation</v>
      </c>
      <c r="B24" s="649">
        <f>'For RFM &amp; PTRM'!AF26</f>
        <v>0</v>
      </c>
      <c r="C24" s="649">
        <f>'For RFM &amp; PTRM'!AG26</f>
        <v>0</v>
      </c>
      <c r="D24" s="649">
        <f>'For RFM &amp; PTRM'!AH26</f>
        <v>0</v>
      </c>
    </row>
    <row r="25" spans="1:5" x14ac:dyDescent="0.2">
      <c r="A25" s="693" t="str">
        <f>'For RFM &amp; PTRM'!AE27</f>
        <v>Refurbishment Projects 2008-2013</v>
      </c>
      <c r="B25" s="649">
        <f>'For RFM &amp; PTRM'!AF27</f>
        <v>0</v>
      </c>
      <c r="C25" s="649">
        <f>'For RFM &amp; PTRM'!AG27</f>
        <v>0</v>
      </c>
      <c r="D25" s="649">
        <f>'For RFM &amp; PTRM'!AH27</f>
        <v>0</v>
      </c>
    </row>
    <row r="26" spans="1:5" x14ac:dyDescent="0.2">
      <c r="A26" s="693" t="str">
        <f>'For RFM &amp; PTRM'!AE28</f>
        <v>Equity Raising Cost - 2003 Opening RAB and 2003-08 capex</v>
      </c>
      <c r="B26" s="649">
        <f>'For RFM &amp; PTRM'!AF28</f>
        <v>0</v>
      </c>
      <c r="C26" s="649">
        <f>'For RFM &amp; PTRM'!AG28</f>
        <v>0</v>
      </c>
      <c r="D26" s="649">
        <f>'For RFM &amp; PTRM'!AH28</f>
        <v>0</v>
      </c>
    </row>
    <row r="27" spans="1:5" x14ac:dyDescent="0.2">
      <c r="A27" s="693" t="str">
        <f>'For RFM &amp; PTRM'!AE29</f>
        <v>Equity Raising Cost 2013-2018</v>
      </c>
      <c r="B27" s="649">
        <f>'For RFM &amp; PTRM'!AF29</f>
        <v>0</v>
      </c>
      <c r="C27" s="649">
        <f>'For RFM &amp; PTRM'!AG29</f>
        <v>0</v>
      </c>
      <c r="D27" s="649">
        <f>'For RFM &amp; PTRM'!AH29</f>
        <v>0</v>
      </c>
    </row>
    <row r="28" spans="1:5" x14ac:dyDescent="0.2">
      <c r="A28" s="693" t="str">
        <f>'For RFM &amp; PTRM'!AE30</f>
        <v>Transmission Line Refit - insulators replacement 2013-18</v>
      </c>
      <c r="B28" s="649">
        <f>'For RFM &amp; PTRM'!AF30</f>
        <v>27.207999999999998</v>
      </c>
      <c r="C28" s="649">
        <f>'For RFM &amp; PTRM'!AG30</f>
        <v>27.324000000000002</v>
      </c>
      <c r="D28" s="649">
        <f>'For RFM &amp; PTRM'!AH30</f>
        <v>13.337</v>
      </c>
    </row>
    <row r="29" spans="1:5" x14ac:dyDescent="0.2">
      <c r="A29" s="693" t="s">
        <v>2997</v>
      </c>
      <c r="B29" s="649">
        <f>'For RFM &amp; PTRM'!AF31</f>
        <v>0</v>
      </c>
      <c r="C29" s="649">
        <f>'For RFM &amp; PTRM'!AG31</f>
        <v>0</v>
      </c>
      <c r="D29" s="649">
        <f>'For RFM &amp; PTRM'!AH31</f>
        <v>0</v>
      </c>
    </row>
    <row r="30" spans="1:5" x14ac:dyDescent="0.2">
      <c r="B30" s="649">
        <f>'For RFM &amp; PTRM'!AF32</f>
        <v>0</v>
      </c>
      <c r="C30" s="649">
        <f>'For RFM &amp; PTRM'!AG32</f>
        <v>0</v>
      </c>
      <c r="D30" s="649">
        <f>'For RFM &amp; PTRM'!AH32</f>
        <v>0</v>
      </c>
    </row>
    <row r="31" spans="1:5" ht="13.5" thickBot="1" x14ac:dyDescent="0.25">
      <c r="A31" s="696" t="str">
        <f>'For RFM &amp; PTRM'!AE33</f>
        <v>Total</v>
      </c>
      <c r="B31" s="704">
        <f>'For RFM &amp; PTRM'!AF33</f>
        <v>166.34800000000001</v>
      </c>
      <c r="C31" s="704">
        <f>'For RFM &amp; PTRM'!AG33</f>
        <v>161.22300000000001</v>
      </c>
      <c r="D31" s="704">
        <f>'For RFM &amp; PTRM'!AH33</f>
        <v>162.63200000000001</v>
      </c>
      <c r="E31" s="723"/>
    </row>
    <row r="34" spans="1:4" x14ac:dyDescent="0.2">
      <c r="A34" s="720" t="s">
        <v>3028</v>
      </c>
    </row>
    <row r="35" spans="1:4" x14ac:dyDescent="0.2">
      <c r="A35" s="649" t="str">
        <f>'For RFM &amp; PTRM'!AE37</f>
        <v>$m</v>
      </c>
      <c r="B35" s="689" t="str">
        <f>'For RFM &amp; PTRM'!AF37</f>
        <v>RFM</v>
      </c>
      <c r="C35" s="689" t="str">
        <f>'For RFM &amp; PTRM'!AG37</f>
        <v>RFM</v>
      </c>
      <c r="D35" s="689" t="str">
        <f>'For RFM &amp; PTRM'!AH37</f>
        <v>RFM</v>
      </c>
    </row>
    <row r="36" spans="1:4" x14ac:dyDescent="0.2">
      <c r="A36" s="713" t="str">
        <f>'For RFM &amp; PTRM'!AE38</f>
        <v>COMMISSIONED</v>
      </c>
      <c r="B36" s="691" t="str">
        <f>'For RFM &amp; PTRM'!AF38</f>
        <v>F16</v>
      </c>
      <c r="C36" s="691" t="str">
        <f>'For RFM &amp; PTRM'!AG38</f>
        <v>F17</v>
      </c>
      <c r="D36" s="691" t="str">
        <f>'For RFM &amp; PTRM'!AH38</f>
        <v>F18</v>
      </c>
    </row>
    <row r="37" spans="1:4" x14ac:dyDescent="0.2">
      <c r="A37" s="43" t="str">
        <f>'For RFM &amp; PTRM'!AE39</f>
        <v>Commercial Buildings</v>
      </c>
      <c r="B37" s="649">
        <f>'For RFM &amp; PTRM'!AF39</f>
        <v>0.73399999999999999</v>
      </c>
      <c r="C37" s="649">
        <f>'For RFM &amp; PTRM'!AG39</f>
        <v>0.96699999999999997</v>
      </c>
      <c r="D37" s="649">
        <f>'For RFM &amp; PTRM'!AH39</f>
        <v>5.1920000000000002</v>
      </c>
    </row>
    <row r="38" spans="1:4" x14ac:dyDescent="0.2">
      <c r="A38" s="43" t="str">
        <f>'For RFM &amp; PTRM'!AE40</f>
        <v>Communications - Civil</v>
      </c>
      <c r="B38" s="649">
        <f>'For RFM &amp; PTRM'!AF40</f>
        <v>5.8970000000000002</v>
      </c>
      <c r="C38" s="649">
        <f>'For RFM &amp; PTRM'!AG40</f>
        <v>5.8019999999999996</v>
      </c>
      <c r="D38" s="649">
        <f>'For RFM &amp; PTRM'!AH40</f>
        <v>1.7629999999999999</v>
      </c>
    </row>
    <row r="39" spans="1:4" x14ac:dyDescent="0.2">
      <c r="A39" s="43" t="str">
        <f>'For RFM &amp; PTRM'!AE41</f>
        <v>Communications - Other</v>
      </c>
      <c r="B39" s="649">
        <f>'For RFM &amp; PTRM'!AF41</f>
        <v>9.4779999999999998</v>
      </c>
      <c r="C39" s="649">
        <f>'For RFM &amp; PTRM'!AG41</f>
        <v>18.594000000000001</v>
      </c>
      <c r="D39" s="649">
        <f>'For RFM &amp; PTRM'!AH41</f>
        <v>8.7460000000000004</v>
      </c>
    </row>
    <row r="40" spans="1:4" x14ac:dyDescent="0.2">
      <c r="A40" s="693" t="str">
        <f>'For RFM &amp; PTRM'!AE42</f>
        <v>Computers, software, and office machines</v>
      </c>
      <c r="B40" s="649">
        <f>'For RFM &amp; PTRM'!AF42</f>
        <v>11.063000000000001</v>
      </c>
      <c r="C40" s="649">
        <f>'For RFM &amp; PTRM'!AG42</f>
        <v>19.808</v>
      </c>
      <c r="D40" s="649">
        <f>'For RFM &amp; PTRM'!AH42</f>
        <v>17.599</v>
      </c>
    </row>
    <row r="41" spans="1:4" x14ac:dyDescent="0.2">
      <c r="A41" s="43" t="str">
        <f>'For RFM &amp; PTRM'!AE43</f>
        <v>Easement</v>
      </c>
      <c r="B41" s="649">
        <f>'For RFM &amp; PTRM'!AF43</f>
        <v>3.4830000000000001</v>
      </c>
      <c r="C41" s="649">
        <f>'For RFM &amp; PTRM'!AG43</f>
        <v>12.63</v>
      </c>
      <c r="D41" s="649">
        <f>'For RFM &amp; PTRM'!AH43</f>
        <v>9.6000000000000002E-2</v>
      </c>
    </row>
    <row r="42" spans="1:4" x14ac:dyDescent="0.2">
      <c r="A42" s="693" t="str">
        <f>'For RFM &amp; PTRM'!AE44</f>
        <v>Land</v>
      </c>
      <c r="B42" s="649">
        <f>'For RFM &amp; PTRM'!AF44</f>
        <v>0.95599999999999996</v>
      </c>
      <c r="C42" s="649">
        <f>'For RFM &amp; PTRM'!AG44</f>
        <v>12.866</v>
      </c>
      <c r="D42" s="649">
        <f>'For RFM &amp; PTRM'!AH44</f>
        <v>2.8000000000000001E-2</v>
      </c>
    </row>
    <row r="43" spans="1:4" x14ac:dyDescent="0.2">
      <c r="A43" s="693" t="str">
        <f>'For RFM &amp; PTRM'!AE45</f>
        <v>Network Switching Centres</v>
      </c>
      <c r="B43" s="649">
        <f>'For RFM &amp; PTRM'!AF45</f>
        <v>0</v>
      </c>
      <c r="C43" s="649">
        <f>'For RFM &amp; PTRM'!AG45</f>
        <v>4.7789999999999999</v>
      </c>
      <c r="D43" s="649">
        <f>'For RFM &amp; PTRM'!AH45</f>
        <v>1E-3</v>
      </c>
    </row>
    <row r="44" spans="1:4" x14ac:dyDescent="0.2">
      <c r="A44" s="693" t="str">
        <f>'For RFM &amp; PTRM'!AE46</f>
        <v>Office furniture, movable plant, and misc</v>
      </c>
      <c r="B44" s="649">
        <f>'For RFM &amp; PTRM'!AF46</f>
        <v>3.355</v>
      </c>
      <c r="C44" s="649">
        <f>'For RFM &amp; PTRM'!AG46</f>
        <v>2.89</v>
      </c>
      <c r="D44" s="649">
        <f>'For RFM &amp; PTRM'!AH46</f>
        <v>6.7409999999999997</v>
      </c>
    </row>
    <row r="45" spans="1:4" x14ac:dyDescent="0.2">
      <c r="A45" s="693" t="str">
        <f>'For RFM &amp; PTRM'!AE47</f>
        <v>Refurbishment</v>
      </c>
      <c r="B45" s="649">
        <f>'For RFM &amp; PTRM'!AF47</f>
        <v>0</v>
      </c>
      <c r="C45" s="649">
        <f>'For RFM &amp; PTRM'!AG47</f>
        <v>0</v>
      </c>
      <c r="D45" s="649">
        <f>'For RFM &amp; PTRM'!AH47</f>
        <v>0</v>
      </c>
    </row>
    <row r="46" spans="1:4" x14ac:dyDescent="0.2">
      <c r="A46" s="693" t="str">
        <f>'For RFM &amp; PTRM'!AE48</f>
        <v>Substation Primary Plant</v>
      </c>
      <c r="B46" s="649">
        <f>'For RFM &amp; PTRM'!AF48</f>
        <v>18.350000000000001</v>
      </c>
      <c r="C46" s="649">
        <f>'For RFM &amp; PTRM'!AG48</f>
        <v>85.411000000000001</v>
      </c>
      <c r="D46" s="649">
        <f>'For RFM &amp; PTRM'!AH48</f>
        <v>49.601999999999997</v>
      </c>
    </row>
    <row r="47" spans="1:4" x14ac:dyDescent="0.2">
      <c r="A47" s="693" t="str">
        <f>'For RFM &amp; PTRM'!AE49</f>
        <v>Substation Demountable Buildings</v>
      </c>
      <c r="B47" s="649">
        <f>'For RFM &amp; PTRM'!AF49</f>
        <v>7.11</v>
      </c>
      <c r="C47" s="649">
        <f>'For RFM &amp; PTRM'!AG49</f>
        <v>4.2409999999999997</v>
      </c>
      <c r="D47" s="649">
        <f>'For RFM &amp; PTRM'!AH49</f>
        <v>1.873</v>
      </c>
    </row>
    <row r="48" spans="1:4" x14ac:dyDescent="0.2">
      <c r="A48" s="693" t="str">
        <f>'For RFM &amp; PTRM'!AE50</f>
        <v>Substation Establishment</v>
      </c>
      <c r="B48" s="649">
        <f>'For RFM &amp; PTRM'!AF50</f>
        <v>33.043999999999997</v>
      </c>
      <c r="C48" s="649">
        <f>'For RFM &amp; PTRM'!AG50</f>
        <v>21.542999999999999</v>
      </c>
      <c r="D48" s="649">
        <f>'For RFM &amp; PTRM'!AH50</f>
        <v>11.89</v>
      </c>
    </row>
    <row r="49" spans="1:5" x14ac:dyDescent="0.2">
      <c r="A49" s="693" t="str">
        <f>'For RFM &amp; PTRM'!AE51</f>
        <v>Substation Fences</v>
      </c>
      <c r="B49" s="649">
        <f>'For RFM &amp; PTRM'!AF51</f>
        <v>0.27600000000000002</v>
      </c>
      <c r="C49" s="649">
        <f>'For RFM &amp; PTRM'!AG51</f>
        <v>1.8660000000000001</v>
      </c>
      <c r="D49" s="649">
        <f>'For RFM &amp; PTRM'!AH51</f>
        <v>0.432</v>
      </c>
    </row>
    <row r="50" spans="1:5" x14ac:dyDescent="0.2">
      <c r="A50" s="693" t="str">
        <f>'For RFM &amp; PTRM'!AE52</f>
        <v>Substation Secondary Systems - Electro-mechanical</v>
      </c>
      <c r="B50" s="649">
        <f>'For RFM &amp; PTRM'!AF52</f>
        <v>-4.1360000000000001</v>
      </c>
      <c r="C50" s="649">
        <f>'For RFM &amp; PTRM'!AG52</f>
        <v>0</v>
      </c>
      <c r="D50" s="649">
        <f>'For RFM &amp; PTRM'!AH52</f>
        <v>0</v>
      </c>
    </row>
    <row r="51" spans="1:5" x14ac:dyDescent="0.2">
      <c r="A51" s="693" t="str">
        <f>'For RFM &amp; PTRM'!AE53</f>
        <v>Substation Secondary Systems - Electronic</v>
      </c>
      <c r="B51" s="649">
        <f>'For RFM &amp; PTRM'!AF53</f>
        <v>31.216999999999999</v>
      </c>
      <c r="C51" s="649">
        <f>'For RFM &amp; PTRM'!AG53</f>
        <v>49.527000000000001</v>
      </c>
      <c r="D51" s="649">
        <f>'For RFM &amp; PTRM'!AH53</f>
        <v>25.492999999999999</v>
      </c>
    </row>
    <row r="52" spans="1:5" x14ac:dyDescent="0.2">
      <c r="A52" s="693" t="str">
        <f>'For RFM &amp; PTRM'!AE54</f>
        <v>Transmission lines - Overhead</v>
      </c>
      <c r="B52" s="649">
        <f>'For RFM &amp; PTRM'!AF54</f>
        <v>13.17</v>
      </c>
      <c r="C52" s="649">
        <f>'For RFM &amp; PTRM'!AG54</f>
        <v>6.0940000000000003</v>
      </c>
      <c r="D52" s="649">
        <f>'For RFM &amp; PTRM'!AH54</f>
        <v>14.946999999999999</v>
      </c>
    </row>
    <row r="53" spans="1:5" x14ac:dyDescent="0.2">
      <c r="A53" s="693" t="str">
        <f>'For RFM &amp; PTRM'!AE55</f>
        <v>Transmission lines - Underground</v>
      </c>
      <c r="B53" s="649">
        <f>'For RFM &amp; PTRM'!AF55</f>
        <v>0</v>
      </c>
      <c r="C53" s="649">
        <f>'For RFM &amp; PTRM'!AG55</f>
        <v>3.5790000000000002</v>
      </c>
      <c r="D53" s="649">
        <f>'For RFM &amp; PTRM'!AH55</f>
        <v>4.202</v>
      </c>
    </row>
    <row r="54" spans="1:5" x14ac:dyDescent="0.2">
      <c r="A54" s="693" t="str">
        <f>'For RFM &amp; PTRM'!AE56</f>
        <v>Working Capital</v>
      </c>
      <c r="B54" s="649">
        <f>'For RFM &amp; PTRM'!AF56</f>
        <v>0</v>
      </c>
      <c r="C54" s="649">
        <f>'For RFM &amp; PTRM'!AG56</f>
        <v>0</v>
      </c>
      <c r="D54" s="649">
        <f>'For RFM &amp; PTRM'!AH56</f>
        <v>0</v>
      </c>
    </row>
    <row r="55" spans="1:5" x14ac:dyDescent="0.2">
      <c r="A55" s="693" t="str">
        <f>'For RFM &amp; PTRM'!AE57</f>
        <v>Accelerated Depreciation</v>
      </c>
      <c r="B55" s="649">
        <f>'For RFM &amp; PTRM'!AF57</f>
        <v>0</v>
      </c>
      <c r="C55" s="649">
        <f>'For RFM &amp; PTRM'!AG57</f>
        <v>0</v>
      </c>
      <c r="D55" s="649">
        <f>'For RFM &amp; PTRM'!AH57</f>
        <v>0</v>
      </c>
    </row>
    <row r="56" spans="1:5" x14ac:dyDescent="0.2">
      <c r="A56" s="693" t="str">
        <f>'For RFM &amp; PTRM'!AE58</f>
        <v>Refurbishment Projects 2008-2013</v>
      </c>
      <c r="B56" s="649">
        <f>'For RFM &amp; PTRM'!AF58</f>
        <v>0</v>
      </c>
      <c r="C56" s="649">
        <f>'For RFM &amp; PTRM'!AG58</f>
        <v>0</v>
      </c>
      <c r="D56" s="649">
        <f>'For RFM &amp; PTRM'!AH58</f>
        <v>0</v>
      </c>
    </row>
    <row r="57" spans="1:5" x14ac:dyDescent="0.2">
      <c r="A57" s="693" t="str">
        <f>'For RFM &amp; PTRM'!AE59</f>
        <v>Equity Raising Cost - 2003 Opening RAB and 2003-08 capex</v>
      </c>
      <c r="B57" s="649">
        <f>'For RFM &amp; PTRM'!AF59</f>
        <v>0</v>
      </c>
      <c r="C57" s="649">
        <f>'For RFM &amp; PTRM'!AG59</f>
        <v>0</v>
      </c>
      <c r="D57" s="649">
        <f>'For RFM &amp; PTRM'!AH59</f>
        <v>0</v>
      </c>
    </row>
    <row r="58" spans="1:5" x14ac:dyDescent="0.2">
      <c r="A58" s="693" t="str">
        <f>'For RFM &amp; PTRM'!AE60</f>
        <v>Equity Raising Cost 2013-2018</v>
      </c>
      <c r="B58" s="649">
        <f>'For RFM &amp; PTRM'!AF60</f>
        <v>0</v>
      </c>
      <c r="C58" s="649">
        <f>'For RFM &amp; PTRM'!AG60</f>
        <v>0</v>
      </c>
      <c r="D58" s="649">
        <f>'For RFM &amp; PTRM'!AH60</f>
        <v>0</v>
      </c>
    </row>
    <row r="59" spans="1:5" x14ac:dyDescent="0.2">
      <c r="A59" s="693" t="str">
        <f>'For RFM &amp; PTRM'!AE61</f>
        <v>Transmission Line Refit - insulators replacement 2013-18</v>
      </c>
      <c r="B59" s="649">
        <f>'For RFM &amp; PTRM'!AF61</f>
        <v>2.5110000000000001</v>
      </c>
      <c r="C59" s="649">
        <f>'For RFM &amp; PTRM'!AG61</f>
        <v>18.213999999999999</v>
      </c>
      <c r="D59" s="649">
        <f>'For RFM &amp; PTRM'!AH61</f>
        <v>59.713999999999999</v>
      </c>
    </row>
    <row r="60" spans="1:5" x14ac:dyDescent="0.2">
      <c r="A60" s="693" t="s">
        <v>2997</v>
      </c>
      <c r="B60" s="649">
        <f>'For RFM &amp; PTRM'!AF62</f>
        <v>0</v>
      </c>
      <c r="C60" s="649">
        <f>'For RFM &amp; PTRM'!AG62</f>
        <v>0</v>
      </c>
      <c r="D60" s="649">
        <f>'For RFM &amp; PTRM'!AH62</f>
        <v>0</v>
      </c>
    </row>
    <row r="61" spans="1:5" x14ac:dyDescent="0.2">
      <c r="B61" s="649">
        <f>'For RFM &amp; PTRM'!AF63</f>
        <v>0</v>
      </c>
      <c r="C61" s="649">
        <f>'For RFM &amp; PTRM'!AG63</f>
        <v>0</v>
      </c>
      <c r="D61" s="649">
        <f>'For RFM &amp; PTRM'!AH63</f>
        <v>0</v>
      </c>
    </row>
    <row r="62" spans="1:5" ht="13.5" thickBot="1" x14ac:dyDescent="0.25">
      <c r="A62" s="696" t="str">
        <f>'For RFM &amp; PTRM'!AE64</f>
        <v>Total</v>
      </c>
      <c r="B62" s="704">
        <f>'For RFM &amp; PTRM'!AF64</f>
        <v>136.50799999999998</v>
      </c>
      <c r="C62" s="704">
        <f>'For RFM &amp; PTRM'!AG64</f>
        <v>268.81100000000004</v>
      </c>
      <c r="D62" s="704">
        <f>'For RFM &amp; PTRM'!AH64</f>
        <v>208.31899999999999</v>
      </c>
      <c r="E62" s="723"/>
    </row>
  </sheetData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tabColor rgb="FF00B0F0"/>
  </sheetPr>
  <dimension ref="A1:AM129"/>
  <sheetViews>
    <sheetView showGridLines="0" zoomScale="80" zoomScaleNormal="8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2.75" x14ac:dyDescent="0.2"/>
  <cols>
    <col min="1" max="1" width="60.140625" style="649" bestFit="1" customWidth="1"/>
    <col min="2" max="4" width="14.28515625" style="649" bestFit="1" customWidth="1"/>
    <col min="5" max="5" width="12.7109375" style="649" customWidth="1"/>
    <col min="6" max="6" width="14.28515625" style="649" bestFit="1" customWidth="1"/>
    <col min="7" max="8" width="12.140625" style="649" customWidth="1"/>
    <col min="9" max="9" width="14.28515625" style="649" bestFit="1" customWidth="1"/>
    <col min="10" max="10" width="5.7109375" style="649" customWidth="1"/>
    <col min="11" max="11" width="16.85546875" style="649" customWidth="1"/>
    <col min="12" max="18" width="11.85546875" style="649" customWidth="1"/>
    <col min="19" max="19" width="5.7109375" style="649" customWidth="1"/>
    <col min="20" max="20" width="61.85546875" style="649" customWidth="1"/>
    <col min="21" max="27" width="12.85546875" style="649" customWidth="1"/>
    <col min="28" max="29" width="14" style="649" customWidth="1"/>
    <col min="30" max="30" width="9.140625" style="649"/>
    <col min="31" max="31" width="60.140625" style="649" bestFit="1" customWidth="1"/>
    <col min="32" max="32" width="10.5703125" style="649" customWidth="1"/>
    <col min="33" max="38" width="9.85546875" style="649" bestFit="1" customWidth="1"/>
    <col min="39" max="39" width="11.5703125" style="649" bestFit="1" customWidth="1"/>
    <col min="40" max="16384" width="9.140625" style="649"/>
  </cols>
  <sheetData>
    <row r="1" spans="1:39" x14ac:dyDescent="0.2">
      <c r="K1" s="684" t="s">
        <v>2601</v>
      </c>
      <c r="U1" s="649" t="s">
        <v>2600</v>
      </c>
      <c r="AF1" s="685" t="s">
        <v>2287</v>
      </c>
    </row>
    <row r="2" spans="1:39" ht="15.75" thickBot="1" x14ac:dyDescent="0.3">
      <c r="B2" s="807" t="str">
        <f>IF(Incurred!$B$12&lt;&gt;"$Nominal","ERROR: Incurred spend A18 must be set to 0 for $Nominal","OK. Incurred spend set to $Nominal")</f>
        <v>OK. Incurred spend set to $Nominal</v>
      </c>
      <c r="AF2" s="686">
        <v>3</v>
      </c>
    </row>
    <row r="3" spans="1:39" x14ac:dyDescent="0.2">
      <c r="K3" s="649" t="s">
        <v>2599</v>
      </c>
      <c r="L3" s="687">
        <v>-660000</v>
      </c>
      <c r="M3" s="687">
        <v>-676500</v>
      </c>
      <c r="N3" s="687">
        <v>-689827.05</v>
      </c>
      <c r="O3" s="687">
        <v>-459289.87498864561</v>
      </c>
      <c r="P3" s="687">
        <v>-523502.21895807359</v>
      </c>
      <c r="Q3" s="687">
        <v>-444290.52693687635</v>
      </c>
      <c r="R3" s="687">
        <v>-325415.08088473778</v>
      </c>
    </row>
    <row r="4" spans="1:39" x14ac:dyDescent="0.2">
      <c r="K4" s="649" t="s">
        <v>2598</v>
      </c>
      <c r="L4" s="687">
        <v>-660000</v>
      </c>
      <c r="M4" s="687">
        <v>-676500</v>
      </c>
      <c r="N4" s="687">
        <v>-689827.05</v>
      </c>
      <c r="O4" s="687">
        <v>-753607.8923783839</v>
      </c>
      <c r="P4" s="687">
        <v>-760829.15860028123</v>
      </c>
      <c r="Q4" s="687">
        <v>-789841.61103288655</v>
      </c>
      <c r="R4" s="687">
        <v>-820991.64298176451</v>
      </c>
    </row>
    <row r="5" spans="1:39" x14ac:dyDescent="0.2">
      <c r="A5" s="649" t="s">
        <v>2338</v>
      </c>
      <c r="B5" s="688">
        <f>Incurred!P18</f>
        <v>1.0131086142322099</v>
      </c>
      <c r="C5" s="688">
        <f>Incurred!Q18</f>
        <v>1.0197000000000001</v>
      </c>
      <c r="D5" s="688">
        <f>Incurred!R18</f>
        <v>1.0197000000000001</v>
      </c>
      <c r="E5" s="688">
        <f>Incurred!S18</f>
        <v>1.0197000000000001</v>
      </c>
      <c r="F5" s="688">
        <f>Incurred!T18</f>
        <v>1.0197000000000001</v>
      </c>
      <c r="G5" s="688">
        <f>Incurred!U18</f>
        <v>1.0197000000000001</v>
      </c>
      <c r="H5" s="688">
        <f>Incurred!V18</f>
        <v>1.0197000000000001</v>
      </c>
      <c r="I5" s="688">
        <f>Incurred!W18</f>
        <v>1.0197000000000001</v>
      </c>
      <c r="L5" s="687"/>
      <c r="M5" s="687"/>
      <c r="N5" s="687"/>
      <c r="O5" s="687"/>
      <c r="P5" s="687"/>
      <c r="Q5" s="687"/>
      <c r="R5" s="687"/>
    </row>
    <row r="6" spans="1:39" x14ac:dyDescent="0.2">
      <c r="U6" s="689" t="s">
        <v>2291</v>
      </c>
      <c r="V6" s="689" t="s">
        <v>2291</v>
      </c>
      <c r="W6" s="689" t="s">
        <v>2291</v>
      </c>
      <c r="X6" s="689" t="s">
        <v>2292</v>
      </c>
      <c r="Y6" s="689" t="s">
        <v>2292</v>
      </c>
      <c r="Z6" s="689" t="s">
        <v>2292</v>
      </c>
      <c r="AA6" s="689" t="s">
        <v>2292</v>
      </c>
      <c r="AB6" s="689" t="s">
        <v>2292</v>
      </c>
      <c r="AC6" s="689"/>
      <c r="AE6" s="649" t="s">
        <v>2299</v>
      </c>
      <c r="AF6" s="689" t="s">
        <v>2291</v>
      </c>
      <c r="AG6" s="689" t="s">
        <v>2291</v>
      </c>
      <c r="AH6" s="689" t="s">
        <v>2291</v>
      </c>
      <c r="AI6" s="689" t="s">
        <v>2292</v>
      </c>
      <c r="AJ6" s="689" t="s">
        <v>2292</v>
      </c>
      <c r="AK6" s="689" t="s">
        <v>2292</v>
      </c>
      <c r="AL6" s="689" t="s">
        <v>2292</v>
      </c>
      <c r="AM6" s="689" t="s">
        <v>2292</v>
      </c>
    </row>
    <row r="7" spans="1:39" x14ac:dyDescent="0.2">
      <c r="A7" s="690" t="s">
        <v>2992</v>
      </c>
      <c r="B7" s="691" t="s">
        <v>2278</v>
      </c>
      <c r="C7" s="691" t="s">
        <v>2279</v>
      </c>
      <c r="D7" s="691" t="s">
        <v>2280</v>
      </c>
      <c r="E7" s="691" t="s">
        <v>2281</v>
      </c>
      <c r="F7" s="691" t="s">
        <v>2282</v>
      </c>
      <c r="G7" s="691" t="s">
        <v>2283</v>
      </c>
      <c r="H7" s="691" t="s">
        <v>2284</v>
      </c>
      <c r="I7" s="691" t="s">
        <v>2285</v>
      </c>
      <c r="K7" s="691" t="s">
        <v>2278</v>
      </c>
      <c r="L7" s="691" t="s">
        <v>2279</v>
      </c>
      <c r="M7" s="691" t="s">
        <v>2280</v>
      </c>
      <c r="N7" s="691" t="s">
        <v>2281</v>
      </c>
      <c r="O7" s="691" t="s">
        <v>2282</v>
      </c>
      <c r="P7" s="691" t="s">
        <v>2283</v>
      </c>
      <c r="Q7" s="691" t="s">
        <v>2284</v>
      </c>
      <c r="R7" s="691" t="s">
        <v>2285</v>
      </c>
      <c r="T7" s="690" t="s">
        <v>2992</v>
      </c>
      <c r="U7" s="691" t="s">
        <v>2278</v>
      </c>
      <c r="V7" s="691" t="s">
        <v>2279</v>
      </c>
      <c r="W7" s="691" t="s">
        <v>2280</v>
      </c>
      <c r="X7" s="691" t="s">
        <v>2281</v>
      </c>
      <c r="Y7" s="691" t="s">
        <v>2282</v>
      </c>
      <c r="Z7" s="691" t="s">
        <v>2283</v>
      </c>
      <c r="AA7" s="691" t="s">
        <v>2284</v>
      </c>
      <c r="AB7" s="691" t="s">
        <v>2285</v>
      </c>
      <c r="AC7" s="691"/>
      <c r="AD7" s="689"/>
      <c r="AE7" s="690" t="s">
        <v>2276</v>
      </c>
      <c r="AF7" s="691" t="s">
        <v>2278</v>
      </c>
      <c r="AG7" s="691" t="s">
        <v>2279</v>
      </c>
      <c r="AH7" s="691" t="s">
        <v>2280</v>
      </c>
      <c r="AI7" s="691" t="s">
        <v>2281</v>
      </c>
      <c r="AJ7" s="691" t="s">
        <v>2282</v>
      </c>
      <c r="AK7" s="691" t="s">
        <v>2283</v>
      </c>
      <c r="AL7" s="691" t="s">
        <v>2284</v>
      </c>
      <c r="AM7" s="691" t="s">
        <v>2285</v>
      </c>
    </row>
    <row r="8" spans="1:39" x14ac:dyDescent="0.2">
      <c r="A8" s="43" t="s">
        <v>1031</v>
      </c>
      <c r="B8" s="813">
        <v>1089138.4995669676</v>
      </c>
      <c r="C8" s="692">
        <f>HLOOKUP($T8,IncurredByClass,MATCH(C$7,Incurred!$AK$3:$AK$11,0),FALSE)</f>
        <v>2022216.1300290078</v>
      </c>
      <c r="D8" s="692">
        <f>HLOOKUP($T8,IncurredByClass,MATCH(D$7,Incurred!$AK$3:$AK$11,0),FALSE)</f>
        <v>4658482.4812745005</v>
      </c>
      <c r="E8" s="692">
        <f>HLOOKUP($T8,IncurredByClass,MATCH(E$7,Incurred!$AK$3:$AK$11,0),FALSE)</f>
        <v>1562765.7294905402</v>
      </c>
      <c r="F8" s="692">
        <f>HLOOKUP($T8,IncurredByClass,MATCH(F$7,Incurred!$AK$3:$AK$11,0),FALSE)</f>
        <v>692387.58252822037</v>
      </c>
      <c r="G8" s="692">
        <f>HLOOKUP($T8,IncurredByClass,MATCH(G$7,Incurred!$AK$3:$AK$11,0),FALSE)</f>
        <v>1072311.5320606302</v>
      </c>
      <c r="H8" s="692">
        <f>HLOOKUP($T8,IncurredByClass,MATCH(H$7,Incurred!$AK$3:$AK$11,0),FALSE)</f>
        <v>803175.76003777201</v>
      </c>
      <c r="I8" s="692">
        <f>HLOOKUP($T8,IncurredByClass,MATCH(I$7,Incurred!$AK$3:$AK$11,0),FALSE)</f>
        <v>337900.79360048351</v>
      </c>
      <c r="K8" s="687">
        <f>U8-B8</f>
        <v>-14753.758374911733</v>
      </c>
      <c r="L8" s="687">
        <f t="shared" ref="L8:L30" si="0">L$3/C$33*C8</f>
        <v>-8244.6699534079744</v>
      </c>
      <c r="M8" s="687">
        <f t="shared" ref="M8:R8" si="1">M$3/D$33*D8</f>
        <v>-19297.672217688112</v>
      </c>
      <c r="N8" s="687">
        <f t="shared" si="1"/>
        <v>-10939.848176734822</v>
      </c>
      <c r="O8" s="687">
        <f t="shared" si="1"/>
        <v>-3065.3696253681255</v>
      </c>
      <c r="P8" s="687">
        <f t="shared" si="1"/>
        <v>-4877.7596506433883</v>
      </c>
      <c r="Q8" s="687">
        <f t="shared" si="1"/>
        <v>-3292.3322649774759</v>
      </c>
      <c r="R8" s="687">
        <f t="shared" si="1"/>
        <v>-1873.5584742936119</v>
      </c>
      <c r="T8" s="43" t="s">
        <v>1031</v>
      </c>
      <c r="U8" s="692">
        <v>1074384.7411920559</v>
      </c>
      <c r="V8" s="692">
        <f>C8+L8</f>
        <v>2013971.4600755998</v>
      </c>
      <c r="W8" s="692">
        <f t="shared" ref="W8:AB23" si="2">D8+M8</f>
        <v>4639184.809056812</v>
      </c>
      <c r="X8" s="692">
        <f t="shared" si="2"/>
        <v>1551825.8813138055</v>
      </c>
      <c r="Y8" s="692">
        <f t="shared" si="2"/>
        <v>689322.21290285222</v>
      </c>
      <c r="Z8" s="692">
        <f t="shared" si="2"/>
        <v>1067433.7724099867</v>
      </c>
      <c r="AA8" s="692">
        <f t="shared" si="2"/>
        <v>799883.4277727945</v>
      </c>
      <c r="AB8" s="692">
        <f t="shared" si="2"/>
        <v>336027.23512618989</v>
      </c>
      <c r="AC8" s="692"/>
      <c r="AE8" s="43" t="s">
        <v>1031</v>
      </c>
      <c r="AF8" s="649">
        <f t="shared" ref="AF8:AM8" si="3">ROUND(U8/1000000,$AF$2)</f>
        <v>1.0740000000000001</v>
      </c>
      <c r="AG8" s="649">
        <f t="shared" si="3"/>
        <v>2.0139999999999998</v>
      </c>
      <c r="AH8" s="649">
        <f t="shared" si="3"/>
        <v>4.6390000000000002</v>
      </c>
      <c r="AI8" s="649">
        <f t="shared" si="3"/>
        <v>1.552</v>
      </c>
      <c r="AJ8" s="649">
        <f t="shared" si="3"/>
        <v>0.68899999999999995</v>
      </c>
      <c r="AK8" s="649">
        <f t="shared" si="3"/>
        <v>1.0669999999999999</v>
      </c>
      <c r="AL8" s="649">
        <f t="shared" si="3"/>
        <v>0.8</v>
      </c>
      <c r="AM8" s="649">
        <f t="shared" si="3"/>
        <v>0.33600000000000002</v>
      </c>
    </row>
    <row r="9" spans="1:39" x14ac:dyDescent="0.2">
      <c r="A9" s="43" t="s">
        <v>1032</v>
      </c>
      <c r="B9" s="813">
        <v>4066470.6825406426</v>
      </c>
      <c r="C9" s="692">
        <f>HLOOKUP($T9,IncurredByClass,MATCH(C$7,Incurred!$AK$3:$AK$11,0),FALSE)</f>
        <v>2841711.0391786466</v>
      </c>
      <c r="D9" s="692">
        <f>HLOOKUP($T9,IncurredByClass,MATCH(D$7,Incurred!$AK$3:$AK$11,0),FALSE)</f>
        <v>10163218.720457494</v>
      </c>
      <c r="E9" s="692">
        <f>HLOOKUP($T9,IncurredByClass,MATCH(E$7,Incurred!$AK$3:$AK$11,0),FALSE)</f>
        <v>2752571.778833461</v>
      </c>
      <c r="F9" s="692">
        <f>HLOOKUP($T9,IncurredByClass,MATCH(F$7,Incurred!$AK$3:$AK$11,0),FALSE)</f>
        <v>945260.13756662863</v>
      </c>
      <c r="G9" s="692">
        <f>HLOOKUP($T9,IncurredByClass,MATCH(G$7,Incurred!$AK$3:$AK$11,0),FALSE)</f>
        <v>1258401.0171462719</v>
      </c>
      <c r="H9" s="692">
        <f>HLOOKUP($T9,IncurredByClass,MATCH(H$7,Incurred!$AK$3:$AK$11,0),FALSE)</f>
        <v>1897723.0053480512</v>
      </c>
      <c r="I9" s="692">
        <f>HLOOKUP($T9,IncurredByClass,MATCH(I$7,Incurred!$AK$3:$AK$11,0),FALSE)</f>
        <v>17861.932424271828</v>
      </c>
      <c r="K9" s="687">
        <f t="shared" ref="K9:K30" si="4">U9-B9</f>
        <v>-15922.851724203676</v>
      </c>
      <c r="L9" s="687">
        <f t="shared" si="0"/>
        <v>-11585.789111793832</v>
      </c>
      <c r="M9" s="687">
        <f t="shared" ref="M9:R9" si="5">M$3/D$33*D9</f>
        <v>-42100.934012829573</v>
      </c>
      <c r="N9" s="687">
        <f t="shared" si="5"/>
        <v>-19268.862112697898</v>
      </c>
      <c r="O9" s="687">
        <f t="shared" si="5"/>
        <v>-4184.8984396682763</v>
      </c>
      <c r="P9" s="687">
        <f t="shared" si="5"/>
        <v>-5724.248525024369</v>
      </c>
      <c r="Q9" s="687">
        <f t="shared" si="5"/>
        <v>-7779.0379034889966</v>
      </c>
      <c r="R9" s="687">
        <f t="shared" si="5"/>
        <v>-99.039053753516953</v>
      </c>
      <c r="T9" s="43" t="s">
        <v>1032</v>
      </c>
      <c r="U9" s="692">
        <v>4050547.8308164389</v>
      </c>
      <c r="V9" s="692">
        <f t="shared" ref="V9:V30" si="6">C9+L9</f>
        <v>2830125.2500668527</v>
      </c>
      <c r="W9" s="692">
        <f t="shared" si="2"/>
        <v>10121117.786444664</v>
      </c>
      <c r="X9" s="692">
        <f t="shared" si="2"/>
        <v>2733302.9167207633</v>
      </c>
      <c r="Y9" s="692">
        <f t="shared" si="2"/>
        <v>941075.2391269604</v>
      </c>
      <c r="Z9" s="692">
        <f t="shared" si="2"/>
        <v>1252676.7686212475</v>
      </c>
      <c r="AA9" s="692">
        <f t="shared" si="2"/>
        <v>1889943.9674445621</v>
      </c>
      <c r="AB9" s="692">
        <f t="shared" si="2"/>
        <v>17762.893370518312</v>
      </c>
      <c r="AC9" s="692"/>
      <c r="AE9" s="43" t="s">
        <v>1032</v>
      </c>
      <c r="AF9" s="649">
        <f t="shared" ref="AF9:AF30" si="7">ROUND(U9/1000000,$AF$2)</f>
        <v>4.0510000000000002</v>
      </c>
      <c r="AG9" s="649">
        <f t="shared" ref="AG9:AG23" si="8">ROUND(V9/1000000,$AF$2)</f>
        <v>2.83</v>
      </c>
      <c r="AH9" s="649">
        <f t="shared" ref="AH9:AH23" si="9">ROUND(W9/1000000,$AF$2)</f>
        <v>10.121</v>
      </c>
      <c r="AI9" s="649">
        <f t="shared" ref="AI9:AI23" si="10">ROUND(X9/1000000,$AF$2)</f>
        <v>2.7330000000000001</v>
      </c>
      <c r="AJ9" s="649">
        <f t="shared" ref="AJ9:AJ23" si="11">ROUND(Y9/1000000,$AF$2)</f>
        <v>0.94099999999999995</v>
      </c>
      <c r="AK9" s="649">
        <f t="shared" ref="AK9:AK23" si="12">ROUND(Z9/1000000,$AF$2)</f>
        <v>1.2529999999999999</v>
      </c>
      <c r="AL9" s="649">
        <f t="shared" ref="AL9:AL23" si="13">ROUND(AA9/1000000,$AF$2)</f>
        <v>1.89</v>
      </c>
      <c r="AM9" s="649">
        <f t="shared" ref="AM9:AM23" si="14">ROUND(AB9/1000000,$AF$2)</f>
        <v>1.7999999999999999E-2</v>
      </c>
    </row>
    <row r="10" spans="1:39" x14ac:dyDescent="0.2">
      <c r="A10" s="43" t="s">
        <v>1033</v>
      </c>
      <c r="B10" s="813">
        <v>16822625.023976844</v>
      </c>
      <c r="C10" s="692">
        <f>HLOOKUP($T10,IncurredByClass,MATCH(C$7,Incurred!$AK$3:$AK$11,0),FALSE)</f>
        <v>11361308.70125981</v>
      </c>
      <c r="D10" s="692">
        <f>HLOOKUP($T10,IncurredByClass,MATCH(D$7,Incurred!$AK$3:$AK$11,0),FALSE)</f>
        <v>16300096.829945484</v>
      </c>
      <c r="K10" s="687">
        <f t="shared" si="4"/>
        <v>-46855.789495939389</v>
      </c>
      <c r="L10" s="687">
        <f t="shared" si="0"/>
        <v>-46320.58813581201</v>
      </c>
      <c r="M10" s="687">
        <f t="shared" ref="M10:M30" si="15">M$3/D$33*D10</f>
        <v>-67522.831094731766</v>
      </c>
      <c r="T10" s="43" t="s">
        <v>1033</v>
      </c>
      <c r="U10" s="692">
        <v>16775769.234480904</v>
      </c>
      <c r="V10" s="692">
        <f t="shared" si="6"/>
        <v>11314988.113123998</v>
      </c>
      <c r="W10" s="692">
        <f t="shared" si="2"/>
        <v>16232573.998850752</v>
      </c>
      <c r="AC10" s="692"/>
      <c r="AE10" s="43" t="s">
        <v>1033</v>
      </c>
      <c r="AF10" s="649">
        <f t="shared" si="7"/>
        <v>16.776</v>
      </c>
      <c r="AG10" s="649">
        <f t="shared" si="8"/>
        <v>11.315</v>
      </c>
      <c r="AH10" s="649">
        <f t="shared" si="9"/>
        <v>16.233000000000001</v>
      </c>
    </row>
    <row r="11" spans="1:39" x14ac:dyDescent="0.2">
      <c r="A11" s="693" t="s">
        <v>1034</v>
      </c>
      <c r="B11" s="813">
        <v>11153432.824150266</v>
      </c>
      <c r="C11" s="692">
        <f>HLOOKUP($T11,IncurredByClass,MATCH(C$7,Incurred!$AK$3:$AK$11,0),FALSE)</f>
        <v>17359060.375062183</v>
      </c>
      <c r="D11" s="692">
        <f>HLOOKUP($T11,IncurredByClass,MATCH(D$7,Incurred!$AK$3:$AK$11,0),FALSE)</f>
        <v>17058310.579755407</v>
      </c>
      <c r="E11" s="692">
        <f>HLOOKUP($T11,IncurredByClass,MATCH(E$7,Incurred!$AK$3:$AK$11,0),FALSE)</f>
        <v>17442622.730489463</v>
      </c>
      <c r="F11" s="692">
        <f>HLOOKUP($T11,IncurredByClass,MATCH(F$7,Incurred!$AK$3:$AK$11,0),FALSE)</f>
        <v>11002275.38729048</v>
      </c>
      <c r="G11" s="692">
        <f>HLOOKUP($T11,IncurredByClass,MATCH(G$7,Incurred!$AK$3:$AK$11,0),FALSE)</f>
        <v>13429931.768897407</v>
      </c>
      <c r="H11" s="692">
        <f>HLOOKUP($T11,IncurredByClass,MATCH(H$7,Incurred!$AK$3:$AK$11,0),FALSE)</f>
        <v>11582595.935075082</v>
      </c>
      <c r="I11" s="692">
        <f>HLOOKUP($T11,IncurredByClass,MATCH(I$7,Incurred!$AK$3:$AK$11,0),FALSE)</f>
        <v>9355014.6099192854</v>
      </c>
      <c r="K11" s="687">
        <f t="shared" si="4"/>
        <v>-152483.49275928363</v>
      </c>
      <c r="L11" s="687">
        <f t="shared" si="0"/>
        <v>-70773.70285421329</v>
      </c>
      <c r="M11" s="687">
        <f t="shared" si="15"/>
        <v>-70663.716667145258</v>
      </c>
      <c r="N11" s="687">
        <f t="shared" ref="N11:N31" si="16">N$3/E$33*E11</f>
        <v>-122103.80665170171</v>
      </c>
      <c r="O11" s="687">
        <f t="shared" ref="O11:O31" si="17">O$3/F$33*F11</f>
        <v>-48709.77128010663</v>
      </c>
      <c r="P11" s="687">
        <f t="shared" ref="P11:P31" si="18">P$3/G$33*G11</f>
        <v>-61090.43625348014</v>
      </c>
      <c r="Q11" s="687">
        <f t="shared" ref="Q11:Q31" si="19">Q$3/H$33*H11</f>
        <v>-47478.71662293603</v>
      </c>
      <c r="R11" s="687">
        <f t="shared" ref="R11:R31" si="20">R$3/I$33*I11</f>
        <v>-51870.747957692118</v>
      </c>
      <c r="T11" s="693" t="s">
        <v>1034</v>
      </c>
      <c r="U11" s="692">
        <v>11000949.331390982</v>
      </c>
      <c r="V11" s="692">
        <f t="shared" si="6"/>
        <v>17288286.67220797</v>
      </c>
      <c r="W11" s="692">
        <f t="shared" si="2"/>
        <v>16987646.863088261</v>
      </c>
      <c r="X11" s="692">
        <f t="shared" si="2"/>
        <v>17320518.923837762</v>
      </c>
      <c r="Y11" s="692">
        <f t="shared" si="2"/>
        <v>10953565.616010373</v>
      </c>
      <c r="Z11" s="692">
        <f t="shared" si="2"/>
        <v>13368841.332643926</v>
      </c>
      <c r="AA11" s="692">
        <f t="shared" si="2"/>
        <v>11535117.218452146</v>
      </c>
      <c r="AB11" s="692">
        <f t="shared" si="2"/>
        <v>9303143.8619615939</v>
      </c>
      <c r="AC11" s="692"/>
      <c r="AE11" s="693" t="s">
        <v>1034</v>
      </c>
      <c r="AF11" s="649">
        <f t="shared" si="7"/>
        <v>11.000999999999999</v>
      </c>
      <c r="AG11" s="649">
        <f t="shared" si="8"/>
        <v>17.288</v>
      </c>
      <c r="AH11" s="649">
        <f t="shared" si="9"/>
        <v>16.988</v>
      </c>
      <c r="AI11" s="649">
        <f t="shared" si="10"/>
        <v>17.321000000000002</v>
      </c>
      <c r="AJ11" s="649">
        <f t="shared" si="11"/>
        <v>10.954000000000001</v>
      </c>
      <c r="AK11" s="649">
        <f t="shared" si="12"/>
        <v>13.369</v>
      </c>
      <c r="AL11" s="649">
        <f t="shared" si="13"/>
        <v>11.535</v>
      </c>
      <c r="AM11" s="649">
        <f t="shared" si="14"/>
        <v>9.3030000000000008</v>
      </c>
    </row>
    <row r="12" spans="1:39" x14ac:dyDescent="0.2">
      <c r="A12" s="43" t="s">
        <v>1035</v>
      </c>
      <c r="B12" s="813">
        <v>3382799.48398076</v>
      </c>
      <c r="C12" s="692">
        <f>HLOOKUP($T12,IncurredByClass,MATCH(C$7,Incurred!$AK$3:$AK$11,0),FALSE)</f>
        <v>3248426.7676640986</v>
      </c>
      <c r="D12" s="692">
        <f>HLOOKUP($T12,IncurredByClass,MATCH(D$7,Incurred!$AK$3:$AK$11,0),FALSE)</f>
        <v>-81036.336958629778</v>
      </c>
      <c r="E12" s="692">
        <f>HLOOKUP($T12,IncurredByClass,MATCH(E$7,Incurred!$AK$3:$AK$11,0),FALSE)</f>
        <v>4919.2489028597292</v>
      </c>
      <c r="F12" s="692">
        <f>HLOOKUP($T12,IncurredByClass,MATCH(F$7,Incurred!$AK$3:$AK$11,0),FALSE)</f>
        <v>164.37421165081838</v>
      </c>
      <c r="G12" s="692">
        <f>HLOOKUP($T12,IncurredByClass,MATCH(G$7,Incurred!$AK$3:$AK$11,0),FALSE)</f>
        <v>0</v>
      </c>
      <c r="H12" s="692">
        <f>HLOOKUP($T12,IncurredByClass,MATCH(H$7,Incurred!$AK$3:$AK$11,0),FALSE)</f>
        <v>0</v>
      </c>
      <c r="I12" s="692">
        <f>HLOOKUP($T12,IncurredByClass,MATCH(I$7,Incurred!$AK$3:$AK$11,0),FALSE)</f>
        <v>0</v>
      </c>
      <c r="K12" s="687">
        <f t="shared" si="4"/>
        <v>-3414.5605178070255</v>
      </c>
      <c r="L12" s="687">
        <f t="shared" si="0"/>
        <v>-13243.988201608403</v>
      </c>
      <c r="M12" s="687">
        <f t="shared" si="15"/>
        <v>335.69143484723878</v>
      </c>
      <c r="N12" s="687">
        <f t="shared" si="16"/>
        <v>-34.436278659885048</v>
      </c>
      <c r="O12" s="687">
        <f t="shared" si="17"/>
        <v>-0.72772494525161924</v>
      </c>
      <c r="P12" s="687">
        <f t="shared" si="18"/>
        <v>0</v>
      </c>
      <c r="Q12" s="687">
        <f t="shared" si="19"/>
        <v>0</v>
      </c>
      <c r="R12" s="687">
        <f t="shared" si="20"/>
        <v>0</v>
      </c>
      <c r="T12" s="43" t="s">
        <v>1035</v>
      </c>
      <c r="U12" s="692">
        <v>3379384.923462953</v>
      </c>
      <c r="V12" s="692">
        <f t="shared" si="6"/>
        <v>3235182.7794624902</v>
      </c>
      <c r="W12" s="692">
        <f t="shared" si="2"/>
        <v>-80700.645523782543</v>
      </c>
      <c r="X12" s="692">
        <f t="shared" si="2"/>
        <v>4884.8126241998443</v>
      </c>
      <c r="Y12" s="692">
        <f t="shared" si="2"/>
        <v>163.64648670556676</v>
      </c>
      <c r="Z12" s="692">
        <f t="shared" si="2"/>
        <v>0</v>
      </c>
      <c r="AA12" s="692">
        <f t="shared" si="2"/>
        <v>0</v>
      </c>
      <c r="AB12" s="692">
        <f t="shared" si="2"/>
        <v>0</v>
      </c>
      <c r="AC12" s="692"/>
      <c r="AE12" s="43" t="s">
        <v>1035</v>
      </c>
      <c r="AF12" s="649">
        <f t="shared" si="7"/>
        <v>3.379</v>
      </c>
      <c r="AG12" s="649">
        <f t="shared" si="8"/>
        <v>3.2349999999999999</v>
      </c>
      <c r="AH12" s="649">
        <f t="shared" si="9"/>
        <v>-8.1000000000000003E-2</v>
      </c>
      <c r="AI12" s="649">
        <f t="shared" si="10"/>
        <v>5.0000000000000001E-3</v>
      </c>
      <c r="AJ12" s="649">
        <f t="shared" si="11"/>
        <v>0</v>
      </c>
      <c r="AK12" s="649">
        <f t="shared" si="12"/>
        <v>0</v>
      </c>
      <c r="AL12" s="649">
        <f t="shared" si="13"/>
        <v>0</v>
      </c>
      <c r="AM12" s="649">
        <f t="shared" si="14"/>
        <v>0</v>
      </c>
    </row>
    <row r="13" spans="1:39" x14ac:dyDescent="0.2">
      <c r="A13" s="693" t="s">
        <v>854</v>
      </c>
      <c r="B13" s="813">
        <v>2406009.5393721517</v>
      </c>
      <c r="C13" s="692">
        <f>HLOOKUP($T13,IncurredByClass,MATCH(C$7,Incurred!$AK$3:$AK$11,0),FALSE)</f>
        <v>6253165.211667235</v>
      </c>
      <c r="D13" s="692">
        <f>HLOOKUP($T13,IncurredByClass,MATCH(D$7,Incurred!$AK$3:$AK$11,0),FALSE)</f>
        <v>50756.909330799193</v>
      </c>
      <c r="E13" s="692">
        <f>HLOOKUP($T13,IncurredByClass,MATCH(E$7,Incurred!$AK$3:$AK$11,0),FALSE)</f>
        <v>203798.63921033044</v>
      </c>
      <c r="F13" s="692">
        <f>HLOOKUP($T13,IncurredByClass,MATCH(F$7,Incurred!$AK$3:$AK$11,0),FALSE)</f>
        <v>82372.869003849672</v>
      </c>
      <c r="G13" s="692">
        <f>HLOOKUP($T13,IncurredByClass,MATCH(G$7,Incurred!$AK$3:$AK$11,0),FALSE)</f>
        <v>12479.017917941463</v>
      </c>
      <c r="H13" s="692">
        <f>HLOOKUP($T13,IncurredByClass,MATCH(H$7,Incurred!$AK$3:$AK$11,0),FALSE)</f>
        <v>0</v>
      </c>
      <c r="I13" s="692">
        <f>HLOOKUP($T13,IncurredByClass,MATCH(I$7,Incurred!$AK$3:$AK$11,0),FALSE)</f>
        <v>0</v>
      </c>
      <c r="K13" s="687">
        <f t="shared" si="4"/>
        <v>-7630.7933879443444</v>
      </c>
      <c r="L13" s="687">
        <f t="shared" si="0"/>
        <v>-25494.447684773106</v>
      </c>
      <c r="M13" s="687">
        <f t="shared" si="15"/>
        <v>-210.25950038148525</v>
      </c>
      <c r="N13" s="687">
        <f t="shared" si="16"/>
        <v>-1426.6541232082136</v>
      </c>
      <c r="O13" s="687">
        <f t="shared" si="17"/>
        <v>-364.68489177235762</v>
      </c>
      <c r="P13" s="687">
        <f t="shared" si="18"/>
        <v>-56.764893652518388</v>
      </c>
      <c r="Q13" s="687">
        <f t="shared" si="19"/>
        <v>0</v>
      </c>
      <c r="R13" s="687">
        <f t="shared" si="20"/>
        <v>0</v>
      </c>
      <c r="T13" s="693" t="s">
        <v>854</v>
      </c>
      <c r="U13" s="692">
        <v>2398378.7459842074</v>
      </c>
      <c r="V13" s="692">
        <f t="shared" si="6"/>
        <v>6227670.7639824618</v>
      </c>
      <c r="W13" s="692">
        <f t="shared" si="2"/>
        <v>50546.649830417708</v>
      </c>
      <c r="X13" s="692">
        <f t="shared" si="2"/>
        <v>202371.98508712222</v>
      </c>
      <c r="Y13" s="692">
        <f t="shared" si="2"/>
        <v>82008.184112077317</v>
      </c>
      <c r="Z13" s="692">
        <f t="shared" si="2"/>
        <v>12422.253024288944</v>
      </c>
      <c r="AA13" s="692">
        <f t="shared" si="2"/>
        <v>0</v>
      </c>
      <c r="AB13" s="692">
        <f t="shared" si="2"/>
        <v>0</v>
      </c>
      <c r="AC13" s="692"/>
      <c r="AE13" s="693" t="s">
        <v>854</v>
      </c>
      <c r="AF13" s="649">
        <f t="shared" si="7"/>
        <v>2.3980000000000001</v>
      </c>
      <c r="AG13" s="649">
        <f t="shared" si="8"/>
        <v>6.2279999999999998</v>
      </c>
      <c r="AH13" s="649">
        <f t="shared" si="9"/>
        <v>5.0999999999999997E-2</v>
      </c>
      <c r="AI13" s="649">
        <f t="shared" si="10"/>
        <v>0.20200000000000001</v>
      </c>
      <c r="AJ13" s="649">
        <f t="shared" si="11"/>
        <v>8.2000000000000003E-2</v>
      </c>
      <c r="AK13" s="649">
        <f t="shared" si="12"/>
        <v>1.2E-2</v>
      </c>
      <c r="AL13" s="649">
        <f t="shared" si="13"/>
        <v>0</v>
      </c>
      <c r="AM13" s="649">
        <f t="shared" si="14"/>
        <v>0</v>
      </c>
    </row>
    <row r="14" spans="1:39" x14ac:dyDescent="0.2">
      <c r="A14" s="693" t="s">
        <v>1036</v>
      </c>
      <c r="B14" s="813">
        <v>646444.81400000001</v>
      </c>
      <c r="C14" s="692">
        <f>HLOOKUP($T14,IncurredByClass,MATCH(C$7,Incurred!$AK$3:$AK$11,0),FALSE)</f>
        <v>313775.44470697903</v>
      </c>
      <c r="D14" s="692">
        <f>HLOOKUP($T14,IncurredByClass,MATCH(D$7,Incurred!$AK$3:$AK$11,0),FALSE)</f>
        <v>1112934.1450476926</v>
      </c>
      <c r="E14" s="692">
        <f>HLOOKUP($T14,IncurredByClass,MATCH(E$7,Incurred!$AK$3:$AK$11,0),FALSE)</f>
        <v>463950.04864036909</v>
      </c>
      <c r="F14" s="692">
        <f>HLOOKUP($T14,IncurredByClass,MATCH(F$7,Incurred!$AK$3:$AK$11,0),FALSE)</f>
        <v>0</v>
      </c>
      <c r="G14" s="692">
        <f>HLOOKUP($T14,IncurredByClass,MATCH(G$7,Incurred!$AK$3:$AK$11,0),FALSE)</f>
        <v>179330.50886029599</v>
      </c>
      <c r="H14" s="692">
        <f>HLOOKUP($T14,IncurredByClass,MATCH(H$7,Incurred!$AK$3:$AK$11,0),FALSE)</f>
        <v>684905.83450039907</v>
      </c>
      <c r="I14" s="692">
        <f>HLOOKUP($T14,IncurredByClass,MATCH(I$7,Incurred!$AK$3:$AK$11,0),FALSE)</f>
        <v>919837.04863743158</v>
      </c>
      <c r="K14" s="687">
        <f t="shared" si="4"/>
        <v>-2199.4809662608895</v>
      </c>
      <c r="L14" s="687">
        <f t="shared" si="0"/>
        <v>-1279.2771962785928</v>
      </c>
      <c r="M14" s="687">
        <f t="shared" si="15"/>
        <v>-4610.3078453839098</v>
      </c>
      <c r="N14" s="687">
        <f t="shared" si="16"/>
        <v>-3247.7952375939253</v>
      </c>
      <c r="O14" s="687">
        <f t="shared" si="17"/>
        <v>0</v>
      </c>
      <c r="P14" s="687">
        <f t="shared" si="18"/>
        <v>-815.74346082724003</v>
      </c>
      <c r="Q14" s="687">
        <f t="shared" si="19"/>
        <v>-2807.526931951907</v>
      </c>
      <c r="R14" s="687">
        <f t="shared" si="20"/>
        <v>-5100.2203311824933</v>
      </c>
      <c r="T14" s="693" t="s">
        <v>1036</v>
      </c>
      <c r="U14" s="692">
        <v>644245.33303373912</v>
      </c>
      <c r="V14" s="692">
        <f t="shared" si="6"/>
        <v>312496.16751070041</v>
      </c>
      <c r="W14" s="692">
        <f t="shared" si="2"/>
        <v>1108323.8372023087</v>
      </c>
      <c r="X14" s="692">
        <f t="shared" si="2"/>
        <v>460702.25340277515</v>
      </c>
      <c r="Y14" s="692">
        <f t="shared" si="2"/>
        <v>0</v>
      </c>
      <c r="Z14" s="692">
        <f t="shared" si="2"/>
        <v>178514.76539946874</v>
      </c>
      <c r="AA14" s="692">
        <f t="shared" si="2"/>
        <v>682098.3075684472</v>
      </c>
      <c r="AB14" s="692">
        <f t="shared" si="2"/>
        <v>914736.82830624911</v>
      </c>
      <c r="AC14" s="692"/>
      <c r="AE14" s="693" t="s">
        <v>1036</v>
      </c>
      <c r="AF14" s="649">
        <f t="shared" si="7"/>
        <v>0.64400000000000002</v>
      </c>
      <c r="AG14" s="649">
        <f t="shared" si="8"/>
        <v>0.312</v>
      </c>
      <c r="AH14" s="649">
        <f t="shared" si="9"/>
        <v>1.1080000000000001</v>
      </c>
      <c r="AI14" s="649">
        <f t="shared" si="10"/>
        <v>0.46100000000000002</v>
      </c>
      <c r="AJ14" s="649">
        <f t="shared" si="11"/>
        <v>0</v>
      </c>
      <c r="AK14" s="649">
        <f t="shared" si="12"/>
        <v>0.17899999999999999</v>
      </c>
      <c r="AL14" s="649">
        <f t="shared" si="13"/>
        <v>0.68200000000000005</v>
      </c>
      <c r="AM14" s="649">
        <f t="shared" si="14"/>
        <v>0.91500000000000004</v>
      </c>
    </row>
    <row r="15" spans="1:39" x14ac:dyDescent="0.2">
      <c r="A15" s="693" t="s">
        <v>1037</v>
      </c>
      <c r="B15" s="813">
        <v>1248497.6044330327</v>
      </c>
      <c r="C15" s="692">
        <f>HLOOKUP($T15,IncurredByClass,MATCH(C$7,Incurred!$AK$3:$AK$11,0),FALSE)</f>
        <v>6946394.0155693442</v>
      </c>
      <c r="D15" s="692">
        <f>HLOOKUP($T15,IncurredByClass,MATCH(D$7,Incurred!$AK$3:$AK$11,0),FALSE)</f>
        <v>4106063.4341239836</v>
      </c>
      <c r="E15" s="692">
        <f>HLOOKUP($T15,IncurredByClass,MATCH(E$7,Incurred!$AK$3:$AK$11,0),FALSE)</f>
        <v>614031.02784468699</v>
      </c>
      <c r="F15" s="692">
        <f>HLOOKUP($T15,IncurredByClass,MATCH(F$7,Incurred!$AK$3:$AK$11,0),FALSE)</f>
        <v>3362323.199638858</v>
      </c>
      <c r="G15" s="692">
        <f>HLOOKUP($T15,IncurredByClass,MATCH(G$7,Incurred!$AK$3:$AK$11,0),FALSE)</f>
        <v>2945304.4756389349</v>
      </c>
      <c r="H15" s="692">
        <f>HLOOKUP($T15,IncurredByClass,MATCH(H$7,Incurred!$AK$3:$AK$11,0),FALSE)</f>
        <v>1843934.6649562165</v>
      </c>
      <c r="I15" s="692">
        <f>HLOOKUP($T15,IncurredByClass,MATCH(I$7,Incurred!$AK$3:$AK$11,0),FALSE)</f>
        <v>880017.1752313273</v>
      </c>
      <c r="K15" s="687">
        <f t="shared" si="4"/>
        <v>-12812.28779266146</v>
      </c>
      <c r="L15" s="687">
        <f t="shared" si="0"/>
        <v>-28320.774013347433</v>
      </c>
      <c r="M15" s="687">
        <f t="shared" si="15"/>
        <v>-17009.287160629421</v>
      </c>
      <c r="N15" s="687">
        <f t="shared" si="16"/>
        <v>-4298.4089640967322</v>
      </c>
      <c r="O15" s="687">
        <f t="shared" si="17"/>
        <v>-14885.82936338758</v>
      </c>
      <c r="P15" s="687">
        <f t="shared" si="18"/>
        <v>-13397.680525288499</v>
      </c>
      <c r="Q15" s="687">
        <f t="shared" si="19"/>
        <v>-7558.5518064692105</v>
      </c>
      <c r="R15" s="687">
        <f t="shared" si="20"/>
        <v>-4879.431085704975</v>
      </c>
      <c r="T15" s="693" t="s">
        <v>1037</v>
      </c>
      <c r="U15" s="692">
        <v>1235685.3166403712</v>
      </c>
      <c r="V15" s="692">
        <f t="shared" si="6"/>
        <v>6918073.2415559972</v>
      </c>
      <c r="W15" s="692">
        <f t="shared" si="2"/>
        <v>4089054.1469633542</v>
      </c>
      <c r="X15" s="692">
        <f t="shared" si="2"/>
        <v>609732.61888059031</v>
      </c>
      <c r="Y15" s="692">
        <f t="shared" si="2"/>
        <v>3347437.3702754704</v>
      </c>
      <c r="Z15" s="692">
        <f t="shared" si="2"/>
        <v>2931906.7951136464</v>
      </c>
      <c r="AA15" s="692">
        <f t="shared" si="2"/>
        <v>1836376.1131497473</v>
      </c>
      <c r="AB15" s="692">
        <f t="shared" si="2"/>
        <v>875137.74414562236</v>
      </c>
      <c r="AC15" s="692"/>
      <c r="AE15" s="693" t="s">
        <v>1037</v>
      </c>
      <c r="AF15" s="649">
        <f t="shared" si="7"/>
        <v>1.236</v>
      </c>
      <c r="AG15" s="649">
        <f t="shared" si="8"/>
        <v>6.9180000000000001</v>
      </c>
      <c r="AH15" s="649">
        <f t="shared" si="9"/>
        <v>4.0890000000000004</v>
      </c>
      <c r="AI15" s="649">
        <f t="shared" si="10"/>
        <v>0.61</v>
      </c>
      <c r="AJ15" s="649">
        <f t="shared" si="11"/>
        <v>3.347</v>
      </c>
      <c r="AK15" s="649">
        <f t="shared" si="12"/>
        <v>2.9319999999999999</v>
      </c>
      <c r="AL15" s="649">
        <f t="shared" si="13"/>
        <v>1.8360000000000001</v>
      </c>
      <c r="AM15" s="649">
        <f t="shared" si="14"/>
        <v>0.875</v>
      </c>
    </row>
    <row r="16" spans="1:39" x14ac:dyDescent="0.2">
      <c r="A16" s="693" t="s">
        <v>41</v>
      </c>
      <c r="B16" s="813">
        <v>0</v>
      </c>
      <c r="C16" s="692">
        <f>HLOOKUP($T16,IncurredByClass,MATCH(C$7,Incurred!$AK$3:$AK$11,0),FALSE)</f>
        <v>0</v>
      </c>
      <c r="D16" s="692">
        <f>HLOOKUP($T16,IncurredByClass,MATCH(D$7,Incurred!$AK$3:$AK$11,0),FALSE)</f>
        <v>0</v>
      </c>
      <c r="E16" s="692">
        <f>HLOOKUP($T16,IncurredByClass,MATCH(E$7,Incurred!$AK$3:$AK$11,0),FALSE)</f>
        <v>0</v>
      </c>
      <c r="F16" s="692">
        <f>HLOOKUP($T16,IncurredByClass,MATCH(F$7,Incurred!$AK$3:$AK$11,0),FALSE)</f>
        <v>0</v>
      </c>
      <c r="G16" s="692">
        <f>HLOOKUP($T16,IncurredByClass,MATCH(G$7,Incurred!$AK$3:$AK$11,0),FALSE)</f>
        <v>0</v>
      </c>
      <c r="H16" s="692">
        <f>HLOOKUP($T16,IncurredByClass,MATCH(H$7,Incurred!$AK$3:$AK$11,0),FALSE)</f>
        <v>0</v>
      </c>
      <c r="I16" s="692">
        <f>HLOOKUP($T16,IncurredByClass,MATCH(I$7,Incurred!$AK$3:$AK$11,0),FALSE)</f>
        <v>0</v>
      </c>
      <c r="K16" s="687">
        <f t="shared" si="4"/>
        <v>0</v>
      </c>
      <c r="L16" s="687">
        <f t="shared" si="0"/>
        <v>0</v>
      </c>
      <c r="M16" s="687">
        <f t="shared" si="15"/>
        <v>0</v>
      </c>
      <c r="N16" s="687">
        <f t="shared" si="16"/>
        <v>0</v>
      </c>
      <c r="O16" s="687">
        <f t="shared" si="17"/>
        <v>0</v>
      </c>
      <c r="P16" s="687">
        <f t="shared" si="18"/>
        <v>0</v>
      </c>
      <c r="Q16" s="687">
        <f t="shared" si="19"/>
        <v>0</v>
      </c>
      <c r="R16" s="687">
        <f t="shared" si="20"/>
        <v>0</v>
      </c>
      <c r="T16" s="693" t="s">
        <v>41</v>
      </c>
      <c r="U16" s="692">
        <v>0</v>
      </c>
      <c r="V16" s="692">
        <f t="shared" si="6"/>
        <v>0</v>
      </c>
      <c r="W16" s="692">
        <f t="shared" si="2"/>
        <v>0</v>
      </c>
      <c r="X16" s="692">
        <f t="shared" si="2"/>
        <v>0</v>
      </c>
      <c r="Y16" s="692">
        <f t="shared" si="2"/>
        <v>0</v>
      </c>
      <c r="Z16" s="692">
        <f t="shared" si="2"/>
        <v>0</v>
      </c>
      <c r="AA16" s="692">
        <f t="shared" si="2"/>
        <v>0</v>
      </c>
      <c r="AB16" s="692">
        <f t="shared" si="2"/>
        <v>0</v>
      </c>
      <c r="AC16" s="692"/>
      <c r="AE16" s="693" t="s">
        <v>41</v>
      </c>
      <c r="AF16" s="649">
        <f t="shared" si="7"/>
        <v>0</v>
      </c>
      <c r="AG16" s="649">
        <f t="shared" si="8"/>
        <v>0</v>
      </c>
      <c r="AH16" s="649">
        <f t="shared" si="9"/>
        <v>0</v>
      </c>
      <c r="AI16" s="649">
        <f t="shared" si="10"/>
        <v>0</v>
      </c>
      <c r="AJ16" s="649">
        <f t="shared" si="11"/>
        <v>0</v>
      </c>
      <c r="AK16" s="649">
        <f t="shared" si="12"/>
        <v>0</v>
      </c>
      <c r="AL16" s="649">
        <f t="shared" si="13"/>
        <v>0</v>
      </c>
      <c r="AM16" s="649">
        <f t="shared" si="14"/>
        <v>0</v>
      </c>
    </row>
    <row r="17" spans="1:39" x14ac:dyDescent="0.2">
      <c r="A17" s="693" t="s">
        <v>1038</v>
      </c>
      <c r="B17" s="813">
        <v>40072596.813453346</v>
      </c>
      <c r="C17" s="692">
        <f>HLOOKUP($T17,IncurredByClass,MATCH(C$7,Incurred!$AK$3:$AK$11,0),FALSE)</f>
        <v>34954088.858637467</v>
      </c>
      <c r="D17" s="692">
        <f>HLOOKUP($T17,IncurredByClass,MATCH(D$7,Incurred!$AK$3:$AK$11,0),FALSE)</f>
        <v>34694738.229120441</v>
      </c>
      <c r="E17" s="692">
        <f>HLOOKUP($T17,IncurredByClass,MATCH(E$7,Incurred!$AK$3:$AK$11,0),FALSE)</f>
        <v>13838684.983992059</v>
      </c>
      <c r="F17" s="692">
        <f>HLOOKUP($T17,IncurredByClass,MATCH(F$7,Incurred!$AK$3:$AK$11,0),FALSE)</f>
        <v>13280590.337579433</v>
      </c>
      <c r="G17" s="692">
        <f>HLOOKUP($T17,IncurredByClass,MATCH(G$7,Incurred!$AK$3:$AK$11,0),FALSE)</f>
        <v>18802860.091766585</v>
      </c>
      <c r="H17" s="692">
        <f>HLOOKUP($T17,IncurredByClass,MATCH(H$7,Incurred!$AK$3:$AK$11,0),FALSE)</f>
        <v>17192714.16853204</v>
      </c>
      <c r="I17" s="692">
        <f>HLOOKUP($T17,IncurredByClass,MATCH(I$7,Incurred!$AK$3:$AK$11,0),FALSE)</f>
        <v>12422591.325538812</v>
      </c>
      <c r="K17" s="687">
        <f t="shared" si="4"/>
        <v>-178622.9492970109</v>
      </c>
      <c r="L17" s="687">
        <f t="shared" si="0"/>
        <v>-142509.45874782774</v>
      </c>
      <c r="M17" s="687">
        <f t="shared" si="15"/>
        <v>-143722.27194485127</v>
      </c>
      <c r="N17" s="687">
        <f t="shared" si="16"/>
        <v>-96875.116873651335</v>
      </c>
      <c r="O17" s="687">
        <f t="shared" si="17"/>
        <v>-58796.430287098854</v>
      </c>
      <c r="P17" s="687">
        <f t="shared" si="18"/>
        <v>-85530.957683597982</v>
      </c>
      <c r="Q17" s="687">
        <f t="shared" si="19"/>
        <v>-70475.393302371871</v>
      </c>
      <c r="R17" s="687">
        <f t="shared" si="20"/>
        <v>-68879.54006455536</v>
      </c>
      <c r="T17" s="693" t="s">
        <v>1038</v>
      </c>
      <c r="U17" s="692">
        <v>39893973.864156336</v>
      </c>
      <c r="V17" s="692">
        <f t="shared" si="6"/>
        <v>34811579.399889641</v>
      </c>
      <c r="W17" s="692">
        <f t="shared" si="2"/>
        <v>34551015.95717559</v>
      </c>
      <c r="X17" s="692">
        <f t="shared" si="2"/>
        <v>13741809.867118407</v>
      </c>
      <c r="Y17" s="692">
        <f t="shared" si="2"/>
        <v>13221793.907292334</v>
      </c>
      <c r="Z17" s="692">
        <f t="shared" si="2"/>
        <v>18717329.134082988</v>
      </c>
      <c r="AA17" s="692">
        <f t="shared" si="2"/>
        <v>17122238.775229666</v>
      </c>
      <c r="AB17" s="692">
        <f t="shared" si="2"/>
        <v>12353711.785474258</v>
      </c>
      <c r="AC17" s="692"/>
      <c r="AE17" s="693" t="s">
        <v>1038</v>
      </c>
      <c r="AF17" s="649">
        <f t="shared" si="7"/>
        <v>39.893999999999998</v>
      </c>
      <c r="AG17" s="649">
        <f t="shared" si="8"/>
        <v>34.811999999999998</v>
      </c>
      <c r="AH17" s="649">
        <f t="shared" si="9"/>
        <v>34.551000000000002</v>
      </c>
      <c r="AI17" s="649">
        <f t="shared" si="10"/>
        <v>13.742000000000001</v>
      </c>
      <c r="AJ17" s="649">
        <f t="shared" si="11"/>
        <v>13.222</v>
      </c>
      <c r="AK17" s="649">
        <f t="shared" si="12"/>
        <v>18.716999999999999</v>
      </c>
      <c r="AL17" s="649">
        <f t="shared" si="13"/>
        <v>17.122</v>
      </c>
      <c r="AM17" s="649">
        <f t="shared" si="14"/>
        <v>12.353999999999999</v>
      </c>
    </row>
    <row r="18" spans="1:39" x14ac:dyDescent="0.2">
      <c r="A18" s="693" t="s">
        <v>1039</v>
      </c>
      <c r="B18" s="813">
        <v>2392965.5212078826</v>
      </c>
      <c r="C18" s="692">
        <f>HLOOKUP($T18,IncurredByClass,MATCH(C$7,Incurred!$AK$3:$AK$11,0),FALSE)</f>
        <v>1776922.3348992288</v>
      </c>
      <c r="D18" s="692">
        <f>HLOOKUP($T18,IncurredByClass,MATCH(D$7,Incurred!$AK$3:$AK$11,0),FALSE)</f>
        <v>1736893.6787258838</v>
      </c>
      <c r="E18" s="692">
        <f>HLOOKUP($T18,IncurredByClass,MATCH(E$7,Incurred!$AK$3:$AK$11,0),FALSE)</f>
        <v>414753.67194504745</v>
      </c>
      <c r="F18" s="692">
        <f>HLOOKUP($T18,IncurredByClass,MATCH(F$7,Incurred!$AK$3:$AK$11,0),FALSE)</f>
        <v>339515.33792984107</v>
      </c>
      <c r="G18" s="692">
        <f>HLOOKUP($T18,IncurredByClass,MATCH(G$7,Incurred!$AK$3:$AK$11,0),FALSE)</f>
        <v>1119791.6410987508</v>
      </c>
      <c r="H18" s="692">
        <f>HLOOKUP($T18,IncurredByClass,MATCH(H$7,Incurred!$AK$3:$AK$11,0),FALSE)</f>
        <v>953729.79168333777</v>
      </c>
      <c r="I18" s="692">
        <f>HLOOKUP($T18,IncurredByClass,MATCH(I$7,Incurred!$AK$3:$AK$11,0),FALSE)</f>
        <v>0</v>
      </c>
      <c r="K18" s="687">
        <f t="shared" si="4"/>
        <v>-8101.396466949489</v>
      </c>
      <c r="L18" s="687">
        <f t="shared" si="0"/>
        <v>-7244.5956525295169</v>
      </c>
      <c r="M18" s="687">
        <f t="shared" si="15"/>
        <v>-7195.0479633136883</v>
      </c>
      <c r="N18" s="687">
        <f t="shared" si="16"/>
        <v>-2903.4052361138401</v>
      </c>
      <c r="O18" s="687">
        <f t="shared" si="17"/>
        <v>-1503.1176619842267</v>
      </c>
      <c r="P18" s="687">
        <f t="shared" si="18"/>
        <v>-5093.7384526518317</v>
      </c>
      <c r="Q18" s="687">
        <f t="shared" si="19"/>
        <v>-3909.4747643798796</v>
      </c>
      <c r="R18" s="687">
        <f t="shared" si="20"/>
        <v>0</v>
      </c>
      <c r="T18" s="693" t="s">
        <v>1039</v>
      </c>
      <c r="U18" s="692">
        <v>2384864.1247409331</v>
      </c>
      <c r="V18" s="692">
        <f t="shared" si="6"/>
        <v>1769677.7392466993</v>
      </c>
      <c r="W18" s="692">
        <f t="shared" si="2"/>
        <v>1729698.6307625701</v>
      </c>
      <c r="X18" s="692">
        <f t="shared" si="2"/>
        <v>411850.26670893363</v>
      </c>
      <c r="Y18" s="692">
        <f t="shared" si="2"/>
        <v>338012.22026785684</v>
      </c>
      <c r="Z18" s="692">
        <f t="shared" si="2"/>
        <v>1114697.902646099</v>
      </c>
      <c r="AA18" s="692">
        <f t="shared" si="2"/>
        <v>949820.31691895786</v>
      </c>
      <c r="AB18" s="692">
        <f t="shared" si="2"/>
        <v>0</v>
      </c>
      <c r="AC18" s="692"/>
      <c r="AE18" s="693" t="s">
        <v>1039</v>
      </c>
      <c r="AF18" s="649">
        <f t="shared" si="7"/>
        <v>2.3849999999999998</v>
      </c>
      <c r="AG18" s="649">
        <f t="shared" si="8"/>
        <v>1.77</v>
      </c>
      <c r="AH18" s="649">
        <f t="shared" si="9"/>
        <v>1.73</v>
      </c>
      <c r="AI18" s="649">
        <f t="shared" si="10"/>
        <v>0.41199999999999998</v>
      </c>
      <c r="AJ18" s="649">
        <f t="shared" si="11"/>
        <v>0.33800000000000002</v>
      </c>
      <c r="AK18" s="649">
        <f t="shared" si="12"/>
        <v>1.115</v>
      </c>
      <c r="AL18" s="649">
        <f t="shared" si="13"/>
        <v>0.95</v>
      </c>
      <c r="AM18" s="649">
        <f t="shared" si="14"/>
        <v>0</v>
      </c>
    </row>
    <row r="19" spans="1:39" x14ac:dyDescent="0.2">
      <c r="A19" s="693" t="s">
        <v>1040</v>
      </c>
      <c r="B19" s="813">
        <v>18003906.087613903</v>
      </c>
      <c r="C19" s="692">
        <f>HLOOKUP($T19,IncurredByClass,MATCH(C$7,Incurred!$AK$3:$AK$11,0),FALSE)</f>
        <v>11098229.634232907</v>
      </c>
      <c r="D19" s="692">
        <f>HLOOKUP($T19,IncurredByClass,MATCH(D$7,Incurred!$AK$3:$AK$11,0),FALSE)</f>
        <v>17435171.320887871</v>
      </c>
      <c r="E19" s="692">
        <f>HLOOKUP($T19,IncurredByClass,MATCH(E$7,Incurred!$AK$3:$AK$11,0),FALSE)</f>
        <v>14353896.809439218</v>
      </c>
      <c r="F19" s="692">
        <f>HLOOKUP($T19,IncurredByClass,MATCH(F$7,Incurred!$AK$3:$AK$11,0),FALSE)</f>
        <v>11676430.33257851</v>
      </c>
      <c r="G19" s="692">
        <f>HLOOKUP($T19,IncurredByClass,MATCH(G$7,Incurred!$AK$3:$AK$11,0),FALSE)</f>
        <v>5221897.4894429073</v>
      </c>
      <c r="H19" s="692">
        <f>HLOOKUP($T19,IncurredByClass,MATCH(H$7,Incurred!$AK$3:$AK$11,0),FALSE)</f>
        <v>1392113.5909613259</v>
      </c>
      <c r="I19" s="692">
        <f>HLOOKUP($T19,IncurredByClass,MATCH(I$7,Incurred!$AK$3:$AK$11,0),FALSE)</f>
        <v>908055.6975566498</v>
      </c>
      <c r="K19" s="687">
        <f t="shared" si="4"/>
        <v>-60664.014703873545</v>
      </c>
      <c r="L19" s="687">
        <f t="shared" si="0"/>
        <v>-45248.002447725245</v>
      </c>
      <c r="M19" s="687">
        <f t="shared" si="15"/>
        <v>-72224.854888298272</v>
      </c>
      <c r="N19" s="687">
        <f t="shared" si="16"/>
        <v>-100481.76055855461</v>
      </c>
      <c r="O19" s="687">
        <f t="shared" si="17"/>
        <v>-51694.42054913567</v>
      </c>
      <c r="P19" s="687">
        <f t="shared" si="18"/>
        <v>-23753.50829702766</v>
      </c>
      <c r="Q19" s="687">
        <f t="shared" si="19"/>
        <v>-5706.4726303743082</v>
      </c>
      <c r="R19" s="687">
        <f t="shared" si="20"/>
        <v>-5034.896275796802</v>
      </c>
      <c r="T19" s="693" t="s">
        <v>1040</v>
      </c>
      <c r="U19" s="692">
        <v>17943242.072910029</v>
      </c>
      <c r="V19" s="692">
        <f t="shared" si="6"/>
        <v>11052981.631785182</v>
      </c>
      <c r="W19" s="692">
        <f t="shared" si="2"/>
        <v>17362946.465999573</v>
      </c>
      <c r="X19" s="692">
        <f t="shared" si="2"/>
        <v>14253415.048880663</v>
      </c>
      <c r="Y19" s="692">
        <f t="shared" si="2"/>
        <v>11624735.912029374</v>
      </c>
      <c r="Z19" s="692">
        <f t="shared" si="2"/>
        <v>5198143.9811458793</v>
      </c>
      <c r="AA19" s="692">
        <f t="shared" si="2"/>
        <v>1386407.1183309515</v>
      </c>
      <c r="AB19" s="692">
        <f t="shared" si="2"/>
        <v>903020.80128085299</v>
      </c>
      <c r="AC19" s="692"/>
      <c r="AE19" s="693" t="s">
        <v>1040</v>
      </c>
      <c r="AF19" s="649">
        <f t="shared" si="7"/>
        <v>17.943000000000001</v>
      </c>
      <c r="AG19" s="649">
        <f t="shared" si="8"/>
        <v>11.053000000000001</v>
      </c>
      <c r="AH19" s="649">
        <f t="shared" si="9"/>
        <v>17.363</v>
      </c>
      <c r="AI19" s="649">
        <f t="shared" si="10"/>
        <v>14.253</v>
      </c>
      <c r="AJ19" s="649">
        <f t="shared" si="11"/>
        <v>11.625</v>
      </c>
      <c r="AK19" s="649">
        <f t="shared" si="12"/>
        <v>5.1980000000000004</v>
      </c>
      <c r="AL19" s="649">
        <f t="shared" si="13"/>
        <v>1.3859999999999999</v>
      </c>
      <c r="AM19" s="649">
        <f t="shared" si="14"/>
        <v>0.90300000000000002</v>
      </c>
    </row>
    <row r="20" spans="1:39" x14ac:dyDescent="0.2">
      <c r="A20" s="693" t="s">
        <v>1041</v>
      </c>
      <c r="B20" s="813">
        <v>1494395.5046279561</v>
      </c>
      <c r="C20" s="692">
        <f>HLOOKUP($T20,IncurredByClass,MATCH(C$7,Incurred!$AK$3:$AK$11,0),FALSE)</f>
        <v>557209.65694998973</v>
      </c>
      <c r="D20" s="692">
        <f>HLOOKUP($T20,IncurredByClass,MATCH(D$7,Incurred!$AK$3:$AK$11,0),FALSE)</f>
        <v>466884.11383715714</v>
      </c>
      <c r="E20" s="692">
        <f>HLOOKUP($T20,IncurredByClass,MATCH(E$7,Incurred!$AK$3:$AK$11,0),FALSE)</f>
        <v>857660.98185657454</v>
      </c>
      <c r="F20" s="692">
        <f>HLOOKUP($T20,IncurredByClass,MATCH(F$7,Incurred!$AK$3:$AK$11,0),FALSE)</f>
        <v>1609463.6011904988</v>
      </c>
      <c r="G20" s="692">
        <f>HLOOKUP($T20,IncurredByClass,MATCH(G$7,Incurred!$AK$3:$AK$11,0),FALSE)</f>
        <v>988208.73006044433</v>
      </c>
      <c r="H20" s="692">
        <f>HLOOKUP($T20,IncurredByClass,MATCH(H$7,Incurred!$AK$3:$AK$11,0),FALSE)</f>
        <v>96558.391140375432</v>
      </c>
      <c r="I20" s="692">
        <f>HLOOKUP($T20,IncurredByClass,MATCH(I$7,Incurred!$AK$3:$AK$11,0),FALSE)</f>
        <v>30832.745557055896</v>
      </c>
      <c r="K20" s="687">
        <f t="shared" si="4"/>
        <v>-5010.6063395245001</v>
      </c>
      <c r="L20" s="687">
        <f t="shared" si="0"/>
        <v>-2271.7698905598418</v>
      </c>
      <c r="M20" s="687">
        <f t="shared" si="15"/>
        <v>-1934.058275133898</v>
      </c>
      <c r="N20" s="687">
        <f t="shared" si="16"/>
        <v>-6003.8947307086046</v>
      </c>
      <c r="O20" s="687">
        <f t="shared" si="17"/>
        <v>-7125.4900589206763</v>
      </c>
      <c r="P20" s="687">
        <f t="shared" si="18"/>
        <v>-4495.1905540355929</v>
      </c>
      <c r="Q20" s="687">
        <f t="shared" si="19"/>
        <v>-395.80664958168416</v>
      </c>
      <c r="R20" s="687">
        <f t="shared" si="20"/>
        <v>-170.95831918187636</v>
      </c>
      <c r="T20" s="693" t="s">
        <v>1041</v>
      </c>
      <c r="U20" s="692">
        <v>1489384.8982884316</v>
      </c>
      <c r="V20" s="692">
        <f t="shared" si="6"/>
        <v>554937.88705942989</v>
      </c>
      <c r="W20" s="692">
        <f t="shared" si="2"/>
        <v>464950.05556202325</v>
      </c>
      <c r="X20" s="692">
        <f t="shared" si="2"/>
        <v>851657.08712586598</v>
      </c>
      <c r="Y20" s="692">
        <f t="shared" si="2"/>
        <v>1602338.1111315782</v>
      </c>
      <c r="Z20" s="692">
        <f t="shared" si="2"/>
        <v>983713.53950640874</v>
      </c>
      <c r="AA20" s="692">
        <f t="shared" si="2"/>
        <v>96162.584490793743</v>
      </c>
      <c r="AB20" s="692">
        <f t="shared" si="2"/>
        <v>30661.787237874021</v>
      </c>
      <c r="AC20" s="692"/>
      <c r="AE20" s="693" t="s">
        <v>1041</v>
      </c>
      <c r="AF20" s="649">
        <f t="shared" si="7"/>
        <v>1.4890000000000001</v>
      </c>
      <c r="AG20" s="649">
        <f t="shared" si="8"/>
        <v>0.55500000000000005</v>
      </c>
      <c r="AH20" s="649">
        <f t="shared" si="9"/>
        <v>0.46500000000000002</v>
      </c>
      <c r="AI20" s="649">
        <f t="shared" si="10"/>
        <v>0.85199999999999998</v>
      </c>
      <c r="AJ20" s="649">
        <f t="shared" si="11"/>
        <v>1.6020000000000001</v>
      </c>
      <c r="AK20" s="649">
        <f t="shared" si="12"/>
        <v>0.98399999999999999</v>
      </c>
      <c r="AL20" s="649">
        <f t="shared" si="13"/>
        <v>9.6000000000000002E-2</v>
      </c>
      <c r="AM20" s="649">
        <f t="shared" si="14"/>
        <v>3.1E-2</v>
      </c>
    </row>
    <row r="21" spans="1:39" x14ac:dyDescent="0.2">
      <c r="A21" s="693" t="s">
        <v>1042</v>
      </c>
      <c r="B21" s="813">
        <v>-4135744.2799999989</v>
      </c>
      <c r="C21" s="692"/>
      <c r="D21" s="692"/>
      <c r="E21" s="692"/>
      <c r="F21" s="692"/>
      <c r="G21" s="692"/>
      <c r="H21" s="692"/>
      <c r="I21" s="692"/>
      <c r="K21" s="687">
        <f t="shared" si="4"/>
        <v>0</v>
      </c>
      <c r="L21" s="687">
        <f t="shared" si="0"/>
        <v>0</v>
      </c>
      <c r="M21" s="687">
        <f t="shared" si="15"/>
        <v>0</v>
      </c>
      <c r="N21" s="687">
        <f t="shared" si="16"/>
        <v>0</v>
      </c>
      <c r="O21" s="687">
        <f t="shared" si="17"/>
        <v>0</v>
      </c>
      <c r="P21" s="687">
        <f t="shared" si="18"/>
        <v>0</v>
      </c>
      <c r="Q21" s="687">
        <f t="shared" si="19"/>
        <v>0</v>
      </c>
      <c r="R21" s="687">
        <f t="shared" si="20"/>
        <v>0</v>
      </c>
      <c r="T21" s="693" t="s">
        <v>1042</v>
      </c>
      <c r="U21" s="692">
        <v>-4135744.2799999989</v>
      </c>
      <c r="V21" s="692">
        <f t="shared" si="6"/>
        <v>0</v>
      </c>
      <c r="W21" s="692">
        <f t="shared" si="2"/>
        <v>0</v>
      </c>
      <c r="X21" s="692">
        <f t="shared" si="2"/>
        <v>0</v>
      </c>
      <c r="Y21" s="692">
        <f t="shared" si="2"/>
        <v>0</v>
      </c>
      <c r="Z21" s="692">
        <f t="shared" si="2"/>
        <v>0</v>
      </c>
      <c r="AA21" s="692">
        <f t="shared" si="2"/>
        <v>0</v>
      </c>
      <c r="AB21" s="692">
        <f t="shared" si="2"/>
        <v>0</v>
      </c>
      <c r="AC21" s="692"/>
      <c r="AE21" s="693" t="s">
        <v>1042</v>
      </c>
      <c r="AF21" s="649">
        <f t="shared" si="7"/>
        <v>-4.1360000000000001</v>
      </c>
      <c r="AG21" s="649">
        <f t="shared" si="8"/>
        <v>0</v>
      </c>
      <c r="AH21" s="649">
        <f t="shared" si="9"/>
        <v>0</v>
      </c>
      <c r="AI21" s="649">
        <f t="shared" si="10"/>
        <v>0</v>
      </c>
      <c r="AJ21" s="649">
        <f t="shared" si="11"/>
        <v>0</v>
      </c>
      <c r="AK21" s="649">
        <f t="shared" si="12"/>
        <v>0</v>
      </c>
      <c r="AL21" s="649">
        <f t="shared" si="13"/>
        <v>0</v>
      </c>
      <c r="AM21" s="649">
        <f t="shared" si="14"/>
        <v>0</v>
      </c>
    </row>
    <row r="22" spans="1:39" x14ac:dyDescent="0.2">
      <c r="A22" s="693" t="s">
        <v>1043</v>
      </c>
      <c r="B22" s="813">
        <v>29544653.896240287</v>
      </c>
      <c r="C22" s="692">
        <f>HLOOKUP($T22,IncurredByClass,MATCH(C$7,Incurred!$AK$3:$AK$11,0),FALSE)</f>
        <v>27781894.014419816</v>
      </c>
      <c r="D22" s="692">
        <f>HLOOKUP($T22,IncurredByClass,MATCH(D$7,Incurred!$AK$3:$AK$11,0),FALSE)</f>
        <v>28837393.969927739</v>
      </c>
      <c r="E22" s="692">
        <f>HLOOKUP($T22,IncurredByClass,MATCH(E$7,Incurred!$AK$3:$AK$11,0),FALSE)</f>
        <v>20494179.51663965</v>
      </c>
      <c r="F22" s="692">
        <f>HLOOKUP($T22,IncurredByClass,MATCH(F$7,Incurred!$AK$3:$AK$11,0),FALSE)</f>
        <v>16056823.785063453</v>
      </c>
      <c r="G22" s="692">
        <f>HLOOKUP($T22,IncurredByClass,MATCH(G$7,Incurred!$AK$3:$AK$11,0),FALSE)</f>
        <v>13654399.173146432</v>
      </c>
      <c r="H22" s="692">
        <f>HLOOKUP($T22,IncurredByClass,MATCH(H$7,Incurred!$AK$3:$AK$11,0),FALSE)</f>
        <v>13456962.432468297</v>
      </c>
      <c r="I22" s="692">
        <f>HLOOKUP($T22,IncurredByClass,MATCH(I$7,Incurred!$AK$3:$AK$11,0),FALSE)</f>
        <v>7520020.1367127011</v>
      </c>
      <c r="K22" s="687">
        <f t="shared" si="4"/>
        <v>-95006.060493610799</v>
      </c>
      <c r="L22" s="687">
        <f t="shared" si="0"/>
        <v>-113268.08417167865</v>
      </c>
      <c r="M22" s="687">
        <f t="shared" si="15"/>
        <v>-119458.33834964891</v>
      </c>
      <c r="N22" s="687">
        <f t="shared" si="16"/>
        <v>-143465.65719218604</v>
      </c>
      <c r="O22" s="687">
        <f t="shared" si="17"/>
        <v>-71087.496588106194</v>
      </c>
      <c r="P22" s="687">
        <f t="shared" si="18"/>
        <v>-62111.499642798095</v>
      </c>
      <c r="Q22" s="687">
        <f t="shared" si="19"/>
        <v>-55162.012861196868</v>
      </c>
      <c r="R22" s="687">
        <f t="shared" si="20"/>
        <v>-41696.254406123204</v>
      </c>
      <c r="T22" s="693" t="s">
        <v>1043</v>
      </c>
      <c r="U22" s="692">
        <v>29449647.835746676</v>
      </c>
      <c r="V22" s="692">
        <f t="shared" si="6"/>
        <v>27668625.930248138</v>
      </c>
      <c r="W22" s="692">
        <f t="shared" si="2"/>
        <v>28717935.631578092</v>
      </c>
      <c r="X22" s="692">
        <f t="shared" si="2"/>
        <v>20350713.859447464</v>
      </c>
      <c r="Y22" s="692">
        <f t="shared" si="2"/>
        <v>15985736.288475348</v>
      </c>
      <c r="Z22" s="692">
        <f t="shared" si="2"/>
        <v>13592287.673503634</v>
      </c>
      <c r="AA22" s="692">
        <f t="shared" si="2"/>
        <v>13401800.419607101</v>
      </c>
      <c r="AB22" s="692">
        <f t="shared" si="2"/>
        <v>7478323.8823065776</v>
      </c>
      <c r="AC22" s="692"/>
      <c r="AE22" s="693" t="s">
        <v>1043</v>
      </c>
      <c r="AF22" s="649">
        <f t="shared" si="7"/>
        <v>29.45</v>
      </c>
      <c r="AG22" s="649">
        <f t="shared" si="8"/>
        <v>27.669</v>
      </c>
      <c r="AH22" s="649">
        <f t="shared" si="9"/>
        <v>28.718</v>
      </c>
      <c r="AI22" s="649">
        <f t="shared" si="10"/>
        <v>20.350999999999999</v>
      </c>
      <c r="AJ22" s="649">
        <f t="shared" si="11"/>
        <v>15.986000000000001</v>
      </c>
      <c r="AK22" s="649">
        <f t="shared" si="12"/>
        <v>13.592000000000001</v>
      </c>
      <c r="AL22" s="649">
        <f t="shared" si="13"/>
        <v>13.401999999999999</v>
      </c>
      <c r="AM22" s="649">
        <f t="shared" si="14"/>
        <v>7.4779999999999998</v>
      </c>
    </row>
    <row r="23" spans="1:39" x14ac:dyDescent="0.2">
      <c r="A23" s="693" t="s">
        <v>1044</v>
      </c>
      <c r="B23" s="813">
        <v>9827195.0727591962</v>
      </c>
      <c r="C23" s="692">
        <f>HLOOKUP($T23,IncurredByClass,MATCH(C$7,Incurred!$AK$3:$AK$11,0),FALSE)</f>
        <v>5671839.9882426877</v>
      </c>
      <c r="D23" s="692">
        <f>HLOOKUP($T23,IncurredByClass,MATCH(D$7,Incurred!$AK$3:$AK$11,0),FALSE)</f>
        <v>10881380.425204702</v>
      </c>
      <c r="E23" s="692">
        <f>HLOOKUP($T23,IncurredByClass,MATCH(E$7,Incurred!$AK$3:$AK$11,0),FALSE)</f>
        <v>1164267.3451406029</v>
      </c>
      <c r="F23" s="692">
        <f>HLOOKUP($T23,IncurredByClass,MATCH(F$7,Incurred!$AK$3:$AK$11,0),FALSE)</f>
        <v>807377.51996923529</v>
      </c>
      <c r="G23" s="692">
        <f>HLOOKUP($T23,IncurredByClass,MATCH(G$7,Incurred!$AK$3:$AK$11,0),FALSE)</f>
        <v>999849.24894303363</v>
      </c>
      <c r="H23" s="692">
        <f>HLOOKUP($T23,IncurredByClass,MATCH(H$7,Incurred!$AK$3:$AK$11,0),FALSE)</f>
        <v>9530380.2816871628</v>
      </c>
      <c r="I23" s="692">
        <f>HLOOKUP($T23,IncurredByClass,MATCH(I$7,Incurred!$AK$3:$AK$11,0),FALSE)</f>
        <v>110640.16809572002</v>
      </c>
      <c r="K23" s="687">
        <f t="shared" si="4"/>
        <v>-19185.872865417972</v>
      </c>
      <c r="L23" s="687">
        <f t="shared" si="0"/>
        <v>-23124.357499280526</v>
      </c>
      <c r="M23" s="687">
        <f t="shared" si="15"/>
        <v>-45075.904774921204</v>
      </c>
      <c r="N23" s="687">
        <f t="shared" si="16"/>
        <v>-8150.2350305061609</v>
      </c>
      <c r="O23" s="687">
        <f t="shared" si="17"/>
        <v>-3574.4582779513794</v>
      </c>
      <c r="P23" s="687">
        <f t="shared" si="18"/>
        <v>-4548.1412606356926</v>
      </c>
      <c r="Q23" s="687">
        <f t="shared" si="19"/>
        <v>-39066.391268367151</v>
      </c>
      <c r="R23" s="687">
        <f t="shared" si="20"/>
        <v>-613.46652170961147</v>
      </c>
      <c r="T23" s="693" t="s">
        <v>1044</v>
      </c>
      <c r="U23" s="692">
        <v>9808009.1998937782</v>
      </c>
      <c r="V23" s="692">
        <f t="shared" si="6"/>
        <v>5648715.6307434067</v>
      </c>
      <c r="W23" s="692">
        <f t="shared" si="2"/>
        <v>10836304.520429781</v>
      </c>
      <c r="X23" s="692">
        <f t="shared" si="2"/>
        <v>1156117.1101100966</v>
      </c>
      <c r="Y23" s="692">
        <f t="shared" si="2"/>
        <v>803803.06169128395</v>
      </c>
      <c r="Z23" s="692">
        <f t="shared" si="2"/>
        <v>995301.10768239794</v>
      </c>
      <c r="AA23" s="692">
        <f t="shared" si="2"/>
        <v>9491313.8904187959</v>
      </c>
      <c r="AB23" s="692">
        <f t="shared" si="2"/>
        <v>110026.70157401041</v>
      </c>
      <c r="AC23" s="692"/>
      <c r="AE23" s="693" t="s">
        <v>1044</v>
      </c>
      <c r="AF23" s="649">
        <f t="shared" si="7"/>
        <v>9.8079999999999998</v>
      </c>
      <c r="AG23" s="649">
        <f t="shared" si="8"/>
        <v>5.649</v>
      </c>
      <c r="AH23" s="649">
        <f t="shared" si="9"/>
        <v>10.836</v>
      </c>
      <c r="AI23" s="649">
        <f t="shared" si="10"/>
        <v>1.1559999999999999</v>
      </c>
      <c r="AJ23" s="649">
        <f t="shared" si="11"/>
        <v>0.80400000000000005</v>
      </c>
      <c r="AK23" s="649">
        <f t="shared" si="12"/>
        <v>0.995</v>
      </c>
      <c r="AL23" s="649">
        <f t="shared" si="13"/>
        <v>9.4909999999999997</v>
      </c>
      <c r="AM23" s="649">
        <f t="shared" si="14"/>
        <v>0.11</v>
      </c>
    </row>
    <row r="24" spans="1:39" x14ac:dyDescent="0.2">
      <c r="A24" s="693" t="s">
        <v>1045</v>
      </c>
      <c r="B24" s="813">
        <v>1761200.8425531706</v>
      </c>
      <c r="C24" s="692">
        <f>HLOOKUP($T24,IncurredByClass,MATCH(C$7,Incurred!$AK$3:$AK$11,0),FALSE)</f>
        <v>2260135.9422175782</v>
      </c>
      <c r="D24" s="692">
        <f>HLOOKUP($T24,IncurredByClass,MATCH(D$7,Incurred!$AK$3:$AK$11,0),FALSE)</f>
        <v>2494613.254643783</v>
      </c>
      <c r="E24" s="692">
        <f>HLOOKUP($T24,IncurredByClass,MATCH(E$7,Incurred!$AK$3:$AK$11,0),FALSE)</f>
        <v>268526.80222267669</v>
      </c>
      <c r="F24" s="692">
        <f>HLOOKUP($T24,IncurredByClass,MATCH(F$7,Incurred!$AK$3:$AK$11,0),FALSE)</f>
        <v>12553.536429519852</v>
      </c>
      <c r="G24" s="692">
        <f>HLOOKUP($T24,IncurredByClass,MATCH(G$7,Incurred!$AK$3:$AK$11,0),FALSE)</f>
        <v>31360.85455604464</v>
      </c>
      <c r="H24" s="692">
        <f>HLOOKUP($T24,IncurredByClass,MATCH(H$7,Incurred!$AK$3:$AK$11,0),FALSE)</f>
        <v>48100.614577200744</v>
      </c>
      <c r="I24" s="692">
        <f>HLOOKUP($T24,IncurredByClass,MATCH(I$7,Incurred!$AK$3:$AK$11,0),FALSE)</f>
        <v>75218.455580995433</v>
      </c>
      <c r="K24" s="687">
        <f t="shared" si="4"/>
        <v>-13372.234141276218</v>
      </c>
      <c r="L24" s="687">
        <f t="shared" si="0"/>
        <v>-9214.6801801800448</v>
      </c>
      <c r="M24" s="687">
        <f t="shared" si="15"/>
        <v>-10333.886430081693</v>
      </c>
      <c r="N24" s="687">
        <f t="shared" si="16"/>
        <v>-1879.7714796688365</v>
      </c>
      <c r="O24" s="687">
        <f t="shared" si="17"/>
        <v>-55.577584337214724</v>
      </c>
      <c r="P24" s="687">
        <f t="shared" si="18"/>
        <v>-142.655101982547</v>
      </c>
      <c r="Q24" s="687">
        <f t="shared" si="19"/>
        <v>-197.17129577007697</v>
      </c>
      <c r="R24" s="687">
        <f t="shared" si="20"/>
        <v>-417.06375819784392</v>
      </c>
      <c r="T24" s="693" t="s">
        <v>1045</v>
      </c>
      <c r="U24" s="692">
        <v>1747828.6084118944</v>
      </c>
      <c r="V24" s="692">
        <f t="shared" si="6"/>
        <v>2250921.2620373983</v>
      </c>
      <c r="W24" s="692">
        <f t="shared" ref="W24:W30" si="21">D24+M24</f>
        <v>2484279.3682137011</v>
      </c>
      <c r="X24" s="692">
        <f t="shared" ref="X24:X30" si="22">E24+N24</f>
        <v>266647.03074300784</v>
      </c>
      <c r="Y24" s="692">
        <f t="shared" ref="Y24:Y30" si="23">F24+O24</f>
        <v>12497.958845182638</v>
      </c>
      <c r="Z24" s="692">
        <f t="shared" ref="Z24:Z30" si="24">G24+P24</f>
        <v>31218.199454062094</v>
      </c>
      <c r="AA24" s="692">
        <f t="shared" ref="AA24:AA30" si="25">H24+Q24</f>
        <v>47903.443281430664</v>
      </c>
      <c r="AB24" s="692">
        <f t="shared" ref="AB24:AB30" si="26">I24+R24</f>
        <v>74801.391822797596</v>
      </c>
      <c r="AC24" s="692"/>
      <c r="AE24" s="693" t="s">
        <v>1045</v>
      </c>
      <c r="AF24" s="649">
        <f t="shared" si="7"/>
        <v>1.748</v>
      </c>
      <c r="AG24" s="649">
        <f t="shared" ref="AG24:AG30" si="27">ROUND(V24/1000000,$AF$2)</f>
        <v>2.2509999999999999</v>
      </c>
      <c r="AH24" s="649">
        <f t="shared" ref="AH24:AH30" si="28">ROUND(W24/1000000,$AF$2)</f>
        <v>2.484</v>
      </c>
      <c r="AI24" s="649">
        <f t="shared" ref="AI24:AI30" si="29">ROUND(X24/1000000,$AF$2)</f>
        <v>0.26700000000000002</v>
      </c>
      <c r="AJ24" s="649">
        <f t="shared" ref="AJ24:AJ30" si="30">ROUND(Y24/1000000,$AF$2)</f>
        <v>1.2E-2</v>
      </c>
      <c r="AK24" s="649">
        <f t="shared" ref="AK24:AK30" si="31">ROUND(Z24/1000000,$AF$2)</f>
        <v>3.1E-2</v>
      </c>
      <c r="AL24" s="649">
        <f t="shared" ref="AL24:AL30" si="32">ROUND(AA24/1000000,$AF$2)</f>
        <v>4.8000000000000001E-2</v>
      </c>
      <c r="AM24" s="649">
        <f t="shared" ref="AM24:AM30" si="33">ROUND(AB24/1000000,$AF$2)</f>
        <v>7.4999999999999997E-2</v>
      </c>
    </row>
    <row r="25" spans="1:39" x14ac:dyDescent="0.2">
      <c r="A25" s="693" t="s">
        <v>2273</v>
      </c>
      <c r="B25" s="813">
        <v>0</v>
      </c>
      <c r="C25" s="692"/>
      <c r="D25" s="692"/>
      <c r="E25" s="692"/>
      <c r="F25" s="692"/>
      <c r="G25" s="692"/>
      <c r="H25" s="692"/>
      <c r="I25" s="692"/>
      <c r="K25" s="687">
        <f t="shared" si="4"/>
        <v>0</v>
      </c>
      <c r="L25" s="687">
        <f t="shared" si="0"/>
        <v>0</v>
      </c>
      <c r="M25" s="687">
        <f t="shared" si="15"/>
        <v>0</v>
      </c>
      <c r="N25" s="687">
        <f t="shared" si="16"/>
        <v>0</v>
      </c>
      <c r="O25" s="687">
        <f t="shared" si="17"/>
        <v>0</v>
      </c>
      <c r="P25" s="687">
        <f t="shared" si="18"/>
        <v>0</v>
      </c>
      <c r="Q25" s="687">
        <f t="shared" si="19"/>
        <v>0</v>
      </c>
      <c r="R25" s="687">
        <f t="shared" si="20"/>
        <v>0</v>
      </c>
      <c r="T25" s="693" t="s">
        <v>2273</v>
      </c>
      <c r="U25" s="692">
        <v>0</v>
      </c>
      <c r="V25" s="692">
        <f t="shared" si="6"/>
        <v>0</v>
      </c>
      <c r="W25" s="692">
        <f t="shared" si="21"/>
        <v>0</v>
      </c>
      <c r="X25" s="692">
        <f t="shared" si="22"/>
        <v>0</v>
      </c>
      <c r="Y25" s="692">
        <f t="shared" si="23"/>
        <v>0</v>
      </c>
      <c r="Z25" s="692">
        <f t="shared" si="24"/>
        <v>0</v>
      </c>
      <c r="AA25" s="692">
        <f t="shared" si="25"/>
        <v>0</v>
      </c>
      <c r="AB25" s="692">
        <f t="shared" si="26"/>
        <v>0</v>
      </c>
      <c r="AC25" s="692"/>
      <c r="AE25" s="693" t="s">
        <v>2273</v>
      </c>
      <c r="AF25" s="649">
        <f t="shared" si="7"/>
        <v>0</v>
      </c>
      <c r="AG25" s="649">
        <f t="shared" si="27"/>
        <v>0</v>
      </c>
      <c r="AH25" s="649">
        <f t="shared" si="28"/>
        <v>0</v>
      </c>
      <c r="AI25" s="649">
        <f t="shared" si="29"/>
        <v>0</v>
      </c>
      <c r="AJ25" s="649">
        <f t="shared" si="30"/>
        <v>0</v>
      </c>
      <c r="AK25" s="649">
        <f t="shared" si="31"/>
        <v>0</v>
      </c>
      <c r="AL25" s="649">
        <f t="shared" si="32"/>
        <v>0</v>
      </c>
      <c r="AM25" s="649">
        <f t="shared" si="33"/>
        <v>0</v>
      </c>
    </row>
    <row r="26" spans="1:39" x14ac:dyDescent="0.2">
      <c r="A26" s="693" t="s">
        <v>2274</v>
      </c>
      <c r="B26" s="813">
        <v>0</v>
      </c>
      <c r="C26" s="692"/>
      <c r="D26" s="692"/>
      <c r="E26" s="692"/>
      <c r="F26" s="692"/>
      <c r="G26" s="692"/>
      <c r="H26" s="692"/>
      <c r="I26" s="692"/>
      <c r="K26" s="687">
        <f t="shared" si="4"/>
        <v>0</v>
      </c>
      <c r="L26" s="687">
        <f t="shared" si="0"/>
        <v>0</v>
      </c>
      <c r="M26" s="687">
        <f t="shared" si="15"/>
        <v>0</v>
      </c>
      <c r="N26" s="687">
        <f t="shared" si="16"/>
        <v>0</v>
      </c>
      <c r="O26" s="687">
        <f t="shared" si="17"/>
        <v>0</v>
      </c>
      <c r="P26" s="687">
        <f t="shared" si="18"/>
        <v>0</v>
      </c>
      <c r="Q26" s="687">
        <f t="shared" si="19"/>
        <v>0</v>
      </c>
      <c r="R26" s="687">
        <f t="shared" si="20"/>
        <v>0</v>
      </c>
      <c r="T26" s="693" t="s">
        <v>2274</v>
      </c>
      <c r="U26" s="692">
        <v>0</v>
      </c>
      <c r="V26" s="692">
        <f t="shared" si="6"/>
        <v>0</v>
      </c>
      <c r="W26" s="692">
        <f t="shared" si="21"/>
        <v>0</v>
      </c>
      <c r="X26" s="692">
        <f t="shared" si="22"/>
        <v>0</v>
      </c>
      <c r="Y26" s="692">
        <f t="shared" si="23"/>
        <v>0</v>
      </c>
      <c r="Z26" s="692">
        <f t="shared" si="24"/>
        <v>0</v>
      </c>
      <c r="AA26" s="692">
        <f t="shared" si="25"/>
        <v>0</v>
      </c>
      <c r="AB26" s="692">
        <f t="shared" si="26"/>
        <v>0</v>
      </c>
      <c r="AC26" s="692"/>
      <c r="AE26" s="693" t="s">
        <v>2274</v>
      </c>
      <c r="AF26" s="649">
        <f t="shared" si="7"/>
        <v>0</v>
      </c>
      <c r="AG26" s="649">
        <f t="shared" si="27"/>
        <v>0</v>
      </c>
      <c r="AH26" s="649">
        <f t="shared" si="28"/>
        <v>0</v>
      </c>
      <c r="AI26" s="649">
        <f t="shared" si="29"/>
        <v>0</v>
      </c>
      <c r="AJ26" s="649">
        <f t="shared" si="30"/>
        <v>0</v>
      </c>
      <c r="AK26" s="649">
        <f t="shared" si="31"/>
        <v>0</v>
      </c>
      <c r="AL26" s="649">
        <f t="shared" si="32"/>
        <v>0</v>
      </c>
      <c r="AM26" s="649">
        <f t="shared" si="33"/>
        <v>0</v>
      </c>
    </row>
    <row r="27" spans="1:39" x14ac:dyDescent="0.2">
      <c r="A27" s="693" t="s">
        <v>2275</v>
      </c>
      <c r="B27" s="813">
        <v>0</v>
      </c>
      <c r="C27" s="692"/>
      <c r="D27" s="692"/>
      <c r="E27" s="692"/>
      <c r="F27" s="692"/>
      <c r="G27" s="692"/>
      <c r="H27" s="692"/>
      <c r="I27" s="692"/>
      <c r="K27" s="687">
        <f t="shared" si="4"/>
        <v>0</v>
      </c>
      <c r="L27" s="687">
        <f t="shared" si="0"/>
        <v>0</v>
      </c>
      <c r="M27" s="687">
        <f t="shared" si="15"/>
        <v>0</v>
      </c>
      <c r="N27" s="687">
        <f t="shared" si="16"/>
        <v>0</v>
      </c>
      <c r="O27" s="687">
        <f t="shared" si="17"/>
        <v>0</v>
      </c>
      <c r="P27" s="687">
        <f t="shared" si="18"/>
        <v>0</v>
      </c>
      <c r="Q27" s="687">
        <f t="shared" si="19"/>
        <v>0</v>
      </c>
      <c r="R27" s="687">
        <f t="shared" si="20"/>
        <v>0</v>
      </c>
      <c r="T27" s="693" t="s">
        <v>2275</v>
      </c>
      <c r="U27" s="692">
        <v>0</v>
      </c>
      <c r="V27" s="692">
        <f t="shared" si="6"/>
        <v>0</v>
      </c>
      <c r="W27" s="692">
        <f t="shared" si="21"/>
        <v>0</v>
      </c>
      <c r="X27" s="692">
        <f t="shared" si="22"/>
        <v>0</v>
      </c>
      <c r="Y27" s="692">
        <f t="shared" si="23"/>
        <v>0</v>
      </c>
      <c r="Z27" s="692">
        <f t="shared" si="24"/>
        <v>0</v>
      </c>
      <c r="AA27" s="692">
        <f t="shared" si="25"/>
        <v>0</v>
      </c>
      <c r="AB27" s="692">
        <f t="shared" si="26"/>
        <v>0</v>
      </c>
      <c r="AC27" s="692"/>
      <c r="AE27" s="693" t="s">
        <v>2275</v>
      </c>
      <c r="AF27" s="649">
        <f t="shared" si="7"/>
        <v>0</v>
      </c>
      <c r="AG27" s="649">
        <f t="shared" si="27"/>
        <v>0</v>
      </c>
      <c r="AH27" s="649">
        <f t="shared" si="28"/>
        <v>0</v>
      </c>
      <c r="AI27" s="649">
        <f t="shared" si="29"/>
        <v>0</v>
      </c>
      <c r="AJ27" s="649">
        <f t="shared" si="30"/>
        <v>0</v>
      </c>
      <c r="AK27" s="649">
        <f t="shared" si="31"/>
        <v>0</v>
      </c>
      <c r="AL27" s="649">
        <f t="shared" si="32"/>
        <v>0</v>
      </c>
      <c r="AM27" s="649">
        <f t="shared" si="33"/>
        <v>0</v>
      </c>
    </row>
    <row r="28" spans="1:39" x14ac:dyDescent="0.2">
      <c r="A28" s="693" t="s">
        <v>1059</v>
      </c>
      <c r="B28" s="813">
        <v>0</v>
      </c>
      <c r="C28" s="692"/>
      <c r="D28" s="692"/>
      <c r="E28" s="692"/>
      <c r="F28" s="692"/>
      <c r="G28" s="692"/>
      <c r="H28" s="692"/>
      <c r="I28" s="692"/>
      <c r="K28" s="687">
        <f t="shared" si="4"/>
        <v>0</v>
      </c>
      <c r="L28" s="687">
        <f t="shared" si="0"/>
        <v>0</v>
      </c>
      <c r="M28" s="687">
        <f t="shared" si="15"/>
        <v>0</v>
      </c>
      <c r="N28" s="687">
        <f t="shared" si="16"/>
        <v>0</v>
      </c>
      <c r="O28" s="687">
        <f t="shared" si="17"/>
        <v>0</v>
      </c>
      <c r="P28" s="687">
        <f t="shared" si="18"/>
        <v>0</v>
      </c>
      <c r="Q28" s="687">
        <f t="shared" si="19"/>
        <v>0</v>
      </c>
      <c r="R28" s="687">
        <f t="shared" si="20"/>
        <v>0</v>
      </c>
      <c r="T28" s="693" t="s">
        <v>1059</v>
      </c>
      <c r="U28" s="692">
        <v>0</v>
      </c>
      <c r="V28" s="692">
        <f t="shared" si="6"/>
        <v>0</v>
      </c>
      <c r="W28" s="692">
        <f t="shared" si="21"/>
        <v>0</v>
      </c>
      <c r="X28" s="692">
        <f t="shared" si="22"/>
        <v>0</v>
      </c>
      <c r="Y28" s="692">
        <f t="shared" si="23"/>
        <v>0</v>
      </c>
      <c r="Z28" s="692">
        <f t="shared" si="24"/>
        <v>0</v>
      </c>
      <c r="AA28" s="692">
        <f t="shared" si="25"/>
        <v>0</v>
      </c>
      <c r="AB28" s="692">
        <f t="shared" si="26"/>
        <v>0</v>
      </c>
      <c r="AC28" s="692"/>
      <c r="AE28" s="693" t="s">
        <v>1059</v>
      </c>
      <c r="AF28" s="649">
        <f t="shared" si="7"/>
        <v>0</v>
      </c>
      <c r="AG28" s="649">
        <f t="shared" si="27"/>
        <v>0</v>
      </c>
      <c r="AH28" s="649">
        <f t="shared" si="28"/>
        <v>0</v>
      </c>
      <c r="AI28" s="649">
        <f t="shared" si="29"/>
        <v>0</v>
      </c>
      <c r="AJ28" s="649">
        <f t="shared" si="30"/>
        <v>0</v>
      </c>
      <c r="AK28" s="649">
        <f t="shared" si="31"/>
        <v>0</v>
      </c>
      <c r="AL28" s="649">
        <f t="shared" si="32"/>
        <v>0</v>
      </c>
      <c r="AM28" s="649">
        <f t="shared" si="33"/>
        <v>0</v>
      </c>
    </row>
    <row r="29" spans="1:39" x14ac:dyDescent="0.2">
      <c r="A29" s="693" t="s">
        <v>1060</v>
      </c>
      <c r="B29" s="813">
        <v>0</v>
      </c>
      <c r="C29" s="692"/>
      <c r="D29" s="692"/>
      <c r="E29" s="692"/>
      <c r="F29" s="692"/>
      <c r="G29" s="692"/>
      <c r="H29" s="692"/>
      <c r="I29" s="692"/>
      <c r="K29" s="687">
        <f t="shared" si="4"/>
        <v>0</v>
      </c>
      <c r="L29" s="687">
        <f t="shared" si="0"/>
        <v>0</v>
      </c>
      <c r="M29" s="687">
        <f t="shared" si="15"/>
        <v>0</v>
      </c>
      <c r="N29" s="687">
        <f t="shared" si="16"/>
        <v>0</v>
      </c>
      <c r="O29" s="687">
        <f t="shared" si="17"/>
        <v>0</v>
      </c>
      <c r="P29" s="687">
        <f t="shared" si="18"/>
        <v>0</v>
      </c>
      <c r="Q29" s="687">
        <f t="shared" si="19"/>
        <v>0</v>
      </c>
      <c r="R29" s="687">
        <f t="shared" si="20"/>
        <v>0</v>
      </c>
      <c r="T29" s="693" t="s">
        <v>1060</v>
      </c>
      <c r="U29" s="692">
        <v>0</v>
      </c>
      <c r="V29" s="692">
        <f t="shared" si="6"/>
        <v>0</v>
      </c>
      <c r="W29" s="692">
        <f t="shared" si="21"/>
        <v>0</v>
      </c>
      <c r="X29" s="692">
        <f t="shared" si="22"/>
        <v>0</v>
      </c>
      <c r="Y29" s="692">
        <f t="shared" si="23"/>
        <v>0</v>
      </c>
      <c r="Z29" s="692">
        <f t="shared" si="24"/>
        <v>0</v>
      </c>
      <c r="AA29" s="692">
        <f t="shared" si="25"/>
        <v>0</v>
      </c>
      <c r="AB29" s="692">
        <f t="shared" si="26"/>
        <v>0</v>
      </c>
      <c r="AC29" s="692"/>
      <c r="AE29" s="693" t="s">
        <v>1060</v>
      </c>
      <c r="AF29" s="649">
        <f t="shared" si="7"/>
        <v>0</v>
      </c>
      <c r="AG29" s="649">
        <f t="shared" si="27"/>
        <v>0</v>
      </c>
      <c r="AH29" s="649">
        <f t="shared" si="28"/>
        <v>0</v>
      </c>
      <c r="AI29" s="649">
        <f t="shared" si="29"/>
        <v>0</v>
      </c>
      <c r="AJ29" s="649">
        <f t="shared" si="30"/>
        <v>0</v>
      </c>
      <c r="AK29" s="649">
        <f t="shared" si="31"/>
        <v>0</v>
      </c>
      <c r="AL29" s="649">
        <f t="shared" si="32"/>
        <v>0</v>
      </c>
      <c r="AM29" s="649">
        <f t="shared" si="33"/>
        <v>0</v>
      </c>
    </row>
    <row r="30" spans="1:39" x14ac:dyDescent="0.2">
      <c r="A30" s="693" t="s">
        <v>1047</v>
      </c>
      <c r="B30" s="813">
        <v>27253501.089523606</v>
      </c>
      <c r="C30" s="692">
        <f>HLOOKUP($T30,IncurredByClass,MATCH(C$7,Incurred!$AK$3:$AK$11,0),FALSE)</f>
        <v>27435498.705263019</v>
      </c>
      <c r="D30" s="692">
        <f>HLOOKUP($T30,IncurredByClass,MATCH(D$7,Incurred!$AK$3:$AK$11,0),FALSE)</f>
        <v>13392053.889895439</v>
      </c>
      <c r="E30" s="692">
        <f>HLOOKUP($T30,IncurredByClass,MATCH(E$7,Incurred!$AK$3:$AK$11,0),FALSE)</f>
        <v>10154163.077111002</v>
      </c>
      <c r="F30" s="692">
        <f>HLOOKUP($T30,IncurredByClass,MATCH(F$7,Incurred!$AK$3:$AK$11,0),FALSE)</f>
        <v>39728162.615839168</v>
      </c>
      <c r="G30" s="692">
        <f>HLOOKUP($T30,IncurredByClass,MATCH(G$7,Incurred!$AK$3:$AK$11,0),FALSE)</f>
        <v>50885631.757973842</v>
      </c>
      <c r="H30" s="692">
        <f>HLOOKUP($T30,IncurredByClass,MATCH(H$7,Incurred!$AK$3:$AK$11,0),FALSE)</f>
        <v>44497002.146545365</v>
      </c>
      <c r="I30" s="692">
        <f>HLOOKUP($T30,IncurredByClass,MATCH(I$7,Incurred!$AK$3:$AK$11,0),FALSE)</f>
        <v>23980985.385161024</v>
      </c>
      <c r="K30" s="687">
        <f t="shared" si="4"/>
        <v>-45225.183271229267</v>
      </c>
      <c r="L30" s="687">
        <f t="shared" si="0"/>
        <v>-111855.81425898364</v>
      </c>
      <c r="M30" s="687">
        <f t="shared" si="15"/>
        <v>-55476.320309808842</v>
      </c>
      <c r="N30" s="687">
        <f t="shared" si="16"/>
        <v>-71082.312805524867</v>
      </c>
      <c r="O30" s="687">
        <f t="shared" si="17"/>
        <v>-175886.31862749404</v>
      </c>
      <c r="P30" s="687">
        <f t="shared" si="18"/>
        <v>-231469.93570941893</v>
      </c>
      <c r="Q30" s="687">
        <f t="shared" si="19"/>
        <v>-182399.57323282977</v>
      </c>
      <c r="R30" s="687">
        <f t="shared" si="20"/>
        <v>-132967.3656919621</v>
      </c>
      <c r="T30" s="693" t="s">
        <v>1047</v>
      </c>
      <c r="U30" s="692">
        <v>27208275.906252377</v>
      </c>
      <c r="V30" s="692">
        <f t="shared" si="6"/>
        <v>27323642.891004033</v>
      </c>
      <c r="W30" s="692">
        <f t="shared" si="21"/>
        <v>13336577.569585631</v>
      </c>
      <c r="X30" s="692">
        <f t="shared" si="22"/>
        <v>10083080.764305478</v>
      </c>
      <c r="Y30" s="692">
        <f t="shared" si="23"/>
        <v>39552276.297211677</v>
      </c>
      <c r="Z30" s="692">
        <f t="shared" si="24"/>
        <v>50654161.822264425</v>
      </c>
      <c r="AA30" s="692">
        <f t="shared" si="25"/>
        <v>44314602.573312536</v>
      </c>
      <c r="AB30" s="692">
        <f t="shared" si="26"/>
        <v>23848018.01946906</v>
      </c>
      <c r="AC30" s="692"/>
      <c r="AE30" s="693" t="s">
        <v>1047</v>
      </c>
      <c r="AF30" s="649">
        <f t="shared" si="7"/>
        <v>27.207999999999998</v>
      </c>
      <c r="AG30" s="649">
        <f t="shared" si="27"/>
        <v>27.324000000000002</v>
      </c>
      <c r="AH30" s="649">
        <f t="shared" si="28"/>
        <v>13.337</v>
      </c>
      <c r="AI30" s="649">
        <f t="shared" si="29"/>
        <v>10.083</v>
      </c>
      <c r="AJ30" s="649">
        <f t="shared" si="30"/>
        <v>39.552</v>
      </c>
      <c r="AK30" s="649">
        <f t="shared" si="31"/>
        <v>50.654000000000003</v>
      </c>
      <c r="AL30" s="649">
        <f t="shared" si="32"/>
        <v>44.314999999999998</v>
      </c>
      <c r="AM30" s="649">
        <f t="shared" si="33"/>
        <v>23.847999999999999</v>
      </c>
    </row>
    <row r="31" spans="1:39" x14ac:dyDescent="0.2">
      <c r="A31" s="693" t="s">
        <v>2997</v>
      </c>
      <c r="B31" s="814"/>
      <c r="E31" s="694">
        <f>HLOOKUP($T10,IncurredByClass,MATCH(E$7,Incurred!$AK$3:$AK$11,0),FALSE)</f>
        <v>13951532.474153403</v>
      </c>
      <c r="F31" s="694">
        <f>HLOOKUP($T10,IncurredByClass,MATCH(F$7,Incurred!$AK$3:$AK$11,0),FALSE)</f>
        <v>4145983.1238117348</v>
      </c>
      <c r="G31" s="694">
        <f>HLOOKUP($T10,IncurredByClass,MATCH(G$7,Incurred!$AK$3:$AK$11,0),FALSE)</f>
        <v>4483344.594554658</v>
      </c>
      <c r="H31" s="694">
        <f>HLOOKUP($T10,IncurredByClass,MATCH(H$7,Incurred!$AK$3:$AK$11,0),FALSE)</f>
        <v>4406302.8697220609</v>
      </c>
      <c r="I31" s="694">
        <f>HLOOKUP($T10,IncurredByClass,MATCH(I$7,Incurred!$AK$3:$AK$11,0),FALSE)</f>
        <v>2130419.9140710277</v>
      </c>
      <c r="N31" s="687">
        <f t="shared" si="16"/>
        <v>-97665.08454839242</v>
      </c>
      <c r="O31" s="687">
        <f t="shared" si="17"/>
        <v>-18355.284028369118</v>
      </c>
      <c r="P31" s="687">
        <f t="shared" si="18"/>
        <v>-20393.958947009032</v>
      </c>
      <c r="Q31" s="687">
        <f t="shared" si="19"/>
        <v>-18062.065402181139</v>
      </c>
      <c r="R31" s="687">
        <f t="shared" si="20"/>
        <v>-11812.53894458427</v>
      </c>
      <c r="T31" s="693" t="s">
        <v>2635</v>
      </c>
      <c r="X31" s="692">
        <f>E31+N31</f>
        <v>13853867.38960501</v>
      </c>
      <c r="Y31" s="692">
        <f>F31+O31</f>
        <v>4127627.8397833658</v>
      </c>
      <c r="Z31" s="692">
        <f>G31+P31</f>
        <v>4462950.6356076486</v>
      </c>
      <c r="AA31" s="692">
        <f>H31+Q31</f>
        <v>4388240.80431988</v>
      </c>
      <c r="AB31" s="692">
        <f>I31+R31</f>
        <v>2118607.3751264433</v>
      </c>
      <c r="AE31" s="693" t="s">
        <v>2635</v>
      </c>
      <c r="AI31" s="649">
        <f>ROUND(X31/1000000,$AF$2)</f>
        <v>13.853999999999999</v>
      </c>
      <c r="AJ31" s="649">
        <f>ROUND(Y31/1000000,$AF$2)</f>
        <v>4.1280000000000001</v>
      </c>
      <c r="AK31" s="649">
        <f>ROUND(Z31/1000000,$AF$2)</f>
        <v>4.4630000000000001</v>
      </c>
      <c r="AL31" s="649">
        <f>ROUND(AA31/1000000,$AF$2)</f>
        <v>4.3879999999999999</v>
      </c>
      <c r="AM31" s="649">
        <f>ROUND(AB31/1000000,$AF$2)</f>
        <v>2.1190000000000002</v>
      </c>
    </row>
    <row r="32" spans="1:39" x14ac:dyDescent="0.2">
      <c r="A32" s="695"/>
      <c r="B32" s="814"/>
      <c r="T32" s="695"/>
    </row>
    <row r="33" spans="1:39" ht="13.5" thickBot="1" x14ac:dyDescent="0.25">
      <c r="A33" s="696" t="s">
        <v>639</v>
      </c>
      <c r="B33" s="808">
        <f>SUM(B8:B32)</f>
        <v>167030089.02000001</v>
      </c>
      <c r="C33" s="698">
        <f t="shared" ref="C33:I33" si="34">SUM(C8:C32)</f>
        <v>161881876.82000002</v>
      </c>
      <c r="D33" s="699">
        <f t="shared" si="34"/>
        <v>163307955.64521974</v>
      </c>
      <c r="E33" s="697">
        <f t="shared" si="34"/>
        <v>98542324.865911961</v>
      </c>
      <c r="F33" s="698">
        <f t="shared" si="34"/>
        <v>103741683.74063107</v>
      </c>
      <c r="G33" s="698">
        <f t="shared" si="34"/>
        <v>115085101.90206419</v>
      </c>
      <c r="H33" s="698">
        <f t="shared" si="34"/>
        <v>108386199.48723468</v>
      </c>
      <c r="I33" s="699">
        <f t="shared" si="34"/>
        <v>58689395.388086788</v>
      </c>
      <c r="K33" s="697">
        <f t="shared" ref="K33:R33" si="35">SUM(K8:K32)</f>
        <v>-681261.33259790484</v>
      </c>
      <c r="L33" s="697">
        <f t="shared" si="35"/>
        <v>-659999.99999999965</v>
      </c>
      <c r="M33" s="697">
        <f t="shared" si="35"/>
        <v>-676500</v>
      </c>
      <c r="N33" s="697">
        <f t="shared" si="35"/>
        <v>-689827.05</v>
      </c>
      <c r="O33" s="697">
        <f t="shared" si="35"/>
        <v>-459289.87498864561</v>
      </c>
      <c r="P33" s="697">
        <f t="shared" si="35"/>
        <v>-523502.21895807353</v>
      </c>
      <c r="Q33" s="697">
        <f t="shared" si="35"/>
        <v>-444290.52693687635</v>
      </c>
      <c r="R33" s="697">
        <f t="shared" si="35"/>
        <v>-325415.08088473772</v>
      </c>
      <c r="T33" s="696" t="s">
        <v>639</v>
      </c>
      <c r="U33" s="697">
        <f>SUM(U8:U32)</f>
        <v>166348827.68740213</v>
      </c>
      <c r="V33" s="698">
        <f t="shared" ref="V33:AB33" si="36">SUM(V8:V32)</f>
        <v>161221876.81999999</v>
      </c>
      <c r="W33" s="699">
        <f t="shared" si="36"/>
        <v>162631455.64521977</v>
      </c>
      <c r="X33" s="697">
        <f t="shared" si="36"/>
        <v>97852497.815911949</v>
      </c>
      <c r="Y33" s="698">
        <f t="shared" si="36"/>
        <v>103282393.86564246</v>
      </c>
      <c r="Z33" s="698">
        <f t="shared" si="36"/>
        <v>114561599.68310611</v>
      </c>
      <c r="AA33" s="698">
        <f t="shared" si="36"/>
        <v>107941908.96029779</v>
      </c>
      <c r="AB33" s="699">
        <f t="shared" si="36"/>
        <v>58363980.307202049</v>
      </c>
      <c r="AC33" s="703"/>
      <c r="AE33" s="696" t="s">
        <v>639</v>
      </c>
      <c r="AF33" s="704">
        <f>SUM(AF8:AF32)</f>
        <v>166.34800000000001</v>
      </c>
      <c r="AG33" s="704">
        <f t="shared" ref="AG33" si="37">SUM(AG8:AG32)</f>
        <v>161.22300000000001</v>
      </c>
      <c r="AH33" s="704">
        <f t="shared" ref="AH33" si="38">SUM(AH8:AH32)</f>
        <v>162.63200000000001</v>
      </c>
      <c r="AI33" s="704">
        <f t="shared" ref="AI33" si="39">SUM(AI8:AI32)</f>
        <v>97.853999999999999</v>
      </c>
      <c r="AJ33" s="704">
        <f t="shared" ref="AJ33" si="40">SUM(AJ8:AJ32)</f>
        <v>103.282</v>
      </c>
      <c r="AK33" s="704">
        <f t="shared" ref="AK33" si="41">SUM(AK8:AK32)</f>
        <v>114.56099999999999</v>
      </c>
      <c r="AL33" s="704">
        <f t="shared" ref="AL33" si="42">SUM(AL8:AL32)</f>
        <v>107.941</v>
      </c>
      <c r="AM33" s="704">
        <f t="shared" ref="AM33" si="43">SUM(AM8:AM32)</f>
        <v>58.364999999999995</v>
      </c>
    </row>
    <row r="34" spans="1:39" x14ac:dyDescent="0.2">
      <c r="A34" s="695"/>
      <c r="B34" s="705"/>
      <c r="C34" s="706"/>
      <c r="D34" s="707">
        <f>D33+C33</f>
        <v>325189832.46521974</v>
      </c>
      <c r="E34" s="705"/>
      <c r="F34" s="706"/>
      <c r="G34" s="706"/>
      <c r="H34" s="706"/>
      <c r="I34" s="707">
        <f>SUM(E33:I33)</f>
        <v>484444705.38392866</v>
      </c>
      <c r="T34" s="695"/>
      <c r="U34" s="705"/>
      <c r="V34" s="706"/>
      <c r="W34" s="707">
        <f>SUM(U33:W33)</f>
        <v>490202160.15262187</v>
      </c>
      <c r="X34" s="705"/>
      <c r="Y34" s="706"/>
      <c r="Z34" s="706"/>
      <c r="AA34" s="706"/>
      <c r="AB34" s="707">
        <f>SUM(X33:AB33)</f>
        <v>482002380.63216037</v>
      </c>
      <c r="AC34" s="687">
        <f>SUM(U33:AB33)</f>
        <v>972204540.78478217</v>
      </c>
      <c r="AM34" s="711">
        <f>SUM(AF33:AM33)</f>
        <v>972.20600000000013</v>
      </c>
    </row>
    <row r="35" spans="1:39" x14ac:dyDescent="0.2">
      <c r="A35" s="787" t="s">
        <v>3074</v>
      </c>
      <c r="C35" s="809" t="s">
        <v>2722</v>
      </c>
      <c r="D35" s="810">
        <f>SUM(Incurred!Q12:R12)</f>
        <v>325189832.46521974</v>
      </c>
      <c r="H35" s="809" t="s">
        <v>2294</v>
      </c>
      <c r="I35" s="810">
        <f>SUM(Incurred!S12:W12)</f>
        <v>484444705.38392872</v>
      </c>
      <c r="N35" s="687"/>
      <c r="O35" s="687"/>
      <c r="P35" s="687"/>
      <c r="T35" s="695"/>
      <c r="AB35" s="649" t="s">
        <v>2294</v>
      </c>
      <c r="AC35" s="687">
        <f>Incurred!Y12+SUM(K33:R33)</f>
        <v>972204540.78478229</v>
      </c>
      <c r="AD35" s="687"/>
      <c r="AM35" s="711"/>
    </row>
    <row r="36" spans="1:39" x14ac:dyDescent="0.2">
      <c r="A36" s="787"/>
      <c r="L36" s="687">
        <v>-1090000</v>
      </c>
      <c r="M36" s="687">
        <v>-850000</v>
      </c>
      <c r="N36" s="687">
        <v>-550000</v>
      </c>
      <c r="O36" s="687">
        <v>-288560.77018492331</v>
      </c>
      <c r="P36" s="687">
        <v>-356463.31353662955</v>
      </c>
      <c r="Q36" s="687">
        <v>-415055.12428072566</v>
      </c>
      <c r="R36" s="687">
        <v>-684454.8059968868</v>
      </c>
      <c r="T36" s="695"/>
      <c r="AB36" s="687"/>
      <c r="AC36" s="687"/>
      <c r="AD36" s="687"/>
      <c r="AM36" s="711"/>
    </row>
    <row r="37" spans="1:39" x14ac:dyDescent="0.2">
      <c r="A37" s="695"/>
      <c r="B37" s="689" t="s">
        <v>2291</v>
      </c>
      <c r="C37" s="689" t="s">
        <v>2291</v>
      </c>
      <c r="D37" s="689" t="s">
        <v>2291</v>
      </c>
      <c r="E37" s="689" t="s">
        <v>2292</v>
      </c>
      <c r="F37" s="689" t="s">
        <v>2292</v>
      </c>
      <c r="G37" s="689" t="s">
        <v>2292</v>
      </c>
      <c r="H37" s="689" t="s">
        <v>2292</v>
      </c>
      <c r="I37" s="689" t="s">
        <v>2292</v>
      </c>
      <c r="T37" s="695"/>
      <c r="U37" s="689" t="s">
        <v>2291</v>
      </c>
      <c r="V37" s="689" t="s">
        <v>2291</v>
      </c>
      <c r="W37" s="689" t="s">
        <v>2291</v>
      </c>
      <c r="X37" s="689" t="s">
        <v>2292</v>
      </c>
      <c r="Y37" s="689" t="s">
        <v>2292</v>
      </c>
      <c r="Z37" s="689" t="s">
        <v>2292</v>
      </c>
      <c r="AA37" s="689" t="s">
        <v>2292</v>
      </c>
      <c r="AB37" s="689" t="s">
        <v>2292</v>
      </c>
      <c r="AC37" s="689"/>
      <c r="AE37" s="649" t="s">
        <v>2286</v>
      </c>
      <c r="AF37" s="689" t="s">
        <v>2291</v>
      </c>
      <c r="AG37" s="689" t="s">
        <v>2291</v>
      </c>
      <c r="AH37" s="689" t="s">
        <v>2291</v>
      </c>
      <c r="AI37" s="689" t="s">
        <v>2292</v>
      </c>
      <c r="AJ37" s="689" t="s">
        <v>2292</v>
      </c>
      <c r="AK37" s="689" t="s">
        <v>2292</v>
      </c>
      <c r="AL37" s="689" t="s">
        <v>2292</v>
      </c>
      <c r="AM37" s="689" t="s">
        <v>2292</v>
      </c>
    </row>
    <row r="38" spans="1:39" x14ac:dyDescent="0.2">
      <c r="A38" s="713" t="s">
        <v>2993</v>
      </c>
      <c r="B38" s="691" t="s">
        <v>2278</v>
      </c>
      <c r="C38" s="691" t="s">
        <v>2279</v>
      </c>
      <c r="D38" s="691" t="s">
        <v>2280</v>
      </c>
      <c r="E38" s="691" t="s">
        <v>2281</v>
      </c>
      <c r="F38" s="691" t="s">
        <v>2282</v>
      </c>
      <c r="G38" s="691" t="s">
        <v>2283</v>
      </c>
      <c r="H38" s="691" t="s">
        <v>2284</v>
      </c>
      <c r="I38" s="691" t="s">
        <v>2285</v>
      </c>
      <c r="K38" s="691" t="s">
        <v>2278</v>
      </c>
      <c r="L38" s="691" t="s">
        <v>2279</v>
      </c>
      <c r="M38" s="691" t="s">
        <v>2280</v>
      </c>
      <c r="N38" s="691" t="s">
        <v>2281</v>
      </c>
      <c r="O38" s="691" t="s">
        <v>2282</v>
      </c>
      <c r="P38" s="691" t="s">
        <v>2283</v>
      </c>
      <c r="Q38" s="691" t="s">
        <v>2284</v>
      </c>
      <c r="R38" s="691" t="s">
        <v>2285</v>
      </c>
      <c r="T38" s="713" t="s">
        <v>2993</v>
      </c>
      <c r="U38" s="691" t="s">
        <v>2278</v>
      </c>
      <c r="V38" s="691" t="s">
        <v>2279</v>
      </c>
      <c r="W38" s="691" t="s">
        <v>2280</v>
      </c>
      <c r="X38" s="691" t="s">
        <v>2281</v>
      </c>
      <c r="Y38" s="691" t="s">
        <v>2282</v>
      </c>
      <c r="Z38" s="691" t="s">
        <v>2283</v>
      </c>
      <c r="AA38" s="691" t="s">
        <v>2284</v>
      </c>
      <c r="AB38" s="691" t="s">
        <v>2285</v>
      </c>
      <c r="AC38" s="691"/>
      <c r="AE38" s="713" t="s">
        <v>2277</v>
      </c>
      <c r="AF38" s="691" t="s">
        <v>2278</v>
      </c>
      <c r="AG38" s="691" t="s">
        <v>2279</v>
      </c>
      <c r="AH38" s="691" t="s">
        <v>2280</v>
      </c>
      <c r="AI38" s="691" t="s">
        <v>2281</v>
      </c>
      <c r="AJ38" s="691" t="s">
        <v>2282</v>
      </c>
      <c r="AK38" s="691" t="s">
        <v>2283</v>
      </c>
      <c r="AL38" s="691" t="s">
        <v>2284</v>
      </c>
      <c r="AM38" s="691" t="s">
        <v>2285</v>
      </c>
    </row>
    <row r="39" spans="1:39" x14ac:dyDescent="0.2">
      <c r="A39" s="43" t="s">
        <v>1031</v>
      </c>
      <c r="B39" s="813">
        <v>736864.0201070786</v>
      </c>
      <c r="C39" s="692">
        <f>HLOOKUP($T39,CommissionedByClass,MATCH(C$38,Commissioned!$M$4:$M$14,0),FALSE)+HLOOKUP($T39,Commissioned_Extra,MATCH(C$38,'Commissioned Extra'!$M$4:$M$14,0),FALSE)</f>
        <v>971084.02096891846</v>
      </c>
      <c r="D39" s="692">
        <f>HLOOKUP($T39,CommissionedByClass,MATCH(D$38,Commissioned!$M$4:$M$14,0),FALSE)+HLOOKUP($T39,Commissioned_Extra,MATCH(D$38,'Commissioned Extra'!$M$4:$M$14,0),FALSE)</f>
        <v>5213041.5989486352</v>
      </c>
      <c r="E39" s="692">
        <f>HLOOKUP($T39,CommissionedByClass,MATCH(E$38,Commissioned!$M$4:$M$14,0),FALSE)+HLOOKUP($T39,Commissioned_Extra,MATCH(E$38,'Commissioned Extra'!$M$4:$M$14,0),FALSE)</f>
        <v>2155806.4591044337</v>
      </c>
      <c r="F39" s="692">
        <f>HLOOKUP($T39,CommissionedByClass,MATCH(F$38,Commissioned!$M$4:$M$14,0),FALSE)+HLOOKUP($T39,Commissioned_Extra,MATCH(F$38,'Commissioned Extra'!$M$4:$M$14,0),FALSE)</f>
        <v>633990.26489526802</v>
      </c>
      <c r="G39" s="692">
        <f>HLOOKUP($T39,CommissionedByClass,MATCH(G$38,Commissioned!$M$4:$M$14,0),FALSE)+HLOOKUP($T39,Commissioned_Extra,MATCH(G$38,'Commissioned Extra'!$M$4:$M$14,0),FALSE)</f>
        <v>1109697.6981096794</v>
      </c>
      <c r="H39" s="692">
        <f>HLOOKUP($T39,CommissionedByClass,MATCH(H$38,Commissioned!$M$4:$M$14,0),FALSE)+HLOOKUP($T39,Commissioned_Extra,MATCH(H$38,'Commissioned Extra'!$M$4:$M$14,0),FALSE)</f>
        <v>1083385.7151859379</v>
      </c>
      <c r="I39" s="692">
        <f>HLOOKUP($T39,CommissionedByClass,MATCH(I$38,Commissioned!$M$4:$M$14,0),FALSE)+HLOOKUP($T39,Commissioned_Extra,MATCH(I$38,'Commissioned Extra'!$M$4:$M$14,0),FALSE)</f>
        <v>130565.15184265991</v>
      </c>
      <c r="K39" s="687">
        <f>U39-B39</f>
        <v>-2695.5123515253654</v>
      </c>
      <c r="L39" s="687">
        <f>L$36/C$64*C39</f>
        <v>-3921.7330904416522</v>
      </c>
      <c r="M39" s="687">
        <f t="shared" ref="M39:R39" si="44">M$36/D$64*D39</f>
        <v>-21184.285000498519</v>
      </c>
      <c r="N39" s="687">
        <f t="shared" si="44"/>
        <v>-8786.429159049052</v>
      </c>
      <c r="O39" s="687">
        <f t="shared" si="44"/>
        <v>-2495.7395002343828</v>
      </c>
      <c r="P39" s="687">
        <f t="shared" si="44"/>
        <v>-4266.4991259808394</v>
      </c>
      <c r="Q39" s="687">
        <f t="shared" si="44"/>
        <v>-4115.7467047640366</v>
      </c>
      <c r="R39" s="687">
        <f t="shared" si="44"/>
        <v>-511.46090423569615</v>
      </c>
      <c r="T39" s="43" t="s">
        <v>1031</v>
      </c>
      <c r="U39" s="692">
        <v>734168.50775555323</v>
      </c>
      <c r="V39" s="692">
        <f>C39+L39</f>
        <v>967162.28787847678</v>
      </c>
      <c r="W39" s="692">
        <f t="shared" ref="W39:W61" si="45">D39+M39</f>
        <v>5191857.3139481368</v>
      </c>
      <c r="X39" s="692">
        <f t="shared" ref="X39:X61" si="46">E39+N39</f>
        <v>2147020.0299453847</v>
      </c>
      <c r="Y39" s="692">
        <f t="shared" ref="Y39:Y61" si="47">F39+O39</f>
        <v>631494.52539503365</v>
      </c>
      <c r="Z39" s="692">
        <f t="shared" ref="Z39:Z61" si="48">G39+P39</f>
        <v>1105431.1989836986</v>
      </c>
      <c r="AA39" s="692">
        <f t="shared" ref="AA39:AA61" si="49">H39+Q39</f>
        <v>1079269.968481174</v>
      </c>
      <c r="AB39" s="692">
        <f t="shared" ref="AB39:AB61" si="50">I39+R39</f>
        <v>130053.69093842422</v>
      </c>
      <c r="AC39" s="692"/>
      <c r="AE39" s="43" t="s">
        <v>1031</v>
      </c>
      <c r="AF39" s="649">
        <f>ROUND(U39/1000000,$AF$2)</f>
        <v>0.73399999999999999</v>
      </c>
      <c r="AG39" s="649">
        <f t="shared" ref="AG39:AG61" si="51">ROUND(V39/1000000,$AF$2)</f>
        <v>0.96699999999999997</v>
      </c>
      <c r="AH39" s="649">
        <f t="shared" ref="AH39:AH61" si="52">ROUND(W39/1000000,$AF$2)</f>
        <v>5.1920000000000002</v>
      </c>
      <c r="AI39" s="649">
        <f t="shared" ref="AI39:AI61" si="53">ROUND(X39/1000000,$AF$2)</f>
        <v>2.1469999999999998</v>
      </c>
      <c r="AJ39" s="649">
        <f t="shared" ref="AJ39:AJ61" si="54">ROUND(Y39/1000000,$AF$2)</f>
        <v>0.63100000000000001</v>
      </c>
      <c r="AK39" s="649">
        <f t="shared" ref="AK39:AK61" si="55">ROUND(Z39/1000000,$AF$2)</f>
        <v>1.105</v>
      </c>
      <c r="AL39" s="649">
        <f t="shared" ref="AL39:AL61" si="56">ROUND(AA39/1000000,$AF$2)</f>
        <v>1.079</v>
      </c>
      <c r="AM39" s="649">
        <f t="shared" ref="AM39:AM61" si="57">ROUND(AB39/1000000,$AF$2)</f>
        <v>0.13</v>
      </c>
    </row>
    <row r="40" spans="1:39" x14ac:dyDescent="0.2">
      <c r="A40" s="43" t="s">
        <v>1032</v>
      </c>
      <c r="B40" s="813">
        <v>5918203.127814265</v>
      </c>
      <c r="C40" s="692">
        <f>HLOOKUP($T40,CommissionedByClass,MATCH(C$38,Commissioned!$M$4:$M$14,0),FALSE)+HLOOKUP($T40,Commissioned_Extra,MATCH(C$38,'Commissioned Extra'!$M$4:$M$14,0),FALSE)</f>
        <v>5825482.9143040832</v>
      </c>
      <c r="D40" s="692">
        <f>HLOOKUP($T40,CommissionedByClass,MATCH(D$38,Commissioned!$M$4:$M$14,0),FALSE)+HLOOKUP($T40,Commissioned_Extra,MATCH(D$38,'Commissioned Extra'!$M$4:$M$14,0),FALSE)</f>
        <v>1769946.4410940083</v>
      </c>
      <c r="E40" s="692">
        <f>HLOOKUP($T40,CommissionedByClass,MATCH(E$38,Commissioned!$M$4:$M$14,0),FALSE)+HLOOKUP($T40,Commissioned_Extra,MATCH(E$38,'Commissioned Extra'!$M$4:$M$14,0),FALSE)</f>
        <v>11960820.332234353</v>
      </c>
      <c r="F40" s="692">
        <f>HLOOKUP($T40,CommissionedByClass,MATCH(F$38,Commissioned!$M$4:$M$14,0),FALSE)+HLOOKUP($T40,Commissioned_Extra,MATCH(F$38,'Commissioned Extra'!$M$4:$M$14,0),FALSE)</f>
        <v>1315933.8635944161</v>
      </c>
      <c r="G40" s="692">
        <f>HLOOKUP($T40,CommissionedByClass,MATCH(G$38,Commissioned!$M$4:$M$14,0),FALSE)+HLOOKUP($T40,Commissioned_Extra,MATCH(G$38,'Commissioned Extra'!$M$4:$M$14,0),FALSE)</f>
        <v>825600.26147728483</v>
      </c>
      <c r="H40" s="692">
        <f>HLOOKUP($T40,CommissionedByClass,MATCH(H$38,Commissioned!$M$4:$M$14,0),FALSE)+HLOOKUP($T40,Commissioned_Extra,MATCH(H$38,'Commissioned Extra'!$M$4:$M$14,0),FALSE)</f>
        <v>3113624.9900310198</v>
      </c>
      <c r="I40" s="692">
        <f>HLOOKUP($T40,CommissionedByClass,MATCH(I$38,Commissioned!$M$4:$M$14,0),FALSE)+HLOOKUP($T40,Commissioned_Extra,MATCH(I$38,'Commissioned Extra'!$M$4:$M$14,0),FALSE)</f>
        <v>55210.571364142641</v>
      </c>
      <c r="K40" s="687">
        <f t="shared" ref="K40:K61" si="58">U40-B40</f>
        <v>-21129.139439186081</v>
      </c>
      <c r="L40" s="687">
        <f t="shared" ref="L40:L61" si="59">L$36/C$64*C40</f>
        <v>-23526.274369167102</v>
      </c>
      <c r="M40" s="687">
        <f t="shared" ref="M40:M61" si="60">M$36/D$64*D40</f>
        <v>-7192.5476004863503</v>
      </c>
      <c r="N40" s="687">
        <f t="shared" ref="N40:N61" si="61">N$36/E$64*E40</f>
        <v>-48748.764106100898</v>
      </c>
      <c r="O40" s="687">
        <f t="shared" ref="O40:O61" si="62">O$36/F$64*F40</f>
        <v>-5180.2500841415385</v>
      </c>
      <c r="P40" s="687">
        <f t="shared" ref="P40:P61" si="63">P$36/G$64*G40</f>
        <v>-3174.2183479362698</v>
      </c>
      <c r="Q40" s="687">
        <f t="shared" ref="Q40:Q61" si="64">Q$36/H$64*H40</f>
        <v>-11828.558945316856</v>
      </c>
      <c r="R40" s="687">
        <f t="shared" ref="R40:R61" si="65">R$36/I$64*I40</f>
        <v>-216.27554025520254</v>
      </c>
      <c r="T40" s="43" t="s">
        <v>1032</v>
      </c>
      <c r="U40" s="692">
        <v>5897073.9883750789</v>
      </c>
      <c r="V40" s="692">
        <f t="shared" ref="V40:V61" si="66">C40+L40</f>
        <v>5801956.639934916</v>
      </c>
      <c r="W40" s="692">
        <f t="shared" si="45"/>
        <v>1762753.893493522</v>
      </c>
      <c r="X40" s="692">
        <f t="shared" si="46"/>
        <v>11912071.568128252</v>
      </c>
      <c r="Y40" s="692">
        <f t="shared" si="47"/>
        <v>1310753.6135102746</v>
      </c>
      <c r="Z40" s="692">
        <f t="shared" si="48"/>
        <v>822426.04312934855</v>
      </c>
      <c r="AA40" s="692">
        <f t="shared" si="49"/>
        <v>3101796.431085703</v>
      </c>
      <c r="AB40" s="692">
        <f t="shared" si="50"/>
        <v>54994.295823887442</v>
      </c>
      <c r="AC40" s="692"/>
      <c r="AE40" s="43" t="s">
        <v>1032</v>
      </c>
      <c r="AF40" s="649">
        <f t="shared" ref="AF40:AF61" si="67">ROUND(U40/1000000,$AF$2)</f>
        <v>5.8970000000000002</v>
      </c>
      <c r="AG40" s="649">
        <f t="shared" si="51"/>
        <v>5.8019999999999996</v>
      </c>
      <c r="AH40" s="649">
        <f t="shared" si="52"/>
        <v>1.7629999999999999</v>
      </c>
      <c r="AI40" s="649">
        <f t="shared" si="53"/>
        <v>11.912000000000001</v>
      </c>
      <c r="AJ40" s="649">
        <f t="shared" si="54"/>
        <v>1.3109999999999999</v>
      </c>
      <c r="AK40" s="649">
        <f t="shared" si="55"/>
        <v>0.82199999999999995</v>
      </c>
      <c r="AL40" s="649">
        <f t="shared" si="56"/>
        <v>3.1019999999999999</v>
      </c>
      <c r="AM40" s="649">
        <f t="shared" si="57"/>
        <v>5.5E-2</v>
      </c>
    </row>
    <row r="41" spans="1:39" x14ac:dyDescent="0.2">
      <c r="A41" s="43" t="s">
        <v>1033</v>
      </c>
      <c r="B41" s="813">
        <v>9510628.7204785477</v>
      </c>
      <c r="C41" s="692">
        <f>HLOOKUP($T41,CommissionedByClass,MATCH(C$38,Commissioned!$M$4:$M$14,0),FALSE)+HLOOKUP($T41,Commissioned_Extra,MATCH(C$38,'Commissioned Extra'!$M$4:$M$14,0),FALSE)</f>
        <v>18669392.596717346</v>
      </c>
      <c r="D41" s="692">
        <f>HLOOKUP($T41,CommissionedByClass,MATCH(D$38,Commissioned!$M$4:$M$14,0),FALSE)+HLOOKUP($T41,Commissioned_Extra,MATCH(D$38,'Commissioned Extra'!$M$4:$M$14,0),FALSE)</f>
        <v>8781347.5165627003</v>
      </c>
      <c r="E41" s="714"/>
      <c r="F41" s="714"/>
      <c r="G41" s="714"/>
      <c r="H41" s="714"/>
      <c r="I41" s="714"/>
      <c r="K41" s="687">
        <f t="shared" si="58"/>
        <v>-32876.341161388904</v>
      </c>
      <c r="L41" s="687">
        <f t="shared" si="59"/>
        <v>-75396.539479601081</v>
      </c>
      <c r="M41" s="687">
        <f t="shared" si="60"/>
        <v>-35684.84251435897</v>
      </c>
      <c r="T41" s="43" t="s">
        <v>1033</v>
      </c>
      <c r="U41" s="692">
        <v>9477752.3793171588</v>
      </c>
      <c r="V41" s="692">
        <f t="shared" si="66"/>
        <v>18593996.057237744</v>
      </c>
      <c r="W41" s="692">
        <f t="shared" si="45"/>
        <v>8745662.6740483418</v>
      </c>
      <c r="AC41" s="692"/>
      <c r="AE41" s="43" t="s">
        <v>1033</v>
      </c>
      <c r="AF41" s="649">
        <f t="shared" si="67"/>
        <v>9.4779999999999998</v>
      </c>
      <c r="AG41" s="649">
        <f t="shared" si="51"/>
        <v>18.594000000000001</v>
      </c>
      <c r="AH41" s="649">
        <f t="shared" si="52"/>
        <v>8.7460000000000004</v>
      </c>
    </row>
    <row r="42" spans="1:39" x14ac:dyDescent="0.2">
      <c r="A42" s="693" t="s">
        <v>1034</v>
      </c>
      <c r="B42" s="813">
        <v>11114250.367338374</v>
      </c>
      <c r="C42" s="692">
        <f>HLOOKUP($T42,CommissionedByClass,MATCH(C$38,Commissioned!$M$4:$M$14,0),FALSE)+HLOOKUP($T42,Commissioned_Extra,MATCH(C$38,'Commissioned Extra'!$M$4:$M$14,0),FALSE)</f>
        <v>19887926.001580685</v>
      </c>
      <c r="D42" s="692">
        <f>HLOOKUP($T42,CommissionedByClass,MATCH(D$38,Commissioned!$M$4:$M$14,0),FALSE)+HLOOKUP($T42,Commissioned_Extra,MATCH(D$38,'Commissioned Extra'!$M$4:$M$14,0),FALSE)</f>
        <v>17670996.159014039</v>
      </c>
      <c r="E42" s="692">
        <f>HLOOKUP($T42,CommissionedByClass,MATCH(E$38,Commissioned!$M$4:$M$14,0),FALSE)+HLOOKUP($T42,Commissioned_Extra,MATCH(E$38,'Commissioned Extra'!$M$4:$M$14,0),FALSE)</f>
        <v>25234975.12085554</v>
      </c>
      <c r="F42" s="692">
        <f>HLOOKUP($T42,CommissionedByClass,MATCH(F$38,Commissioned!$M$4:$M$14,0),FALSE)+HLOOKUP($T42,Commissioned_Extra,MATCH(F$38,'Commissioned Extra'!$M$4:$M$14,0),FALSE)</f>
        <v>9023563.366114391</v>
      </c>
      <c r="G42" s="692">
        <f>HLOOKUP($T42,CommissionedByClass,MATCH(G$38,Commissioned!$M$4:$M$14,0),FALSE)+HLOOKUP($T42,Commissioned_Extra,MATCH(G$38,'Commissioned Extra'!$M$4:$M$14,0),FALSE)</f>
        <v>14113021.274931196</v>
      </c>
      <c r="H42" s="692">
        <f>HLOOKUP($T42,CommissionedByClass,MATCH(H$38,Commissioned!$M$4:$M$14,0),FALSE)+HLOOKUP($T42,Commissioned_Extra,MATCH(H$38,'Commissioned Extra'!$M$4:$M$14,0),FALSE)</f>
        <v>9991172.4632615969</v>
      </c>
      <c r="I42" s="692">
        <f>HLOOKUP($T42,CommissionedByClass,MATCH(I$38,Commissioned!$M$4:$M$14,0),FALSE)+HLOOKUP($T42,Commissioned_Extra,MATCH(I$38,'Commissioned Extra'!$M$4:$M$14,0),FALSE)</f>
        <v>14012587.50433195</v>
      </c>
      <c r="K42" s="687">
        <f t="shared" si="58"/>
        <v>-51616.266080256552</v>
      </c>
      <c r="L42" s="687">
        <f t="shared" si="59"/>
        <v>-80317.599524326128</v>
      </c>
      <c r="M42" s="687">
        <f t="shared" si="60"/>
        <v>-71809.789308177846</v>
      </c>
      <c r="N42" s="687">
        <f t="shared" si="61"/>
        <v>-102850.29080109156</v>
      </c>
      <c r="O42" s="687">
        <f t="shared" si="62"/>
        <v>-35521.781283818105</v>
      </c>
      <c r="P42" s="687">
        <f t="shared" si="63"/>
        <v>-54260.897393058876</v>
      </c>
      <c r="Q42" s="687">
        <f t="shared" si="64"/>
        <v>-37956.135627411903</v>
      </c>
      <c r="R42" s="687">
        <f t="shared" si="65"/>
        <v>-54891.298133548204</v>
      </c>
      <c r="T42" s="693" t="s">
        <v>1034</v>
      </c>
      <c r="U42" s="692">
        <v>11062634.101258118</v>
      </c>
      <c r="V42" s="692">
        <f t="shared" si="66"/>
        <v>19807608.402056359</v>
      </c>
      <c r="W42" s="692">
        <f t="shared" si="45"/>
        <v>17599186.36970586</v>
      </c>
      <c r="X42" s="692">
        <f t="shared" si="46"/>
        <v>25132124.830054447</v>
      </c>
      <c r="Y42" s="692">
        <f t="shared" si="47"/>
        <v>8988041.5848305728</v>
      </c>
      <c r="Z42" s="692">
        <f t="shared" si="48"/>
        <v>14058760.377538137</v>
      </c>
      <c r="AA42" s="692">
        <f t="shared" si="49"/>
        <v>9953216.3276341856</v>
      </c>
      <c r="AB42" s="692">
        <f t="shared" si="50"/>
        <v>13957696.206198402</v>
      </c>
      <c r="AC42" s="692"/>
      <c r="AE42" s="693" t="s">
        <v>1034</v>
      </c>
      <c r="AF42" s="649">
        <f t="shared" si="67"/>
        <v>11.063000000000001</v>
      </c>
      <c r="AG42" s="649">
        <f t="shared" si="51"/>
        <v>19.808</v>
      </c>
      <c r="AH42" s="649">
        <f t="shared" si="52"/>
        <v>17.599</v>
      </c>
      <c r="AI42" s="649">
        <f t="shared" si="53"/>
        <v>25.132000000000001</v>
      </c>
      <c r="AJ42" s="649">
        <f t="shared" si="54"/>
        <v>8.9879999999999995</v>
      </c>
      <c r="AK42" s="649">
        <f t="shared" si="55"/>
        <v>14.058999999999999</v>
      </c>
      <c r="AL42" s="649">
        <f t="shared" si="56"/>
        <v>9.9529999999999994</v>
      </c>
      <c r="AM42" s="649">
        <f t="shared" si="57"/>
        <v>13.958</v>
      </c>
    </row>
    <row r="43" spans="1:39" x14ac:dyDescent="0.2">
      <c r="A43" s="43" t="s">
        <v>1035</v>
      </c>
      <c r="B43" s="813">
        <v>3497660.4570683469</v>
      </c>
      <c r="C43" s="692">
        <f>HLOOKUP($T43,CommissionedByClass,MATCH(C$38,Commissioned!$M$4:$M$14,0),FALSE)+HLOOKUP($T43,Commissioned_Extra,MATCH(C$38,'Commissioned Extra'!$M$4:$M$14,0),FALSE)</f>
        <v>12681406.323459672</v>
      </c>
      <c r="D43" s="692">
        <f>HLOOKUP($T43,CommissionedByClass,MATCH(D$38,Commissioned!$M$4:$M$14,0),FALSE)+HLOOKUP($T43,Commissioned_Extra,MATCH(D$38,'Commissioned Extra'!$M$4:$M$14,0),FALSE)</f>
        <v>96630.810345103397</v>
      </c>
      <c r="E43" s="692">
        <f>HLOOKUP($T43,CommissionedByClass,MATCH(E$38,Commissioned!$M$4:$M$14,0),FALSE)+HLOOKUP($T43,Commissioned_Extra,MATCH(E$38,'Commissioned Extra'!$M$4:$M$14,0),FALSE)</f>
        <v>14381.213166630947</v>
      </c>
      <c r="F43" s="692">
        <f>HLOOKUP($T43,CommissionedByClass,MATCH(F$38,Commissioned!$M$4:$M$14,0),FALSE)+HLOOKUP($T43,Commissioned_Extra,MATCH(F$38,'Commissioned Extra'!$M$4:$M$14,0),FALSE)</f>
        <v>0</v>
      </c>
      <c r="G43" s="692">
        <f>HLOOKUP($T43,CommissionedByClass,MATCH(G$38,Commissioned!$M$4:$M$14,0),FALSE)+HLOOKUP($T43,Commissioned_Extra,MATCH(G$38,'Commissioned Extra'!$M$4:$M$14,0),FALSE)</f>
        <v>0</v>
      </c>
      <c r="H43" s="692">
        <f>HLOOKUP($T43,CommissionedByClass,MATCH(H$38,Commissioned!$M$4:$M$14,0),FALSE)+HLOOKUP($T43,Commissioned_Extra,MATCH(H$38,'Commissioned Extra'!$M$4:$M$14,0),FALSE)</f>
        <v>0</v>
      </c>
      <c r="I43" s="692">
        <f>HLOOKUP($T43,CommissionedByClass,MATCH(I$38,Commissioned!$M$4:$M$14,0),FALSE)+HLOOKUP($T43,Commissioned_Extra,MATCH(I$38,'Commissioned Extra'!$M$4:$M$14,0),FALSE)</f>
        <v>0</v>
      </c>
      <c r="K43" s="687">
        <f t="shared" si="58"/>
        <v>-14264.922333157156</v>
      </c>
      <c r="L43" s="687">
        <f t="shared" si="59"/>
        <v>-51213.993576400964</v>
      </c>
      <c r="M43" s="687">
        <f t="shared" si="60"/>
        <v>-392.67951105409179</v>
      </c>
      <c r="N43" s="687">
        <f t="shared" si="61"/>
        <v>-58.613569031738891</v>
      </c>
      <c r="O43" s="687">
        <f t="shared" si="62"/>
        <v>0</v>
      </c>
      <c r="P43" s="687">
        <f t="shared" si="63"/>
        <v>0</v>
      </c>
      <c r="Q43" s="687">
        <f t="shared" si="64"/>
        <v>0</v>
      </c>
      <c r="R43" s="687">
        <f t="shared" si="65"/>
        <v>0</v>
      </c>
      <c r="T43" s="43" t="s">
        <v>1035</v>
      </c>
      <c r="U43" s="692">
        <v>3483395.5347351898</v>
      </c>
      <c r="V43" s="692">
        <f t="shared" si="66"/>
        <v>12630192.32988327</v>
      </c>
      <c r="W43" s="692">
        <f t="shared" si="45"/>
        <v>96238.130834049298</v>
      </c>
      <c r="X43" s="692">
        <f t="shared" si="46"/>
        <v>14322.599597599208</v>
      </c>
      <c r="Y43" s="692">
        <f t="shared" si="47"/>
        <v>0</v>
      </c>
      <c r="Z43" s="692">
        <f t="shared" si="48"/>
        <v>0</v>
      </c>
      <c r="AA43" s="692">
        <f t="shared" si="49"/>
        <v>0</v>
      </c>
      <c r="AB43" s="692">
        <f t="shared" si="50"/>
        <v>0</v>
      </c>
      <c r="AC43" s="692"/>
      <c r="AE43" s="43" t="s">
        <v>1035</v>
      </c>
      <c r="AF43" s="649">
        <f t="shared" si="67"/>
        <v>3.4830000000000001</v>
      </c>
      <c r="AG43" s="649">
        <f t="shared" si="51"/>
        <v>12.63</v>
      </c>
      <c r="AH43" s="649">
        <f t="shared" si="52"/>
        <v>9.6000000000000002E-2</v>
      </c>
      <c r="AI43" s="649">
        <f t="shared" si="53"/>
        <v>1.4E-2</v>
      </c>
      <c r="AJ43" s="649">
        <f t="shared" si="54"/>
        <v>0</v>
      </c>
      <c r="AK43" s="649">
        <f t="shared" si="55"/>
        <v>0</v>
      </c>
      <c r="AL43" s="649">
        <f t="shared" si="56"/>
        <v>0</v>
      </c>
      <c r="AM43" s="649">
        <f t="shared" si="57"/>
        <v>0</v>
      </c>
    </row>
    <row r="44" spans="1:39" x14ac:dyDescent="0.2">
      <c r="A44" s="693" t="s">
        <v>854</v>
      </c>
      <c r="B44" s="813">
        <v>955951.4</v>
      </c>
      <c r="C44" s="692">
        <f>HLOOKUP($T44,CommissionedByClass,MATCH(C$38,Commissioned!$M$4:$M$14,0),FALSE)+HLOOKUP($T44,Commissioned_Extra,MATCH(C$38,'Commissioned Extra'!$M$4:$M$14,0),FALSE)</f>
        <v>12917751.03969492</v>
      </c>
      <c r="D44" s="692">
        <f>HLOOKUP($T44,CommissionedByClass,MATCH(D$38,Commissioned!$M$4:$M$14,0),FALSE)+HLOOKUP($T44,Commissioned_Extra,MATCH(D$38,'Commissioned Extra'!$M$4:$M$14,0),FALSE)</f>
        <v>27820.746413131135</v>
      </c>
      <c r="E44" s="692">
        <f>HLOOKUP($T44,CommissionedByClass,MATCH(E$38,Commissioned!$M$4:$M$14,0),FALSE)+HLOOKUP($T44,Commissioned_Extra,MATCH(E$38,'Commissioned Extra'!$M$4:$M$14,0),FALSE)</f>
        <v>188630.36564093211</v>
      </c>
      <c r="F44" s="692">
        <f>HLOOKUP($T44,CommissionedByClass,MATCH(F$38,Commissioned!$M$4:$M$14,0),FALSE)+HLOOKUP($T44,Commissioned_Extra,MATCH(F$38,'Commissioned Extra'!$M$4:$M$14,0),FALSE)</f>
        <v>110142.13181699665</v>
      </c>
      <c r="G44" s="692">
        <f>HLOOKUP($T44,CommissionedByClass,MATCH(G$38,Commissioned!$M$4:$M$14,0),FALSE)+HLOOKUP($T44,Commissioned_Extra,MATCH(G$38,'Commissioned Extra'!$M$4:$M$14,0),FALSE)</f>
        <v>45026.905837022277</v>
      </c>
      <c r="H44" s="692">
        <f>HLOOKUP($T44,CommissionedByClass,MATCH(H$38,Commissioned!$M$4:$M$14,0),FALSE)+HLOOKUP($T44,Commissioned_Extra,MATCH(H$38,'Commissioned Extra'!$M$4:$M$14,0),FALSE)</f>
        <v>0</v>
      </c>
      <c r="I44" s="692">
        <f>HLOOKUP($T44,CommissionedByClass,MATCH(I$38,Commissioned!$M$4:$M$14,0),FALSE)+HLOOKUP($T44,Commissioned_Extra,MATCH(I$38,'Commissioned Extra'!$M$4:$M$14,0),FALSE)</f>
        <v>0</v>
      </c>
      <c r="K44" s="687">
        <f t="shared" si="58"/>
        <v>0</v>
      </c>
      <c r="L44" s="687">
        <f t="shared" si="59"/>
        <v>-52168.474212881832</v>
      </c>
      <c r="M44" s="687">
        <f t="shared" si="60"/>
        <v>-113.05542258884513</v>
      </c>
      <c r="N44" s="687">
        <f t="shared" si="61"/>
        <v>-768.80154892850771</v>
      </c>
      <c r="O44" s="687">
        <f t="shared" si="62"/>
        <v>-433.58089900814252</v>
      </c>
      <c r="P44" s="687">
        <f t="shared" si="63"/>
        <v>-173.11674587279333</v>
      </c>
      <c r="Q44" s="687">
        <f t="shared" si="64"/>
        <v>0</v>
      </c>
      <c r="R44" s="687">
        <f t="shared" si="65"/>
        <v>0</v>
      </c>
      <c r="T44" s="693" t="s">
        <v>854</v>
      </c>
      <c r="U44" s="692">
        <v>955951.4</v>
      </c>
      <c r="V44" s="692">
        <f t="shared" si="66"/>
        <v>12865582.565482039</v>
      </c>
      <c r="W44" s="692">
        <f t="shared" si="45"/>
        <v>27707.690990542291</v>
      </c>
      <c r="X44" s="692">
        <f t="shared" si="46"/>
        <v>187861.56409200359</v>
      </c>
      <c r="Y44" s="692">
        <f t="shared" si="47"/>
        <v>109708.55091798851</v>
      </c>
      <c r="Z44" s="692">
        <f t="shared" si="48"/>
        <v>44853.789091149483</v>
      </c>
      <c r="AA44" s="692">
        <f t="shared" si="49"/>
        <v>0</v>
      </c>
      <c r="AB44" s="692">
        <f t="shared" si="50"/>
        <v>0</v>
      </c>
      <c r="AC44" s="692"/>
      <c r="AE44" s="693" t="s">
        <v>854</v>
      </c>
      <c r="AF44" s="649">
        <f t="shared" si="67"/>
        <v>0.95599999999999996</v>
      </c>
      <c r="AG44" s="649">
        <f t="shared" si="51"/>
        <v>12.866</v>
      </c>
      <c r="AH44" s="649">
        <f t="shared" si="52"/>
        <v>2.8000000000000001E-2</v>
      </c>
      <c r="AI44" s="649">
        <f t="shared" si="53"/>
        <v>0.188</v>
      </c>
      <c r="AJ44" s="649">
        <f t="shared" si="54"/>
        <v>0.11</v>
      </c>
      <c r="AK44" s="649">
        <f t="shared" si="55"/>
        <v>4.4999999999999998E-2</v>
      </c>
      <c r="AL44" s="649">
        <f t="shared" si="56"/>
        <v>0</v>
      </c>
      <c r="AM44" s="649">
        <f t="shared" si="57"/>
        <v>0</v>
      </c>
    </row>
    <row r="45" spans="1:39" x14ac:dyDescent="0.2">
      <c r="A45" s="693" t="s">
        <v>1036</v>
      </c>
      <c r="B45" s="813">
        <v>0</v>
      </c>
      <c r="C45" s="692">
        <f>HLOOKUP($T45,CommissionedByClass,MATCH(C$38,Commissioned!$M$4:$M$14,0),FALSE)+HLOOKUP($T45,Commissioned_Extra,MATCH(C$38,'Commissioned Extra'!$M$4:$M$14,0),FALSE)</f>
        <v>4798450.4605401345</v>
      </c>
      <c r="D45" s="692">
        <f>HLOOKUP($T45,CommissionedByClass,MATCH(D$38,Commissioned!$M$4:$M$14,0),FALSE)+HLOOKUP($T45,Commissioned_Extra,MATCH(D$38,'Commissioned Extra'!$M$4:$M$14,0),FALSE)</f>
        <v>690.05313834168248</v>
      </c>
      <c r="E45" s="692">
        <f>HLOOKUP($T45,CommissionedByClass,MATCH(E$38,Commissioned!$M$4:$M$14,0),FALSE)+HLOOKUP($T45,Commissioned_Extra,MATCH(E$38,'Commissioned Extra'!$M$4:$M$14,0),FALSE)</f>
        <v>1717767.267565242</v>
      </c>
      <c r="F45" s="692">
        <f>HLOOKUP($T45,CommissionedByClass,MATCH(F$38,Commissioned!$M$4:$M$14,0),FALSE)+HLOOKUP($T45,Commissioned_Extra,MATCH(F$38,'Commissioned Extra'!$M$4:$M$14,0),FALSE)</f>
        <v>0</v>
      </c>
      <c r="G45" s="692">
        <f>HLOOKUP($T45,CommissionedByClass,MATCH(G$38,Commissioned!$M$4:$M$14,0),FALSE)+HLOOKUP($T45,Commissioned_Extra,MATCH(G$38,'Commissioned Extra'!$M$4:$M$14,0),FALSE)</f>
        <v>0</v>
      </c>
      <c r="H45" s="692">
        <f>HLOOKUP($T45,CommissionedByClass,MATCH(H$38,Commissioned!$M$4:$M$14,0),FALSE)+HLOOKUP($T45,Commissioned_Extra,MATCH(H$38,'Commissioned Extra'!$M$4:$M$14,0),FALSE)</f>
        <v>0</v>
      </c>
      <c r="I45" s="692">
        <f>HLOOKUP($T45,CommissionedByClass,MATCH(I$38,Commissioned!$M$4:$M$14,0),FALSE)+HLOOKUP($T45,Commissioned_Extra,MATCH(I$38,'Commissioned Extra'!$M$4:$M$14,0),FALSE)</f>
        <v>1804701.2553640637</v>
      </c>
      <c r="K45" s="687">
        <f t="shared" si="58"/>
        <v>0</v>
      </c>
      <c r="L45" s="687">
        <f t="shared" si="59"/>
        <v>-19378.592941081406</v>
      </c>
      <c r="M45" s="687">
        <f t="shared" si="60"/>
        <v>-2.8041752728516198</v>
      </c>
      <c r="N45" s="687">
        <f t="shared" si="61"/>
        <v>-7001.1110433657459</v>
      </c>
      <c r="O45" s="687">
        <f t="shared" si="62"/>
        <v>0</v>
      </c>
      <c r="P45" s="687">
        <f t="shared" si="63"/>
        <v>0</v>
      </c>
      <c r="Q45" s="687">
        <f t="shared" si="64"/>
        <v>0</v>
      </c>
      <c r="R45" s="687">
        <f t="shared" si="65"/>
        <v>-7069.5290658882723</v>
      </c>
      <c r="T45" s="693" t="s">
        <v>1036</v>
      </c>
      <c r="U45" s="692">
        <v>0</v>
      </c>
      <c r="V45" s="692">
        <f t="shared" si="66"/>
        <v>4779071.8675990533</v>
      </c>
      <c r="W45" s="692">
        <f t="shared" si="45"/>
        <v>687.2489630688309</v>
      </c>
      <c r="X45" s="692">
        <f t="shared" si="46"/>
        <v>1710766.1565218763</v>
      </c>
      <c r="Y45" s="692">
        <f t="shared" si="47"/>
        <v>0</v>
      </c>
      <c r="Z45" s="692">
        <f t="shared" si="48"/>
        <v>0</v>
      </c>
      <c r="AA45" s="692">
        <f t="shared" si="49"/>
        <v>0</v>
      </c>
      <c r="AB45" s="692">
        <f t="shared" si="50"/>
        <v>1797631.7262981753</v>
      </c>
      <c r="AC45" s="692"/>
      <c r="AE45" s="693" t="s">
        <v>1036</v>
      </c>
      <c r="AF45" s="649">
        <f t="shared" si="67"/>
        <v>0</v>
      </c>
      <c r="AG45" s="649">
        <f t="shared" si="51"/>
        <v>4.7789999999999999</v>
      </c>
      <c r="AH45" s="649">
        <f t="shared" si="52"/>
        <v>1E-3</v>
      </c>
      <c r="AI45" s="649">
        <f t="shared" si="53"/>
        <v>1.7110000000000001</v>
      </c>
      <c r="AJ45" s="649">
        <f t="shared" si="54"/>
        <v>0</v>
      </c>
      <c r="AK45" s="649">
        <f t="shared" si="55"/>
        <v>0</v>
      </c>
      <c r="AL45" s="649">
        <f t="shared" si="56"/>
        <v>0</v>
      </c>
      <c r="AM45" s="649">
        <f t="shared" si="57"/>
        <v>1.798</v>
      </c>
    </row>
    <row r="46" spans="1:39" x14ac:dyDescent="0.2">
      <c r="A46" s="693" t="s">
        <v>1037</v>
      </c>
      <c r="B46" s="813">
        <v>3366337.2228809553</v>
      </c>
      <c r="C46" s="692">
        <f>HLOOKUP($T46,CommissionedByClass,MATCH(C$38,Commissioned!$M$4:$M$14,0),FALSE)+HLOOKUP($T46,Commissioned_Extra,MATCH(C$38,'Commissioned Extra'!$M$4:$M$14,0),FALSE)</f>
        <v>2902002.8947774265</v>
      </c>
      <c r="D46" s="692">
        <f>HLOOKUP($T46,CommissionedByClass,MATCH(D$38,Commissioned!$M$4:$M$14,0),FALSE)+HLOOKUP($T46,Commissioned_Extra,MATCH(D$38,'Commissioned Extra'!$M$4:$M$14,0),FALSE)</f>
        <v>6768811.9879039051</v>
      </c>
      <c r="E46" s="692">
        <f>HLOOKUP($T46,CommissionedByClass,MATCH(E$38,Commissioned!$M$4:$M$14,0),FALSE)+HLOOKUP($T46,Commissioned_Extra,MATCH(E$38,'Commissioned Extra'!$M$4:$M$14,0),FALSE)</f>
        <v>557167.93549827428</v>
      </c>
      <c r="F46" s="692">
        <f>HLOOKUP($T46,CommissionedByClass,MATCH(F$38,Commissioned!$M$4:$M$14,0),FALSE)+HLOOKUP($T46,Commissioned_Extra,MATCH(F$38,'Commissioned Extra'!$M$4:$M$14,0),FALSE)</f>
        <v>2160489.2623887155</v>
      </c>
      <c r="G46" s="692">
        <f>HLOOKUP($T46,CommissionedByClass,MATCH(G$38,Commissioned!$M$4:$M$14,0),FALSE)+HLOOKUP($T46,Commissioned_Extra,MATCH(G$38,'Commissioned Extra'!$M$4:$M$14,0),FALSE)</f>
        <v>535353.00377285003</v>
      </c>
      <c r="H46" s="692">
        <f>HLOOKUP($T46,CommissionedByClass,MATCH(H$38,Commissioned!$M$4:$M$14,0),FALSE)+HLOOKUP($T46,Commissioned_Extra,MATCH(H$38,'Commissioned Extra'!$M$4:$M$14,0),FALSE)</f>
        <v>3939790.1810788447</v>
      </c>
      <c r="I46" s="692">
        <f>HLOOKUP($T46,CommissionedByClass,MATCH(I$38,Commissioned!$M$4:$M$14,0),FALSE)+HLOOKUP($T46,Commissioned_Extra,MATCH(I$38,'Commissioned Extra'!$M$4:$M$14,0),FALSE)</f>
        <v>2885454.963107917</v>
      </c>
      <c r="K46" s="687">
        <f t="shared" si="58"/>
        <v>-11042.65259133419</v>
      </c>
      <c r="L46" s="687">
        <f t="shared" si="59"/>
        <v>-11719.769386845224</v>
      </c>
      <c r="M46" s="687">
        <f t="shared" si="60"/>
        <v>-27506.483411808302</v>
      </c>
      <c r="N46" s="687">
        <f t="shared" si="61"/>
        <v>-2270.8516222661733</v>
      </c>
      <c r="O46" s="687">
        <f t="shared" si="62"/>
        <v>-8504.8914636985737</v>
      </c>
      <c r="P46" s="687">
        <f t="shared" si="63"/>
        <v>-2058.2931068334333</v>
      </c>
      <c r="Q46" s="687">
        <f t="shared" si="64"/>
        <v>-14967.133337598054</v>
      </c>
      <c r="R46" s="687">
        <f t="shared" si="65"/>
        <v>-11303.14929929382</v>
      </c>
      <c r="T46" s="693" t="s">
        <v>1037</v>
      </c>
      <c r="U46" s="692">
        <v>3355294.5702896211</v>
      </c>
      <c r="V46" s="692">
        <f t="shared" si="66"/>
        <v>2890283.1253905813</v>
      </c>
      <c r="W46" s="692">
        <f t="shared" si="45"/>
        <v>6741305.5044920966</v>
      </c>
      <c r="X46" s="692">
        <f t="shared" si="46"/>
        <v>554897.08387600805</v>
      </c>
      <c r="Y46" s="692">
        <f t="shared" si="47"/>
        <v>2151984.3709250172</v>
      </c>
      <c r="Z46" s="692">
        <f t="shared" si="48"/>
        <v>533294.71066601656</v>
      </c>
      <c r="AA46" s="692">
        <f t="shared" si="49"/>
        <v>3924823.0477412469</v>
      </c>
      <c r="AB46" s="692">
        <f t="shared" si="50"/>
        <v>2874151.8138086232</v>
      </c>
      <c r="AC46" s="692"/>
      <c r="AE46" s="693" t="s">
        <v>1037</v>
      </c>
      <c r="AF46" s="649">
        <f t="shared" si="67"/>
        <v>3.355</v>
      </c>
      <c r="AG46" s="649">
        <f t="shared" si="51"/>
        <v>2.89</v>
      </c>
      <c r="AH46" s="649">
        <f t="shared" si="52"/>
        <v>6.7409999999999997</v>
      </c>
      <c r="AI46" s="649">
        <f t="shared" si="53"/>
        <v>0.55500000000000005</v>
      </c>
      <c r="AJ46" s="649">
        <f t="shared" si="54"/>
        <v>2.1520000000000001</v>
      </c>
      <c r="AK46" s="649">
        <f t="shared" si="55"/>
        <v>0.53300000000000003</v>
      </c>
      <c r="AL46" s="649">
        <f t="shared" si="56"/>
        <v>3.9249999999999998</v>
      </c>
      <c r="AM46" s="649">
        <f t="shared" si="57"/>
        <v>2.8740000000000001</v>
      </c>
    </row>
    <row r="47" spans="1:39" x14ac:dyDescent="0.2">
      <c r="A47" s="693" t="s">
        <v>41</v>
      </c>
      <c r="B47" s="813">
        <v>0</v>
      </c>
      <c r="C47" s="692">
        <f>HLOOKUP($T47,CommissionedByClass,MATCH(C$38,Commissioned!$M$4:$M$14,0),FALSE)+HLOOKUP($T47,Commissioned_Extra,MATCH(C$38,'Commissioned Extra'!$M$4:$M$14,0),FALSE)</f>
        <v>0</v>
      </c>
      <c r="D47" s="692">
        <f>HLOOKUP($T47,CommissionedByClass,MATCH(D$38,Commissioned!$M$4:$M$14,0),FALSE)+HLOOKUP($T47,Commissioned_Extra,MATCH(D$38,'Commissioned Extra'!$M$4:$M$14,0),FALSE)</f>
        <v>0</v>
      </c>
      <c r="E47" s="692">
        <f>HLOOKUP($T47,CommissionedByClass,MATCH(E$38,Commissioned!$M$4:$M$14,0),FALSE)+HLOOKUP($T47,Commissioned_Extra,MATCH(E$38,'Commissioned Extra'!$M$4:$M$14,0),FALSE)</f>
        <v>0</v>
      </c>
      <c r="F47" s="692">
        <f>HLOOKUP($T47,CommissionedByClass,MATCH(F$38,Commissioned!$M$4:$M$14,0),FALSE)+HLOOKUP($T47,Commissioned_Extra,MATCH(F$38,'Commissioned Extra'!$M$4:$M$14,0),FALSE)</f>
        <v>0</v>
      </c>
      <c r="G47" s="692">
        <f>HLOOKUP($T47,CommissionedByClass,MATCH(G$38,Commissioned!$M$4:$M$14,0),FALSE)+HLOOKUP($T47,Commissioned_Extra,MATCH(G$38,'Commissioned Extra'!$M$4:$M$14,0),FALSE)</f>
        <v>0</v>
      </c>
      <c r="H47" s="692">
        <f>HLOOKUP($T47,CommissionedByClass,MATCH(H$38,Commissioned!$M$4:$M$14,0),FALSE)+HLOOKUP($T47,Commissioned_Extra,MATCH(H$38,'Commissioned Extra'!$M$4:$M$14,0),FALSE)</f>
        <v>0</v>
      </c>
      <c r="I47" s="692">
        <f>HLOOKUP($T47,CommissionedByClass,MATCH(I$38,Commissioned!$M$4:$M$14,0),FALSE)+HLOOKUP($T47,Commissioned_Extra,MATCH(I$38,'Commissioned Extra'!$M$4:$M$14,0),FALSE)</f>
        <v>0</v>
      </c>
      <c r="K47" s="687">
        <f t="shared" si="58"/>
        <v>0</v>
      </c>
      <c r="L47" s="687">
        <f t="shared" si="59"/>
        <v>0</v>
      </c>
      <c r="M47" s="687">
        <f t="shared" si="60"/>
        <v>0</v>
      </c>
      <c r="N47" s="687">
        <f t="shared" si="61"/>
        <v>0</v>
      </c>
      <c r="O47" s="687">
        <f t="shared" si="62"/>
        <v>0</v>
      </c>
      <c r="P47" s="687">
        <f t="shared" si="63"/>
        <v>0</v>
      </c>
      <c r="Q47" s="687">
        <f t="shared" si="64"/>
        <v>0</v>
      </c>
      <c r="R47" s="687">
        <f t="shared" si="65"/>
        <v>0</v>
      </c>
      <c r="T47" s="693" t="s">
        <v>41</v>
      </c>
      <c r="U47" s="692">
        <v>0</v>
      </c>
      <c r="V47" s="692">
        <f t="shared" si="66"/>
        <v>0</v>
      </c>
      <c r="W47" s="692">
        <f t="shared" si="45"/>
        <v>0</v>
      </c>
      <c r="X47" s="692">
        <f t="shared" si="46"/>
        <v>0</v>
      </c>
      <c r="Y47" s="692">
        <f t="shared" si="47"/>
        <v>0</v>
      </c>
      <c r="Z47" s="692">
        <f t="shared" si="48"/>
        <v>0</v>
      </c>
      <c r="AA47" s="692">
        <f t="shared" si="49"/>
        <v>0</v>
      </c>
      <c r="AB47" s="692">
        <f t="shared" si="50"/>
        <v>0</v>
      </c>
      <c r="AC47" s="692"/>
      <c r="AE47" s="693" t="s">
        <v>41</v>
      </c>
      <c r="AF47" s="649">
        <f t="shared" si="67"/>
        <v>0</v>
      </c>
      <c r="AG47" s="649">
        <f t="shared" si="51"/>
        <v>0</v>
      </c>
      <c r="AH47" s="649">
        <f t="shared" si="52"/>
        <v>0</v>
      </c>
      <c r="AI47" s="649">
        <f t="shared" si="53"/>
        <v>0</v>
      </c>
      <c r="AJ47" s="649">
        <f t="shared" si="54"/>
        <v>0</v>
      </c>
      <c r="AK47" s="649">
        <f t="shared" si="55"/>
        <v>0</v>
      </c>
      <c r="AL47" s="649">
        <f t="shared" si="56"/>
        <v>0</v>
      </c>
      <c r="AM47" s="649">
        <f t="shared" si="57"/>
        <v>0</v>
      </c>
    </row>
    <row r="48" spans="1:39" x14ac:dyDescent="0.2">
      <c r="A48" s="693" t="s">
        <v>1038</v>
      </c>
      <c r="B48" s="813">
        <v>18468995.132505994</v>
      </c>
      <c r="C48" s="692">
        <f>HLOOKUP($T48,CommissionedByClass,MATCH(C$38,Commissioned!$M$4:$M$14,0),FALSE)+HLOOKUP($T48,Commissioned_Extra,MATCH(C$38,'Commissioned Extra'!$M$4:$M$14,0),FALSE)</f>
        <v>85757652.274642691</v>
      </c>
      <c r="D48" s="692">
        <f>HLOOKUP($T48,CommissionedByClass,MATCH(D$38,Commissioned!$M$4:$M$14,0),FALSE)+HLOOKUP($T48,Commissioned_Extra,MATCH(D$38,'Commissioned Extra'!$M$4:$M$14,0),FALSE)</f>
        <v>49804126.656195387</v>
      </c>
      <c r="E48" s="692">
        <f>HLOOKUP($T48,CommissionedByClass,MATCH(E$38,Commissioned!$M$4:$M$14,0),FALSE)+HLOOKUP($T48,Commissioned_Extra,MATCH(E$38,'Commissioned Extra'!$M$4:$M$14,0),FALSE)</f>
        <v>22431819.860214144</v>
      </c>
      <c r="F48" s="692">
        <f>HLOOKUP($T48,CommissionedByClass,MATCH(F$38,Commissioned!$M$4:$M$14,0),FALSE)+HLOOKUP($T48,Commissioned_Extra,MATCH(F$38,'Commissioned Extra'!$M$4:$M$14,0),FALSE)</f>
        <v>8287801.1461694594</v>
      </c>
      <c r="G48" s="692">
        <f>HLOOKUP($T48,CommissionedByClass,MATCH(G$38,Commissioned!$M$4:$M$14,0),FALSE)+HLOOKUP($T48,Commissioned_Extra,MATCH(G$38,'Commissioned Extra'!$M$4:$M$14,0),FALSE)</f>
        <v>22026268.087551333</v>
      </c>
      <c r="H48" s="692">
        <f>HLOOKUP($T48,CommissionedByClass,MATCH(H$38,Commissioned!$M$4:$M$14,0),FALSE)+HLOOKUP($T48,Commissioned_Extra,MATCH(H$38,'Commissioned Extra'!$M$4:$M$14,0),FALSE)</f>
        <v>5581836.2496111346</v>
      </c>
      <c r="I48" s="692">
        <f>HLOOKUP($T48,CommissionedByClass,MATCH(I$38,Commissioned!$M$4:$M$14,0),FALSE)+HLOOKUP($T48,Commissioned_Extra,MATCH(I$38,'Commissioned Extra'!$M$4:$M$14,0),FALSE)</f>
        <v>31049951.933311582</v>
      </c>
      <c r="K48" s="687">
        <f t="shared" si="58"/>
        <v>-119006.56813882291</v>
      </c>
      <c r="L48" s="687">
        <f t="shared" si="59"/>
        <v>-346333.18582308298</v>
      </c>
      <c r="M48" s="687">
        <f t="shared" si="60"/>
        <v>-202389.48668634327</v>
      </c>
      <c r="N48" s="687">
        <f t="shared" si="61"/>
        <v>-91425.459497045362</v>
      </c>
      <c r="O48" s="687">
        <f t="shared" si="62"/>
        <v>-32625.410571564273</v>
      </c>
      <c r="P48" s="687">
        <f t="shared" si="63"/>
        <v>-84685.273930224183</v>
      </c>
      <c r="Q48" s="687">
        <f t="shared" si="64"/>
        <v>-21205.212353133735</v>
      </c>
      <c r="R48" s="687">
        <f t="shared" si="65"/>
        <v>-121631.50938945758</v>
      </c>
      <c r="T48" s="693" t="s">
        <v>1038</v>
      </c>
      <c r="U48" s="692">
        <v>18349988.564367171</v>
      </c>
      <c r="V48" s="692">
        <f t="shared" si="66"/>
        <v>85411319.088819608</v>
      </c>
      <c r="W48" s="692">
        <f t="shared" si="45"/>
        <v>49601737.169509046</v>
      </c>
      <c r="X48" s="692">
        <f t="shared" si="46"/>
        <v>22340394.400717098</v>
      </c>
      <c r="Y48" s="692">
        <f t="shared" si="47"/>
        <v>8255175.7355978955</v>
      </c>
      <c r="Z48" s="692">
        <f t="shared" si="48"/>
        <v>21941582.813621107</v>
      </c>
      <c r="AA48" s="692">
        <f t="shared" si="49"/>
        <v>5560631.037258001</v>
      </c>
      <c r="AB48" s="692">
        <f t="shared" si="50"/>
        <v>30928320.423922125</v>
      </c>
      <c r="AC48" s="692"/>
      <c r="AE48" s="693" t="s">
        <v>1038</v>
      </c>
      <c r="AF48" s="649">
        <f t="shared" si="67"/>
        <v>18.350000000000001</v>
      </c>
      <c r="AG48" s="649">
        <f t="shared" si="51"/>
        <v>85.411000000000001</v>
      </c>
      <c r="AH48" s="649">
        <f t="shared" si="52"/>
        <v>49.601999999999997</v>
      </c>
      <c r="AI48" s="649">
        <f t="shared" si="53"/>
        <v>22.34</v>
      </c>
      <c r="AJ48" s="649">
        <f t="shared" si="54"/>
        <v>8.2550000000000008</v>
      </c>
      <c r="AK48" s="649">
        <f t="shared" si="55"/>
        <v>21.942</v>
      </c>
      <c r="AL48" s="649">
        <f t="shared" si="56"/>
        <v>5.5609999999999999</v>
      </c>
      <c r="AM48" s="649">
        <f t="shared" si="57"/>
        <v>30.928000000000001</v>
      </c>
    </row>
    <row r="49" spans="1:39" x14ac:dyDescent="0.2">
      <c r="A49" s="693" t="s">
        <v>1039</v>
      </c>
      <c r="B49" s="813">
        <v>7134828.9454979813</v>
      </c>
      <c r="C49" s="692">
        <f>HLOOKUP($T49,CommissionedByClass,MATCH(C$38,Commissioned!$M$4:$M$14,0),FALSE)+HLOOKUP($T49,Commissioned_Extra,MATCH(C$38,'Commissioned Extra'!$M$4:$M$14,0),FALSE)</f>
        <v>4257979.9117162395</v>
      </c>
      <c r="D49" s="692">
        <f>HLOOKUP($T49,CommissionedByClass,MATCH(D$38,Commissioned!$M$4:$M$14,0),FALSE)+HLOOKUP($T49,Commissioned_Extra,MATCH(D$38,'Commissioned Extra'!$M$4:$M$14,0),FALSE)</f>
        <v>1880672.6263896469</v>
      </c>
      <c r="E49" s="692">
        <f>HLOOKUP($T49,CommissionedByClass,MATCH(E$38,Commissioned!$M$4:$M$14,0),FALSE)+HLOOKUP($T49,Commissioned_Extra,MATCH(E$38,'Commissioned Extra'!$M$4:$M$14,0),FALSE)</f>
        <v>1149704.5259577967</v>
      </c>
      <c r="F49" s="692">
        <f>HLOOKUP($T49,CommissionedByClass,MATCH(F$38,Commissioned!$M$4:$M$14,0),FALSE)+HLOOKUP($T49,Commissioned_Extra,MATCH(F$38,'Commissioned Extra'!$M$4:$M$14,0),FALSE)</f>
        <v>156905.03156035769</v>
      </c>
      <c r="G49" s="692">
        <f>HLOOKUP($T49,CommissionedByClass,MATCH(G$38,Commissioned!$M$4:$M$14,0),FALSE)+HLOOKUP($T49,Commissioned_Extra,MATCH(G$38,'Commissioned Extra'!$M$4:$M$14,0),FALSE)</f>
        <v>216756.91491082791</v>
      </c>
      <c r="H49" s="692">
        <f>HLOOKUP($T49,CommissionedByClass,MATCH(H$38,Commissioned!$M$4:$M$14,0),FALSE)+HLOOKUP($T49,Commissioned_Extra,MATCH(H$38,'Commissioned Extra'!$M$4:$M$14,0),FALSE)</f>
        <v>2211448.4998219246</v>
      </c>
      <c r="I49" s="692">
        <f>HLOOKUP($T49,CommissionedByClass,MATCH(I$38,Commissioned!$M$4:$M$14,0),FALSE)+HLOOKUP($T49,Commissioned_Extra,MATCH(I$38,'Commissioned Extra'!$M$4:$M$14,0),FALSE)</f>
        <v>0</v>
      </c>
      <c r="K49" s="687">
        <f t="shared" si="58"/>
        <v>-25301.113889932632</v>
      </c>
      <c r="L49" s="687">
        <f t="shared" si="59"/>
        <v>-17195.89691276351</v>
      </c>
      <c r="M49" s="687">
        <f t="shared" si="60"/>
        <v>-7642.5066161201194</v>
      </c>
      <c r="N49" s="687">
        <f t="shared" si="61"/>
        <v>-4685.8554155008642</v>
      </c>
      <c r="O49" s="687">
        <f t="shared" si="62"/>
        <v>-617.66576986067207</v>
      </c>
      <c r="P49" s="687">
        <f t="shared" si="63"/>
        <v>-833.37398067301967</v>
      </c>
      <c r="Q49" s="687">
        <f t="shared" si="64"/>
        <v>-8401.220127159746</v>
      </c>
      <c r="R49" s="687">
        <f t="shared" si="65"/>
        <v>0</v>
      </c>
      <c r="T49" s="693" t="s">
        <v>1039</v>
      </c>
      <c r="U49" s="692">
        <v>7109527.8316080486</v>
      </c>
      <c r="V49" s="692">
        <f t="shared" si="66"/>
        <v>4240784.0148034757</v>
      </c>
      <c r="W49" s="692">
        <f t="shared" si="45"/>
        <v>1873030.1197735267</v>
      </c>
      <c r="X49" s="692">
        <f t="shared" si="46"/>
        <v>1145018.6705422958</v>
      </c>
      <c r="Y49" s="692">
        <f t="shared" si="47"/>
        <v>156287.36579049702</v>
      </c>
      <c r="Z49" s="692">
        <f t="shared" si="48"/>
        <v>215923.54093015488</v>
      </c>
      <c r="AA49" s="692">
        <f t="shared" si="49"/>
        <v>2203047.2796947649</v>
      </c>
      <c r="AB49" s="692">
        <f t="shared" si="50"/>
        <v>0</v>
      </c>
      <c r="AC49" s="692"/>
      <c r="AE49" s="693" t="s">
        <v>1039</v>
      </c>
      <c r="AF49" s="649">
        <f t="shared" si="67"/>
        <v>7.11</v>
      </c>
      <c r="AG49" s="649">
        <f t="shared" si="51"/>
        <v>4.2409999999999997</v>
      </c>
      <c r="AH49" s="649">
        <f t="shared" si="52"/>
        <v>1.873</v>
      </c>
      <c r="AI49" s="649">
        <f t="shared" si="53"/>
        <v>1.145</v>
      </c>
      <c r="AJ49" s="649">
        <f t="shared" si="54"/>
        <v>0.156</v>
      </c>
      <c r="AK49" s="649">
        <f t="shared" si="55"/>
        <v>0.216</v>
      </c>
      <c r="AL49" s="649">
        <f t="shared" si="56"/>
        <v>2.2029999999999998</v>
      </c>
      <c r="AM49" s="649">
        <f t="shared" si="57"/>
        <v>0</v>
      </c>
    </row>
    <row r="50" spans="1:39" x14ac:dyDescent="0.2">
      <c r="A50" s="693" t="s">
        <v>1040</v>
      </c>
      <c r="B50" s="813">
        <v>33162308.417136926</v>
      </c>
      <c r="C50" s="692">
        <f>HLOOKUP($T50,CommissionedByClass,MATCH(C$38,Commissioned!$M$4:$M$14,0),FALSE)+HLOOKUP($T50,Commissioned_Extra,MATCH(C$38,'Commissioned Extra'!$M$4:$M$14,0),FALSE)</f>
        <v>21629890.13655968</v>
      </c>
      <c r="D50" s="692">
        <f>HLOOKUP($T50,CommissionedByClass,MATCH(D$38,Commissioned!$M$4:$M$14,0),FALSE)+HLOOKUP($T50,Commissioned_Extra,MATCH(D$38,'Commissioned Extra'!$M$4:$M$14,0),FALSE)</f>
        <v>11938759.725627532</v>
      </c>
      <c r="E50" s="692">
        <f>HLOOKUP($T50,CommissionedByClass,MATCH(E$38,Commissioned!$M$4:$M$14,0),FALSE)+HLOOKUP($T50,Commissioned_Extra,MATCH(E$38,'Commissioned Extra'!$M$4:$M$14,0),FALSE)</f>
        <v>19446095.369768087</v>
      </c>
      <c r="F50" s="692">
        <f>HLOOKUP($T50,CommissionedByClass,MATCH(F$38,Commissioned!$M$4:$M$14,0),FALSE)+HLOOKUP($T50,Commissioned_Extra,MATCH(F$38,'Commissioned Extra'!$M$4:$M$14,0),FALSE)</f>
        <v>15736720.635485407</v>
      </c>
      <c r="G50" s="692">
        <f>HLOOKUP($T50,CommissionedByClass,MATCH(G$38,Commissioned!$M$4:$M$14,0),FALSE)+HLOOKUP($T50,Commissioned_Extra,MATCH(G$38,'Commissioned Extra'!$M$4:$M$14,0),FALSE)</f>
        <v>10207347.920693949</v>
      </c>
      <c r="H50" s="692">
        <f>HLOOKUP($T50,CommissionedByClass,MATCH(H$38,Commissioned!$M$4:$M$14,0),FALSE)+HLOOKUP($T50,Commissioned_Extra,MATCH(H$38,'Commissioned Extra'!$M$4:$M$14,0),FALSE)</f>
        <v>377811.89958706754</v>
      </c>
      <c r="I50" s="692">
        <f>HLOOKUP($T50,CommissionedByClass,MATCH(I$38,Commissioned!$M$4:$M$14,0),FALSE)+HLOOKUP($T50,Commissioned_Extra,MATCH(I$38,'Commissioned Extra'!$M$4:$M$14,0),FALSE)</f>
        <v>2161824.6442765202</v>
      </c>
      <c r="K50" s="687">
        <f t="shared" si="58"/>
        <v>-118402.44878697395</v>
      </c>
      <c r="L50" s="687">
        <f t="shared" si="59"/>
        <v>-87352.540109275113</v>
      </c>
      <c r="M50" s="687">
        <f t="shared" si="60"/>
        <v>-48515.647492852309</v>
      </c>
      <c r="N50" s="687">
        <f t="shared" si="61"/>
        <v>-79256.530040066093</v>
      </c>
      <c r="O50" s="687">
        <f t="shared" si="62"/>
        <v>-61948.514778255209</v>
      </c>
      <c r="P50" s="687">
        <f t="shared" si="63"/>
        <v>-39244.598827597772</v>
      </c>
      <c r="Q50" s="687">
        <f t="shared" si="64"/>
        <v>-1435.294982156229</v>
      </c>
      <c r="R50" s="687">
        <f t="shared" si="65"/>
        <v>-8468.4831423710457</v>
      </c>
      <c r="T50" s="693" t="s">
        <v>1040</v>
      </c>
      <c r="U50" s="692">
        <v>33043905.968349952</v>
      </c>
      <c r="V50" s="692">
        <f t="shared" si="66"/>
        <v>21542537.596450403</v>
      </c>
      <c r="W50" s="692">
        <f t="shared" si="45"/>
        <v>11890244.07813468</v>
      </c>
      <c r="X50" s="692">
        <f t="shared" si="46"/>
        <v>19366838.83972802</v>
      </c>
      <c r="Y50" s="692">
        <f t="shared" si="47"/>
        <v>15674772.120707152</v>
      </c>
      <c r="Z50" s="692">
        <f t="shared" si="48"/>
        <v>10168103.32186635</v>
      </c>
      <c r="AA50" s="692">
        <f t="shared" si="49"/>
        <v>376376.60460491129</v>
      </c>
      <c r="AB50" s="692">
        <f t="shared" si="50"/>
        <v>2153356.1611341494</v>
      </c>
      <c r="AC50" s="692"/>
      <c r="AE50" s="693" t="s">
        <v>1040</v>
      </c>
      <c r="AF50" s="649">
        <f t="shared" si="67"/>
        <v>33.043999999999997</v>
      </c>
      <c r="AG50" s="649">
        <f t="shared" si="51"/>
        <v>21.542999999999999</v>
      </c>
      <c r="AH50" s="649">
        <f t="shared" si="52"/>
        <v>11.89</v>
      </c>
      <c r="AI50" s="649">
        <f t="shared" si="53"/>
        <v>19.367000000000001</v>
      </c>
      <c r="AJ50" s="649">
        <f t="shared" si="54"/>
        <v>15.675000000000001</v>
      </c>
      <c r="AK50" s="649">
        <f t="shared" si="55"/>
        <v>10.167999999999999</v>
      </c>
      <c r="AL50" s="649">
        <f t="shared" si="56"/>
        <v>0.376</v>
      </c>
      <c r="AM50" s="649">
        <f t="shared" si="57"/>
        <v>2.153</v>
      </c>
    </row>
    <row r="51" spans="1:39" x14ac:dyDescent="0.2">
      <c r="A51" s="693" t="s">
        <v>1041</v>
      </c>
      <c r="B51" s="813">
        <v>276033.61</v>
      </c>
      <c r="C51" s="692">
        <f>HLOOKUP($T51,CommissionedByClass,MATCH(C$38,Commissioned!$M$4:$M$14,0),FALSE)+HLOOKUP($T51,Commissioned_Extra,MATCH(C$38,'Commissioned Extra'!$M$4:$M$14,0),FALSE)</f>
        <v>1873938.7341454036</v>
      </c>
      <c r="D51" s="692">
        <f>HLOOKUP($T51,CommissionedByClass,MATCH(D$38,Commissioned!$M$4:$M$14,0),FALSE)+HLOOKUP($T51,Commissioned_Extra,MATCH(D$38,'Commissioned Extra'!$M$4:$M$14,0),FALSE)</f>
        <v>433341.00292704802</v>
      </c>
      <c r="E51" s="692">
        <f>HLOOKUP($T51,CommissionedByClass,MATCH(E$38,Commissioned!$M$4:$M$14,0),FALSE)+HLOOKUP($T51,Commissioned_Extra,MATCH(E$38,'Commissioned Extra'!$M$4:$M$14,0),FALSE)</f>
        <v>203090.49980068646</v>
      </c>
      <c r="F51" s="692">
        <f>HLOOKUP($T51,CommissionedByClass,MATCH(F$38,Commissioned!$M$4:$M$14,0),FALSE)+HLOOKUP($T51,Commissioned_Extra,MATCH(F$38,'Commissioned Extra'!$M$4:$M$14,0),FALSE)</f>
        <v>220284.26361425949</v>
      </c>
      <c r="G51" s="692">
        <f>HLOOKUP($T51,CommissionedByClass,MATCH(G$38,Commissioned!$M$4:$M$14,0),FALSE)+HLOOKUP($T51,Commissioned_Extra,MATCH(G$38,'Commissioned Extra'!$M$4:$M$14,0),FALSE)</f>
        <v>3280978.6199169732</v>
      </c>
      <c r="H51" s="692">
        <f>HLOOKUP($T51,CommissionedByClass,MATCH(H$38,Commissioned!$M$4:$M$14,0),FALSE)+HLOOKUP($T51,Commissioned_Extra,MATCH(H$38,'Commissioned Extra'!$M$4:$M$14,0),FALSE)</f>
        <v>174721.46845743907</v>
      </c>
      <c r="I51" s="692">
        <f>HLOOKUP($T51,CommissionedByClass,MATCH(I$38,Commissioned!$M$4:$M$14,0),FALSE)+HLOOKUP($T51,Commissioned_Extra,MATCH(I$38,'Commissioned Extra'!$M$4:$M$14,0),FALSE)</f>
        <v>47806.826242625772</v>
      </c>
      <c r="K51" s="687">
        <f t="shared" si="58"/>
        <v>-10.539253622759134</v>
      </c>
      <c r="L51" s="687">
        <f t="shared" si="59"/>
        <v>-7567.9213996598073</v>
      </c>
      <c r="M51" s="687">
        <f t="shared" si="60"/>
        <v>-1760.9718115926548</v>
      </c>
      <c r="N51" s="687">
        <f t="shared" si="61"/>
        <v>-827.73677657311146</v>
      </c>
      <c r="O51" s="687">
        <f t="shared" si="62"/>
        <v>-867.16179793860169</v>
      </c>
      <c r="P51" s="687">
        <f t="shared" si="63"/>
        <v>-12614.509733671661</v>
      </c>
      <c r="Q51" s="687">
        <f t="shared" si="64"/>
        <v>-663.76111294011298</v>
      </c>
      <c r="R51" s="687">
        <f t="shared" si="65"/>
        <v>-187.27296092113255</v>
      </c>
      <c r="T51" s="693" t="s">
        <v>1041</v>
      </c>
      <c r="U51" s="692">
        <v>276023.07074637723</v>
      </c>
      <c r="V51" s="692">
        <f t="shared" si="66"/>
        <v>1866370.8127457439</v>
      </c>
      <c r="W51" s="692">
        <f t="shared" si="45"/>
        <v>431580.03111545538</v>
      </c>
      <c r="X51" s="692">
        <f t="shared" si="46"/>
        <v>202262.76302411334</v>
      </c>
      <c r="Y51" s="692">
        <f t="shared" si="47"/>
        <v>219417.10181632088</v>
      </c>
      <c r="Z51" s="692">
        <f t="shared" si="48"/>
        <v>3268364.1101833014</v>
      </c>
      <c r="AA51" s="692">
        <f t="shared" si="49"/>
        <v>174057.70734449895</v>
      </c>
      <c r="AB51" s="692">
        <f t="shared" si="50"/>
        <v>47619.553281704641</v>
      </c>
      <c r="AC51" s="692"/>
      <c r="AE51" s="693" t="s">
        <v>1041</v>
      </c>
      <c r="AF51" s="649">
        <f t="shared" si="67"/>
        <v>0.27600000000000002</v>
      </c>
      <c r="AG51" s="649">
        <f t="shared" si="51"/>
        <v>1.8660000000000001</v>
      </c>
      <c r="AH51" s="649">
        <f t="shared" si="52"/>
        <v>0.432</v>
      </c>
      <c r="AI51" s="649">
        <f t="shared" si="53"/>
        <v>0.20200000000000001</v>
      </c>
      <c r="AJ51" s="649">
        <f t="shared" si="54"/>
        <v>0.219</v>
      </c>
      <c r="AK51" s="649">
        <f t="shared" si="55"/>
        <v>3.2679999999999998</v>
      </c>
      <c r="AL51" s="649">
        <f t="shared" si="56"/>
        <v>0.17399999999999999</v>
      </c>
      <c r="AM51" s="649">
        <f t="shared" si="57"/>
        <v>4.8000000000000001E-2</v>
      </c>
    </row>
    <row r="52" spans="1:39" x14ac:dyDescent="0.2">
      <c r="A52" s="693" t="s">
        <v>1042</v>
      </c>
      <c r="B52" s="813">
        <v>-4135744.2799999989</v>
      </c>
      <c r="C52" s="692">
        <f>HLOOKUP($T52,CommissionedByClass,MATCH(C$38,Commissioned!$M$4:$M$14,0),FALSE)+HLOOKUP($T52,Commissioned_Extra,MATCH(C$38,'Commissioned Extra'!$M$4:$M$14,0),FALSE)</f>
        <v>0</v>
      </c>
      <c r="D52" s="692">
        <f>HLOOKUP($T52,CommissionedByClass,MATCH(D$38,Commissioned!$M$4:$M$14,0),FALSE)+HLOOKUP($T52,Commissioned_Extra,MATCH(D$38,'Commissioned Extra'!$M$4:$M$14,0),FALSE)</f>
        <v>0</v>
      </c>
      <c r="E52" s="692">
        <f>HLOOKUP($T52,CommissionedByClass,MATCH(E$38,Commissioned!$M$4:$M$14,0),FALSE)+HLOOKUP($T52,Commissioned_Extra,MATCH(E$38,'Commissioned Extra'!$M$4:$M$14,0),FALSE)</f>
        <v>0</v>
      </c>
      <c r="F52" s="692">
        <f>HLOOKUP($T52,CommissionedByClass,MATCH(F$38,Commissioned!$M$4:$M$14,0),FALSE)+HLOOKUP($T52,Commissioned_Extra,MATCH(F$38,'Commissioned Extra'!$M$4:$M$14,0),FALSE)</f>
        <v>0</v>
      </c>
      <c r="G52" s="692">
        <f>HLOOKUP($T52,CommissionedByClass,MATCH(G$38,Commissioned!$M$4:$M$14,0),FALSE)+HLOOKUP($T52,Commissioned_Extra,MATCH(G$38,'Commissioned Extra'!$M$4:$M$14,0),FALSE)</f>
        <v>0</v>
      </c>
      <c r="H52" s="692">
        <f>HLOOKUP($T52,CommissionedByClass,MATCH(H$38,Commissioned!$M$4:$M$14,0),FALSE)+HLOOKUP($T52,Commissioned_Extra,MATCH(H$38,'Commissioned Extra'!$M$4:$M$14,0),FALSE)</f>
        <v>0</v>
      </c>
      <c r="I52" s="692">
        <f>HLOOKUP($T52,CommissionedByClass,MATCH(I$38,Commissioned!$M$4:$M$14,0),FALSE)+HLOOKUP($T52,Commissioned_Extra,MATCH(I$38,'Commissioned Extra'!$M$4:$M$14,0),FALSE)</f>
        <v>0</v>
      </c>
      <c r="K52" s="687">
        <f t="shared" si="58"/>
        <v>0</v>
      </c>
      <c r="L52" s="687">
        <f t="shared" si="59"/>
        <v>0</v>
      </c>
      <c r="M52" s="687">
        <f t="shared" si="60"/>
        <v>0</v>
      </c>
      <c r="N52" s="687">
        <f t="shared" si="61"/>
        <v>0</v>
      </c>
      <c r="O52" s="687">
        <f t="shared" si="62"/>
        <v>0</v>
      </c>
      <c r="P52" s="687">
        <f t="shared" si="63"/>
        <v>0</v>
      </c>
      <c r="Q52" s="687">
        <f t="shared" si="64"/>
        <v>0</v>
      </c>
      <c r="R52" s="687">
        <f t="shared" si="65"/>
        <v>0</v>
      </c>
      <c r="T52" s="693" t="s">
        <v>1042</v>
      </c>
      <c r="U52" s="692">
        <v>-4135744.2799999989</v>
      </c>
      <c r="V52" s="692">
        <f t="shared" si="66"/>
        <v>0</v>
      </c>
      <c r="W52" s="692">
        <f t="shared" si="45"/>
        <v>0</v>
      </c>
      <c r="X52" s="692">
        <f t="shared" si="46"/>
        <v>0</v>
      </c>
      <c r="Y52" s="692">
        <f t="shared" si="47"/>
        <v>0</v>
      </c>
      <c r="Z52" s="692">
        <f t="shared" si="48"/>
        <v>0</v>
      </c>
      <c r="AA52" s="692">
        <f t="shared" si="49"/>
        <v>0</v>
      </c>
      <c r="AB52" s="692">
        <f t="shared" si="50"/>
        <v>0</v>
      </c>
      <c r="AC52" s="692"/>
      <c r="AE52" s="693" t="s">
        <v>1042</v>
      </c>
      <c r="AF52" s="649">
        <f t="shared" si="67"/>
        <v>-4.1360000000000001</v>
      </c>
      <c r="AG52" s="649">
        <f t="shared" si="51"/>
        <v>0</v>
      </c>
      <c r="AH52" s="649">
        <f t="shared" si="52"/>
        <v>0</v>
      </c>
      <c r="AI52" s="649">
        <f t="shared" si="53"/>
        <v>0</v>
      </c>
      <c r="AJ52" s="649">
        <f t="shared" si="54"/>
        <v>0</v>
      </c>
      <c r="AK52" s="649">
        <f t="shared" si="55"/>
        <v>0</v>
      </c>
      <c r="AL52" s="649">
        <f t="shared" si="56"/>
        <v>0</v>
      </c>
      <c r="AM52" s="649">
        <f t="shared" si="57"/>
        <v>0</v>
      </c>
    </row>
    <row r="53" spans="1:39" x14ac:dyDescent="0.2">
      <c r="A53" s="693" t="s">
        <v>1043</v>
      </c>
      <c r="B53" s="813">
        <v>31318011.495975733</v>
      </c>
      <c r="C53" s="692">
        <f>HLOOKUP($T53,CommissionedByClass,MATCH(C$38,Commissioned!$M$4:$M$14,0),FALSE)+HLOOKUP($T53,Commissioned_Extra,MATCH(C$38,'Commissioned Extra'!$M$4:$M$14,0),FALSE)</f>
        <v>49728058.824839585</v>
      </c>
      <c r="D53" s="692">
        <f>HLOOKUP($T53,CommissionedByClass,MATCH(D$38,Commissioned!$M$4:$M$14,0),FALSE)+HLOOKUP($T53,Commissioned_Extra,MATCH(D$38,'Commissioned Extra'!$M$4:$M$14,0),FALSE)</f>
        <v>25597491.160929669</v>
      </c>
      <c r="E53" s="692">
        <f>HLOOKUP($T53,CommissionedByClass,MATCH(E$38,Commissioned!$M$4:$M$14,0),FALSE)+HLOOKUP($T53,Commissioned_Extra,MATCH(E$38,'Commissioned Extra'!$M$4:$M$14,0),FALSE)</f>
        <v>21471907.520603523</v>
      </c>
      <c r="F53" s="692">
        <f>HLOOKUP($T53,CommissionedByClass,MATCH(F$38,Commissioned!$M$4:$M$14,0),FALSE)+HLOOKUP($T53,Commissioned_Extra,MATCH(F$38,'Commissioned Extra'!$M$4:$M$14,0),FALSE)</f>
        <v>10503192.769880839</v>
      </c>
      <c r="G53" s="692">
        <f>HLOOKUP($T53,CommissionedByClass,MATCH(G$38,Commissioned!$M$4:$M$14,0),FALSE)+HLOOKUP($T53,Commissioned_Extra,MATCH(G$38,'Commissioned Extra'!$M$4:$M$14,0),FALSE)</f>
        <v>13571502.534254957</v>
      </c>
      <c r="H53" s="692">
        <f>HLOOKUP($T53,CommissionedByClass,MATCH(H$38,Commissioned!$M$4:$M$14,0),FALSE)+HLOOKUP($T53,Commissioned_Extra,MATCH(H$38,'Commissioned Extra'!$M$4:$M$14,0),FALSE)</f>
        <v>6238583.3666177616</v>
      </c>
      <c r="I53" s="692">
        <f>HLOOKUP($T53,CommissionedByClass,MATCH(I$38,Commissioned!$M$4:$M$14,0),FALSE)+HLOOKUP($T53,Commissioned_Extra,MATCH(I$38,'Commissioned Extra'!$M$4:$M$14,0),FALSE)</f>
        <v>38062376.904520102</v>
      </c>
      <c r="K53" s="687">
        <f t="shared" si="58"/>
        <v>-101053.10497032106</v>
      </c>
      <c r="L53" s="687">
        <f t="shared" si="59"/>
        <v>-200827.291568671</v>
      </c>
      <c r="M53" s="687">
        <f t="shared" si="60"/>
        <v>-104020.75981136225</v>
      </c>
      <c r="N53" s="687">
        <f t="shared" si="61"/>
        <v>-87513.140867853799</v>
      </c>
      <c r="O53" s="687">
        <f t="shared" si="62"/>
        <v>-41346.428369366331</v>
      </c>
      <c r="P53" s="687">
        <f t="shared" si="63"/>
        <v>-52178.898630933778</v>
      </c>
      <c r="Q53" s="687">
        <f t="shared" si="64"/>
        <v>-23700.173053459563</v>
      </c>
      <c r="R53" s="687">
        <f t="shared" si="65"/>
        <v>-149101.1761883088</v>
      </c>
      <c r="T53" s="693" t="s">
        <v>1043</v>
      </c>
      <c r="U53" s="692">
        <v>31216958.391005412</v>
      </c>
      <c r="V53" s="692">
        <f t="shared" si="66"/>
        <v>49527231.53327091</v>
      </c>
      <c r="W53" s="692">
        <f t="shared" si="45"/>
        <v>25493470.401118308</v>
      </c>
      <c r="X53" s="692">
        <f t="shared" si="46"/>
        <v>21384394.379735667</v>
      </c>
      <c r="Y53" s="692">
        <f t="shared" si="47"/>
        <v>10461846.341511473</v>
      </c>
      <c r="Z53" s="692">
        <f t="shared" si="48"/>
        <v>13519323.635624023</v>
      </c>
      <c r="AA53" s="692">
        <f t="shared" si="49"/>
        <v>6214883.1935643023</v>
      </c>
      <c r="AB53" s="692">
        <f t="shared" si="50"/>
        <v>37913275.728331789</v>
      </c>
      <c r="AC53" s="692"/>
      <c r="AE53" s="693" t="s">
        <v>1043</v>
      </c>
      <c r="AF53" s="649">
        <f t="shared" si="67"/>
        <v>31.216999999999999</v>
      </c>
      <c r="AG53" s="649">
        <f t="shared" si="51"/>
        <v>49.527000000000001</v>
      </c>
      <c r="AH53" s="649">
        <f t="shared" si="52"/>
        <v>25.492999999999999</v>
      </c>
      <c r="AI53" s="649">
        <f t="shared" si="53"/>
        <v>21.384</v>
      </c>
      <c r="AJ53" s="649">
        <f t="shared" si="54"/>
        <v>10.462</v>
      </c>
      <c r="AK53" s="649">
        <f t="shared" si="55"/>
        <v>13.519</v>
      </c>
      <c r="AL53" s="649">
        <f t="shared" si="56"/>
        <v>6.2149999999999999</v>
      </c>
      <c r="AM53" s="649">
        <f t="shared" si="57"/>
        <v>37.912999999999997</v>
      </c>
    </row>
    <row r="54" spans="1:39" x14ac:dyDescent="0.2">
      <c r="A54" s="693" t="s">
        <v>1044</v>
      </c>
      <c r="B54" s="813">
        <v>13212138.807792637</v>
      </c>
      <c r="C54" s="692">
        <f>HLOOKUP($T54,CommissionedByClass,MATCH(C$38,Commissioned!$M$4:$M$14,0),FALSE)+HLOOKUP($T54,Commissioned_Extra,MATCH(C$38,'Commissioned Extra'!$M$4:$M$14,0),FALSE)</f>
        <v>6118266.6785737416</v>
      </c>
      <c r="D54" s="692">
        <f>HLOOKUP($T54,CommissionedByClass,MATCH(D$38,Commissioned!$M$4:$M$14,0),FALSE)+HLOOKUP($T54,Commissioned_Extra,MATCH(D$38,'Commissioned Extra'!$M$4:$M$14,0),FALSE)</f>
        <v>15008062.689809881</v>
      </c>
      <c r="E54" s="692">
        <f>HLOOKUP($T54,CommissionedByClass,MATCH(E$38,Commissioned!$M$4:$M$14,0),FALSE)+HLOOKUP($T54,Commissioned_Extra,MATCH(E$38,'Commissioned Extra'!$M$4:$M$14,0),FALSE)</f>
        <v>1042880.6293630921</v>
      </c>
      <c r="F54" s="692">
        <f>HLOOKUP($T54,CommissionedByClass,MATCH(F$38,Commissioned!$M$4:$M$14,0),FALSE)+HLOOKUP($T54,Commissioned_Extra,MATCH(F$38,'Commissioned Extra'!$M$4:$M$14,0),FALSE)</f>
        <v>233848.73793226818</v>
      </c>
      <c r="G54" s="692">
        <f>HLOOKUP($T54,CommissionedByClass,MATCH(G$38,Commissioned!$M$4:$M$14,0),FALSE)+HLOOKUP($T54,Commissioned_Extra,MATCH(G$38,'Commissioned Extra'!$M$4:$M$14,0),FALSE)</f>
        <v>696838.03410445107</v>
      </c>
      <c r="H54" s="692">
        <f>HLOOKUP($T54,CommissionedByClass,MATCH(H$38,Commissioned!$M$4:$M$14,0),FALSE)+HLOOKUP($T54,Commissioned_Extra,MATCH(H$38,'Commissioned Extra'!$M$4:$M$14,0),FALSE)</f>
        <v>10446821.128471749</v>
      </c>
      <c r="I54" s="692">
        <f>HLOOKUP($T54,CommissionedByClass,MATCH(I$38,Commissioned!$M$4:$M$14,0),FALSE)+HLOOKUP($T54,Commissioned_Extra,MATCH(I$38,'Commissioned Extra'!$M$4:$M$14,0),FALSE)</f>
        <v>157932.7669213948</v>
      </c>
      <c r="K54" s="687">
        <f t="shared" si="58"/>
        <v>-42307.987441062927</v>
      </c>
      <c r="L54" s="687">
        <f t="shared" si="59"/>
        <v>-24708.684698125791</v>
      </c>
      <c r="M54" s="687">
        <f t="shared" si="60"/>
        <v>-60988.402124088549</v>
      </c>
      <c r="N54" s="687">
        <f t="shared" si="61"/>
        <v>-4250.4728253991225</v>
      </c>
      <c r="O54" s="687">
        <f t="shared" si="62"/>
        <v>-920.55913892294882</v>
      </c>
      <c r="P54" s="687">
        <f t="shared" si="63"/>
        <v>-2679.1610620814299</v>
      </c>
      <c r="Q54" s="687">
        <f t="shared" si="64"/>
        <v>-39687.129922501859</v>
      </c>
      <c r="R54" s="687">
        <f t="shared" si="65"/>
        <v>-618.66765088592126</v>
      </c>
      <c r="T54" s="693" t="s">
        <v>1044</v>
      </c>
      <c r="U54" s="692">
        <v>13169830.820351575</v>
      </c>
      <c r="V54" s="692">
        <f t="shared" si="66"/>
        <v>6093557.9938756162</v>
      </c>
      <c r="W54" s="692">
        <f t="shared" si="45"/>
        <v>14947074.287685793</v>
      </c>
      <c r="X54" s="692">
        <f t="shared" si="46"/>
        <v>1038630.156537693</v>
      </c>
      <c r="Y54" s="692">
        <f t="shared" si="47"/>
        <v>232928.17879334523</v>
      </c>
      <c r="Z54" s="692">
        <f t="shared" si="48"/>
        <v>694158.87304236961</v>
      </c>
      <c r="AA54" s="692">
        <f t="shared" si="49"/>
        <v>10407133.998549247</v>
      </c>
      <c r="AB54" s="692">
        <f t="shared" si="50"/>
        <v>157314.09927050889</v>
      </c>
      <c r="AC54" s="692"/>
      <c r="AE54" s="693" t="s">
        <v>1044</v>
      </c>
      <c r="AF54" s="649">
        <f t="shared" si="67"/>
        <v>13.17</v>
      </c>
      <c r="AG54" s="649">
        <f t="shared" si="51"/>
        <v>6.0940000000000003</v>
      </c>
      <c r="AH54" s="649">
        <f t="shared" si="52"/>
        <v>14.946999999999999</v>
      </c>
      <c r="AI54" s="649">
        <f t="shared" si="53"/>
        <v>1.0389999999999999</v>
      </c>
      <c r="AJ54" s="649">
        <f t="shared" si="54"/>
        <v>0.23300000000000001</v>
      </c>
      <c r="AK54" s="649">
        <f t="shared" si="55"/>
        <v>0.69399999999999995</v>
      </c>
      <c r="AL54" s="649">
        <f t="shared" si="56"/>
        <v>10.407</v>
      </c>
      <c r="AM54" s="649">
        <f t="shared" si="57"/>
        <v>0.157</v>
      </c>
    </row>
    <row r="55" spans="1:39" x14ac:dyDescent="0.2">
      <c r="A55" s="693" t="s">
        <v>1045</v>
      </c>
      <c r="B55" s="813">
        <v>0</v>
      </c>
      <c r="C55" s="692">
        <f>HLOOKUP($T55,CommissionedByClass,MATCH(C$38,Commissioned!$M$4:$M$14,0),FALSE)+HLOOKUP($T55,Commissioned_Extra,MATCH(C$38,'Commissioned Extra'!$M$4:$M$14,0),FALSE)</f>
        <v>3593974.9234486171</v>
      </c>
      <c r="D55" s="692">
        <f>HLOOKUP($T55,CommissionedByClass,MATCH(D$38,Commissioned!$M$4:$M$14,0),FALSE)+HLOOKUP($T55,Commissioned_Extra,MATCH(D$38,'Commissioned Extra'!$M$4:$M$14,0),FALSE)</f>
        <v>4218840.6158435037</v>
      </c>
      <c r="E55" s="692">
        <f>HLOOKUP($T55,CommissionedByClass,MATCH(E$38,Commissioned!$M$4:$M$14,0),FALSE)+HLOOKUP($T55,Commissioned_Extra,MATCH(E$38,'Commissioned Extra'!$M$4:$M$14,0),FALSE)</f>
        <v>582467.11425771657</v>
      </c>
      <c r="F55" s="692">
        <f>HLOOKUP($T55,CommissionedByClass,MATCH(F$38,Commissioned!$M$4:$M$14,0),FALSE)+HLOOKUP($T55,Commissioned_Extra,MATCH(F$38,'Commissioned Extra'!$M$4:$M$14,0),FALSE)</f>
        <v>0</v>
      </c>
      <c r="G55" s="692">
        <f>HLOOKUP($T55,CommissionedByClass,MATCH(G$38,Commissioned!$M$4:$M$14,0),FALSE)+HLOOKUP($T55,Commissioned_Extra,MATCH(G$38,'Commissioned Extra'!$M$4:$M$14,0),FALSE)</f>
        <v>24203.765558937881</v>
      </c>
      <c r="H55" s="692">
        <f>HLOOKUP($T55,CommissionedByClass,MATCH(H$38,Commissioned!$M$4:$M$14,0),FALSE)+HLOOKUP($T55,Commissioned_Extra,MATCH(H$38,'Commissioned Extra'!$M$4:$M$14,0),FALSE)</f>
        <v>13736.106338931642</v>
      </c>
      <c r="I55" s="692">
        <f>HLOOKUP($T55,CommissionedByClass,MATCH(I$38,Commissioned!$M$4:$M$14,0),FALSE)+HLOOKUP($T55,Commissioned_Extra,MATCH(I$38,'Commissioned Extra'!$M$4:$M$14,0),FALSE)</f>
        <v>125291.08130799253</v>
      </c>
      <c r="K55" s="687">
        <f t="shared" si="58"/>
        <v>0</v>
      </c>
      <c r="L55" s="687">
        <f t="shared" si="59"/>
        <v>-14514.30574405165</v>
      </c>
      <c r="M55" s="687">
        <f t="shared" si="60"/>
        <v>-17144.141338855268</v>
      </c>
      <c r="N55" s="687">
        <f t="shared" si="61"/>
        <v>-2373.9635880983483</v>
      </c>
      <c r="O55" s="687">
        <f t="shared" si="62"/>
        <v>0</v>
      </c>
      <c r="P55" s="687">
        <f t="shared" si="63"/>
        <v>-93.057185554733977</v>
      </c>
      <c r="Q55" s="687">
        <f t="shared" si="64"/>
        <v>-52.183016268627377</v>
      </c>
      <c r="R55" s="687">
        <f t="shared" si="65"/>
        <v>-490.80086710791437</v>
      </c>
      <c r="T55" s="693" t="s">
        <v>1045</v>
      </c>
      <c r="U55" s="692">
        <v>0</v>
      </c>
      <c r="V55" s="692">
        <f t="shared" si="66"/>
        <v>3579460.6177045656</v>
      </c>
      <c r="W55" s="692">
        <f t="shared" si="45"/>
        <v>4201696.4745046487</v>
      </c>
      <c r="X55" s="692">
        <f t="shared" si="46"/>
        <v>580093.15066961828</v>
      </c>
      <c r="Y55" s="692">
        <f t="shared" si="47"/>
        <v>0</v>
      </c>
      <c r="Z55" s="692">
        <f t="shared" si="48"/>
        <v>24110.708373383146</v>
      </c>
      <c r="AA55" s="692">
        <f t="shared" si="49"/>
        <v>13683.923322663015</v>
      </c>
      <c r="AB55" s="692">
        <f t="shared" si="50"/>
        <v>124800.28044088461</v>
      </c>
      <c r="AC55" s="692"/>
      <c r="AE55" s="693" t="s">
        <v>1045</v>
      </c>
      <c r="AF55" s="649">
        <f t="shared" si="67"/>
        <v>0</v>
      </c>
      <c r="AG55" s="649">
        <f t="shared" si="51"/>
        <v>3.5790000000000002</v>
      </c>
      <c r="AH55" s="649">
        <f t="shared" si="52"/>
        <v>4.202</v>
      </c>
      <c r="AI55" s="649">
        <f t="shared" si="53"/>
        <v>0.57999999999999996</v>
      </c>
      <c r="AJ55" s="649">
        <f t="shared" si="54"/>
        <v>0</v>
      </c>
      <c r="AK55" s="649">
        <f t="shared" si="55"/>
        <v>2.4E-2</v>
      </c>
      <c r="AL55" s="649">
        <f t="shared" si="56"/>
        <v>1.4E-2</v>
      </c>
      <c r="AM55" s="649">
        <f t="shared" si="57"/>
        <v>0.125</v>
      </c>
    </row>
    <row r="56" spans="1:39" x14ac:dyDescent="0.2">
      <c r="A56" s="693" t="s">
        <v>2273</v>
      </c>
      <c r="B56" s="813">
        <v>0</v>
      </c>
      <c r="C56" s="692"/>
      <c r="D56" s="692"/>
      <c r="E56" s="692"/>
      <c r="F56" s="692"/>
      <c r="G56" s="692"/>
      <c r="H56" s="692"/>
      <c r="I56" s="692"/>
      <c r="K56" s="687">
        <f t="shared" si="58"/>
        <v>0</v>
      </c>
      <c r="L56" s="687">
        <f t="shared" si="59"/>
        <v>0</v>
      </c>
      <c r="M56" s="687">
        <f t="shared" si="60"/>
        <v>0</v>
      </c>
      <c r="N56" s="687">
        <f t="shared" si="61"/>
        <v>0</v>
      </c>
      <c r="O56" s="687">
        <f t="shared" si="62"/>
        <v>0</v>
      </c>
      <c r="P56" s="687">
        <f t="shared" si="63"/>
        <v>0</v>
      </c>
      <c r="Q56" s="687">
        <f t="shared" si="64"/>
        <v>0</v>
      </c>
      <c r="R56" s="687">
        <f t="shared" si="65"/>
        <v>0</v>
      </c>
      <c r="T56" s="693" t="s">
        <v>2273</v>
      </c>
      <c r="U56" s="692">
        <v>0</v>
      </c>
      <c r="V56" s="692">
        <f t="shared" si="66"/>
        <v>0</v>
      </c>
      <c r="W56" s="692">
        <f t="shared" si="45"/>
        <v>0</v>
      </c>
      <c r="X56" s="692">
        <f t="shared" si="46"/>
        <v>0</v>
      </c>
      <c r="Y56" s="692">
        <f t="shared" si="47"/>
        <v>0</v>
      </c>
      <c r="Z56" s="692">
        <f t="shared" si="48"/>
        <v>0</v>
      </c>
      <c r="AA56" s="692">
        <f t="shared" si="49"/>
        <v>0</v>
      </c>
      <c r="AB56" s="692">
        <f t="shared" si="50"/>
        <v>0</v>
      </c>
      <c r="AC56" s="692"/>
      <c r="AE56" s="693" t="s">
        <v>2273</v>
      </c>
      <c r="AF56" s="649">
        <f t="shared" si="67"/>
        <v>0</v>
      </c>
      <c r="AG56" s="649">
        <f t="shared" si="51"/>
        <v>0</v>
      </c>
      <c r="AH56" s="649">
        <f t="shared" si="52"/>
        <v>0</v>
      </c>
      <c r="AI56" s="649">
        <f t="shared" si="53"/>
        <v>0</v>
      </c>
      <c r="AJ56" s="649">
        <f t="shared" si="54"/>
        <v>0</v>
      </c>
      <c r="AK56" s="649">
        <f t="shared" si="55"/>
        <v>0</v>
      </c>
      <c r="AL56" s="649">
        <f t="shared" si="56"/>
        <v>0</v>
      </c>
      <c r="AM56" s="649">
        <f t="shared" si="57"/>
        <v>0</v>
      </c>
    </row>
    <row r="57" spans="1:39" x14ac:dyDescent="0.2">
      <c r="A57" s="693" t="s">
        <v>2274</v>
      </c>
      <c r="B57" s="813">
        <v>0</v>
      </c>
      <c r="C57" s="692"/>
      <c r="D57" s="692"/>
      <c r="E57" s="692"/>
      <c r="F57" s="692"/>
      <c r="G57" s="692"/>
      <c r="H57" s="692"/>
      <c r="I57" s="692"/>
      <c r="K57" s="687">
        <f t="shared" si="58"/>
        <v>0</v>
      </c>
      <c r="L57" s="687">
        <f t="shared" si="59"/>
        <v>0</v>
      </c>
      <c r="M57" s="687">
        <f t="shared" si="60"/>
        <v>0</v>
      </c>
      <c r="N57" s="687">
        <f t="shared" si="61"/>
        <v>0</v>
      </c>
      <c r="O57" s="687">
        <f t="shared" si="62"/>
        <v>0</v>
      </c>
      <c r="P57" s="687">
        <f t="shared" si="63"/>
        <v>0</v>
      </c>
      <c r="Q57" s="687">
        <f t="shared" si="64"/>
        <v>0</v>
      </c>
      <c r="R57" s="687">
        <f t="shared" si="65"/>
        <v>0</v>
      </c>
      <c r="T57" s="693" t="s">
        <v>2274</v>
      </c>
      <c r="U57" s="692">
        <v>0</v>
      </c>
      <c r="V57" s="692">
        <f t="shared" si="66"/>
        <v>0</v>
      </c>
      <c r="W57" s="692">
        <f t="shared" si="45"/>
        <v>0</v>
      </c>
      <c r="X57" s="692">
        <f t="shared" si="46"/>
        <v>0</v>
      </c>
      <c r="Y57" s="692">
        <f t="shared" si="47"/>
        <v>0</v>
      </c>
      <c r="Z57" s="692">
        <f t="shared" si="48"/>
        <v>0</v>
      </c>
      <c r="AA57" s="692">
        <f t="shared" si="49"/>
        <v>0</v>
      </c>
      <c r="AB57" s="692">
        <f t="shared" si="50"/>
        <v>0</v>
      </c>
      <c r="AC57" s="692"/>
      <c r="AE57" s="693" t="s">
        <v>2274</v>
      </c>
      <c r="AF57" s="649">
        <f t="shared" si="67"/>
        <v>0</v>
      </c>
      <c r="AG57" s="649">
        <f t="shared" si="51"/>
        <v>0</v>
      </c>
      <c r="AH57" s="649">
        <f t="shared" si="52"/>
        <v>0</v>
      </c>
      <c r="AI57" s="649">
        <f t="shared" si="53"/>
        <v>0</v>
      </c>
      <c r="AJ57" s="649">
        <f t="shared" si="54"/>
        <v>0</v>
      </c>
      <c r="AK57" s="649">
        <f t="shared" si="55"/>
        <v>0</v>
      </c>
      <c r="AL57" s="649">
        <f t="shared" si="56"/>
        <v>0</v>
      </c>
      <c r="AM57" s="649">
        <f t="shared" si="57"/>
        <v>0</v>
      </c>
    </row>
    <row r="58" spans="1:39" x14ac:dyDescent="0.2">
      <c r="A58" s="693" t="s">
        <v>2275</v>
      </c>
      <c r="B58" s="813">
        <v>0</v>
      </c>
      <c r="C58" s="692"/>
      <c r="D58" s="692"/>
      <c r="E58" s="692"/>
      <c r="F58" s="692"/>
      <c r="G58" s="692"/>
      <c r="H58" s="692"/>
      <c r="I58" s="692"/>
      <c r="K58" s="687">
        <f t="shared" si="58"/>
        <v>0</v>
      </c>
      <c r="L58" s="687">
        <f t="shared" si="59"/>
        <v>0</v>
      </c>
      <c r="M58" s="687">
        <f t="shared" si="60"/>
        <v>0</v>
      </c>
      <c r="N58" s="687">
        <f t="shared" si="61"/>
        <v>0</v>
      </c>
      <c r="O58" s="687">
        <f t="shared" si="62"/>
        <v>0</v>
      </c>
      <c r="P58" s="687">
        <f t="shared" si="63"/>
        <v>0</v>
      </c>
      <c r="Q58" s="687">
        <f t="shared" si="64"/>
        <v>0</v>
      </c>
      <c r="R58" s="687">
        <f t="shared" si="65"/>
        <v>0</v>
      </c>
      <c r="T58" s="693" t="s">
        <v>2275</v>
      </c>
      <c r="U58" s="692">
        <v>0</v>
      </c>
      <c r="V58" s="692">
        <f t="shared" si="66"/>
        <v>0</v>
      </c>
      <c r="W58" s="692">
        <f t="shared" si="45"/>
        <v>0</v>
      </c>
      <c r="X58" s="692">
        <f t="shared" si="46"/>
        <v>0</v>
      </c>
      <c r="Y58" s="692">
        <f t="shared" si="47"/>
        <v>0</v>
      </c>
      <c r="Z58" s="692">
        <f t="shared" si="48"/>
        <v>0</v>
      </c>
      <c r="AA58" s="692">
        <f t="shared" si="49"/>
        <v>0</v>
      </c>
      <c r="AB58" s="692">
        <f t="shared" si="50"/>
        <v>0</v>
      </c>
      <c r="AC58" s="692"/>
      <c r="AE58" s="693" t="s">
        <v>2275</v>
      </c>
      <c r="AF58" s="649">
        <f t="shared" si="67"/>
        <v>0</v>
      </c>
      <c r="AG58" s="649">
        <f t="shared" si="51"/>
        <v>0</v>
      </c>
      <c r="AH58" s="649">
        <f t="shared" si="52"/>
        <v>0</v>
      </c>
      <c r="AI58" s="649">
        <f t="shared" si="53"/>
        <v>0</v>
      </c>
      <c r="AJ58" s="649">
        <f t="shared" si="54"/>
        <v>0</v>
      </c>
      <c r="AK58" s="649">
        <f t="shared" si="55"/>
        <v>0</v>
      </c>
      <c r="AL58" s="649">
        <f t="shared" si="56"/>
        <v>0</v>
      </c>
      <c r="AM58" s="649">
        <f t="shared" si="57"/>
        <v>0</v>
      </c>
    </row>
    <row r="59" spans="1:39" x14ac:dyDescent="0.2">
      <c r="A59" s="693" t="s">
        <v>1059</v>
      </c>
      <c r="B59" s="813">
        <v>0</v>
      </c>
      <c r="C59" s="692"/>
      <c r="D59" s="692"/>
      <c r="E59" s="692"/>
      <c r="F59" s="692"/>
      <c r="G59" s="692"/>
      <c r="H59" s="692"/>
      <c r="I59" s="692"/>
      <c r="K59" s="687">
        <f t="shared" si="58"/>
        <v>0</v>
      </c>
      <c r="L59" s="687">
        <f t="shared" si="59"/>
        <v>0</v>
      </c>
      <c r="M59" s="687">
        <f t="shared" si="60"/>
        <v>0</v>
      </c>
      <c r="N59" s="687">
        <f t="shared" si="61"/>
        <v>0</v>
      </c>
      <c r="O59" s="687">
        <f t="shared" si="62"/>
        <v>0</v>
      </c>
      <c r="P59" s="687">
        <f t="shared" si="63"/>
        <v>0</v>
      </c>
      <c r="Q59" s="687">
        <f t="shared" si="64"/>
        <v>0</v>
      </c>
      <c r="R59" s="687">
        <f t="shared" si="65"/>
        <v>0</v>
      </c>
      <c r="T59" s="693" t="s">
        <v>1059</v>
      </c>
      <c r="U59" s="692">
        <v>0</v>
      </c>
      <c r="V59" s="692">
        <f t="shared" si="66"/>
        <v>0</v>
      </c>
      <c r="W59" s="692">
        <f t="shared" si="45"/>
        <v>0</v>
      </c>
      <c r="X59" s="692">
        <f t="shared" si="46"/>
        <v>0</v>
      </c>
      <c r="Y59" s="692">
        <f t="shared" si="47"/>
        <v>0</v>
      </c>
      <c r="Z59" s="692">
        <f t="shared" si="48"/>
        <v>0</v>
      </c>
      <c r="AA59" s="692">
        <f t="shared" si="49"/>
        <v>0</v>
      </c>
      <c r="AB59" s="692">
        <f t="shared" si="50"/>
        <v>0</v>
      </c>
      <c r="AC59" s="692"/>
      <c r="AE59" s="693" t="s">
        <v>1059</v>
      </c>
      <c r="AF59" s="649">
        <f t="shared" si="67"/>
        <v>0</v>
      </c>
      <c r="AG59" s="649">
        <f t="shared" si="51"/>
        <v>0</v>
      </c>
      <c r="AH59" s="649">
        <f t="shared" si="52"/>
        <v>0</v>
      </c>
      <c r="AI59" s="649">
        <f t="shared" si="53"/>
        <v>0</v>
      </c>
      <c r="AJ59" s="649">
        <f t="shared" si="54"/>
        <v>0</v>
      </c>
      <c r="AK59" s="649">
        <f t="shared" si="55"/>
        <v>0</v>
      </c>
      <c r="AL59" s="649">
        <f t="shared" si="56"/>
        <v>0</v>
      </c>
      <c r="AM59" s="649">
        <f t="shared" si="57"/>
        <v>0</v>
      </c>
    </row>
    <row r="60" spans="1:39" x14ac:dyDescent="0.2">
      <c r="A60" s="693" t="s">
        <v>1060</v>
      </c>
      <c r="B60" s="813">
        <v>0</v>
      </c>
      <c r="C60" s="692"/>
      <c r="D60" s="692"/>
      <c r="E60" s="692"/>
      <c r="F60" s="692"/>
      <c r="G60" s="692"/>
      <c r="H60" s="692"/>
      <c r="I60" s="692"/>
      <c r="K60" s="687">
        <f t="shared" si="58"/>
        <v>0</v>
      </c>
      <c r="L60" s="687">
        <f t="shared" si="59"/>
        <v>0</v>
      </c>
      <c r="M60" s="687">
        <f t="shared" si="60"/>
        <v>0</v>
      </c>
      <c r="N60" s="687">
        <f t="shared" si="61"/>
        <v>0</v>
      </c>
      <c r="O60" s="687">
        <f t="shared" si="62"/>
        <v>0</v>
      </c>
      <c r="P60" s="687">
        <f t="shared" si="63"/>
        <v>0</v>
      </c>
      <c r="Q60" s="687">
        <f t="shared" si="64"/>
        <v>0</v>
      </c>
      <c r="R60" s="687">
        <f t="shared" si="65"/>
        <v>0</v>
      </c>
      <c r="T60" s="693" t="s">
        <v>1060</v>
      </c>
      <c r="U60" s="692">
        <v>0</v>
      </c>
      <c r="V60" s="692">
        <f t="shared" si="66"/>
        <v>0</v>
      </c>
      <c r="W60" s="692">
        <f t="shared" si="45"/>
        <v>0</v>
      </c>
      <c r="X60" s="692">
        <f t="shared" si="46"/>
        <v>0</v>
      </c>
      <c r="Y60" s="692">
        <f t="shared" si="47"/>
        <v>0</v>
      </c>
      <c r="Z60" s="692">
        <f t="shared" si="48"/>
        <v>0</v>
      </c>
      <c r="AA60" s="692">
        <f t="shared" si="49"/>
        <v>0</v>
      </c>
      <c r="AB60" s="692">
        <f t="shared" si="50"/>
        <v>0</v>
      </c>
      <c r="AC60" s="692"/>
      <c r="AE60" s="693" t="s">
        <v>1060</v>
      </c>
      <c r="AF60" s="649">
        <f t="shared" si="67"/>
        <v>0</v>
      </c>
      <c r="AG60" s="649">
        <f t="shared" si="51"/>
        <v>0</v>
      </c>
      <c r="AH60" s="649">
        <f t="shared" si="52"/>
        <v>0</v>
      </c>
      <c r="AI60" s="649">
        <f t="shared" si="53"/>
        <v>0</v>
      </c>
      <c r="AJ60" s="649">
        <f t="shared" si="54"/>
        <v>0</v>
      </c>
      <c r="AK60" s="649">
        <f t="shared" si="55"/>
        <v>0</v>
      </c>
      <c r="AL60" s="649">
        <f t="shared" si="56"/>
        <v>0</v>
      </c>
      <c r="AM60" s="649">
        <f t="shared" si="57"/>
        <v>0</v>
      </c>
    </row>
    <row r="61" spans="1:39" x14ac:dyDescent="0.2">
      <c r="A61" s="693" t="s">
        <v>1047</v>
      </c>
      <c r="B61" s="813">
        <v>2525677.4360443186</v>
      </c>
      <c r="C61" s="692">
        <f>HLOOKUP($T61,CommissionedByClass,MATCH(C$38,Commissioned!$M$4:$M$14,0),FALSE)+HLOOKUP($T61,Commissioned_Extra,MATCH(C$38,'Commissioned Extra'!$M$4:$M$14,0),FALSE)</f>
        <v>18288226.746983867</v>
      </c>
      <c r="D61" s="692">
        <f>HLOOKUP($T61,CommissionedByClass,MATCH(D$38,Commissioned!$M$4:$M$14,0),FALSE)+HLOOKUP($T61,Commissioned_Extra,MATCH(D$38,'Commissioned Extra'!$M$4:$M$14,0),FALSE)</f>
        <v>59957931.631455213</v>
      </c>
      <c r="E61" s="692">
        <f>HLOOKUP($T61,CommissionedByClass,MATCH(E$38,Commissioned!$M$4:$M$14,0),FALSE)+HLOOKUP($T61,Commissioned_Extra,MATCH(E$38,'Commissioned Extra'!$M$4:$M$14,0),FALSE)</f>
        <v>3963551.7860986204</v>
      </c>
      <c r="F61" s="692">
        <f>HLOOKUP($T61,CommissionedByClass,MATCH(F$38,Commissioned!$M$4:$M$14,0),FALSE)+HLOOKUP($T61,Commissioned_Extra,MATCH(F$38,'Commissioned Extra'!$M$4:$M$14,0),FALSE)</f>
        <v>10369025.985086767</v>
      </c>
      <c r="G61" s="692">
        <f>HLOOKUP($T61,CommissionedByClass,MATCH(G$38,Commissioned!$M$4:$M$14,0),FALSE)+HLOOKUP($T61,Commissioned_Extra,MATCH(G$38,'Commissioned Extra'!$M$4:$M$14,0),FALSE)</f>
        <v>22268043.857687261</v>
      </c>
      <c r="H61" s="692">
        <f>HLOOKUP($T61,CommissionedByClass,MATCH(H$38,Commissioned!$M$4:$M$14,0),FALSE)+HLOOKUP($T61,Commissioned_Extra,MATCH(H$38,'Commissioned Extra'!$M$4:$M$14,0),FALSE)</f>
        <v>64117976.658470765</v>
      </c>
      <c r="I61" s="692">
        <f>HLOOKUP($T61,CommissionedByClass,MATCH(I$38,Commissioned!$M$4:$M$14,0),FALSE)+HLOOKUP($T61,Commissioned_Extra,MATCH(I$38,'Commissioned Extra'!$M$4:$M$14,0),FALSE)</f>
        <v>73719256.845124573</v>
      </c>
      <c r="K61" s="687">
        <f t="shared" si="58"/>
        <v>-14505.64666870283</v>
      </c>
      <c r="L61" s="687">
        <f t="shared" si="59"/>
        <v>-73857.197163624543</v>
      </c>
      <c r="M61" s="687">
        <f t="shared" si="60"/>
        <v>-243651.59717453993</v>
      </c>
      <c r="N61" s="687">
        <f t="shared" si="61"/>
        <v>-16154.264145421052</v>
      </c>
      <c r="O61" s="687">
        <f t="shared" si="62"/>
        <v>-40818.273028549978</v>
      </c>
      <c r="P61" s="687">
        <f t="shared" si="63"/>
        <v>-85614.838904293647</v>
      </c>
      <c r="Q61" s="687">
        <f t="shared" si="64"/>
        <v>-243582.08480065415</v>
      </c>
      <c r="R61" s="687">
        <f t="shared" si="65"/>
        <v>-288779.33532392711</v>
      </c>
      <c r="T61" s="693" t="s">
        <v>1047</v>
      </c>
      <c r="U61" s="692">
        <v>2511171.7893756158</v>
      </c>
      <c r="V61" s="692">
        <f t="shared" si="66"/>
        <v>18214369.549820244</v>
      </c>
      <c r="W61" s="692">
        <f t="shared" si="45"/>
        <v>59714280.034280673</v>
      </c>
      <c r="X61" s="692">
        <f t="shared" si="46"/>
        <v>3947397.5219531995</v>
      </c>
      <c r="Y61" s="692">
        <f t="shared" si="47"/>
        <v>10328207.712058216</v>
      </c>
      <c r="Z61" s="692">
        <f t="shared" si="48"/>
        <v>22182429.018782966</v>
      </c>
      <c r="AA61" s="692">
        <f t="shared" si="49"/>
        <v>63874394.573670112</v>
      </c>
      <c r="AB61" s="692">
        <f t="shared" si="50"/>
        <v>73430477.509800643</v>
      </c>
      <c r="AC61" s="692"/>
      <c r="AE61" s="693" t="s">
        <v>1047</v>
      </c>
      <c r="AF61" s="649">
        <f t="shared" si="67"/>
        <v>2.5110000000000001</v>
      </c>
      <c r="AG61" s="649">
        <f t="shared" si="51"/>
        <v>18.213999999999999</v>
      </c>
      <c r="AH61" s="649">
        <f t="shared" si="52"/>
        <v>59.713999999999999</v>
      </c>
      <c r="AI61" s="649">
        <f t="shared" si="53"/>
        <v>3.9470000000000001</v>
      </c>
      <c r="AJ61" s="649">
        <f t="shared" si="54"/>
        <v>10.327999999999999</v>
      </c>
      <c r="AK61" s="649">
        <f t="shared" si="55"/>
        <v>22.181999999999999</v>
      </c>
      <c r="AL61" s="649">
        <f t="shared" si="56"/>
        <v>63.874000000000002</v>
      </c>
      <c r="AM61" s="649">
        <f t="shared" si="57"/>
        <v>73.430000000000007</v>
      </c>
    </row>
    <row r="62" spans="1:39" x14ac:dyDescent="0.2">
      <c r="A62" s="693" t="s">
        <v>2997</v>
      </c>
      <c r="B62" s="814"/>
      <c r="E62" s="694">
        <f>HLOOKUP($T41,CommissionedByClass,MATCH(E$38,Commissioned!$M$4:$M$14,0),FALSE)+HLOOKUP($T41,Commissioned_Extra,MATCH(E$38,'Commissioned Extra'!$M$4:$M$14,0),FALSE)</f>
        <v>22824943.470203388</v>
      </c>
      <c r="F62" s="694">
        <f>HLOOKUP($T41,CommissionedByClass,MATCH(F$38,Commissioned!$M$4:$M$14,0),FALSE)+HLOOKUP($T41,Commissioned_Extra,MATCH(F$38,'Commissioned Extra'!$M$4:$M$14,0),FALSE)</f>
        <v>14550912.835059691</v>
      </c>
      <c r="G62" s="694">
        <f>HLOOKUP($T41,CommissionedByClass,MATCH(G$38,Commissioned!$M$4:$M$14,0),FALSE)+HLOOKUP($T41,Commissioned_Extra,MATCH(G$38,'Commissioned Extra'!$M$4:$M$14,0),FALSE)</f>
        <v>3793904.54705386</v>
      </c>
      <c r="H62" s="694">
        <f>HLOOKUP($T41,CommissionedByClass,MATCH(H$38,Commissioned!$M$4:$M$14,0),FALSE)+HLOOKUP($T41,Commissioned_Extra,MATCH(H$38,'Commissioned Extra'!$M$4:$M$14,0),FALSE)</f>
        <v>1963820.7101249278</v>
      </c>
      <c r="I62" s="694">
        <f>HLOOKUP($T41,CommissionedByClass,MATCH(I$38,Commissioned!$M$4:$M$14,0),FALSE)+HLOOKUP($T41,Commissioned_Extra,MATCH(I$38,'Commissioned Extra'!$M$4:$M$14,0),FALSE)</f>
        <v>10513875.825266572</v>
      </c>
      <c r="N62" s="687">
        <f>N$36/E$64*E62</f>
        <v>-93027.714994208611</v>
      </c>
      <c r="O62" s="687">
        <f>O$36/F$64*F62</f>
        <v>-57280.5134995646</v>
      </c>
      <c r="P62" s="687">
        <f>P$36/G$64*G62</f>
        <v>-14586.576561917116</v>
      </c>
      <c r="Q62" s="687">
        <f>Q$36/H$64*H62</f>
        <v>-7460.4902973608559</v>
      </c>
      <c r="R62" s="687">
        <f>R$36/I$64*I62</f>
        <v>-41185.847530686071</v>
      </c>
      <c r="T62" s="693" t="s">
        <v>2635</v>
      </c>
      <c r="X62" s="692">
        <f>E62+N62</f>
        <v>22731915.755209181</v>
      </c>
      <c r="Y62" s="692">
        <f>F62+O62</f>
        <v>14493632.321560126</v>
      </c>
      <c r="Z62" s="692">
        <f>G62+P62</f>
        <v>3779317.9704919429</v>
      </c>
      <c r="AA62" s="692">
        <f>H62+Q62</f>
        <v>1956360.219827567</v>
      </c>
      <c r="AB62" s="692">
        <f>I62+R62</f>
        <v>10472689.977735886</v>
      </c>
      <c r="AE62" s="693" t="s">
        <v>2635</v>
      </c>
      <c r="AI62" s="649">
        <f>ROUND(X62/1000000,$AF$2)</f>
        <v>22.731999999999999</v>
      </c>
      <c r="AJ62" s="649">
        <f>ROUND(Y62/1000000,$AF$2)</f>
        <v>14.494</v>
      </c>
      <c r="AK62" s="649">
        <f>ROUND(Z62/1000000,$AF$2)</f>
        <v>3.7789999999999999</v>
      </c>
      <c r="AL62" s="649">
        <f>ROUND(AA62/1000000,$AF$2)</f>
        <v>1.956</v>
      </c>
      <c r="AM62" s="649">
        <f>ROUND(AB62/1000000,$AF$2)</f>
        <v>10.473000000000001</v>
      </c>
    </row>
    <row r="63" spans="1:39" x14ac:dyDescent="0.2">
      <c r="B63" s="814"/>
    </row>
    <row r="64" spans="1:39" ht="13.5" thickBot="1" x14ac:dyDescent="0.25">
      <c r="A64" s="696" t="s">
        <v>639</v>
      </c>
      <c r="B64" s="808">
        <f>SUM(B39:B63)</f>
        <v>137062144.88064116</v>
      </c>
      <c r="C64" s="698">
        <f t="shared" ref="C64:I64" si="68">SUM(C39:C63)</f>
        <v>269901484.48295307</v>
      </c>
      <c r="D64" s="699">
        <f t="shared" si="68"/>
        <v>209168511.42259774</v>
      </c>
      <c r="E64" s="697">
        <f t="shared" si="68"/>
        <v>134946009.47033244</v>
      </c>
      <c r="F64" s="698">
        <f t="shared" si="68"/>
        <v>73302810.293598831</v>
      </c>
      <c r="G64" s="698">
        <f t="shared" si="68"/>
        <v>92714543.425860584</v>
      </c>
      <c r="H64" s="698">
        <f t="shared" si="68"/>
        <v>109254729.43705909</v>
      </c>
      <c r="I64" s="699">
        <f t="shared" si="68"/>
        <v>174726836.27298209</v>
      </c>
      <c r="K64" s="697">
        <f>SUM(K39:K63)</f>
        <v>-554212.24310628732</v>
      </c>
      <c r="L64" s="697">
        <f t="shared" ref="L64:R64" si="69">SUM(L39:L63)</f>
        <v>-1089999.9999999998</v>
      </c>
      <c r="M64" s="697">
        <f t="shared" si="69"/>
        <v>-850000</v>
      </c>
      <c r="N64" s="697">
        <f t="shared" si="69"/>
        <v>-550000.00000000012</v>
      </c>
      <c r="O64" s="697">
        <f t="shared" si="69"/>
        <v>-288560.77018492331</v>
      </c>
      <c r="P64" s="697">
        <f t="shared" si="69"/>
        <v>-356463.3135366296</v>
      </c>
      <c r="Q64" s="697">
        <f t="shared" si="69"/>
        <v>-415055.12428072578</v>
      </c>
      <c r="R64" s="697">
        <f t="shared" si="69"/>
        <v>-684454.80599688692</v>
      </c>
      <c r="T64" s="696" t="s">
        <v>639</v>
      </c>
      <c r="U64" s="697">
        <f>SUM(U39:U63)</f>
        <v>136507932.63753486</v>
      </c>
      <c r="V64" s="698">
        <f t="shared" ref="V64:AB64" si="70">SUM(V39:V63)</f>
        <v>268811484.48295301</v>
      </c>
      <c r="W64" s="699">
        <f t="shared" si="70"/>
        <v>208318511.42259777</v>
      </c>
      <c r="X64" s="700">
        <f t="shared" si="70"/>
        <v>134396009.47033244</v>
      </c>
      <c r="Y64" s="701">
        <f t="shared" si="70"/>
        <v>73014249.523413911</v>
      </c>
      <c r="Z64" s="701">
        <f t="shared" si="70"/>
        <v>92358080.11232394</v>
      </c>
      <c r="AA64" s="701">
        <f t="shared" si="70"/>
        <v>108839674.31277837</v>
      </c>
      <c r="AB64" s="702">
        <f t="shared" si="70"/>
        <v>174042381.46698517</v>
      </c>
      <c r="AC64" s="715" t="s">
        <v>2988</v>
      </c>
      <c r="AE64" s="696" t="s">
        <v>639</v>
      </c>
      <c r="AF64" s="704">
        <f>SUM(AF39:AF63)</f>
        <v>136.50799999999998</v>
      </c>
      <c r="AG64" s="704">
        <f t="shared" ref="AG64" si="71">SUM(AG39:AG63)</f>
        <v>268.81100000000004</v>
      </c>
      <c r="AH64" s="704">
        <f t="shared" ref="AH64" si="72">SUM(AH39:AH63)</f>
        <v>208.31899999999999</v>
      </c>
      <c r="AI64" s="704">
        <f t="shared" ref="AI64" si="73">SUM(AI39:AI63)</f>
        <v>134.39500000000001</v>
      </c>
      <c r="AJ64" s="704">
        <f t="shared" ref="AJ64" si="74">SUM(AJ39:AJ63)</f>
        <v>73.013999999999996</v>
      </c>
      <c r="AK64" s="704">
        <f t="shared" ref="AK64" si="75">SUM(AK39:AK63)</f>
        <v>92.356000000000009</v>
      </c>
      <c r="AL64" s="704">
        <f t="shared" ref="AL64" si="76">SUM(AL39:AL63)</f>
        <v>108.83900000000001</v>
      </c>
      <c r="AM64" s="704">
        <f t="shared" ref="AM64" si="77">SUM(AM39:AM63)</f>
        <v>174.04200000000003</v>
      </c>
    </row>
    <row r="65" spans="1:39" x14ac:dyDescent="0.2">
      <c r="B65" s="705"/>
      <c r="C65" s="706"/>
      <c r="D65" s="707">
        <f>D64+C64</f>
        <v>479069995.90555084</v>
      </c>
      <c r="E65" s="705"/>
      <c r="F65" s="706"/>
      <c r="G65" s="706"/>
      <c r="H65" s="706"/>
      <c r="I65" s="707">
        <f>SUM(E64:I64)</f>
        <v>584944928.89983308</v>
      </c>
      <c r="U65" s="705"/>
      <c r="V65" s="706"/>
      <c r="W65" s="707">
        <f>SUM(U64:W64)</f>
        <v>613637928.54308558</v>
      </c>
      <c r="X65" s="708"/>
      <c r="Y65" s="709"/>
      <c r="Z65" s="709"/>
      <c r="AA65" s="709"/>
      <c r="AB65" s="710">
        <f>SUM(X64:AB64)</f>
        <v>582650394.88583374</v>
      </c>
      <c r="AC65" s="716">
        <f>SUM(V64:AB64)</f>
        <v>1059780390.7913845</v>
      </c>
      <c r="AM65" s="711">
        <f>SUM(AF64:AM64)</f>
        <v>1196.2840000000001</v>
      </c>
    </row>
    <row r="66" spans="1:39" ht="12.75" customHeight="1" x14ac:dyDescent="0.2">
      <c r="A66" s="787" t="s">
        <v>3074</v>
      </c>
      <c r="C66" s="809" t="s">
        <v>2722</v>
      </c>
      <c r="D66" s="810">
        <f>Commissioned!D15+Commissioned!C15+'Commissioned Extra'!C15+'Commissioned Extra'!D15</f>
        <v>479069995.90555078</v>
      </c>
      <c r="H66" s="809" t="s">
        <v>2294</v>
      </c>
      <c r="I66" s="810">
        <f>SUM(Commissioned!E15:I15)</f>
        <v>584944928.89983308</v>
      </c>
      <c r="AA66" s="717"/>
      <c r="AB66" s="718" t="s">
        <v>2987</v>
      </c>
      <c r="AC66" s="716">
        <f>Commissioned!J15+'Commissioned Extra'!J15</f>
        <v>1064014924.8053839</v>
      </c>
    </row>
    <row r="67" spans="1:39" x14ac:dyDescent="0.2">
      <c r="A67" s="787"/>
      <c r="AA67" s="717"/>
      <c r="AB67" s="718" t="s">
        <v>2986</v>
      </c>
      <c r="AC67" s="716">
        <f>SUM(L64:R64)</f>
        <v>-4234534.013999166</v>
      </c>
    </row>
    <row r="68" spans="1:39" x14ac:dyDescent="0.2">
      <c r="A68" s="788"/>
      <c r="AC68" s="719">
        <f>AC67+AC66</f>
        <v>1059780390.7913847</v>
      </c>
    </row>
    <row r="70" spans="1:39" x14ac:dyDescent="0.2">
      <c r="B70" s="811" t="s">
        <v>3009</v>
      </c>
      <c r="C70" s="811"/>
      <c r="D70" s="812"/>
      <c r="E70" s="809"/>
      <c r="K70" s="811" t="s">
        <v>3010</v>
      </c>
      <c r="L70" s="809"/>
      <c r="M70" s="809"/>
      <c r="U70" s="720" t="s">
        <v>3011</v>
      </c>
      <c r="V70" s="720"/>
      <c r="W70" s="721"/>
      <c r="X70" s="712"/>
    </row>
    <row r="71" spans="1:39" x14ac:dyDescent="0.2">
      <c r="B71" s="684" t="s">
        <v>2746</v>
      </c>
      <c r="K71" s="684" t="s">
        <v>2746</v>
      </c>
      <c r="U71" s="684" t="s">
        <v>2746</v>
      </c>
    </row>
    <row r="72" spans="1:39" x14ac:dyDescent="0.2">
      <c r="A72" s="690" t="s">
        <v>2276</v>
      </c>
      <c r="B72" s="691" t="s">
        <v>2278</v>
      </c>
      <c r="C72" s="691" t="s">
        <v>2279</v>
      </c>
      <c r="D72" s="691" t="s">
        <v>2280</v>
      </c>
      <c r="E72" s="691" t="s">
        <v>2281</v>
      </c>
      <c r="F72" s="691" t="s">
        <v>2282</v>
      </c>
      <c r="G72" s="691" t="s">
        <v>2283</v>
      </c>
      <c r="H72" s="691" t="s">
        <v>2284</v>
      </c>
      <c r="I72" s="691" t="s">
        <v>2285</v>
      </c>
      <c r="K72" s="691" t="s">
        <v>2278</v>
      </c>
      <c r="L72" s="691" t="s">
        <v>2279</v>
      </c>
      <c r="M72" s="691" t="s">
        <v>2280</v>
      </c>
      <c r="N72" s="691" t="s">
        <v>2281</v>
      </c>
      <c r="O72" s="691" t="s">
        <v>2282</v>
      </c>
      <c r="P72" s="691" t="s">
        <v>2283</v>
      </c>
      <c r="Q72" s="691" t="s">
        <v>2284</v>
      </c>
      <c r="R72" s="691" t="s">
        <v>2285</v>
      </c>
      <c r="T72" s="690" t="s">
        <v>2276</v>
      </c>
      <c r="U72" s="691" t="s">
        <v>2278</v>
      </c>
      <c r="V72" s="691" t="s">
        <v>2279</v>
      </c>
      <c r="W72" s="691" t="s">
        <v>2280</v>
      </c>
      <c r="X72" s="691" t="s">
        <v>2281</v>
      </c>
      <c r="Y72" s="691" t="s">
        <v>2282</v>
      </c>
      <c r="Z72" s="691" t="s">
        <v>2283</v>
      </c>
      <c r="AA72" s="691" t="s">
        <v>2284</v>
      </c>
      <c r="AB72" s="691" t="s">
        <v>2285</v>
      </c>
    </row>
    <row r="73" spans="1:39" x14ac:dyDescent="0.2">
      <c r="A73" s="43" t="s">
        <v>1031</v>
      </c>
      <c r="B73" s="711">
        <f t="shared" ref="B73:I82" si="78">B8/1000000</f>
        <v>1.0891384995669675</v>
      </c>
      <c r="C73" s="711">
        <f t="shared" si="78"/>
        <v>2.0222161300290078</v>
      </c>
      <c r="D73" s="711">
        <f t="shared" si="78"/>
        <v>4.6584824812745005</v>
      </c>
      <c r="E73" s="711">
        <f t="shared" si="78"/>
        <v>1.5627657294905402</v>
      </c>
      <c r="F73" s="711">
        <f t="shared" si="78"/>
        <v>0.69238758252822041</v>
      </c>
      <c r="G73" s="711">
        <f t="shared" si="78"/>
        <v>1.0723115320606302</v>
      </c>
      <c r="H73" s="711">
        <f t="shared" si="78"/>
        <v>0.80317576003777202</v>
      </c>
      <c r="I73" s="711">
        <f t="shared" si="78"/>
        <v>0.33790079360048353</v>
      </c>
      <c r="K73" s="711">
        <f t="shared" ref="K73:R82" si="79">K8/1000000</f>
        <v>-1.4753758374911732E-2</v>
      </c>
      <c r="L73" s="711">
        <f t="shared" si="79"/>
        <v>-8.2446699534079737E-3</v>
      </c>
      <c r="M73" s="711">
        <f t="shared" si="79"/>
        <v>-1.9297672217688112E-2</v>
      </c>
      <c r="N73" s="711">
        <f t="shared" si="79"/>
        <v>-1.0939848176734822E-2</v>
      </c>
      <c r="O73" s="711">
        <f t="shared" si="79"/>
        <v>-3.0653696253681254E-3</v>
      </c>
      <c r="P73" s="711">
        <f t="shared" si="79"/>
        <v>-4.8777596506433887E-3</v>
      </c>
      <c r="Q73" s="711">
        <f t="shared" si="79"/>
        <v>-3.292332264977476E-3</v>
      </c>
      <c r="R73" s="711">
        <f t="shared" si="79"/>
        <v>-1.873558474293612E-3</v>
      </c>
      <c r="T73" s="43" t="s">
        <v>1031</v>
      </c>
      <c r="U73" s="711">
        <f t="shared" ref="U73:AB82" si="80">U8/1000000</f>
        <v>1.074384741192056</v>
      </c>
      <c r="V73" s="711">
        <f t="shared" si="80"/>
        <v>2.0139714600756</v>
      </c>
      <c r="W73" s="711">
        <f t="shared" si="80"/>
        <v>4.639184809056812</v>
      </c>
      <c r="X73" s="711">
        <f t="shared" si="80"/>
        <v>1.5518258813138055</v>
      </c>
      <c r="Y73" s="711">
        <f t="shared" si="80"/>
        <v>0.68932221290285223</v>
      </c>
      <c r="Z73" s="711">
        <f t="shared" si="80"/>
        <v>1.0674337724099867</v>
      </c>
      <c r="AA73" s="711">
        <f t="shared" si="80"/>
        <v>0.79988342777279453</v>
      </c>
      <c r="AB73" s="711">
        <f t="shared" si="80"/>
        <v>0.33602723512618987</v>
      </c>
    </row>
    <row r="74" spans="1:39" x14ac:dyDescent="0.2">
      <c r="A74" s="43" t="s">
        <v>1032</v>
      </c>
      <c r="B74" s="711">
        <f t="shared" si="78"/>
        <v>4.0664706825406425</v>
      </c>
      <c r="C74" s="711">
        <f t="shared" si="78"/>
        <v>2.8417110391786466</v>
      </c>
      <c r="D74" s="711">
        <f t="shared" si="78"/>
        <v>10.163218720457495</v>
      </c>
      <c r="E74" s="711">
        <f t="shared" si="78"/>
        <v>2.7525717788334609</v>
      </c>
      <c r="F74" s="711">
        <f t="shared" si="78"/>
        <v>0.94526013756662863</v>
      </c>
      <c r="G74" s="711">
        <f t="shared" si="78"/>
        <v>1.2584010171462718</v>
      </c>
      <c r="H74" s="711">
        <f t="shared" si="78"/>
        <v>1.8977230053480512</v>
      </c>
      <c r="I74" s="711">
        <f t="shared" si="78"/>
        <v>1.786193242427183E-2</v>
      </c>
      <c r="K74" s="711">
        <f t="shared" si="79"/>
        <v>-1.5922851724203674E-2</v>
      </c>
      <c r="L74" s="711">
        <f t="shared" si="79"/>
        <v>-1.1585789111793832E-2</v>
      </c>
      <c r="M74" s="711">
        <f t="shared" si="79"/>
        <v>-4.210093401282957E-2</v>
      </c>
      <c r="N74" s="711">
        <f t="shared" si="79"/>
        <v>-1.9268862112697897E-2</v>
      </c>
      <c r="O74" s="711">
        <f t="shared" si="79"/>
        <v>-4.184898439668276E-3</v>
      </c>
      <c r="P74" s="711">
        <f t="shared" si="79"/>
        <v>-5.724248525024369E-3</v>
      </c>
      <c r="Q74" s="711">
        <f t="shared" si="79"/>
        <v>-7.7790379034889962E-3</v>
      </c>
      <c r="R74" s="711">
        <f t="shared" si="79"/>
        <v>-9.9039053753516949E-5</v>
      </c>
      <c r="T74" s="43" t="s">
        <v>1032</v>
      </c>
      <c r="U74" s="711">
        <f t="shared" si="80"/>
        <v>4.0505478308164387</v>
      </c>
      <c r="V74" s="711">
        <f t="shared" si="80"/>
        <v>2.8301252500668528</v>
      </c>
      <c r="W74" s="711">
        <f t="shared" si="80"/>
        <v>10.121117786444664</v>
      </c>
      <c r="X74" s="711">
        <f t="shared" si="80"/>
        <v>2.7333029167207634</v>
      </c>
      <c r="Y74" s="711">
        <f t="shared" si="80"/>
        <v>0.94107523912696045</v>
      </c>
      <c r="Z74" s="711">
        <f t="shared" si="80"/>
        <v>1.2526767686212474</v>
      </c>
      <c r="AA74" s="711">
        <f t="shared" si="80"/>
        <v>1.8899439674445622</v>
      </c>
      <c r="AB74" s="711">
        <f t="shared" si="80"/>
        <v>1.7762893370518312E-2</v>
      </c>
    </row>
    <row r="75" spans="1:39" x14ac:dyDescent="0.2">
      <c r="A75" s="43" t="s">
        <v>1033</v>
      </c>
      <c r="B75" s="711">
        <f t="shared" si="78"/>
        <v>16.822625023976844</v>
      </c>
      <c r="C75" s="711">
        <f t="shared" si="78"/>
        <v>11.36130870125981</v>
      </c>
      <c r="D75" s="711">
        <f t="shared" si="78"/>
        <v>16.300096829945485</v>
      </c>
      <c r="E75" s="711">
        <f t="shared" si="78"/>
        <v>0</v>
      </c>
      <c r="F75" s="711">
        <f t="shared" si="78"/>
        <v>0</v>
      </c>
      <c r="G75" s="711">
        <f t="shared" si="78"/>
        <v>0</v>
      </c>
      <c r="H75" s="711">
        <f t="shared" si="78"/>
        <v>0</v>
      </c>
      <c r="I75" s="711">
        <f t="shared" si="78"/>
        <v>0</v>
      </c>
      <c r="K75" s="711">
        <f t="shared" si="79"/>
        <v>-4.6855789495939389E-2</v>
      </c>
      <c r="L75" s="711">
        <f t="shared" si="79"/>
        <v>-4.632058813581201E-2</v>
      </c>
      <c r="M75" s="711">
        <f t="shared" si="79"/>
        <v>-6.7522831094731769E-2</v>
      </c>
      <c r="N75" s="711">
        <f t="shared" si="79"/>
        <v>0</v>
      </c>
      <c r="O75" s="711">
        <f t="shared" si="79"/>
        <v>0</v>
      </c>
      <c r="P75" s="711">
        <f t="shared" si="79"/>
        <v>0</v>
      </c>
      <c r="Q75" s="711">
        <f t="shared" si="79"/>
        <v>0</v>
      </c>
      <c r="R75" s="711">
        <f t="shared" si="79"/>
        <v>0</v>
      </c>
      <c r="T75" s="43" t="s">
        <v>1033</v>
      </c>
      <c r="U75" s="711">
        <f t="shared" si="80"/>
        <v>16.775769234480904</v>
      </c>
      <c r="V75" s="711">
        <f t="shared" si="80"/>
        <v>11.314988113123999</v>
      </c>
      <c r="W75" s="711">
        <f t="shared" si="80"/>
        <v>16.23257399885075</v>
      </c>
      <c r="X75" s="711">
        <f t="shared" si="80"/>
        <v>0</v>
      </c>
      <c r="Y75" s="711">
        <f t="shared" si="80"/>
        <v>0</v>
      </c>
      <c r="Z75" s="711">
        <f t="shared" si="80"/>
        <v>0</v>
      </c>
      <c r="AA75" s="711">
        <f t="shared" si="80"/>
        <v>0</v>
      </c>
      <c r="AB75" s="711">
        <f t="shared" si="80"/>
        <v>0</v>
      </c>
    </row>
    <row r="76" spans="1:39" x14ac:dyDescent="0.2">
      <c r="A76" s="693" t="s">
        <v>1034</v>
      </c>
      <c r="B76" s="711">
        <f t="shared" si="78"/>
        <v>11.153432824150267</v>
      </c>
      <c r="C76" s="711">
        <f t="shared" si="78"/>
        <v>17.359060375062182</v>
      </c>
      <c r="D76" s="711">
        <f t="shared" si="78"/>
        <v>17.058310579755407</v>
      </c>
      <c r="E76" s="711">
        <f t="shared" si="78"/>
        <v>17.442622730489461</v>
      </c>
      <c r="F76" s="711">
        <f t="shared" si="78"/>
        <v>11.00227538729048</v>
      </c>
      <c r="G76" s="711">
        <f t="shared" si="78"/>
        <v>13.429931768897406</v>
      </c>
      <c r="H76" s="711">
        <f t="shared" si="78"/>
        <v>11.582595935075082</v>
      </c>
      <c r="I76" s="711">
        <f t="shared" si="78"/>
        <v>9.3550146099192855</v>
      </c>
      <c r="K76" s="711">
        <f t="shared" si="79"/>
        <v>-0.15248349275928363</v>
      </c>
      <c r="L76" s="711">
        <f t="shared" si="79"/>
        <v>-7.0773702854213291E-2</v>
      </c>
      <c r="M76" s="711">
        <f t="shared" si="79"/>
        <v>-7.0663716667145257E-2</v>
      </c>
      <c r="N76" s="711">
        <f t="shared" si="79"/>
        <v>-0.12210380665170172</v>
      </c>
      <c r="O76" s="711">
        <f t="shared" si="79"/>
        <v>-4.8709771280106631E-2</v>
      </c>
      <c r="P76" s="711">
        <f t="shared" si="79"/>
        <v>-6.1090436253480138E-2</v>
      </c>
      <c r="Q76" s="711">
        <f t="shared" si="79"/>
        <v>-4.7478716622936033E-2</v>
      </c>
      <c r="R76" s="711">
        <f t="shared" si="79"/>
        <v>-5.1870747957692115E-2</v>
      </c>
      <c r="T76" s="693" t="s">
        <v>1034</v>
      </c>
      <c r="U76" s="711">
        <f t="shared" si="80"/>
        <v>11.000949331390983</v>
      </c>
      <c r="V76" s="711">
        <f t="shared" si="80"/>
        <v>17.28828667220797</v>
      </c>
      <c r="W76" s="711">
        <f t="shared" si="80"/>
        <v>16.987646863088262</v>
      </c>
      <c r="X76" s="711">
        <f t="shared" si="80"/>
        <v>17.320518923837763</v>
      </c>
      <c r="Y76" s="711">
        <f t="shared" si="80"/>
        <v>10.953565616010373</v>
      </c>
      <c r="Z76" s="711">
        <f t="shared" si="80"/>
        <v>13.368841332643926</v>
      </c>
      <c r="AA76" s="711">
        <f t="shared" si="80"/>
        <v>11.535117218452147</v>
      </c>
      <c r="AB76" s="711">
        <f t="shared" si="80"/>
        <v>9.303143861961594</v>
      </c>
    </row>
    <row r="77" spans="1:39" x14ac:dyDescent="0.2">
      <c r="A77" s="43" t="s">
        <v>1035</v>
      </c>
      <c r="B77" s="711">
        <f t="shared" si="78"/>
        <v>3.3827994839807598</v>
      </c>
      <c r="C77" s="711">
        <f t="shared" si="78"/>
        <v>3.2484267676640988</v>
      </c>
      <c r="D77" s="711">
        <f t="shared" si="78"/>
        <v>-8.1036336958629773E-2</v>
      </c>
      <c r="E77" s="711">
        <f t="shared" si="78"/>
        <v>4.919248902859729E-3</v>
      </c>
      <c r="F77" s="711">
        <f t="shared" si="78"/>
        <v>1.6437421165081838E-4</v>
      </c>
      <c r="G77" s="711">
        <f t="shared" si="78"/>
        <v>0</v>
      </c>
      <c r="H77" s="711">
        <f t="shared" si="78"/>
        <v>0</v>
      </c>
      <c r="I77" s="711">
        <f t="shared" si="78"/>
        <v>0</v>
      </c>
      <c r="K77" s="711">
        <f t="shared" si="79"/>
        <v>-3.4145605178070256E-3</v>
      </c>
      <c r="L77" s="711">
        <f t="shared" si="79"/>
        <v>-1.3243988201608404E-2</v>
      </c>
      <c r="M77" s="711">
        <f t="shared" si="79"/>
        <v>3.3569143484723878E-4</v>
      </c>
      <c r="N77" s="711">
        <f t="shared" si="79"/>
        <v>-3.443627865988505E-5</v>
      </c>
      <c r="O77" s="711">
        <f t="shared" si="79"/>
        <v>-7.2772494525161929E-7</v>
      </c>
      <c r="P77" s="711">
        <f t="shared" si="79"/>
        <v>0</v>
      </c>
      <c r="Q77" s="711">
        <f t="shared" si="79"/>
        <v>0</v>
      </c>
      <c r="R77" s="711">
        <f t="shared" si="79"/>
        <v>0</v>
      </c>
      <c r="T77" s="43" t="s">
        <v>1035</v>
      </c>
      <c r="U77" s="711">
        <f t="shared" si="80"/>
        <v>3.3793849234629532</v>
      </c>
      <c r="V77" s="711">
        <f t="shared" si="80"/>
        <v>3.2351827794624901</v>
      </c>
      <c r="W77" s="711">
        <f t="shared" si="80"/>
        <v>-8.0700645523782547E-2</v>
      </c>
      <c r="X77" s="711">
        <f t="shared" si="80"/>
        <v>4.8848126241998443E-3</v>
      </c>
      <c r="Y77" s="711">
        <f t="shared" si="80"/>
        <v>1.6364648670556676E-4</v>
      </c>
      <c r="Z77" s="711">
        <f t="shared" si="80"/>
        <v>0</v>
      </c>
      <c r="AA77" s="711">
        <f t="shared" si="80"/>
        <v>0</v>
      </c>
      <c r="AB77" s="711">
        <f t="shared" si="80"/>
        <v>0</v>
      </c>
    </row>
    <row r="78" spans="1:39" x14ac:dyDescent="0.2">
      <c r="A78" s="693" t="s">
        <v>854</v>
      </c>
      <c r="B78" s="711">
        <f t="shared" si="78"/>
        <v>2.4060095393721519</v>
      </c>
      <c r="C78" s="711">
        <f t="shared" si="78"/>
        <v>6.2531652116672349</v>
      </c>
      <c r="D78" s="711">
        <f t="shared" si="78"/>
        <v>5.0756909330799196E-2</v>
      </c>
      <c r="E78" s="711">
        <f t="shared" si="78"/>
        <v>0.20379863921033045</v>
      </c>
      <c r="F78" s="711">
        <f t="shared" si="78"/>
        <v>8.2372869003849672E-2</v>
      </c>
      <c r="G78" s="711">
        <f t="shared" si="78"/>
        <v>1.2479017917941463E-2</v>
      </c>
      <c r="H78" s="711">
        <f t="shared" si="78"/>
        <v>0</v>
      </c>
      <c r="I78" s="711">
        <f t="shared" si="78"/>
        <v>0</v>
      </c>
      <c r="K78" s="711">
        <f t="shared" si="79"/>
        <v>-7.6307933879443445E-3</v>
      </c>
      <c r="L78" s="711">
        <f t="shared" si="79"/>
        <v>-2.5494447684773106E-2</v>
      </c>
      <c r="M78" s="711">
        <f t="shared" si="79"/>
        <v>-2.1025950038148526E-4</v>
      </c>
      <c r="N78" s="711">
        <f t="shared" si="79"/>
        <v>-1.4266541232082137E-3</v>
      </c>
      <c r="O78" s="711">
        <f t="shared" si="79"/>
        <v>-3.6468489177235761E-4</v>
      </c>
      <c r="P78" s="711">
        <f t="shared" si="79"/>
        <v>-5.6764893652518387E-5</v>
      </c>
      <c r="Q78" s="711">
        <f t="shared" si="79"/>
        <v>0</v>
      </c>
      <c r="R78" s="711">
        <f t="shared" si="79"/>
        <v>0</v>
      </c>
      <c r="T78" s="693" t="s">
        <v>854</v>
      </c>
      <c r="U78" s="711">
        <f t="shared" si="80"/>
        <v>2.3983787459842074</v>
      </c>
      <c r="V78" s="711">
        <f t="shared" si="80"/>
        <v>6.227670763982462</v>
      </c>
      <c r="W78" s="711">
        <f t="shared" si="80"/>
        <v>5.0546649830417706E-2</v>
      </c>
      <c r="X78" s="711">
        <f t="shared" si="80"/>
        <v>0.2023719850871222</v>
      </c>
      <c r="Y78" s="711">
        <f t="shared" si="80"/>
        <v>8.2008184112077318E-2</v>
      </c>
      <c r="Z78" s="711">
        <f t="shared" si="80"/>
        <v>1.2422253024288944E-2</v>
      </c>
      <c r="AA78" s="711">
        <f t="shared" si="80"/>
        <v>0</v>
      </c>
      <c r="AB78" s="711">
        <f t="shared" si="80"/>
        <v>0</v>
      </c>
    </row>
    <row r="79" spans="1:39" x14ac:dyDescent="0.2">
      <c r="A79" s="693" t="s">
        <v>1036</v>
      </c>
      <c r="B79" s="711">
        <f t="shared" si="78"/>
        <v>0.64644481399999998</v>
      </c>
      <c r="C79" s="711">
        <f t="shared" si="78"/>
        <v>0.31377544470697905</v>
      </c>
      <c r="D79" s="711">
        <f t="shared" si="78"/>
        <v>1.1129341450476926</v>
      </c>
      <c r="E79" s="711">
        <f t="shared" si="78"/>
        <v>0.46395004864036909</v>
      </c>
      <c r="F79" s="711">
        <f t="shared" si="78"/>
        <v>0</v>
      </c>
      <c r="G79" s="711">
        <f t="shared" si="78"/>
        <v>0.179330508860296</v>
      </c>
      <c r="H79" s="711">
        <f t="shared" si="78"/>
        <v>0.6849058345003991</v>
      </c>
      <c r="I79" s="711">
        <f t="shared" si="78"/>
        <v>0.91983704863743154</v>
      </c>
      <c r="K79" s="711">
        <f t="shared" si="79"/>
        <v>-2.1994809662608896E-3</v>
      </c>
      <c r="L79" s="711">
        <f t="shared" si="79"/>
        <v>-1.2792771962785929E-3</v>
      </c>
      <c r="M79" s="711">
        <f t="shared" si="79"/>
        <v>-4.6103078453839097E-3</v>
      </c>
      <c r="N79" s="711">
        <f t="shared" si="79"/>
        <v>-3.2477952375939254E-3</v>
      </c>
      <c r="O79" s="711">
        <f t="shared" si="79"/>
        <v>0</v>
      </c>
      <c r="P79" s="711">
        <f t="shared" si="79"/>
        <v>-8.1574346082724004E-4</v>
      </c>
      <c r="Q79" s="711">
        <f t="shared" si="79"/>
        <v>-2.807526931951907E-3</v>
      </c>
      <c r="R79" s="711">
        <f t="shared" si="79"/>
        <v>-5.1002203311824937E-3</v>
      </c>
      <c r="T79" s="693" t="s">
        <v>1036</v>
      </c>
      <c r="U79" s="711">
        <f t="shared" si="80"/>
        <v>0.6442453330337391</v>
      </c>
      <c r="V79" s="711">
        <f t="shared" si="80"/>
        <v>0.31249616751070042</v>
      </c>
      <c r="W79" s="711">
        <f t="shared" si="80"/>
        <v>1.1083238372023088</v>
      </c>
      <c r="X79" s="711">
        <f t="shared" si="80"/>
        <v>0.46070225340277515</v>
      </c>
      <c r="Y79" s="711">
        <f t="shared" si="80"/>
        <v>0</v>
      </c>
      <c r="Z79" s="711">
        <f t="shared" si="80"/>
        <v>0.17851476539946876</v>
      </c>
      <c r="AA79" s="711">
        <f t="shared" si="80"/>
        <v>0.68209830756844725</v>
      </c>
      <c r="AB79" s="711">
        <f t="shared" si="80"/>
        <v>0.91473682830624914</v>
      </c>
    </row>
    <row r="80" spans="1:39" x14ac:dyDescent="0.2">
      <c r="A80" s="693" t="s">
        <v>1037</v>
      </c>
      <c r="B80" s="711">
        <f t="shared" si="78"/>
        <v>1.2484976044330327</v>
      </c>
      <c r="C80" s="711">
        <f t="shared" si="78"/>
        <v>6.9463940155693438</v>
      </c>
      <c r="D80" s="711">
        <f t="shared" si="78"/>
        <v>4.1060634341239837</v>
      </c>
      <c r="E80" s="711">
        <f t="shared" si="78"/>
        <v>0.61403102784468699</v>
      </c>
      <c r="F80" s="711">
        <f t="shared" si="78"/>
        <v>3.3623231996388578</v>
      </c>
      <c r="G80" s="711">
        <f t="shared" si="78"/>
        <v>2.945304475638935</v>
      </c>
      <c r="H80" s="711">
        <f t="shared" si="78"/>
        <v>1.8439346649562165</v>
      </c>
      <c r="I80" s="711">
        <f t="shared" si="78"/>
        <v>0.88001717523132728</v>
      </c>
      <c r="K80" s="711">
        <f t="shared" si="79"/>
        <v>-1.2812287792661459E-2</v>
      </c>
      <c r="L80" s="711">
        <f t="shared" si="79"/>
        <v>-2.8320774013347434E-2</v>
      </c>
      <c r="M80" s="711">
        <f t="shared" si="79"/>
        <v>-1.7009287160629421E-2</v>
      </c>
      <c r="N80" s="711">
        <f t="shared" si="79"/>
        <v>-4.2984089640967322E-3</v>
      </c>
      <c r="O80" s="711">
        <f t="shared" si="79"/>
        <v>-1.488582936338758E-2</v>
      </c>
      <c r="P80" s="711">
        <f t="shared" si="79"/>
        <v>-1.3397680525288499E-2</v>
      </c>
      <c r="Q80" s="711">
        <f t="shared" si="79"/>
        <v>-7.5585518064692101E-3</v>
      </c>
      <c r="R80" s="711">
        <f t="shared" si="79"/>
        <v>-4.8794310857049753E-3</v>
      </c>
      <c r="T80" s="693" t="s">
        <v>1037</v>
      </c>
      <c r="U80" s="711">
        <f t="shared" si="80"/>
        <v>1.2356853166403712</v>
      </c>
      <c r="V80" s="711">
        <f t="shared" si="80"/>
        <v>6.9180732415559971</v>
      </c>
      <c r="W80" s="711">
        <f t="shared" si="80"/>
        <v>4.0890541469633543</v>
      </c>
      <c r="X80" s="711">
        <f t="shared" si="80"/>
        <v>0.60973261888059027</v>
      </c>
      <c r="Y80" s="711">
        <f t="shared" si="80"/>
        <v>3.3474373702754705</v>
      </c>
      <c r="Z80" s="711">
        <f t="shared" si="80"/>
        <v>2.9319067951136466</v>
      </c>
      <c r="AA80" s="711">
        <f t="shared" si="80"/>
        <v>1.8363761131497474</v>
      </c>
      <c r="AB80" s="711">
        <f t="shared" si="80"/>
        <v>0.8751377441456224</v>
      </c>
    </row>
    <row r="81" spans="1:28" x14ac:dyDescent="0.2">
      <c r="A81" s="693" t="s">
        <v>41</v>
      </c>
      <c r="B81" s="711">
        <f t="shared" si="78"/>
        <v>0</v>
      </c>
      <c r="C81" s="711">
        <f t="shared" si="78"/>
        <v>0</v>
      </c>
      <c r="D81" s="711">
        <f t="shared" si="78"/>
        <v>0</v>
      </c>
      <c r="E81" s="711">
        <f t="shared" si="78"/>
        <v>0</v>
      </c>
      <c r="F81" s="711">
        <f t="shared" si="78"/>
        <v>0</v>
      </c>
      <c r="G81" s="711">
        <f t="shared" si="78"/>
        <v>0</v>
      </c>
      <c r="H81" s="711">
        <f t="shared" si="78"/>
        <v>0</v>
      </c>
      <c r="I81" s="711">
        <f t="shared" si="78"/>
        <v>0</v>
      </c>
      <c r="K81" s="711">
        <f t="shared" si="79"/>
        <v>0</v>
      </c>
      <c r="L81" s="711">
        <f t="shared" si="79"/>
        <v>0</v>
      </c>
      <c r="M81" s="711">
        <f t="shared" si="79"/>
        <v>0</v>
      </c>
      <c r="N81" s="711">
        <f t="shared" si="79"/>
        <v>0</v>
      </c>
      <c r="O81" s="711">
        <f t="shared" si="79"/>
        <v>0</v>
      </c>
      <c r="P81" s="711">
        <f t="shared" si="79"/>
        <v>0</v>
      </c>
      <c r="Q81" s="711">
        <f t="shared" si="79"/>
        <v>0</v>
      </c>
      <c r="R81" s="711">
        <f t="shared" si="79"/>
        <v>0</v>
      </c>
      <c r="T81" s="693" t="s">
        <v>41</v>
      </c>
      <c r="U81" s="711">
        <f t="shared" si="80"/>
        <v>0</v>
      </c>
      <c r="V81" s="711">
        <f t="shared" si="80"/>
        <v>0</v>
      </c>
      <c r="W81" s="711">
        <f t="shared" si="80"/>
        <v>0</v>
      </c>
      <c r="X81" s="711">
        <f t="shared" si="80"/>
        <v>0</v>
      </c>
      <c r="Y81" s="711">
        <f t="shared" si="80"/>
        <v>0</v>
      </c>
      <c r="Z81" s="711">
        <f t="shared" si="80"/>
        <v>0</v>
      </c>
      <c r="AA81" s="711">
        <f t="shared" si="80"/>
        <v>0</v>
      </c>
      <c r="AB81" s="711">
        <f t="shared" si="80"/>
        <v>0</v>
      </c>
    </row>
    <row r="82" spans="1:28" x14ac:dyDescent="0.2">
      <c r="A82" s="693" t="s">
        <v>1038</v>
      </c>
      <c r="B82" s="711">
        <f t="shared" si="78"/>
        <v>40.072596813453345</v>
      </c>
      <c r="C82" s="711">
        <f t="shared" si="78"/>
        <v>34.954088858637469</v>
      </c>
      <c r="D82" s="711">
        <f t="shared" si="78"/>
        <v>34.694738229120439</v>
      </c>
      <c r="E82" s="711">
        <f t="shared" si="78"/>
        <v>13.838684983992058</v>
      </c>
      <c r="F82" s="711">
        <f t="shared" si="78"/>
        <v>13.280590337579433</v>
      </c>
      <c r="G82" s="711">
        <f t="shared" si="78"/>
        <v>18.802860091766586</v>
      </c>
      <c r="H82" s="711">
        <f t="shared" si="78"/>
        <v>17.192714168532039</v>
      </c>
      <c r="I82" s="711">
        <f t="shared" si="78"/>
        <v>12.422591325538813</v>
      </c>
      <c r="K82" s="711">
        <f t="shared" si="79"/>
        <v>-0.17862294929701089</v>
      </c>
      <c r="L82" s="711">
        <f t="shared" si="79"/>
        <v>-0.14250945874782775</v>
      </c>
      <c r="M82" s="711">
        <f t="shared" si="79"/>
        <v>-0.14372227194485127</v>
      </c>
      <c r="N82" s="711">
        <f t="shared" si="79"/>
        <v>-9.6875116873651329E-2</v>
      </c>
      <c r="O82" s="711">
        <f t="shared" si="79"/>
        <v>-5.8796430287098855E-2</v>
      </c>
      <c r="P82" s="711">
        <f t="shared" si="79"/>
        <v>-8.5530957683597988E-2</v>
      </c>
      <c r="Q82" s="711">
        <f t="shared" si="79"/>
        <v>-7.0475393302371875E-2</v>
      </c>
      <c r="R82" s="711">
        <f t="shared" si="79"/>
        <v>-6.8879540064555364E-2</v>
      </c>
      <c r="T82" s="693" t="s">
        <v>1038</v>
      </c>
      <c r="U82" s="711">
        <f t="shared" si="80"/>
        <v>39.893973864156337</v>
      </c>
      <c r="V82" s="711">
        <f t="shared" si="80"/>
        <v>34.811579399889638</v>
      </c>
      <c r="W82" s="711">
        <f t="shared" si="80"/>
        <v>34.551015957175593</v>
      </c>
      <c r="X82" s="711">
        <f t="shared" si="80"/>
        <v>13.741809867118407</v>
      </c>
      <c r="Y82" s="711">
        <f t="shared" si="80"/>
        <v>13.221793907292334</v>
      </c>
      <c r="Z82" s="711">
        <f t="shared" si="80"/>
        <v>18.717329134082988</v>
      </c>
      <c r="AA82" s="711">
        <f t="shared" si="80"/>
        <v>17.122238775229665</v>
      </c>
      <c r="AB82" s="711">
        <f t="shared" si="80"/>
        <v>12.353711785474257</v>
      </c>
    </row>
    <row r="83" spans="1:28" x14ac:dyDescent="0.2">
      <c r="A83" s="693" t="s">
        <v>1039</v>
      </c>
      <c r="B83" s="711">
        <f t="shared" ref="B83:I92" si="81">B18/1000000</f>
        <v>2.3929655212078824</v>
      </c>
      <c r="C83" s="711">
        <f t="shared" si="81"/>
        <v>1.7769223348992287</v>
      </c>
      <c r="D83" s="711">
        <f t="shared" si="81"/>
        <v>1.7368936787258837</v>
      </c>
      <c r="E83" s="711">
        <f t="shared" si="81"/>
        <v>0.41475367194504748</v>
      </c>
      <c r="F83" s="711">
        <f t="shared" si="81"/>
        <v>0.33951533792984107</v>
      </c>
      <c r="G83" s="711">
        <f t="shared" si="81"/>
        <v>1.1197916410987507</v>
      </c>
      <c r="H83" s="711">
        <f t="shared" si="81"/>
        <v>0.95372979168333771</v>
      </c>
      <c r="I83" s="711">
        <f t="shared" si="81"/>
        <v>0</v>
      </c>
      <c r="K83" s="711">
        <f t="shared" ref="K83:R92" si="82">K18/1000000</f>
        <v>-8.1013964669494898E-3</v>
      </c>
      <c r="L83" s="711">
        <f t="shared" si="82"/>
        <v>-7.2445956525295169E-3</v>
      </c>
      <c r="M83" s="711">
        <f t="shared" si="82"/>
        <v>-7.1950479633136879E-3</v>
      </c>
      <c r="N83" s="711">
        <f t="shared" si="82"/>
        <v>-2.9034052361138402E-3</v>
      </c>
      <c r="O83" s="711">
        <f t="shared" si="82"/>
        <v>-1.5031176619842268E-3</v>
      </c>
      <c r="P83" s="711">
        <f t="shared" si="82"/>
        <v>-5.0937384526518314E-3</v>
      </c>
      <c r="Q83" s="711">
        <f t="shared" si="82"/>
        <v>-3.9094747643798793E-3</v>
      </c>
      <c r="R83" s="711">
        <f t="shared" si="82"/>
        <v>0</v>
      </c>
      <c r="T83" s="693" t="s">
        <v>1039</v>
      </c>
      <c r="U83" s="711">
        <f t="shared" ref="U83:AB92" si="83">U18/1000000</f>
        <v>2.384864124740933</v>
      </c>
      <c r="V83" s="711">
        <f t="shared" si="83"/>
        <v>1.7696777392466994</v>
      </c>
      <c r="W83" s="711">
        <f t="shared" si="83"/>
        <v>1.7296986307625701</v>
      </c>
      <c r="X83" s="711">
        <f t="shared" si="83"/>
        <v>0.41185026670893365</v>
      </c>
      <c r="Y83" s="711">
        <f t="shared" si="83"/>
        <v>0.33801222026785682</v>
      </c>
      <c r="Z83" s="711">
        <f t="shared" si="83"/>
        <v>1.114697902646099</v>
      </c>
      <c r="AA83" s="711">
        <f t="shared" si="83"/>
        <v>0.94982031691895785</v>
      </c>
      <c r="AB83" s="711">
        <f t="shared" si="83"/>
        <v>0</v>
      </c>
    </row>
    <row r="84" spans="1:28" x14ac:dyDescent="0.2">
      <c r="A84" s="693" t="s">
        <v>1040</v>
      </c>
      <c r="B84" s="711">
        <f t="shared" si="81"/>
        <v>18.003906087613903</v>
      </c>
      <c r="C84" s="711">
        <f t="shared" si="81"/>
        <v>11.098229634232906</v>
      </c>
      <c r="D84" s="711">
        <f t="shared" si="81"/>
        <v>17.435171320887871</v>
      </c>
      <c r="E84" s="711">
        <f t="shared" si="81"/>
        <v>14.353896809439219</v>
      </c>
      <c r="F84" s="711">
        <f t="shared" si="81"/>
        <v>11.67643033257851</v>
      </c>
      <c r="G84" s="711">
        <f t="shared" si="81"/>
        <v>5.2218974894429069</v>
      </c>
      <c r="H84" s="711">
        <f t="shared" si="81"/>
        <v>1.3921135909613258</v>
      </c>
      <c r="I84" s="711">
        <f t="shared" si="81"/>
        <v>0.90805569755664983</v>
      </c>
      <c r="K84" s="711">
        <f t="shared" si="82"/>
        <v>-6.0664014703873545E-2</v>
      </c>
      <c r="L84" s="711">
        <f t="shared" si="82"/>
        <v>-4.5248002447725241E-2</v>
      </c>
      <c r="M84" s="711">
        <f t="shared" si="82"/>
        <v>-7.2224854888298273E-2</v>
      </c>
      <c r="N84" s="711">
        <f t="shared" si="82"/>
        <v>-0.10048176055855461</v>
      </c>
      <c r="O84" s="711">
        <f t="shared" si="82"/>
        <v>-5.1694420549135672E-2</v>
      </c>
      <c r="P84" s="711">
        <f t="shared" si="82"/>
        <v>-2.3753508297027659E-2</v>
      </c>
      <c r="Q84" s="711">
        <f t="shared" si="82"/>
        <v>-5.7064726303743081E-3</v>
      </c>
      <c r="R84" s="711">
        <f t="shared" si="82"/>
        <v>-5.0348962757968017E-3</v>
      </c>
      <c r="T84" s="693" t="s">
        <v>1040</v>
      </c>
      <c r="U84" s="711">
        <f t="shared" si="83"/>
        <v>17.943242072910028</v>
      </c>
      <c r="V84" s="711">
        <f t="shared" si="83"/>
        <v>11.052981631785181</v>
      </c>
      <c r="W84" s="711">
        <f t="shared" si="83"/>
        <v>17.362946465999574</v>
      </c>
      <c r="X84" s="711">
        <f t="shared" si="83"/>
        <v>14.253415048880663</v>
      </c>
      <c r="Y84" s="711">
        <f t="shared" si="83"/>
        <v>11.624735912029374</v>
      </c>
      <c r="Z84" s="711">
        <f t="shared" si="83"/>
        <v>5.1981439811458792</v>
      </c>
      <c r="AA84" s="711">
        <f t="shared" si="83"/>
        <v>1.3864071183309516</v>
      </c>
      <c r="AB84" s="711">
        <f t="shared" si="83"/>
        <v>0.90302080128085294</v>
      </c>
    </row>
    <row r="85" spans="1:28" x14ac:dyDescent="0.2">
      <c r="A85" s="693" t="s">
        <v>1041</v>
      </c>
      <c r="B85" s="711">
        <f t="shared" si="81"/>
        <v>1.494395504627956</v>
      </c>
      <c r="C85" s="711">
        <f t="shared" si="81"/>
        <v>0.5572096569499897</v>
      </c>
      <c r="D85" s="711">
        <f t="shared" si="81"/>
        <v>0.46688411383715717</v>
      </c>
      <c r="E85" s="711">
        <f t="shared" si="81"/>
        <v>0.85766098185657458</v>
      </c>
      <c r="F85" s="711">
        <f t="shared" si="81"/>
        <v>1.6094636011904988</v>
      </c>
      <c r="G85" s="711">
        <f t="shared" si="81"/>
        <v>0.9882087300604443</v>
      </c>
      <c r="H85" s="711">
        <f t="shared" si="81"/>
        <v>9.6558391140375427E-2</v>
      </c>
      <c r="I85" s="711">
        <f t="shared" si="81"/>
        <v>3.0832745557055896E-2</v>
      </c>
      <c r="K85" s="711">
        <f t="shared" si="82"/>
        <v>-5.0106063395245004E-3</v>
      </c>
      <c r="L85" s="711">
        <f t="shared" si="82"/>
        <v>-2.2717698905598419E-3</v>
      </c>
      <c r="M85" s="711">
        <f t="shared" si="82"/>
        <v>-1.9340582751338979E-3</v>
      </c>
      <c r="N85" s="711">
        <f t="shared" si="82"/>
        <v>-6.0038947307086048E-3</v>
      </c>
      <c r="O85" s="711">
        <f t="shared" si="82"/>
        <v>-7.1254900589206764E-3</v>
      </c>
      <c r="P85" s="711">
        <f t="shared" si="82"/>
        <v>-4.495190554035593E-3</v>
      </c>
      <c r="Q85" s="711">
        <f t="shared" si="82"/>
        <v>-3.9580664958168414E-4</v>
      </c>
      <c r="R85" s="711">
        <f t="shared" si="82"/>
        <v>-1.7095831918187635E-4</v>
      </c>
      <c r="T85" s="693" t="s">
        <v>1041</v>
      </c>
      <c r="U85" s="711">
        <f t="shared" si="83"/>
        <v>1.4893848982884317</v>
      </c>
      <c r="V85" s="711">
        <f t="shared" si="83"/>
        <v>0.55493788705942992</v>
      </c>
      <c r="W85" s="711">
        <f t="shared" si="83"/>
        <v>0.46495005556202323</v>
      </c>
      <c r="X85" s="711">
        <f t="shared" si="83"/>
        <v>0.85165708712586596</v>
      </c>
      <c r="Y85" s="711">
        <f t="shared" si="83"/>
        <v>1.6023381111315782</v>
      </c>
      <c r="Z85" s="711">
        <f t="shared" si="83"/>
        <v>0.98371353950640872</v>
      </c>
      <c r="AA85" s="711">
        <f t="shared" si="83"/>
        <v>9.6162584490793748E-2</v>
      </c>
      <c r="AB85" s="711">
        <f t="shared" si="83"/>
        <v>3.0661787237874022E-2</v>
      </c>
    </row>
    <row r="86" spans="1:28" x14ac:dyDescent="0.2">
      <c r="A86" s="693" t="s">
        <v>1042</v>
      </c>
      <c r="B86" s="711">
        <f t="shared" si="81"/>
        <v>-4.1357442799999991</v>
      </c>
      <c r="C86" s="711">
        <f t="shared" si="81"/>
        <v>0</v>
      </c>
      <c r="D86" s="711">
        <f t="shared" si="81"/>
        <v>0</v>
      </c>
      <c r="E86" s="711">
        <f t="shared" si="81"/>
        <v>0</v>
      </c>
      <c r="F86" s="711">
        <f t="shared" si="81"/>
        <v>0</v>
      </c>
      <c r="G86" s="711">
        <f t="shared" si="81"/>
        <v>0</v>
      </c>
      <c r="H86" s="711">
        <f t="shared" si="81"/>
        <v>0</v>
      </c>
      <c r="I86" s="711">
        <f t="shared" si="81"/>
        <v>0</v>
      </c>
      <c r="K86" s="711">
        <f t="shared" si="82"/>
        <v>0</v>
      </c>
      <c r="L86" s="711">
        <f t="shared" si="82"/>
        <v>0</v>
      </c>
      <c r="M86" s="711">
        <f t="shared" si="82"/>
        <v>0</v>
      </c>
      <c r="N86" s="711">
        <f t="shared" si="82"/>
        <v>0</v>
      </c>
      <c r="O86" s="711">
        <f t="shared" si="82"/>
        <v>0</v>
      </c>
      <c r="P86" s="711">
        <f t="shared" si="82"/>
        <v>0</v>
      </c>
      <c r="Q86" s="711">
        <f t="shared" si="82"/>
        <v>0</v>
      </c>
      <c r="R86" s="711">
        <f t="shared" si="82"/>
        <v>0</v>
      </c>
      <c r="T86" s="693" t="s">
        <v>1042</v>
      </c>
      <c r="U86" s="711">
        <f t="shared" si="83"/>
        <v>-4.1357442799999991</v>
      </c>
      <c r="V86" s="711">
        <f t="shared" si="83"/>
        <v>0</v>
      </c>
      <c r="W86" s="711">
        <f t="shared" si="83"/>
        <v>0</v>
      </c>
      <c r="X86" s="711">
        <f t="shared" si="83"/>
        <v>0</v>
      </c>
      <c r="Y86" s="711">
        <f t="shared" si="83"/>
        <v>0</v>
      </c>
      <c r="Z86" s="711">
        <f t="shared" si="83"/>
        <v>0</v>
      </c>
      <c r="AA86" s="711">
        <f t="shared" si="83"/>
        <v>0</v>
      </c>
      <c r="AB86" s="711">
        <f t="shared" si="83"/>
        <v>0</v>
      </c>
    </row>
    <row r="87" spans="1:28" x14ac:dyDescent="0.2">
      <c r="A87" s="693" t="s">
        <v>1043</v>
      </c>
      <c r="B87" s="711">
        <f t="shared" si="81"/>
        <v>29.544653896240288</v>
      </c>
      <c r="C87" s="711">
        <f t="shared" si="81"/>
        <v>27.781894014419816</v>
      </c>
      <c r="D87" s="711">
        <f t="shared" si="81"/>
        <v>28.837393969927739</v>
      </c>
      <c r="E87" s="711">
        <f t="shared" si="81"/>
        <v>20.494179516639651</v>
      </c>
      <c r="F87" s="711">
        <f t="shared" si="81"/>
        <v>16.056823785063454</v>
      </c>
      <c r="G87" s="711">
        <f t="shared" si="81"/>
        <v>13.654399173146432</v>
      </c>
      <c r="H87" s="711">
        <f t="shared" si="81"/>
        <v>13.456962432468297</v>
      </c>
      <c r="I87" s="711">
        <f t="shared" si="81"/>
        <v>7.5200201367127013</v>
      </c>
      <c r="K87" s="711">
        <f t="shared" si="82"/>
        <v>-9.5006060493610794E-2</v>
      </c>
      <c r="L87" s="711">
        <f t="shared" si="82"/>
        <v>-0.11326808417167865</v>
      </c>
      <c r="M87" s="711">
        <f t="shared" si="82"/>
        <v>-0.11945833834964892</v>
      </c>
      <c r="N87" s="711">
        <f t="shared" si="82"/>
        <v>-0.14346565719218604</v>
      </c>
      <c r="O87" s="711">
        <f t="shared" si="82"/>
        <v>-7.1087496588106189E-2</v>
      </c>
      <c r="P87" s="711">
        <f t="shared" si="82"/>
        <v>-6.2111499642798093E-2</v>
      </c>
      <c r="Q87" s="711">
        <f t="shared" si="82"/>
        <v>-5.5162012861196867E-2</v>
      </c>
      <c r="R87" s="711">
        <f t="shared" si="82"/>
        <v>-4.1696254406123207E-2</v>
      </c>
      <c r="T87" s="693" t="s">
        <v>1043</v>
      </c>
      <c r="U87" s="711">
        <f t="shared" si="83"/>
        <v>29.449647835746674</v>
      </c>
      <c r="V87" s="711">
        <f t="shared" si="83"/>
        <v>27.668625930248137</v>
      </c>
      <c r="W87" s="711">
        <f t="shared" si="83"/>
        <v>28.71793563157809</v>
      </c>
      <c r="X87" s="711">
        <f t="shared" si="83"/>
        <v>20.350713859447463</v>
      </c>
      <c r="Y87" s="711">
        <f t="shared" si="83"/>
        <v>15.985736288475348</v>
      </c>
      <c r="Z87" s="711">
        <f t="shared" si="83"/>
        <v>13.592287673503634</v>
      </c>
      <c r="AA87" s="711">
        <f t="shared" si="83"/>
        <v>13.401800419607101</v>
      </c>
      <c r="AB87" s="711">
        <f t="shared" si="83"/>
        <v>7.4783238823065776</v>
      </c>
    </row>
    <row r="88" spans="1:28" x14ac:dyDescent="0.2">
      <c r="A88" s="693" t="s">
        <v>1044</v>
      </c>
      <c r="B88" s="711">
        <f t="shared" si="81"/>
        <v>9.8271950727591957</v>
      </c>
      <c r="C88" s="711">
        <f t="shared" si="81"/>
        <v>5.671839988242688</v>
      </c>
      <c r="D88" s="711">
        <f t="shared" si="81"/>
        <v>10.881380425204702</v>
      </c>
      <c r="E88" s="711">
        <f t="shared" si="81"/>
        <v>1.1642673451406029</v>
      </c>
      <c r="F88" s="711">
        <f t="shared" si="81"/>
        <v>0.80737751996923524</v>
      </c>
      <c r="G88" s="711">
        <f t="shared" si="81"/>
        <v>0.99984924894303362</v>
      </c>
      <c r="H88" s="711">
        <f t="shared" si="81"/>
        <v>9.5303802816871634</v>
      </c>
      <c r="I88" s="711">
        <f t="shared" si="81"/>
        <v>0.11064016809572001</v>
      </c>
      <c r="K88" s="711">
        <f t="shared" si="82"/>
        <v>-1.9185872865417973E-2</v>
      </c>
      <c r="L88" s="711">
        <f t="shared" si="82"/>
        <v>-2.3124357499280525E-2</v>
      </c>
      <c r="M88" s="711">
        <f t="shared" si="82"/>
        <v>-4.5075904774921204E-2</v>
      </c>
      <c r="N88" s="711">
        <f t="shared" si="82"/>
        <v>-8.1502350305061606E-3</v>
      </c>
      <c r="O88" s="711">
        <f t="shared" si="82"/>
        <v>-3.5744582779513793E-3</v>
      </c>
      <c r="P88" s="711">
        <f t="shared" si="82"/>
        <v>-4.5481412606356922E-3</v>
      </c>
      <c r="Q88" s="711">
        <f t="shared" si="82"/>
        <v>-3.9066391268367154E-2</v>
      </c>
      <c r="R88" s="711">
        <f t="shared" si="82"/>
        <v>-6.134665217096115E-4</v>
      </c>
      <c r="T88" s="693" t="s">
        <v>1044</v>
      </c>
      <c r="U88" s="711">
        <f t="shared" si="83"/>
        <v>9.8080091998937782</v>
      </c>
      <c r="V88" s="711">
        <f t="shared" si="83"/>
        <v>5.648715630743407</v>
      </c>
      <c r="W88" s="711">
        <f t="shared" si="83"/>
        <v>10.836304520429781</v>
      </c>
      <c r="X88" s="711">
        <f t="shared" si="83"/>
        <v>1.1561171101100967</v>
      </c>
      <c r="Y88" s="711">
        <f t="shared" si="83"/>
        <v>0.8038030616912839</v>
      </c>
      <c r="Z88" s="711">
        <f t="shared" si="83"/>
        <v>0.99530110768239799</v>
      </c>
      <c r="AA88" s="711">
        <f t="shared" si="83"/>
        <v>9.4913138904187964</v>
      </c>
      <c r="AB88" s="711">
        <f t="shared" si="83"/>
        <v>0.11002670157401041</v>
      </c>
    </row>
    <row r="89" spans="1:28" x14ac:dyDescent="0.2">
      <c r="A89" s="693" t="s">
        <v>1045</v>
      </c>
      <c r="B89" s="711">
        <f t="shared" si="81"/>
        <v>1.7612008425531707</v>
      </c>
      <c r="C89" s="711">
        <f t="shared" si="81"/>
        <v>2.2601359422175782</v>
      </c>
      <c r="D89" s="711">
        <f t="shared" si="81"/>
        <v>2.4946132546437831</v>
      </c>
      <c r="E89" s="711">
        <f t="shared" si="81"/>
        <v>0.26852680222267672</v>
      </c>
      <c r="F89" s="711">
        <f t="shared" si="81"/>
        <v>1.2553536429519853E-2</v>
      </c>
      <c r="G89" s="711">
        <f t="shared" si="81"/>
        <v>3.1360854556044641E-2</v>
      </c>
      <c r="H89" s="711">
        <f t="shared" si="81"/>
        <v>4.8100614577200745E-2</v>
      </c>
      <c r="I89" s="711">
        <f t="shared" si="81"/>
        <v>7.5218455580995436E-2</v>
      </c>
      <c r="K89" s="711">
        <f t="shared" si="82"/>
        <v>-1.3372234141276218E-2</v>
      </c>
      <c r="L89" s="711">
        <f t="shared" si="82"/>
        <v>-9.2146801801800456E-3</v>
      </c>
      <c r="M89" s="711">
        <f t="shared" si="82"/>
        <v>-1.0333886430081693E-2</v>
      </c>
      <c r="N89" s="711">
        <f t="shared" si="82"/>
        <v>-1.8797714796688365E-3</v>
      </c>
      <c r="O89" s="711">
        <f t="shared" si="82"/>
        <v>-5.5577584337214724E-5</v>
      </c>
      <c r="P89" s="711">
        <f t="shared" si="82"/>
        <v>-1.42655101982547E-4</v>
      </c>
      <c r="Q89" s="711">
        <f t="shared" si="82"/>
        <v>-1.9717129577007697E-4</v>
      </c>
      <c r="R89" s="711">
        <f t="shared" si="82"/>
        <v>-4.1706375819784393E-4</v>
      </c>
      <c r="T89" s="693" t="s">
        <v>1045</v>
      </c>
      <c r="U89" s="711">
        <f t="shared" si="83"/>
        <v>1.7478286084118944</v>
      </c>
      <c r="V89" s="711">
        <f t="shared" si="83"/>
        <v>2.2509212620373984</v>
      </c>
      <c r="W89" s="711">
        <f t="shared" si="83"/>
        <v>2.4842793682137012</v>
      </c>
      <c r="X89" s="711">
        <f t="shared" si="83"/>
        <v>0.26664703074300783</v>
      </c>
      <c r="Y89" s="711">
        <f t="shared" si="83"/>
        <v>1.2497958845182639E-2</v>
      </c>
      <c r="Z89" s="711">
        <f t="shared" si="83"/>
        <v>3.1218199454062096E-2</v>
      </c>
      <c r="AA89" s="711">
        <f t="shared" si="83"/>
        <v>4.790344328143066E-2</v>
      </c>
      <c r="AB89" s="711">
        <f t="shared" si="83"/>
        <v>7.4801391822797589E-2</v>
      </c>
    </row>
    <row r="90" spans="1:28" x14ac:dyDescent="0.2">
      <c r="A90" s="693" t="s">
        <v>2273</v>
      </c>
      <c r="B90" s="711">
        <f t="shared" si="81"/>
        <v>0</v>
      </c>
      <c r="C90" s="711">
        <f t="shared" si="81"/>
        <v>0</v>
      </c>
      <c r="D90" s="711">
        <f t="shared" si="81"/>
        <v>0</v>
      </c>
      <c r="E90" s="711">
        <f t="shared" si="81"/>
        <v>0</v>
      </c>
      <c r="F90" s="711">
        <f t="shared" si="81"/>
        <v>0</v>
      </c>
      <c r="G90" s="711">
        <f t="shared" si="81"/>
        <v>0</v>
      </c>
      <c r="H90" s="711">
        <f t="shared" si="81"/>
        <v>0</v>
      </c>
      <c r="I90" s="711">
        <f t="shared" si="81"/>
        <v>0</v>
      </c>
      <c r="K90" s="711">
        <f t="shared" si="82"/>
        <v>0</v>
      </c>
      <c r="L90" s="711">
        <f t="shared" si="82"/>
        <v>0</v>
      </c>
      <c r="M90" s="711">
        <f t="shared" si="82"/>
        <v>0</v>
      </c>
      <c r="N90" s="711">
        <f t="shared" si="82"/>
        <v>0</v>
      </c>
      <c r="O90" s="711">
        <f t="shared" si="82"/>
        <v>0</v>
      </c>
      <c r="P90" s="711">
        <f t="shared" si="82"/>
        <v>0</v>
      </c>
      <c r="Q90" s="711">
        <f t="shared" si="82"/>
        <v>0</v>
      </c>
      <c r="R90" s="711">
        <f t="shared" si="82"/>
        <v>0</v>
      </c>
      <c r="T90" s="693" t="s">
        <v>2273</v>
      </c>
      <c r="U90" s="711">
        <f t="shared" si="83"/>
        <v>0</v>
      </c>
      <c r="V90" s="711">
        <f t="shared" si="83"/>
        <v>0</v>
      </c>
      <c r="W90" s="711">
        <f t="shared" si="83"/>
        <v>0</v>
      </c>
      <c r="X90" s="711">
        <f t="shared" si="83"/>
        <v>0</v>
      </c>
      <c r="Y90" s="711">
        <f t="shared" si="83"/>
        <v>0</v>
      </c>
      <c r="Z90" s="711">
        <f t="shared" si="83"/>
        <v>0</v>
      </c>
      <c r="AA90" s="711">
        <f t="shared" si="83"/>
        <v>0</v>
      </c>
      <c r="AB90" s="711">
        <f t="shared" si="83"/>
        <v>0</v>
      </c>
    </row>
    <row r="91" spans="1:28" x14ac:dyDescent="0.2">
      <c r="A91" s="693" t="s">
        <v>2274</v>
      </c>
      <c r="B91" s="711">
        <f t="shared" si="81"/>
        <v>0</v>
      </c>
      <c r="C91" s="711">
        <f t="shared" si="81"/>
        <v>0</v>
      </c>
      <c r="D91" s="711">
        <f t="shared" si="81"/>
        <v>0</v>
      </c>
      <c r="E91" s="711">
        <f t="shared" si="81"/>
        <v>0</v>
      </c>
      <c r="F91" s="711">
        <f t="shared" si="81"/>
        <v>0</v>
      </c>
      <c r="G91" s="711">
        <f t="shared" si="81"/>
        <v>0</v>
      </c>
      <c r="H91" s="711">
        <f t="shared" si="81"/>
        <v>0</v>
      </c>
      <c r="I91" s="711">
        <f t="shared" si="81"/>
        <v>0</v>
      </c>
      <c r="K91" s="711">
        <f t="shared" si="82"/>
        <v>0</v>
      </c>
      <c r="L91" s="711">
        <f t="shared" si="82"/>
        <v>0</v>
      </c>
      <c r="M91" s="711">
        <f t="shared" si="82"/>
        <v>0</v>
      </c>
      <c r="N91" s="711">
        <f t="shared" si="82"/>
        <v>0</v>
      </c>
      <c r="O91" s="711">
        <f t="shared" si="82"/>
        <v>0</v>
      </c>
      <c r="P91" s="711">
        <f t="shared" si="82"/>
        <v>0</v>
      </c>
      <c r="Q91" s="711">
        <f t="shared" si="82"/>
        <v>0</v>
      </c>
      <c r="R91" s="711">
        <f t="shared" si="82"/>
        <v>0</v>
      </c>
      <c r="T91" s="693" t="s">
        <v>2274</v>
      </c>
      <c r="U91" s="711">
        <f t="shared" si="83"/>
        <v>0</v>
      </c>
      <c r="V91" s="711">
        <f t="shared" si="83"/>
        <v>0</v>
      </c>
      <c r="W91" s="711">
        <f t="shared" si="83"/>
        <v>0</v>
      </c>
      <c r="X91" s="711">
        <f t="shared" si="83"/>
        <v>0</v>
      </c>
      <c r="Y91" s="711">
        <f t="shared" si="83"/>
        <v>0</v>
      </c>
      <c r="Z91" s="711">
        <f t="shared" si="83"/>
        <v>0</v>
      </c>
      <c r="AA91" s="711">
        <f t="shared" si="83"/>
        <v>0</v>
      </c>
      <c r="AB91" s="711">
        <f t="shared" si="83"/>
        <v>0</v>
      </c>
    </row>
    <row r="92" spans="1:28" x14ac:dyDescent="0.2">
      <c r="A92" s="693" t="s">
        <v>2275</v>
      </c>
      <c r="B92" s="711">
        <f t="shared" si="81"/>
        <v>0</v>
      </c>
      <c r="C92" s="711">
        <f t="shared" si="81"/>
        <v>0</v>
      </c>
      <c r="D92" s="711">
        <f t="shared" si="81"/>
        <v>0</v>
      </c>
      <c r="E92" s="711">
        <f t="shared" si="81"/>
        <v>0</v>
      </c>
      <c r="F92" s="711">
        <f t="shared" si="81"/>
        <v>0</v>
      </c>
      <c r="G92" s="711">
        <f t="shared" si="81"/>
        <v>0</v>
      </c>
      <c r="H92" s="711">
        <f t="shared" si="81"/>
        <v>0</v>
      </c>
      <c r="I92" s="711">
        <f t="shared" si="81"/>
        <v>0</v>
      </c>
      <c r="K92" s="711">
        <f t="shared" si="82"/>
        <v>0</v>
      </c>
      <c r="L92" s="711">
        <f t="shared" si="82"/>
        <v>0</v>
      </c>
      <c r="M92" s="711">
        <f t="shared" si="82"/>
        <v>0</v>
      </c>
      <c r="N92" s="711">
        <f t="shared" si="82"/>
        <v>0</v>
      </c>
      <c r="O92" s="711">
        <f t="shared" si="82"/>
        <v>0</v>
      </c>
      <c r="P92" s="711">
        <f t="shared" si="82"/>
        <v>0</v>
      </c>
      <c r="Q92" s="711">
        <f t="shared" si="82"/>
        <v>0</v>
      </c>
      <c r="R92" s="711">
        <f t="shared" si="82"/>
        <v>0</v>
      </c>
      <c r="T92" s="693" t="s">
        <v>2275</v>
      </c>
      <c r="U92" s="711">
        <f t="shared" si="83"/>
        <v>0</v>
      </c>
      <c r="V92" s="711">
        <f t="shared" si="83"/>
        <v>0</v>
      </c>
      <c r="W92" s="711">
        <f t="shared" si="83"/>
        <v>0</v>
      </c>
      <c r="X92" s="711">
        <f t="shared" si="83"/>
        <v>0</v>
      </c>
      <c r="Y92" s="711">
        <f t="shared" si="83"/>
        <v>0</v>
      </c>
      <c r="Z92" s="711">
        <f t="shared" si="83"/>
        <v>0</v>
      </c>
      <c r="AA92" s="711">
        <f t="shared" si="83"/>
        <v>0</v>
      </c>
      <c r="AB92" s="711">
        <f t="shared" si="83"/>
        <v>0</v>
      </c>
    </row>
    <row r="93" spans="1:28" x14ac:dyDescent="0.2">
      <c r="A93" s="693" t="s">
        <v>1059</v>
      </c>
      <c r="B93" s="711">
        <f t="shared" ref="B93:I96" si="84">B28/1000000</f>
        <v>0</v>
      </c>
      <c r="C93" s="711">
        <f t="shared" si="84"/>
        <v>0</v>
      </c>
      <c r="D93" s="711">
        <f t="shared" si="84"/>
        <v>0</v>
      </c>
      <c r="E93" s="711">
        <f t="shared" si="84"/>
        <v>0</v>
      </c>
      <c r="F93" s="711">
        <f t="shared" si="84"/>
        <v>0</v>
      </c>
      <c r="G93" s="711">
        <f t="shared" si="84"/>
        <v>0</v>
      </c>
      <c r="H93" s="711">
        <f t="shared" si="84"/>
        <v>0</v>
      </c>
      <c r="I93" s="711">
        <f t="shared" si="84"/>
        <v>0</v>
      </c>
      <c r="K93" s="711">
        <f t="shared" ref="K93:R96" si="85">K28/1000000</f>
        <v>0</v>
      </c>
      <c r="L93" s="711">
        <f t="shared" si="85"/>
        <v>0</v>
      </c>
      <c r="M93" s="711">
        <f t="shared" si="85"/>
        <v>0</v>
      </c>
      <c r="N93" s="711">
        <f t="shared" si="85"/>
        <v>0</v>
      </c>
      <c r="O93" s="711">
        <f t="shared" si="85"/>
        <v>0</v>
      </c>
      <c r="P93" s="711">
        <f t="shared" si="85"/>
        <v>0</v>
      </c>
      <c r="Q93" s="711">
        <f t="shared" si="85"/>
        <v>0</v>
      </c>
      <c r="R93" s="711">
        <f t="shared" si="85"/>
        <v>0</v>
      </c>
      <c r="T93" s="693" t="s">
        <v>1059</v>
      </c>
      <c r="U93" s="711">
        <f t="shared" ref="U93:AB96" si="86">U28/1000000</f>
        <v>0</v>
      </c>
      <c r="V93" s="711">
        <f t="shared" si="86"/>
        <v>0</v>
      </c>
      <c r="W93" s="711">
        <f t="shared" si="86"/>
        <v>0</v>
      </c>
      <c r="X93" s="711">
        <f t="shared" si="86"/>
        <v>0</v>
      </c>
      <c r="Y93" s="711">
        <f t="shared" si="86"/>
        <v>0</v>
      </c>
      <c r="Z93" s="711">
        <f t="shared" si="86"/>
        <v>0</v>
      </c>
      <c r="AA93" s="711">
        <f t="shared" si="86"/>
        <v>0</v>
      </c>
      <c r="AB93" s="711">
        <f t="shared" si="86"/>
        <v>0</v>
      </c>
    </row>
    <row r="94" spans="1:28" x14ac:dyDescent="0.2">
      <c r="A94" s="693" t="s">
        <v>1060</v>
      </c>
      <c r="B94" s="711">
        <f t="shared" si="84"/>
        <v>0</v>
      </c>
      <c r="C94" s="711">
        <f t="shared" si="84"/>
        <v>0</v>
      </c>
      <c r="D94" s="711">
        <f t="shared" si="84"/>
        <v>0</v>
      </c>
      <c r="E94" s="711">
        <f t="shared" si="84"/>
        <v>0</v>
      </c>
      <c r="F94" s="711">
        <f t="shared" si="84"/>
        <v>0</v>
      </c>
      <c r="G94" s="711">
        <f t="shared" si="84"/>
        <v>0</v>
      </c>
      <c r="H94" s="711">
        <f t="shared" si="84"/>
        <v>0</v>
      </c>
      <c r="I94" s="711">
        <f t="shared" si="84"/>
        <v>0</v>
      </c>
      <c r="K94" s="711">
        <f t="shared" si="85"/>
        <v>0</v>
      </c>
      <c r="L94" s="711">
        <f t="shared" si="85"/>
        <v>0</v>
      </c>
      <c r="M94" s="711">
        <f t="shared" si="85"/>
        <v>0</v>
      </c>
      <c r="N94" s="711">
        <f t="shared" si="85"/>
        <v>0</v>
      </c>
      <c r="O94" s="711">
        <f t="shared" si="85"/>
        <v>0</v>
      </c>
      <c r="P94" s="711">
        <f t="shared" si="85"/>
        <v>0</v>
      </c>
      <c r="Q94" s="711">
        <f t="shared" si="85"/>
        <v>0</v>
      </c>
      <c r="R94" s="711">
        <f t="shared" si="85"/>
        <v>0</v>
      </c>
      <c r="T94" s="693" t="s">
        <v>1060</v>
      </c>
      <c r="U94" s="711">
        <f t="shared" si="86"/>
        <v>0</v>
      </c>
      <c r="V94" s="711">
        <f t="shared" si="86"/>
        <v>0</v>
      </c>
      <c r="W94" s="711">
        <f t="shared" si="86"/>
        <v>0</v>
      </c>
      <c r="X94" s="711">
        <f t="shared" si="86"/>
        <v>0</v>
      </c>
      <c r="Y94" s="711">
        <f t="shared" si="86"/>
        <v>0</v>
      </c>
      <c r="Z94" s="711">
        <f t="shared" si="86"/>
        <v>0</v>
      </c>
      <c r="AA94" s="711">
        <f t="shared" si="86"/>
        <v>0</v>
      </c>
      <c r="AB94" s="711">
        <f t="shared" si="86"/>
        <v>0</v>
      </c>
    </row>
    <row r="95" spans="1:28" x14ac:dyDescent="0.2">
      <c r="A95" s="693" t="s">
        <v>1047</v>
      </c>
      <c r="B95" s="711">
        <f t="shared" si="84"/>
        <v>27.253501089523606</v>
      </c>
      <c r="C95" s="711">
        <f t="shared" si="84"/>
        <v>27.435498705263019</v>
      </c>
      <c r="D95" s="711">
        <f t="shared" si="84"/>
        <v>13.39205388989544</v>
      </c>
      <c r="E95" s="711">
        <f t="shared" si="84"/>
        <v>10.154163077111003</v>
      </c>
      <c r="F95" s="711">
        <f t="shared" si="84"/>
        <v>39.728162615839167</v>
      </c>
      <c r="G95" s="711">
        <f t="shared" si="84"/>
        <v>50.88563175797384</v>
      </c>
      <c r="H95" s="711">
        <f t="shared" si="84"/>
        <v>44.497002146545363</v>
      </c>
      <c r="I95" s="711">
        <f t="shared" si="84"/>
        <v>23.980985385161024</v>
      </c>
      <c r="K95" s="711">
        <f t="shared" si="85"/>
        <v>-4.522518327122927E-2</v>
      </c>
      <c r="L95" s="711">
        <f t="shared" si="85"/>
        <v>-0.11185581425898364</v>
      </c>
      <c r="M95" s="711">
        <f t="shared" si="85"/>
        <v>-5.5476320309808841E-2</v>
      </c>
      <c r="N95" s="711">
        <f t="shared" si="85"/>
        <v>-7.1082312805524864E-2</v>
      </c>
      <c r="O95" s="711">
        <f t="shared" si="85"/>
        <v>-0.17588631862749404</v>
      </c>
      <c r="P95" s="711">
        <f t="shared" si="85"/>
        <v>-0.23146993570941893</v>
      </c>
      <c r="Q95" s="711">
        <f t="shared" si="85"/>
        <v>-0.18239957323282976</v>
      </c>
      <c r="R95" s="711">
        <f t="shared" si="85"/>
        <v>-0.1329673656919621</v>
      </c>
      <c r="T95" s="693" t="s">
        <v>1047</v>
      </c>
      <c r="U95" s="711">
        <f t="shared" si="86"/>
        <v>27.208275906252378</v>
      </c>
      <c r="V95" s="711">
        <f t="shared" si="86"/>
        <v>27.323642891004035</v>
      </c>
      <c r="W95" s="711">
        <f t="shared" si="86"/>
        <v>13.33657756958563</v>
      </c>
      <c r="X95" s="711">
        <f t="shared" si="86"/>
        <v>10.083080764305478</v>
      </c>
      <c r="Y95" s="711">
        <f t="shared" si="86"/>
        <v>39.552276297211677</v>
      </c>
      <c r="Z95" s="711">
        <f t="shared" si="86"/>
        <v>50.654161822264427</v>
      </c>
      <c r="AA95" s="711">
        <f t="shared" si="86"/>
        <v>44.314602573312534</v>
      </c>
      <c r="AB95" s="711">
        <f t="shared" si="86"/>
        <v>23.848018019469059</v>
      </c>
    </row>
    <row r="96" spans="1:28" x14ac:dyDescent="0.2">
      <c r="A96" s="693" t="s">
        <v>2747</v>
      </c>
      <c r="B96" s="711">
        <f t="shared" si="84"/>
        <v>0</v>
      </c>
      <c r="C96" s="711">
        <f t="shared" si="84"/>
        <v>0</v>
      </c>
      <c r="D96" s="711">
        <f t="shared" si="84"/>
        <v>0</v>
      </c>
      <c r="E96" s="711">
        <f t="shared" si="84"/>
        <v>13.951532474153403</v>
      </c>
      <c r="F96" s="711">
        <f t="shared" si="84"/>
        <v>4.1459831238117353</v>
      </c>
      <c r="G96" s="711">
        <f t="shared" si="84"/>
        <v>4.4833445945546577</v>
      </c>
      <c r="H96" s="711">
        <f t="shared" si="84"/>
        <v>4.4063028697220608</v>
      </c>
      <c r="I96" s="711">
        <f t="shared" si="84"/>
        <v>2.1304199140710276</v>
      </c>
      <c r="K96" s="711">
        <f t="shared" si="85"/>
        <v>0</v>
      </c>
      <c r="L96" s="711">
        <f t="shared" si="85"/>
        <v>0</v>
      </c>
      <c r="M96" s="711">
        <f t="shared" si="85"/>
        <v>0</v>
      </c>
      <c r="N96" s="711">
        <f t="shared" si="85"/>
        <v>-9.7665084548392414E-2</v>
      </c>
      <c r="O96" s="711">
        <f t="shared" si="85"/>
        <v>-1.8355284028369119E-2</v>
      </c>
      <c r="P96" s="711">
        <f t="shared" si="85"/>
        <v>-2.0393958947009034E-2</v>
      </c>
      <c r="Q96" s="711">
        <f t="shared" si="85"/>
        <v>-1.8062065402181138E-2</v>
      </c>
      <c r="R96" s="711">
        <f t="shared" si="85"/>
        <v>-1.1812538944584271E-2</v>
      </c>
      <c r="T96" s="693" t="s">
        <v>2747</v>
      </c>
      <c r="U96" s="711">
        <f t="shared" si="86"/>
        <v>0</v>
      </c>
      <c r="V96" s="711">
        <f t="shared" si="86"/>
        <v>0</v>
      </c>
      <c r="W96" s="711">
        <f t="shared" si="86"/>
        <v>0</v>
      </c>
      <c r="X96" s="711">
        <f t="shared" si="86"/>
        <v>13.853867389605011</v>
      </c>
      <c r="Y96" s="711">
        <f t="shared" si="86"/>
        <v>4.1276278397833659</v>
      </c>
      <c r="Z96" s="711">
        <f t="shared" si="86"/>
        <v>4.4629506356076485</v>
      </c>
      <c r="AA96" s="711">
        <f t="shared" si="86"/>
        <v>4.3882408043198797</v>
      </c>
      <c r="AB96" s="711">
        <f t="shared" si="86"/>
        <v>2.1186073751264431</v>
      </c>
    </row>
    <row r="97" spans="1:28" x14ac:dyDescent="0.2">
      <c r="A97" s="695"/>
      <c r="T97" s="695"/>
    </row>
    <row r="98" spans="1:28" ht="13.5" thickBot="1" x14ac:dyDescent="0.25">
      <c r="A98" s="696" t="s">
        <v>639</v>
      </c>
      <c r="B98" s="722">
        <f t="shared" ref="B98:I98" si="87">SUM(B73:B97)</f>
        <v>167.03008902000002</v>
      </c>
      <c r="C98" s="722">
        <f t="shared" si="87"/>
        <v>161.88187682</v>
      </c>
      <c r="D98" s="722">
        <f t="shared" si="87"/>
        <v>163.30795564521972</v>
      </c>
      <c r="E98" s="722">
        <f t="shared" si="87"/>
        <v>98.542324865911951</v>
      </c>
      <c r="F98" s="722">
        <f t="shared" si="87"/>
        <v>103.74168374063107</v>
      </c>
      <c r="G98" s="722">
        <f t="shared" si="87"/>
        <v>115.08510190206417</v>
      </c>
      <c r="H98" s="722">
        <f t="shared" si="87"/>
        <v>108.38619948723468</v>
      </c>
      <c r="I98" s="722">
        <f t="shared" si="87"/>
        <v>58.68939538808678</v>
      </c>
      <c r="K98" s="722">
        <f t="shared" ref="K98:R98" si="88">SUM(K73:K97)</f>
        <v>-0.68126133259790478</v>
      </c>
      <c r="L98" s="722">
        <f t="shared" si="88"/>
        <v>-0.6599999999999997</v>
      </c>
      <c r="M98" s="722">
        <f t="shared" si="88"/>
        <v>-0.67649999999999999</v>
      </c>
      <c r="N98" s="722">
        <f t="shared" si="88"/>
        <v>-0.68982704999999989</v>
      </c>
      <c r="O98" s="722">
        <f t="shared" si="88"/>
        <v>-0.4592898749886456</v>
      </c>
      <c r="P98" s="722">
        <f t="shared" si="88"/>
        <v>-0.52350221895807347</v>
      </c>
      <c r="Q98" s="722">
        <f t="shared" si="88"/>
        <v>-0.44429052693687643</v>
      </c>
      <c r="R98" s="722">
        <f t="shared" si="88"/>
        <v>-0.32541508088473781</v>
      </c>
      <c r="T98" s="696" t="s">
        <v>639</v>
      </c>
      <c r="U98" s="722">
        <f t="shared" ref="U98:AB98" si="89">SUM(U73:U97)</f>
        <v>166.34882768740212</v>
      </c>
      <c r="V98" s="722">
        <f t="shared" si="89"/>
        <v>161.22187681999998</v>
      </c>
      <c r="W98" s="722">
        <f t="shared" si="89"/>
        <v>162.63145564521977</v>
      </c>
      <c r="X98" s="722">
        <f t="shared" si="89"/>
        <v>97.852497815911946</v>
      </c>
      <c r="Y98" s="722">
        <f t="shared" si="89"/>
        <v>103.28239386564243</v>
      </c>
      <c r="Z98" s="722">
        <f t="shared" si="89"/>
        <v>114.56159968310612</v>
      </c>
      <c r="AA98" s="722">
        <f t="shared" si="89"/>
        <v>107.94190896029779</v>
      </c>
      <c r="AB98" s="722">
        <f t="shared" si="89"/>
        <v>58.363980307202041</v>
      </c>
    </row>
    <row r="99" spans="1:28" x14ac:dyDescent="0.2">
      <c r="A99" s="695"/>
      <c r="T99" s="695"/>
    </row>
    <row r="100" spans="1:28" x14ac:dyDescent="0.2">
      <c r="A100" s="695"/>
      <c r="E100" s="687"/>
      <c r="F100" s="687"/>
      <c r="G100" s="687"/>
      <c r="N100" s="687"/>
      <c r="O100" s="687"/>
      <c r="P100" s="687"/>
      <c r="T100" s="695"/>
      <c r="X100" s="687"/>
      <c r="Y100" s="687"/>
      <c r="Z100" s="687"/>
    </row>
    <row r="101" spans="1:28" x14ac:dyDescent="0.2">
      <c r="A101" s="695"/>
      <c r="B101" s="811" t="s">
        <v>2743</v>
      </c>
      <c r="C101" s="811"/>
      <c r="D101" s="812"/>
      <c r="E101" s="810"/>
      <c r="F101" s="810"/>
      <c r="G101" s="810"/>
      <c r="H101" s="810"/>
      <c r="I101" s="810"/>
      <c r="J101" s="809"/>
      <c r="K101" s="811" t="s">
        <v>2744</v>
      </c>
      <c r="L101" s="687"/>
      <c r="M101" s="687"/>
      <c r="N101" s="687"/>
      <c r="O101" s="687"/>
      <c r="P101" s="687"/>
      <c r="Q101" s="687"/>
      <c r="R101" s="687"/>
      <c r="T101" s="695"/>
      <c r="U101" s="720" t="s">
        <v>2745</v>
      </c>
      <c r="V101" s="720"/>
      <c r="W101" s="721"/>
      <c r="X101" s="687"/>
      <c r="Y101" s="687"/>
      <c r="Z101" s="687"/>
      <c r="AA101" s="687"/>
      <c r="AB101" s="687"/>
    </row>
    <row r="102" spans="1:28" x14ac:dyDescent="0.2">
      <c r="A102" s="695"/>
      <c r="B102" s="684" t="s">
        <v>2748</v>
      </c>
      <c r="K102" s="684" t="s">
        <v>2748</v>
      </c>
      <c r="T102" s="695"/>
      <c r="U102" s="684" t="s">
        <v>2748</v>
      </c>
    </row>
    <row r="103" spans="1:28" x14ac:dyDescent="0.2">
      <c r="A103" s="713" t="s">
        <v>2277</v>
      </c>
      <c r="B103" s="691" t="s">
        <v>2278</v>
      </c>
      <c r="C103" s="691" t="s">
        <v>2279</v>
      </c>
      <c r="D103" s="691" t="s">
        <v>2280</v>
      </c>
      <c r="E103" s="691" t="s">
        <v>2281</v>
      </c>
      <c r="F103" s="691" t="s">
        <v>2282</v>
      </c>
      <c r="G103" s="691" t="s">
        <v>2283</v>
      </c>
      <c r="H103" s="691" t="s">
        <v>2284</v>
      </c>
      <c r="I103" s="691" t="s">
        <v>2285</v>
      </c>
      <c r="K103" s="691" t="s">
        <v>2278</v>
      </c>
      <c r="L103" s="691" t="s">
        <v>2279</v>
      </c>
      <c r="M103" s="691" t="s">
        <v>2280</v>
      </c>
      <c r="N103" s="691" t="s">
        <v>2281</v>
      </c>
      <c r="O103" s="691" t="s">
        <v>2282</v>
      </c>
      <c r="P103" s="691" t="s">
        <v>2283</v>
      </c>
      <c r="Q103" s="691" t="s">
        <v>2284</v>
      </c>
      <c r="R103" s="691" t="s">
        <v>2285</v>
      </c>
      <c r="T103" s="713" t="s">
        <v>2277</v>
      </c>
      <c r="U103" s="691" t="s">
        <v>2278</v>
      </c>
      <c r="V103" s="691" t="s">
        <v>2279</v>
      </c>
      <c r="W103" s="691" t="s">
        <v>2280</v>
      </c>
      <c r="X103" s="691" t="s">
        <v>2281</v>
      </c>
      <c r="Y103" s="691" t="s">
        <v>2282</v>
      </c>
      <c r="Z103" s="691" t="s">
        <v>2283</v>
      </c>
      <c r="AA103" s="691" t="s">
        <v>2284</v>
      </c>
      <c r="AB103" s="691" t="s">
        <v>2285</v>
      </c>
    </row>
    <row r="104" spans="1:28" x14ac:dyDescent="0.2">
      <c r="A104" s="43" t="s">
        <v>1031</v>
      </c>
      <c r="B104" s="711">
        <f t="shared" ref="B104:I113" si="90">B39/1000000</f>
        <v>0.73686402010707863</v>
      </c>
      <c r="C104" s="711">
        <f t="shared" si="90"/>
        <v>0.97108402096891844</v>
      </c>
      <c r="D104" s="711">
        <f t="shared" si="90"/>
        <v>5.2130415989486352</v>
      </c>
      <c r="E104" s="711">
        <f t="shared" si="90"/>
        <v>2.1558064591044337</v>
      </c>
      <c r="F104" s="711">
        <f t="shared" si="90"/>
        <v>0.633990264895268</v>
      </c>
      <c r="G104" s="711">
        <f t="shared" si="90"/>
        <v>1.1096976981096793</v>
      </c>
      <c r="H104" s="711">
        <f t="shared" si="90"/>
        <v>1.0833857151859378</v>
      </c>
      <c r="I104" s="711">
        <f t="shared" si="90"/>
        <v>0.1305651518426599</v>
      </c>
      <c r="K104" s="711">
        <f t="shared" ref="K104:R113" si="91">K39/1000000</f>
        <v>-2.6955123515253654E-3</v>
      </c>
      <c r="L104" s="711">
        <f t="shared" si="91"/>
        <v>-3.9217330904416526E-3</v>
      </c>
      <c r="M104" s="711">
        <f t="shared" si="91"/>
        <v>-2.1184285000498519E-2</v>
      </c>
      <c r="N104" s="711">
        <f t="shared" si="91"/>
        <v>-8.7864291590490518E-3</v>
      </c>
      <c r="O104" s="711">
        <f t="shared" si="91"/>
        <v>-2.4957395002343829E-3</v>
      </c>
      <c r="P104" s="711">
        <f t="shared" si="91"/>
        <v>-4.2664991259808395E-3</v>
      </c>
      <c r="Q104" s="711">
        <f t="shared" si="91"/>
        <v>-4.115746704764037E-3</v>
      </c>
      <c r="R104" s="711">
        <f t="shared" si="91"/>
        <v>-5.1146090423569613E-4</v>
      </c>
      <c r="T104" s="43" t="s">
        <v>1031</v>
      </c>
      <c r="U104" s="711">
        <f t="shared" ref="U104:AB113" si="92">U39/1000000</f>
        <v>0.7341685077555532</v>
      </c>
      <c r="V104" s="711">
        <f t="shared" si="92"/>
        <v>0.9671622878784768</v>
      </c>
      <c r="W104" s="711">
        <f t="shared" si="92"/>
        <v>5.1918573139481365</v>
      </c>
      <c r="X104" s="711">
        <f t="shared" si="92"/>
        <v>2.1470200299453848</v>
      </c>
      <c r="Y104" s="711">
        <f t="shared" si="92"/>
        <v>0.6314945253950337</v>
      </c>
      <c r="Z104" s="711">
        <f t="shared" si="92"/>
        <v>1.1054311989836987</v>
      </c>
      <c r="AA104" s="711">
        <f t="shared" si="92"/>
        <v>1.079269968481174</v>
      </c>
      <c r="AB104" s="711">
        <f t="shared" si="92"/>
        <v>0.13005369093842423</v>
      </c>
    </row>
    <row r="105" spans="1:28" x14ac:dyDescent="0.2">
      <c r="A105" s="43" t="s">
        <v>1032</v>
      </c>
      <c r="B105" s="711">
        <f t="shared" si="90"/>
        <v>5.9182031278142651</v>
      </c>
      <c r="C105" s="711">
        <f t="shared" si="90"/>
        <v>5.8254829143040832</v>
      </c>
      <c r="D105" s="711">
        <f t="shared" si="90"/>
        <v>1.7699464410940082</v>
      </c>
      <c r="E105" s="711">
        <f t="shared" si="90"/>
        <v>11.960820332234352</v>
      </c>
      <c r="F105" s="711">
        <f t="shared" si="90"/>
        <v>1.315933863594416</v>
      </c>
      <c r="G105" s="711">
        <f t="shared" si="90"/>
        <v>0.82560026147728482</v>
      </c>
      <c r="H105" s="711">
        <f t="shared" si="90"/>
        <v>3.11362499003102</v>
      </c>
      <c r="I105" s="711">
        <f t="shared" si="90"/>
        <v>5.521057136414264E-2</v>
      </c>
      <c r="K105" s="711">
        <f t="shared" si="91"/>
        <v>-2.1129139439186082E-2</v>
      </c>
      <c r="L105" s="711">
        <f t="shared" si="91"/>
        <v>-2.3526274369167103E-2</v>
      </c>
      <c r="M105" s="711">
        <f t="shared" si="91"/>
        <v>-7.1925476004863504E-3</v>
      </c>
      <c r="N105" s="711">
        <f t="shared" si="91"/>
        <v>-4.8748764106100899E-2</v>
      </c>
      <c r="O105" s="711">
        <f t="shared" si="91"/>
        <v>-5.1802500841415383E-3</v>
      </c>
      <c r="P105" s="711">
        <f t="shared" si="91"/>
        <v>-3.1742183479362696E-3</v>
      </c>
      <c r="Q105" s="711">
        <f t="shared" si="91"/>
        <v>-1.1828558945316855E-2</v>
      </c>
      <c r="R105" s="711">
        <f t="shared" si="91"/>
        <v>-2.1627554025520254E-4</v>
      </c>
      <c r="T105" s="43" t="s">
        <v>1032</v>
      </c>
      <c r="U105" s="711">
        <f t="shared" si="92"/>
        <v>5.8970739883750785</v>
      </c>
      <c r="V105" s="711">
        <f t="shared" si="92"/>
        <v>5.8019566399349163</v>
      </c>
      <c r="W105" s="711">
        <f t="shared" si="92"/>
        <v>1.7627538934935219</v>
      </c>
      <c r="X105" s="711">
        <f t="shared" si="92"/>
        <v>11.912071568128253</v>
      </c>
      <c r="Y105" s="711">
        <f t="shared" si="92"/>
        <v>1.3107536135102746</v>
      </c>
      <c r="Z105" s="711">
        <f t="shared" si="92"/>
        <v>0.82242604312934853</v>
      </c>
      <c r="AA105" s="711">
        <f t="shared" si="92"/>
        <v>3.1017964310857029</v>
      </c>
      <c r="AB105" s="711">
        <f t="shared" si="92"/>
        <v>5.4994295823887443E-2</v>
      </c>
    </row>
    <row r="106" spans="1:28" x14ac:dyDescent="0.2">
      <c r="A106" s="43" t="s">
        <v>1033</v>
      </c>
      <c r="B106" s="711">
        <f t="shared" si="90"/>
        <v>9.5106287204785485</v>
      </c>
      <c r="C106" s="711">
        <f t="shared" si="90"/>
        <v>18.669392596717348</v>
      </c>
      <c r="D106" s="711">
        <f t="shared" si="90"/>
        <v>8.7813475165627004</v>
      </c>
      <c r="E106" s="711">
        <f t="shared" si="90"/>
        <v>0</v>
      </c>
      <c r="F106" s="711">
        <f t="shared" si="90"/>
        <v>0</v>
      </c>
      <c r="G106" s="711">
        <f t="shared" si="90"/>
        <v>0</v>
      </c>
      <c r="H106" s="711">
        <f t="shared" si="90"/>
        <v>0</v>
      </c>
      <c r="I106" s="711">
        <f t="shared" si="90"/>
        <v>0</v>
      </c>
      <c r="K106" s="711">
        <f t="shared" si="91"/>
        <v>-3.2876341161388906E-2</v>
      </c>
      <c r="L106" s="711">
        <f t="shared" si="91"/>
        <v>-7.539653947960108E-2</v>
      </c>
      <c r="M106" s="711">
        <f t="shared" si="91"/>
        <v>-3.5684842514358973E-2</v>
      </c>
      <c r="N106" s="711">
        <f t="shared" si="91"/>
        <v>0</v>
      </c>
      <c r="O106" s="711">
        <f t="shared" si="91"/>
        <v>0</v>
      </c>
      <c r="P106" s="711">
        <f t="shared" si="91"/>
        <v>0</v>
      </c>
      <c r="Q106" s="711">
        <f t="shared" si="91"/>
        <v>0</v>
      </c>
      <c r="R106" s="711">
        <f t="shared" si="91"/>
        <v>0</v>
      </c>
      <c r="T106" s="43" t="s">
        <v>1033</v>
      </c>
      <c r="U106" s="711">
        <f t="shared" si="92"/>
        <v>9.4777523793171596</v>
      </c>
      <c r="V106" s="711">
        <f t="shared" si="92"/>
        <v>18.593996057237746</v>
      </c>
      <c r="W106" s="711">
        <f t="shared" si="92"/>
        <v>8.7456626740483419</v>
      </c>
      <c r="X106" s="711">
        <f t="shared" si="92"/>
        <v>0</v>
      </c>
      <c r="Y106" s="711">
        <f t="shared" si="92"/>
        <v>0</v>
      </c>
      <c r="Z106" s="711">
        <f t="shared" si="92"/>
        <v>0</v>
      </c>
      <c r="AA106" s="711">
        <f t="shared" si="92"/>
        <v>0</v>
      </c>
      <c r="AB106" s="711">
        <f t="shared" si="92"/>
        <v>0</v>
      </c>
    </row>
    <row r="107" spans="1:28" x14ac:dyDescent="0.2">
      <c r="A107" s="693" t="s">
        <v>1034</v>
      </c>
      <c r="B107" s="711">
        <f t="shared" si="90"/>
        <v>11.114250367338375</v>
      </c>
      <c r="C107" s="711">
        <f t="shared" si="90"/>
        <v>19.887926001580684</v>
      </c>
      <c r="D107" s="711">
        <f t="shared" si="90"/>
        <v>17.670996159014038</v>
      </c>
      <c r="E107" s="711">
        <f t="shared" si="90"/>
        <v>25.234975120855541</v>
      </c>
      <c r="F107" s="711">
        <f t="shared" si="90"/>
        <v>9.0235633661143915</v>
      </c>
      <c r="G107" s="711">
        <f t="shared" si="90"/>
        <v>14.113021274931196</v>
      </c>
      <c r="H107" s="711">
        <f t="shared" si="90"/>
        <v>9.9911724632615968</v>
      </c>
      <c r="I107" s="711">
        <f t="shared" si="90"/>
        <v>14.01258750433195</v>
      </c>
      <c r="K107" s="711">
        <f t="shared" si="91"/>
        <v>-5.1616266080256552E-2</v>
      </c>
      <c r="L107" s="711">
        <f t="shared" si="91"/>
        <v>-8.0317599524326128E-2</v>
      </c>
      <c r="M107" s="711">
        <f t="shared" si="91"/>
        <v>-7.1809789308177843E-2</v>
      </c>
      <c r="N107" s="711">
        <f t="shared" si="91"/>
        <v>-0.10285029080109155</v>
      </c>
      <c r="O107" s="711">
        <f t="shared" si="91"/>
        <v>-3.5521781283818103E-2</v>
      </c>
      <c r="P107" s="711">
        <f t="shared" si="91"/>
        <v>-5.4260897393058879E-2</v>
      </c>
      <c r="Q107" s="711">
        <f t="shared" si="91"/>
        <v>-3.7956135627411902E-2</v>
      </c>
      <c r="R107" s="711">
        <f t="shared" si="91"/>
        <v>-5.4891298133548205E-2</v>
      </c>
      <c r="T107" s="693" t="s">
        <v>1034</v>
      </c>
      <c r="U107" s="711">
        <f t="shared" si="92"/>
        <v>11.062634101258118</v>
      </c>
      <c r="V107" s="711">
        <f t="shared" si="92"/>
        <v>19.80760840205636</v>
      </c>
      <c r="W107" s="711">
        <f t="shared" si="92"/>
        <v>17.599186369705858</v>
      </c>
      <c r="X107" s="711">
        <f t="shared" si="92"/>
        <v>25.132124830054448</v>
      </c>
      <c r="Y107" s="711">
        <f t="shared" si="92"/>
        <v>8.9880415848305724</v>
      </c>
      <c r="Z107" s="711">
        <f t="shared" si="92"/>
        <v>14.058760377538137</v>
      </c>
      <c r="AA107" s="711">
        <f t="shared" si="92"/>
        <v>9.9532163276341858</v>
      </c>
      <c r="AB107" s="711">
        <f t="shared" si="92"/>
        <v>13.957696206198401</v>
      </c>
    </row>
    <row r="108" spans="1:28" x14ac:dyDescent="0.2">
      <c r="A108" s="43" t="s">
        <v>1035</v>
      </c>
      <c r="B108" s="711">
        <f t="shared" si="90"/>
        <v>3.4976604570683469</v>
      </c>
      <c r="C108" s="711">
        <f t="shared" si="90"/>
        <v>12.681406323459672</v>
      </c>
      <c r="D108" s="711">
        <f t="shared" si="90"/>
        <v>9.6630810345103402E-2</v>
      </c>
      <c r="E108" s="711">
        <f t="shared" si="90"/>
        <v>1.4381213166630947E-2</v>
      </c>
      <c r="F108" s="711">
        <f t="shared" si="90"/>
        <v>0</v>
      </c>
      <c r="G108" s="711">
        <f t="shared" si="90"/>
        <v>0</v>
      </c>
      <c r="H108" s="711">
        <f t="shared" si="90"/>
        <v>0</v>
      </c>
      <c r="I108" s="711">
        <f t="shared" si="90"/>
        <v>0</v>
      </c>
      <c r="K108" s="711">
        <f t="shared" si="91"/>
        <v>-1.4264922333157156E-2</v>
      </c>
      <c r="L108" s="711">
        <f t="shared" si="91"/>
        <v>-5.1213993576400961E-2</v>
      </c>
      <c r="M108" s="711">
        <f t="shared" si="91"/>
        <v>-3.9267951105409179E-4</v>
      </c>
      <c r="N108" s="711">
        <f t="shared" si="91"/>
        <v>-5.8613569031738893E-5</v>
      </c>
      <c r="O108" s="711">
        <f t="shared" si="91"/>
        <v>0</v>
      </c>
      <c r="P108" s="711">
        <f t="shared" si="91"/>
        <v>0</v>
      </c>
      <c r="Q108" s="711">
        <f t="shared" si="91"/>
        <v>0</v>
      </c>
      <c r="R108" s="711">
        <f t="shared" si="91"/>
        <v>0</v>
      </c>
      <c r="T108" s="43" t="s">
        <v>1035</v>
      </c>
      <c r="U108" s="711">
        <f t="shared" si="92"/>
        <v>3.4833955347351897</v>
      </c>
      <c r="V108" s="711">
        <f t="shared" si="92"/>
        <v>12.63019232988327</v>
      </c>
      <c r="W108" s="711">
        <f t="shared" si="92"/>
        <v>9.6238130834049293E-2</v>
      </c>
      <c r="X108" s="711">
        <f t="shared" si="92"/>
        <v>1.4322599597599208E-2</v>
      </c>
      <c r="Y108" s="711">
        <f t="shared" si="92"/>
        <v>0</v>
      </c>
      <c r="Z108" s="711">
        <f t="shared" si="92"/>
        <v>0</v>
      </c>
      <c r="AA108" s="711">
        <f t="shared" si="92"/>
        <v>0</v>
      </c>
      <c r="AB108" s="711">
        <f t="shared" si="92"/>
        <v>0</v>
      </c>
    </row>
    <row r="109" spans="1:28" x14ac:dyDescent="0.2">
      <c r="A109" s="693" t="s">
        <v>854</v>
      </c>
      <c r="B109" s="711">
        <f t="shared" si="90"/>
        <v>0.95595140000000001</v>
      </c>
      <c r="C109" s="711">
        <f t="shared" si="90"/>
        <v>12.91775103969492</v>
      </c>
      <c r="D109" s="711">
        <f t="shared" si="90"/>
        <v>2.7820746413131134E-2</v>
      </c>
      <c r="E109" s="711">
        <f t="shared" si="90"/>
        <v>0.18863036564093211</v>
      </c>
      <c r="F109" s="711">
        <f t="shared" si="90"/>
        <v>0.11014213181699666</v>
      </c>
      <c r="G109" s="711">
        <f t="shared" si="90"/>
        <v>4.5026905837022277E-2</v>
      </c>
      <c r="H109" s="711">
        <f t="shared" si="90"/>
        <v>0</v>
      </c>
      <c r="I109" s="711">
        <f t="shared" si="90"/>
        <v>0</v>
      </c>
      <c r="K109" s="711">
        <f t="shared" si="91"/>
        <v>0</v>
      </c>
      <c r="L109" s="711">
        <f t="shared" si="91"/>
        <v>-5.216847421288183E-2</v>
      </c>
      <c r="M109" s="711">
        <f t="shared" si="91"/>
        <v>-1.1305542258884514E-4</v>
      </c>
      <c r="N109" s="711">
        <f t="shared" si="91"/>
        <v>-7.6880154892850774E-4</v>
      </c>
      <c r="O109" s="711">
        <f t="shared" si="91"/>
        <v>-4.3358089900814254E-4</v>
      </c>
      <c r="P109" s="711">
        <f t="shared" si="91"/>
        <v>-1.7311674587279334E-4</v>
      </c>
      <c r="Q109" s="711">
        <f t="shared" si="91"/>
        <v>0</v>
      </c>
      <c r="R109" s="711">
        <f t="shared" si="91"/>
        <v>0</v>
      </c>
      <c r="T109" s="693" t="s">
        <v>854</v>
      </c>
      <c r="U109" s="711">
        <f t="shared" si="92"/>
        <v>0.95595140000000001</v>
      </c>
      <c r="V109" s="711">
        <f t="shared" si="92"/>
        <v>12.86558256548204</v>
      </c>
      <c r="W109" s="711">
        <f t="shared" si="92"/>
        <v>2.7707690990542291E-2</v>
      </c>
      <c r="X109" s="711">
        <f t="shared" si="92"/>
        <v>0.18786156409200361</v>
      </c>
      <c r="Y109" s="711">
        <f t="shared" si="92"/>
        <v>0.10970855091798851</v>
      </c>
      <c r="Z109" s="711">
        <f t="shared" si="92"/>
        <v>4.4853789091149482E-2</v>
      </c>
      <c r="AA109" s="711">
        <f t="shared" si="92"/>
        <v>0</v>
      </c>
      <c r="AB109" s="711">
        <f t="shared" si="92"/>
        <v>0</v>
      </c>
    </row>
    <row r="110" spans="1:28" x14ac:dyDescent="0.2">
      <c r="A110" s="693" t="s">
        <v>1036</v>
      </c>
      <c r="B110" s="711">
        <f t="shared" si="90"/>
        <v>0</v>
      </c>
      <c r="C110" s="711">
        <f t="shared" si="90"/>
        <v>4.7984504605401348</v>
      </c>
      <c r="D110" s="711">
        <f t="shared" si="90"/>
        <v>6.9005313834168244E-4</v>
      </c>
      <c r="E110" s="711">
        <f t="shared" si="90"/>
        <v>1.717767267565242</v>
      </c>
      <c r="F110" s="711">
        <f t="shared" si="90"/>
        <v>0</v>
      </c>
      <c r="G110" s="711">
        <f t="shared" si="90"/>
        <v>0</v>
      </c>
      <c r="H110" s="711">
        <f t="shared" si="90"/>
        <v>0</v>
      </c>
      <c r="I110" s="711">
        <f t="shared" si="90"/>
        <v>1.8047012553640636</v>
      </c>
      <c r="K110" s="711">
        <f t="shared" si="91"/>
        <v>0</v>
      </c>
      <c r="L110" s="711">
        <f t="shared" si="91"/>
        <v>-1.9378592941081407E-2</v>
      </c>
      <c r="M110" s="711">
        <f t="shared" si="91"/>
        <v>-2.8041752728516199E-6</v>
      </c>
      <c r="N110" s="711">
        <f t="shared" si="91"/>
        <v>-7.0011110433657459E-3</v>
      </c>
      <c r="O110" s="711">
        <f t="shared" si="91"/>
        <v>0</v>
      </c>
      <c r="P110" s="711">
        <f t="shared" si="91"/>
        <v>0</v>
      </c>
      <c r="Q110" s="711">
        <f t="shared" si="91"/>
        <v>0</v>
      </c>
      <c r="R110" s="711">
        <f t="shared" si="91"/>
        <v>-7.069529065888272E-3</v>
      </c>
      <c r="T110" s="693" t="s">
        <v>1036</v>
      </c>
      <c r="U110" s="711">
        <f t="shared" si="92"/>
        <v>0</v>
      </c>
      <c r="V110" s="711">
        <f t="shared" si="92"/>
        <v>4.7790718675990531</v>
      </c>
      <c r="W110" s="711">
        <f t="shared" si="92"/>
        <v>6.8724896306883085E-4</v>
      </c>
      <c r="X110" s="711">
        <f t="shared" si="92"/>
        <v>1.7107661565218764</v>
      </c>
      <c r="Y110" s="711">
        <f t="shared" si="92"/>
        <v>0</v>
      </c>
      <c r="Z110" s="711">
        <f t="shared" si="92"/>
        <v>0</v>
      </c>
      <c r="AA110" s="711">
        <f t="shared" si="92"/>
        <v>0</v>
      </c>
      <c r="AB110" s="711">
        <f t="shared" si="92"/>
        <v>1.7976317262981754</v>
      </c>
    </row>
    <row r="111" spans="1:28" x14ac:dyDescent="0.2">
      <c r="A111" s="693" t="s">
        <v>1037</v>
      </c>
      <c r="B111" s="711">
        <f t="shared" si="90"/>
        <v>3.3663372228809552</v>
      </c>
      <c r="C111" s="711">
        <f t="shared" si="90"/>
        <v>2.9020028947774263</v>
      </c>
      <c r="D111" s="711">
        <f t="shared" si="90"/>
        <v>6.7688119879039048</v>
      </c>
      <c r="E111" s="711">
        <f t="shared" si="90"/>
        <v>0.55716793549827426</v>
      </c>
      <c r="F111" s="711">
        <f t="shared" si="90"/>
        <v>2.1604892623887153</v>
      </c>
      <c r="G111" s="711">
        <f t="shared" si="90"/>
        <v>0.53535300377285</v>
      </c>
      <c r="H111" s="711">
        <f t="shared" si="90"/>
        <v>3.9397901810788447</v>
      </c>
      <c r="I111" s="711">
        <f t="shared" si="90"/>
        <v>2.8854549631079172</v>
      </c>
      <c r="K111" s="711">
        <f t="shared" si="91"/>
        <v>-1.104265259133419E-2</v>
      </c>
      <c r="L111" s="711">
        <f t="shared" si="91"/>
        <v>-1.1719769386845224E-2</v>
      </c>
      <c r="M111" s="711">
        <f t="shared" si="91"/>
        <v>-2.7506483411808301E-2</v>
      </c>
      <c r="N111" s="711">
        <f t="shared" si="91"/>
        <v>-2.2708516222661734E-3</v>
      </c>
      <c r="O111" s="711">
        <f t="shared" si="91"/>
        <v>-8.5048914636985731E-3</v>
      </c>
      <c r="P111" s="711">
        <f t="shared" si="91"/>
        <v>-2.0582931068334333E-3</v>
      </c>
      <c r="Q111" s="711">
        <f t="shared" si="91"/>
        <v>-1.4967133337598054E-2</v>
      </c>
      <c r="R111" s="711">
        <f t="shared" si="91"/>
        <v>-1.1303149299293821E-2</v>
      </c>
      <c r="T111" s="693" t="s">
        <v>1037</v>
      </c>
      <c r="U111" s="711">
        <f t="shared" si="92"/>
        <v>3.3552945702896211</v>
      </c>
      <c r="V111" s="711">
        <f t="shared" si="92"/>
        <v>2.8902831253905812</v>
      </c>
      <c r="W111" s="711">
        <f t="shared" si="92"/>
        <v>6.7413055044920966</v>
      </c>
      <c r="X111" s="711">
        <f t="shared" si="92"/>
        <v>0.554897083876008</v>
      </c>
      <c r="Y111" s="711">
        <f t="shared" si="92"/>
        <v>2.151984370925017</v>
      </c>
      <c r="Z111" s="711">
        <f t="shared" si="92"/>
        <v>0.53329471066601652</v>
      </c>
      <c r="AA111" s="711">
        <f t="shared" si="92"/>
        <v>3.9248230477412469</v>
      </c>
      <c r="AB111" s="711">
        <f t="shared" si="92"/>
        <v>2.8741518138086231</v>
      </c>
    </row>
    <row r="112" spans="1:28" x14ac:dyDescent="0.2">
      <c r="A112" s="693" t="s">
        <v>41</v>
      </c>
      <c r="B112" s="711">
        <f t="shared" si="90"/>
        <v>0</v>
      </c>
      <c r="C112" s="711">
        <f t="shared" si="90"/>
        <v>0</v>
      </c>
      <c r="D112" s="711">
        <f t="shared" si="90"/>
        <v>0</v>
      </c>
      <c r="E112" s="711">
        <f t="shared" si="90"/>
        <v>0</v>
      </c>
      <c r="F112" s="711">
        <f t="shared" si="90"/>
        <v>0</v>
      </c>
      <c r="G112" s="711">
        <f t="shared" si="90"/>
        <v>0</v>
      </c>
      <c r="H112" s="711">
        <f t="shared" si="90"/>
        <v>0</v>
      </c>
      <c r="I112" s="711">
        <f t="shared" si="90"/>
        <v>0</v>
      </c>
      <c r="K112" s="711">
        <f t="shared" si="91"/>
        <v>0</v>
      </c>
      <c r="L112" s="711">
        <f t="shared" si="91"/>
        <v>0</v>
      </c>
      <c r="M112" s="711">
        <f t="shared" si="91"/>
        <v>0</v>
      </c>
      <c r="N112" s="711">
        <f t="shared" si="91"/>
        <v>0</v>
      </c>
      <c r="O112" s="711">
        <f t="shared" si="91"/>
        <v>0</v>
      </c>
      <c r="P112" s="711">
        <f t="shared" si="91"/>
        <v>0</v>
      </c>
      <c r="Q112" s="711">
        <f t="shared" si="91"/>
        <v>0</v>
      </c>
      <c r="R112" s="711">
        <f t="shared" si="91"/>
        <v>0</v>
      </c>
      <c r="T112" s="693" t="s">
        <v>41</v>
      </c>
      <c r="U112" s="711">
        <f t="shared" si="92"/>
        <v>0</v>
      </c>
      <c r="V112" s="711">
        <f t="shared" si="92"/>
        <v>0</v>
      </c>
      <c r="W112" s="711">
        <f t="shared" si="92"/>
        <v>0</v>
      </c>
      <c r="X112" s="711">
        <f t="shared" si="92"/>
        <v>0</v>
      </c>
      <c r="Y112" s="711">
        <f t="shared" si="92"/>
        <v>0</v>
      </c>
      <c r="Z112" s="711">
        <f t="shared" si="92"/>
        <v>0</v>
      </c>
      <c r="AA112" s="711">
        <f t="shared" si="92"/>
        <v>0</v>
      </c>
      <c r="AB112" s="711">
        <f t="shared" si="92"/>
        <v>0</v>
      </c>
    </row>
    <row r="113" spans="1:28" x14ac:dyDescent="0.2">
      <c r="A113" s="693" t="s">
        <v>1038</v>
      </c>
      <c r="B113" s="711">
        <f t="shared" si="90"/>
        <v>18.468995132505995</v>
      </c>
      <c r="C113" s="711">
        <f t="shared" si="90"/>
        <v>85.757652274642695</v>
      </c>
      <c r="D113" s="711">
        <f t="shared" si="90"/>
        <v>49.804126656195386</v>
      </c>
      <c r="E113" s="711">
        <f t="shared" si="90"/>
        <v>22.431819860214144</v>
      </c>
      <c r="F113" s="711">
        <f t="shared" si="90"/>
        <v>8.2878011461694587</v>
      </c>
      <c r="G113" s="711">
        <f t="shared" si="90"/>
        <v>22.026268087551333</v>
      </c>
      <c r="H113" s="711">
        <f t="shared" si="90"/>
        <v>5.5818362496111344</v>
      </c>
      <c r="I113" s="711">
        <f t="shared" si="90"/>
        <v>31.049951933311583</v>
      </c>
      <c r="K113" s="711">
        <f t="shared" si="91"/>
        <v>-0.11900656813882292</v>
      </c>
      <c r="L113" s="711">
        <f t="shared" si="91"/>
        <v>-0.34633318582308298</v>
      </c>
      <c r="M113" s="711">
        <f t="shared" si="91"/>
        <v>-0.20238948668634327</v>
      </c>
      <c r="N113" s="711">
        <f t="shared" si="91"/>
        <v>-9.1425459497045364E-2</v>
      </c>
      <c r="O113" s="711">
        <f t="shared" si="91"/>
        <v>-3.2625410571564276E-2</v>
      </c>
      <c r="P113" s="711">
        <f t="shared" si="91"/>
        <v>-8.4685273930224181E-2</v>
      </c>
      <c r="Q113" s="711">
        <f t="shared" si="91"/>
        <v>-2.1205212353133735E-2</v>
      </c>
      <c r="R113" s="711">
        <f t="shared" si="91"/>
        <v>-0.12163150938945759</v>
      </c>
      <c r="T113" s="693" t="s">
        <v>1038</v>
      </c>
      <c r="U113" s="711">
        <f t="shared" si="92"/>
        <v>18.34998856436717</v>
      </c>
      <c r="V113" s="711">
        <f t="shared" si="92"/>
        <v>85.41131908881961</v>
      </c>
      <c r="W113" s="711">
        <f t="shared" si="92"/>
        <v>49.601737169509043</v>
      </c>
      <c r="X113" s="711">
        <f t="shared" si="92"/>
        <v>22.340394400717098</v>
      </c>
      <c r="Y113" s="711">
        <f t="shared" si="92"/>
        <v>8.255175735597895</v>
      </c>
      <c r="Z113" s="711">
        <f t="shared" si="92"/>
        <v>21.941582813621107</v>
      </c>
      <c r="AA113" s="711">
        <f t="shared" si="92"/>
        <v>5.560631037258001</v>
      </c>
      <c r="AB113" s="711">
        <f t="shared" si="92"/>
        <v>30.928320423922127</v>
      </c>
    </row>
    <row r="114" spans="1:28" x14ac:dyDescent="0.2">
      <c r="A114" s="693" t="s">
        <v>1039</v>
      </c>
      <c r="B114" s="711">
        <f t="shared" ref="B114:I123" si="93">B49/1000000</f>
        <v>7.134828945497981</v>
      </c>
      <c r="C114" s="711">
        <f t="shared" si="93"/>
        <v>4.2579799117162391</v>
      </c>
      <c r="D114" s="711">
        <f t="shared" si="93"/>
        <v>1.8806726263896469</v>
      </c>
      <c r="E114" s="711">
        <f t="shared" si="93"/>
        <v>1.1497045259577967</v>
      </c>
      <c r="F114" s="711">
        <f t="shared" si="93"/>
        <v>0.15690503156035768</v>
      </c>
      <c r="G114" s="711">
        <f t="shared" si="93"/>
        <v>0.21675691491082791</v>
      </c>
      <c r="H114" s="711">
        <f t="shared" si="93"/>
        <v>2.2114484998219246</v>
      </c>
      <c r="I114" s="711">
        <f t="shared" si="93"/>
        <v>0</v>
      </c>
      <c r="K114" s="711">
        <f t="shared" ref="K114:R123" si="94">K49/1000000</f>
        <v>-2.5301113889932631E-2</v>
      </c>
      <c r="L114" s="711">
        <f t="shared" si="94"/>
        <v>-1.7195896912763509E-2</v>
      </c>
      <c r="M114" s="711">
        <f t="shared" si="94"/>
        <v>-7.6425066161201196E-3</v>
      </c>
      <c r="N114" s="711">
        <f t="shared" si="94"/>
        <v>-4.6858554155008638E-3</v>
      </c>
      <c r="O114" s="711">
        <f t="shared" si="94"/>
        <v>-6.1766576986067205E-4</v>
      </c>
      <c r="P114" s="711">
        <f t="shared" si="94"/>
        <v>-8.3337398067301967E-4</v>
      </c>
      <c r="Q114" s="711">
        <f t="shared" si="94"/>
        <v>-8.4012201271597454E-3</v>
      </c>
      <c r="R114" s="711">
        <f t="shared" si="94"/>
        <v>0</v>
      </c>
      <c r="T114" s="693" t="s">
        <v>1039</v>
      </c>
      <c r="U114" s="711">
        <f t="shared" ref="U114:AB123" si="95">U49/1000000</f>
        <v>7.109527831608049</v>
      </c>
      <c r="V114" s="711">
        <f t="shared" si="95"/>
        <v>4.2407840148034754</v>
      </c>
      <c r="W114" s="711">
        <f t="shared" si="95"/>
        <v>1.8730301197735266</v>
      </c>
      <c r="X114" s="711">
        <f t="shared" si="95"/>
        <v>1.1450186705422958</v>
      </c>
      <c r="Y114" s="711">
        <f t="shared" si="95"/>
        <v>0.15628736579049701</v>
      </c>
      <c r="Z114" s="711">
        <f t="shared" si="95"/>
        <v>0.21592354093015487</v>
      </c>
      <c r="AA114" s="711">
        <f t="shared" si="95"/>
        <v>2.2030472796947649</v>
      </c>
      <c r="AB114" s="711">
        <f t="shared" si="95"/>
        <v>0</v>
      </c>
    </row>
    <row r="115" spans="1:28" x14ac:dyDescent="0.2">
      <c r="A115" s="693" t="s">
        <v>1040</v>
      </c>
      <c r="B115" s="711">
        <f t="shared" si="93"/>
        <v>33.162308417136927</v>
      </c>
      <c r="C115" s="711">
        <f t="shared" si="93"/>
        <v>21.629890136559681</v>
      </c>
      <c r="D115" s="711">
        <f t="shared" si="93"/>
        <v>11.938759725627532</v>
      </c>
      <c r="E115" s="711">
        <f t="shared" si="93"/>
        <v>19.446095369768088</v>
      </c>
      <c r="F115" s="711">
        <f t="shared" si="93"/>
        <v>15.736720635485407</v>
      </c>
      <c r="G115" s="711">
        <f t="shared" si="93"/>
        <v>10.207347920693948</v>
      </c>
      <c r="H115" s="711">
        <f t="shared" si="93"/>
        <v>0.37781189958706757</v>
      </c>
      <c r="I115" s="711">
        <f t="shared" si="93"/>
        <v>2.1618246442765203</v>
      </c>
      <c r="K115" s="711">
        <f t="shared" si="94"/>
        <v>-0.11840244878697395</v>
      </c>
      <c r="L115" s="711">
        <f t="shared" si="94"/>
        <v>-8.7352540109275109E-2</v>
      </c>
      <c r="M115" s="711">
        <f t="shared" si="94"/>
        <v>-4.851564749285231E-2</v>
      </c>
      <c r="N115" s="711">
        <f t="shared" si="94"/>
        <v>-7.9256530040066095E-2</v>
      </c>
      <c r="O115" s="711">
        <f t="shared" si="94"/>
        <v>-6.1948514778255206E-2</v>
      </c>
      <c r="P115" s="711">
        <f t="shared" si="94"/>
        <v>-3.9244598827597774E-2</v>
      </c>
      <c r="Q115" s="711">
        <f t="shared" si="94"/>
        <v>-1.4352949821562291E-3</v>
      </c>
      <c r="R115" s="711">
        <f t="shared" si="94"/>
        <v>-8.4684831423710461E-3</v>
      </c>
      <c r="T115" s="693" t="s">
        <v>1040</v>
      </c>
      <c r="U115" s="711">
        <f t="shared" si="95"/>
        <v>33.043905968349954</v>
      </c>
      <c r="V115" s="711">
        <f t="shared" si="95"/>
        <v>21.542537596450405</v>
      </c>
      <c r="W115" s="711">
        <f t="shared" si="95"/>
        <v>11.89024407813468</v>
      </c>
      <c r="X115" s="711">
        <f t="shared" si="95"/>
        <v>19.366838839728022</v>
      </c>
      <c r="Y115" s="711">
        <f t="shared" si="95"/>
        <v>15.674772120707152</v>
      </c>
      <c r="Z115" s="711">
        <f t="shared" si="95"/>
        <v>10.168103321866351</v>
      </c>
      <c r="AA115" s="711">
        <f t="shared" si="95"/>
        <v>0.37637660460491129</v>
      </c>
      <c r="AB115" s="711">
        <f t="shared" si="95"/>
        <v>2.1533561611341496</v>
      </c>
    </row>
    <row r="116" spans="1:28" x14ac:dyDescent="0.2">
      <c r="A116" s="693" t="s">
        <v>1041</v>
      </c>
      <c r="B116" s="711">
        <f t="shared" si="93"/>
        <v>0.27603360999999998</v>
      </c>
      <c r="C116" s="711">
        <f t="shared" si="93"/>
        <v>1.8739387341454037</v>
      </c>
      <c r="D116" s="711">
        <f t="shared" si="93"/>
        <v>0.43334100292704802</v>
      </c>
      <c r="E116" s="711">
        <f t="shared" si="93"/>
        <v>0.20309049980068647</v>
      </c>
      <c r="F116" s="711">
        <f t="shared" si="93"/>
        <v>0.22028426361425948</v>
      </c>
      <c r="G116" s="711">
        <f t="shared" si="93"/>
        <v>3.280978619916973</v>
      </c>
      <c r="H116" s="711">
        <f t="shared" si="93"/>
        <v>0.17472146845743908</v>
      </c>
      <c r="I116" s="711">
        <f t="shared" si="93"/>
        <v>4.780682624262577E-2</v>
      </c>
      <c r="K116" s="711">
        <f t="shared" si="94"/>
        <v>-1.0539253622759134E-5</v>
      </c>
      <c r="L116" s="711">
        <f t="shared" si="94"/>
        <v>-7.567921399659807E-3</v>
      </c>
      <c r="M116" s="711">
        <f t="shared" si="94"/>
        <v>-1.7609718115926549E-3</v>
      </c>
      <c r="N116" s="711">
        <f t="shared" si="94"/>
        <v>-8.277367765731114E-4</v>
      </c>
      <c r="O116" s="711">
        <f t="shared" si="94"/>
        <v>-8.6716179793860167E-4</v>
      </c>
      <c r="P116" s="711">
        <f t="shared" si="94"/>
        <v>-1.2614509733671661E-2</v>
      </c>
      <c r="Q116" s="711">
        <f t="shared" si="94"/>
        <v>-6.6376111294011301E-4</v>
      </c>
      <c r="R116" s="711">
        <f t="shared" si="94"/>
        <v>-1.8727296092113256E-4</v>
      </c>
      <c r="T116" s="693" t="s">
        <v>1041</v>
      </c>
      <c r="U116" s="711">
        <f t="shared" si="95"/>
        <v>0.27602307074637722</v>
      </c>
      <c r="V116" s="711">
        <f t="shared" si="95"/>
        <v>1.8663708127457439</v>
      </c>
      <c r="W116" s="711">
        <f t="shared" si="95"/>
        <v>0.4315800311154554</v>
      </c>
      <c r="X116" s="711">
        <f t="shared" si="95"/>
        <v>0.20226276302411333</v>
      </c>
      <c r="Y116" s="711">
        <f t="shared" si="95"/>
        <v>0.21941710181632088</v>
      </c>
      <c r="Z116" s="711">
        <f t="shared" si="95"/>
        <v>3.2683641101833012</v>
      </c>
      <c r="AA116" s="711">
        <f t="shared" si="95"/>
        <v>0.17405770734449896</v>
      </c>
      <c r="AB116" s="711">
        <f t="shared" si="95"/>
        <v>4.7619553281704641E-2</v>
      </c>
    </row>
    <row r="117" spans="1:28" x14ac:dyDescent="0.2">
      <c r="A117" s="693" t="s">
        <v>1042</v>
      </c>
      <c r="B117" s="711">
        <f t="shared" si="93"/>
        <v>-4.1357442799999991</v>
      </c>
      <c r="C117" s="711">
        <f t="shared" si="93"/>
        <v>0</v>
      </c>
      <c r="D117" s="711">
        <f t="shared" si="93"/>
        <v>0</v>
      </c>
      <c r="E117" s="711">
        <f t="shared" si="93"/>
        <v>0</v>
      </c>
      <c r="F117" s="711">
        <f t="shared" si="93"/>
        <v>0</v>
      </c>
      <c r="G117" s="711">
        <f t="shared" si="93"/>
        <v>0</v>
      </c>
      <c r="H117" s="711">
        <f t="shared" si="93"/>
        <v>0</v>
      </c>
      <c r="I117" s="711">
        <f t="shared" si="93"/>
        <v>0</v>
      </c>
      <c r="K117" s="711">
        <f t="shared" si="94"/>
        <v>0</v>
      </c>
      <c r="L117" s="711">
        <f t="shared" si="94"/>
        <v>0</v>
      </c>
      <c r="M117" s="711">
        <f t="shared" si="94"/>
        <v>0</v>
      </c>
      <c r="N117" s="711">
        <f t="shared" si="94"/>
        <v>0</v>
      </c>
      <c r="O117" s="711">
        <f t="shared" si="94"/>
        <v>0</v>
      </c>
      <c r="P117" s="711">
        <f t="shared" si="94"/>
        <v>0</v>
      </c>
      <c r="Q117" s="711">
        <f t="shared" si="94"/>
        <v>0</v>
      </c>
      <c r="R117" s="711">
        <f t="shared" si="94"/>
        <v>0</v>
      </c>
      <c r="T117" s="693" t="s">
        <v>1042</v>
      </c>
      <c r="U117" s="711">
        <f t="shared" si="95"/>
        <v>-4.1357442799999991</v>
      </c>
      <c r="V117" s="711">
        <f t="shared" si="95"/>
        <v>0</v>
      </c>
      <c r="W117" s="711">
        <f t="shared" si="95"/>
        <v>0</v>
      </c>
      <c r="X117" s="711">
        <f t="shared" si="95"/>
        <v>0</v>
      </c>
      <c r="Y117" s="711">
        <f t="shared" si="95"/>
        <v>0</v>
      </c>
      <c r="Z117" s="711">
        <f t="shared" si="95"/>
        <v>0</v>
      </c>
      <c r="AA117" s="711">
        <f t="shared" si="95"/>
        <v>0</v>
      </c>
      <c r="AB117" s="711">
        <f t="shared" si="95"/>
        <v>0</v>
      </c>
    </row>
    <row r="118" spans="1:28" x14ac:dyDescent="0.2">
      <c r="A118" s="693" t="s">
        <v>1043</v>
      </c>
      <c r="B118" s="711">
        <f t="shared" si="93"/>
        <v>31.318011495975732</v>
      </c>
      <c r="C118" s="711">
        <f t="shared" si="93"/>
        <v>49.728058824839586</v>
      </c>
      <c r="D118" s="711">
        <f t="shared" si="93"/>
        <v>25.597491160929668</v>
      </c>
      <c r="E118" s="711">
        <f t="shared" si="93"/>
        <v>21.471907520603523</v>
      </c>
      <c r="F118" s="711">
        <f t="shared" si="93"/>
        <v>10.503192769880838</v>
      </c>
      <c r="G118" s="711">
        <f t="shared" si="93"/>
        <v>13.571502534254957</v>
      </c>
      <c r="H118" s="711">
        <f t="shared" si="93"/>
        <v>6.2385833666177612</v>
      </c>
      <c r="I118" s="711">
        <f t="shared" si="93"/>
        <v>38.0623769045201</v>
      </c>
      <c r="K118" s="711">
        <f t="shared" si="94"/>
        <v>-0.10105310497032106</v>
      </c>
      <c r="L118" s="711">
        <f t="shared" si="94"/>
        <v>-0.20082729156867099</v>
      </c>
      <c r="M118" s="711">
        <f t="shared" si="94"/>
        <v>-0.10402075981136225</v>
      </c>
      <c r="N118" s="711">
        <f t="shared" si="94"/>
        <v>-8.7513140867853806E-2</v>
      </c>
      <c r="O118" s="711">
        <f t="shared" si="94"/>
        <v>-4.1346428369366334E-2</v>
      </c>
      <c r="P118" s="711">
        <f t="shared" si="94"/>
        <v>-5.2178898630933779E-2</v>
      </c>
      <c r="Q118" s="711">
        <f t="shared" si="94"/>
        <v>-2.3700173053459561E-2</v>
      </c>
      <c r="R118" s="711">
        <f t="shared" si="94"/>
        <v>-0.14910117618830881</v>
      </c>
      <c r="T118" s="693" t="s">
        <v>1043</v>
      </c>
      <c r="U118" s="711">
        <f t="shared" si="95"/>
        <v>31.216958391005413</v>
      </c>
      <c r="V118" s="711">
        <f t="shared" si="95"/>
        <v>49.527231533270907</v>
      </c>
      <c r="W118" s="711">
        <f t="shared" si="95"/>
        <v>25.493470401118309</v>
      </c>
      <c r="X118" s="711">
        <f t="shared" si="95"/>
        <v>21.384394379735667</v>
      </c>
      <c r="Y118" s="711">
        <f t="shared" si="95"/>
        <v>10.461846341511473</v>
      </c>
      <c r="Z118" s="711">
        <f t="shared" si="95"/>
        <v>13.519323635624023</v>
      </c>
      <c r="AA118" s="711">
        <f t="shared" si="95"/>
        <v>6.2148831935643019</v>
      </c>
      <c r="AB118" s="711">
        <f t="shared" si="95"/>
        <v>37.91327572833179</v>
      </c>
    </row>
    <row r="119" spans="1:28" x14ac:dyDescent="0.2">
      <c r="A119" s="693" t="s">
        <v>1044</v>
      </c>
      <c r="B119" s="711">
        <f t="shared" si="93"/>
        <v>13.212138807792638</v>
      </c>
      <c r="C119" s="711">
        <f t="shared" si="93"/>
        <v>6.1182666785737414</v>
      </c>
      <c r="D119" s="711">
        <f t="shared" si="93"/>
        <v>15.008062689809881</v>
      </c>
      <c r="E119" s="711">
        <f t="shared" si="93"/>
        <v>1.0428806293630921</v>
      </c>
      <c r="F119" s="711">
        <f t="shared" si="93"/>
        <v>0.23384873793226818</v>
      </c>
      <c r="G119" s="711">
        <f t="shared" si="93"/>
        <v>0.69683803410445111</v>
      </c>
      <c r="H119" s="711">
        <f t="shared" si="93"/>
        <v>10.446821128471749</v>
      </c>
      <c r="I119" s="711">
        <f t="shared" si="93"/>
        <v>0.1579327669213948</v>
      </c>
      <c r="K119" s="711">
        <f t="shared" si="94"/>
        <v>-4.2307987441062928E-2</v>
      </c>
      <c r="L119" s="711">
        <f t="shared" si="94"/>
        <v>-2.4708684698125791E-2</v>
      </c>
      <c r="M119" s="711">
        <f t="shared" si="94"/>
        <v>-6.0988402124088549E-2</v>
      </c>
      <c r="N119" s="711">
        <f t="shared" si="94"/>
        <v>-4.2504728253991222E-3</v>
      </c>
      <c r="O119" s="711">
        <f t="shared" si="94"/>
        <v>-9.2055913892294882E-4</v>
      </c>
      <c r="P119" s="711">
        <f t="shared" si="94"/>
        <v>-2.6791610620814301E-3</v>
      </c>
      <c r="Q119" s="711">
        <f t="shared" si="94"/>
        <v>-3.9687129922501861E-2</v>
      </c>
      <c r="R119" s="711">
        <f t="shared" si="94"/>
        <v>-6.1866765088592127E-4</v>
      </c>
      <c r="T119" s="693" t="s">
        <v>1044</v>
      </c>
      <c r="U119" s="711">
        <f t="shared" si="95"/>
        <v>13.169830820351574</v>
      </c>
      <c r="V119" s="711">
        <f t="shared" si="95"/>
        <v>6.0935579938756161</v>
      </c>
      <c r="W119" s="711">
        <f t="shared" si="95"/>
        <v>14.947074287685792</v>
      </c>
      <c r="X119" s="711">
        <f t="shared" si="95"/>
        <v>1.038630156537693</v>
      </c>
      <c r="Y119" s="711">
        <f t="shared" si="95"/>
        <v>0.23292817879334524</v>
      </c>
      <c r="Z119" s="711">
        <f t="shared" si="95"/>
        <v>0.69415887304236956</v>
      </c>
      <c r="AA119" s="711">
        <f t="shared" si="95"/>
        <v>10.407133998549247</v>
      </c>
      <c r="AB119" s="711">
        <f t="shared" si="95"/>
        <v>0.15731409927050888</v>
      </c>
    </row>
    <row r="120" spans="1:28" x14ac:dyDescent="0.2">
      <c r="A120" s="693" t="s">
        <v>1045</v>
      </c>
      <c r="B120" s="711">
        <f t="shared" si="93"/>
        <v>0</v>
      </c>
      <c r="C120" s="711">
        <f t="shared" si="93"/>
        <v>3.5939749234486169</v>
      </c>
      <c r="D120" s="711">
        <f t="shared" si="93"/>
        <v>4.2188406158435034</v>
      </c>
      <c r="E120" s="711">
        <f t="shared" si="93"/>
        <v>0.58246711425771658</v>
      </c>
      <c r="F120" s="711">
        <f t="shared" si="93"/>
        <v>0</v>
      </c>
      <c r="G120" s="711">
        <f t="shared" si="93"/>
        <v>2.4203765558937881E-2</v>
      </c>
      <c r="H120" s="711">
        <f t="shared" si="93"/>
        <v>1.3736106338931643E-2</v>
      </c>
      <c r="I120" s="711">
        <f t="shared" si="93"/>
        <v>0.12529108130799252</v>
      </c>
      <c r="K120" s="711">
        <f t="shared" si="94"/>
        <v>0</v>
      </c>
      <c r="L120" s="711">
        <f t="shared" si="94"/>
        <v>-1.451430574405165E-2</v>
      </c>
      <c r="M120" s="711">
        <f t="shared" si="94"/>
        <v>-1.7144141338855268E-2</v>
      </c>
      <c r="N120" s="711">
        <f t="shared" si="94"/>
        <v>-2.3739635880983484E-3</v>
      </c>
      <c r="O120" s="711">
        <f t="shared" si="94"/>
        <v>0</v>
      </c>
      <c r="P120" s="711">
        <f t="shared" si="94"/>
        <v>-9.3057185554733972E-5</v>
      </c>
      <c r="Q120" s="711">
        <f t="shared" si="94"/>
        <v>-5.2183016268627374E-5</v>
      </c>
      <c r="R120" s="711">
        <f t="shared" si="94"/>
        <v>-4.9080086710791434E-4</v>
      </c>
      <c r="T120" s="693" t="s">
        <v>1045</v>
      </c>
      <c r="U120" s="711">
        <f t="shared" si="95"/>
        <v>0</v>
      </c>
      <c r="V120" s="711">
        <f t="shared" si="95"/>
        <v>3.5794606177045658</v>
      </c>
      <c r="W120" s="711">
        <f t="shared" si="95"/>
        <v>4.201696474504649</v>
      </c>
      <c r="X120" s="711">
        <f t="shared" si="95"/>
        <v>0.58009315066961831</v>
      </c>
      <c r="Y120" s="711">
        <f t="shared" si="95"/>
        <v>0</v>
      </c>
      <c r="Z120" s="711">
        <f t="shared" si="95"/>
        <v>2.4110708373383145E-2</v>
      </c>
      <c r="AA120" s="711">
        <f t="shared" si="95"/>
        <v>1.3683923322663015E-2</v>
      </c>
      <c r="AB120" s="711">
        <f t="shared" si="95"/>
        <v>0.12480028044088462</v>
      </c>
    </row>
    <row r="121" spans="1:28" x14ac:dyDescent="0.2">
      <c r="A121" s="693" t="s">
        <v>2273</v>
      </c>
      <c r="B121" s="711">
        <f t="shared" si="93"/>
        <v>0</v>
      </c>
      <c r="C121" s="711">
        <f t="shared" si="93"/>
        <v>0</v>
      </c>
      <c r="D121" s="711">
        <f t="shared" si="93"/>
        <v>0</v>
      </c>
      <c r="E121" s="711">
        <f t="shared" si="93"/>
        <v>0</v>
      </c>
      <c r="F121" s="711">
        <f t="shared" si="93"/>
        <v>0</v>
      </c>
      <c r="G121" s="711">
        <f t="shared" si="93"/>
        <v>0</v>
      </c>
      <c r="H121" s="711">
        <f t="shared" si="93"/>
        <v>0</v>
      </c>
      <c r="I121" s="711">
        <f t="shared" si="93"/>
        <v>0</v>
      </c>
      <c r="K121" s="711">
        <f t="shared" si="94"/>
        <v>0</v>
      </c>
      <c r="L121" s="711">
        <f t="shared" si="94"/>
        <v>0</v>
      </c>
      <c r="M121" s="711">
        <f t="shared" si="94"/>
        <v>0</v>
      </c>
      <c r="N121" s="711">
        <f t="shared" si="94"/>
        <v>0</v>
      </c>
      <c r="O121" s="711">
        <f t="shared" si="94"/>
        <v>0</v>
      </c>
      <c r="P121" s="711">
        <f t="shared" si="94"/>
        <v>0</v>
      </c>
      <c r="Q121" s="711">
        <f t="shared" si="94"/>
        <v>0</v>
      </c>
      <c r="R121" s="711">
        <f t="shared" si="94"/>
        <v>0</v>
      </c>
      <c r="T121" s="693" t="s">
        <v>2273</v>
      </c>
      <c r="U121" s="711">
        <f t="shared" si="95"/>
        <v>0</v>
      </c>
      <c r="V121" s="711">
        <f t="shared" si="95"/>
        <v>0</v>
      </c>
      <c r="W121" s="711">
        <f t="shared" si="95"/>
        <v>0</v>
      </c>
      <c r="X121" s="711">
        <f t="shared" si="95"/>
        <v>0</v>
      </c>
      <c r="Y121" s="711">
        <f t="shared" si="95"/>
        <v>0</v>
      </c>
      <c r="Z121" s="711">
        <f t="shared" si="95"/>
        <v>0</v>
      </c>
      <c r="AA121" s="711">
        <f t="shared" si="95"/>
        <v>0</v>
      </c>
      <c r="AB121" s="711">
        <f t="shared" si="95"/>
        <v>0</v>
      </c>
    </row>
    <row r="122" spans="1:28" x14ac:dyDescent="0.2">
      <c r="A122" s="693" t="s">
        <v>2274</v>
      </c>
      <c r="B122" s="711">
        <f t="shared" si="93"/>
        <v>0</v>
      </c>
      <c r="C122" s="711">
        <f t="shared" si="93"/>
        <v>0</v>
      </c>
      <c r="D122" s="711">
        <f t="shared" si="93"/>
        <v>0</v>
      </c>
      <c r="E122" s="711">
        <f t="shared" si="93"/>
        <v>0</v>
      </c>
      <c r="F122" s="711">
        <f t="shared" si="93"/>
        <v>0</v>
      </c>
      <c r="G122" s="711">
        <f t="shared" si="93"/>
        <v>0</v>
      </c>
      <c r="H122" s="711">
        <f t="shared" si="93"/>
        <v>0</v>
      </c>
      <c r="I122" s="711">
        <f t="shared" si="93"/>
        <v>0</v>
      </c>
      <c r="K122" s="711">
        <f t="shared" si="94"/>
        <v>0</v>
      </c>
      <c r="L122" s="711">
        <f t="shared" si="94"/>
        <v>0</v>
      </c>
      <c r="M122" s="711">
        <f t="shared" si="94"/>
        <v>0</v>
      </c>
      <c r="N122" s="711">
        <f t="shared" si="94"/>
        <v>0</v>
      </c>
      <c r="O122" s="711">
        <f t="shared" si="94"/>
        <v>0</v>
      </c>
      <c r="P122" s="711">
        <f t="shared" si="94"/>
        <v>0</v>
      </c>
      <c r="Q122" s="711">
        <f t="shared" si="94"/>
        <v>0</v>
      </c>
      <c r="R122" s="711">
        <f t="shared" si="94"/>
        <v>0</v>
      </c>
      <c r="T122" s="693" t="s">
        <v>2274</v>
      </c>
      <c r="U122" s="711">
        <f t="shared" si="95"/>
        <v>0</v>
      </c>
      <c r="V122" s="711">
        <f t="shared" si="95"/>
        <v>0</v>
      </c>
      <c r="W122" s="711">
        <f t="shared" si="95"/>
        <v>0</v>
      </c>
      <c r="X122" s="711">
        <f t="shared" si="95"/>
        <v>0</v>
      </c>
      <c r="Y122" s="711">
        <f t="shared" si="95"/>
        <v>0</v>
      </c>
      <c r="Z122" s="711">
        <f t="shared" si="95"/>
        <v>0</v>
      </c>
      <c r="AA122" s="711">
        <f t="shared" si="95"/>
        <v>0</v>
      </c>
      <c r="AB122" s="711">
        <f t="shared" si="95"/>
        <v>0</v>
      </c>
    </row>
    <row r="123" spans="1:28" x14ac:dyDescent="0.2">
      <c r="A123" s="693" t="s">
        <v>2275</v>
      </c>
      <c r="B123" s="711">
        <f t="shared" si="93"/>
        <v>0</v>
      </c>
      <c r="C123" s="711">
        <f t="shared" si="93"/>
        <v>0</v>
      </c>
      <c r="D123" s="711">
        <f t="shared" si="93"/>
        <v>0</v>
      </c>
      <c r="E123" s="711">
        <f t="shared" si="93"/>
        <v>0</v>
      </c>
      <c r="F123" s="711">
        <f t="shared" si="93"/>
        <v>0</v>
      </c>
      <c r="G123" s="711">
        <f t="shared" si="93"/>
        <v>0</v>
      </c>
      <c r="H123" s="711">
        <f t="shared" si="93"/>
        <v>0</v>
      </c>
      <c r="I123" s="711">
        <f t="shared" si="93"/>
        <v>0</v>
      </c>
      <c r="K123" s="711">
        <f t="shared" si="94"/>
        <v>0</v>
      </c>
      <c r="L123" s="711">
        <f t="shared" si="94"/>
        <v>0</v>
      </c>
      <c r="M123" s="711">
        <f t="shared" si="94"/>
        <v>0</v>
      </c>
      <c r="N123" s="711">
        <f t="shared" si="94"/>
        <v>0</v>
      </c>
      <c r="O123" s="711">
        <f t="shared" si="94"/>
        <v>0</v>
      </c>
      <c r="P123" s="711">
        <f t="shared" si="94"/>
        <v>0</v>
      </c>
      <c r="Q123" s="711">
        <f t="shared" si="94"/>
        <v>0</v>
      </c>
      <c r="R123" s="711">
        <f t="shared" si="94"/>
        <v>0</v>
      </c>
      <c r="T123" s="693" t="s">
        <v>2275</v>
      </c>
      <c r="U123" s="711">
        <f t="shared" si="95"/>
        <v>0</v>
      </c>
      <c r="V123" s="711">
        <f t="shared" si="95"/>
        <v>0</v>
      </c>
      <c r="W123" s="711">
        <f t="shared" si="95"/>
        <v>0</v>
      </c>
      <c r="X123" s="711">
        <f t="shared" si="95"/>
        <v>0</v>
      </c>
      <c r="Y123" s="711">
        <f t="shared" si="95"/>
        <v>0</v>
      </c>
      <c r="Z123" s="711">
        <f t="shared" si="95"/>
        <v>0</v>
      </c>
      <c r="AA123" s="711">
        <f t="shared" si="95"/>
        <v>0</v>
      </c>
      <c r="AB123" s="711">
        <f t="shared" si="95"/>
        <v>0</v>
      </c>
    </row>
    <row r="124" spans="1:28" x14ac:dyDescent="0.2">
      <c r="A124" s="693" t="s">
        <v>1059</v>
      </c>
      <c r="B124" s="711">
        <f t="shared" ref="B124:I127" si="96">B59/1000000</f>
        <v>0</v>
      </c>
      <c r="C124" s="711">
        <f t="shared" si="96"/>
        <v>0</v>
      </c>
      <c r="D124" s="711">
        <f t="shared" si="96"/>
        <v>0</v>
      </c>
      <c r="E124" s="711">
        <f t="shared" si="96"/>
        <v>0</v>
      </c>
      <c r="F124" s="711">
        <f t="shared" si="96"/>
        <v>0</v>
      </c>
      <c r="G124" s="711">
        <f t="shared" si="96"/>
        <v>0</v>
      </c>
      <c r="H124" s="711">
        <f t="shared" si="96"/>
        <v>0</v>
      </c>
      <c r="I124" s="711">
        <f t="shared" si="96"/>
        <v>0</v>
      </c>
      <c r="K124" s="711">
        <f t="shared" ref="K124:R127" si="97">K59/1000000</f>
        <v>0</v>
      </c>
      <c r="L124" s="711">
        <f t="shared" si="97"/>
        <v>0</v>
      </c>
      <c r="M124" s="711">
        <f t="shared" si="97"/>
        <v>0</v>
      </c>
      <c r="N124" s="711">
        <f t="shared" si="97"/>
        <v>0</v>
      </c>
      <c r="O124" s="711">
        <f t="shared" si="97"/>
        <v>0</v>
      </c>
      <c r="P124" s="711">
        <f t="shared" si="97"/>
        <v>0</v>
      </c>
      <c r="Q124" s="711">
        <f t="shared" si="97"/>
        <v>0</v>
      </c>
      <c r="R124" s="711">
        <f t="shared" si="97"/>
        <v>0</v>
      </c>
      <c r="T124" s="693" t="s">
        <v>1059</v>
      </c>
      <c r="U124" s="711">
        <f t="shared" ref="U124:AB127" si="98">U59/1000000</f>
        <v>0</v>
      </c>
      <c r="V124" s="711">
        <f t="shared" si="98"/>
        <v>0</v>
      </c>
      <c r="W124" s="711">
        <f t="shared" si="98"/>
        <v>0</v>
      </c>
      <c r="X124" s="711">
        <f t="shared" si="98"/>
        <v>0</v>
      </c>
      <c r="Y124" s="711">
        <f t="shared" si="98"/>
        <v>0</v>
      </c>
      <c r="Z124" s="711">
        <f t="shared" si="98"/>
        <v>0</v>
      </c>
      <c r="AA124" s="711">
        <f t="shared" si="98"/>
        <v>0</v>
      </c>
      <c r="AB124" s="711">
        <f t="shared" si="98"/>
        <v>0</v>
      </c>
    </row>
    <row r="125" spans="1:28" x14ac:dyDescent="0.2">
      <c r="A125" s="693" t="s">
        <v>1060</v>
      </c>
      <c r="B125" s="711">
        <f t="shared" si="96"/>
        <v>0</v>
      </c>
      <c r="C125" s="711">
        <f t="shared" si="96"/>
        <v>0</v>
      </c>
      <c r="D125" s="711">
        <f t="shared" si="96"/>
        <v>0</v>
      </c>
      <c r="E125" s="711">
        <f t="shared" si="96"/>
        <v>0</v>
      </c>
      <c r="F125" s="711">
        <f t="shared" si="96"/>
        <v>0</v>
      </c>
      <c r="G125" s="711">
        <f t="shared" si="96"/>
        <v>0</v>
      </c>
      <c r="H125" s="711">
        <f t="shared" si="96"/>
        <v>0</v>
      </c>
      <c r="I125" s="711">
        <f t="shared" si="96"/>
        <v>0</v>
      </c>
      <c r="K125" s="711">
        <f t="shared" si="97"/>
        <v>0</v>
      </c>
      <c r="L125" s="711">
        <f t="shared" si="97"/>
        <v>0</v>
      </c>
      <c r="M125" s="711">
        <f t="shared" si="97"/>
        <v>0</v>
      </c>
      <c r="N125" s="711">
        <f t="shared" si="97"/>
        <v>0</v>
      </c>
      <c r="O125" s="711">
        <f t="shared" si="97"/>
        <v>0</v>
      </c>
      <c r="P125" s="711">
        <f t="shared" si="97"/>
        <v>0</v>
      </c>
      <c r="Q125" s="711">
        <f t="shared" si="97"/>
        <v>0</v>
      </c>
      <c r="R125" s="711">
        <f t="shared" si="97"/>
        <v>0</v>
      </c>
      <c r="T125" s="693" t="s">
        <v>1060</v>
      </c>
      <c r="U125" s="711">
        <f t="shared" si="98"/>
        <v>0</v>
      </c>
      <c r="V125" s="711">
        <f t="shared" si="98"/>
        <v>0</v>
      </c>
      <c r="W125" s="711">
        <f t="shared" si="98"/>
        <v>0</v>
      </c>
      <c r="X125" s="711">
        <f t="shared" si="98"/>
        <v>0</v>
      </c>
      <c r="Y125" s="711">
        <f t="shared" si="98"/>
        <v>0</v>
      </c>
      <c r="Z125" s="711">
        <f t="shared" si="98"/>
        <v>0</v>
      </c>
      <c r="AA125" s="711">
        <f t="shared" si="98"/>
        <v>0</v>
      </c>
      <c r="AB125" s="711">
        <f t="shared" si="98"/>
        <v>0</v>
      </c>
    </row>
    <row r="126" spans="1:28" x14ac:dyDescent="0.2">
      <c r="A126" s="693" t="s">
        <v>1047</v>
      </c>
      <c r="B126" s="711">
        <f t="shared" si="96"/>
        <v>2.5256774360443184</v>
      </c>
      <c r="C126" s="711">
        <f t="shared" si="96"/>
        <v>18.288226746983867</v>
      </c>
      <c r="D126" s="711">
        <f t="shared" si="96"/>
        <v>59.95793163145521</v>
      </c>
      <c r="E126" s="711">
        <f t="shared" si="96"/>
        <v>3.9635517860986202</v>
      </c>
      <c r="F126" s="711">
        <f t="shared" si="96"/>
        <v>10.369025985086767</v>
      </c>
      <c r="G126" s="711">
        <f t="shared" si="96"/>
        <v>22.26804385768726</v>
      </c>
      <c r="H126" s="711">
        <f t="shared" si="96"/>
        <v>64.117976658470766</v>
      </c>
      <c r="I126" s="711">
        <f t="shared" si="96"/>
        <v>73.719256845124576</v>
      </c>
      <c r="K126" s="711">
        <f t="shared" si="97"/>
        <v>-1.450564666870283E-2</v>
      </c>
      <c r="L126" s="711">
        <f t="shared" si="97"/>
        <v>-7.3857197163624544E-2</v>
      </c>
      <c r="M126" s="711">
        <f t="shared" si="97"/>
        <v>-0.24365159717453994</v>
      </c>
      <c r="N126" s="711">
        <f t="shared" si="97"/>
        <v>-1.6154264145421052E-2</v>
      </c>
      <c r="O126" s="711">
        <f t="shared" si="97"/>
        <v>-4.0818273028549977E-2</v>
      </c>
      <c r="P126" s="711">
        <f t="shared" si="97"/>
        <v>-8.5614838904293653E-2</v>
      </c>
      <c r="Q126" s="711">
        <f t="shared" si="97"/>
        <v>-0.24358208480065416</v>
      </c>
      <c r="R126" s="711">
        <f t="shared" si="97"/>
        <v>-0.28877933532392713</v>
      </c>
      <c r="T126" s="693" t="s">
        <v>1047</v>
      </c>
      <c r="U126" s="711">
        <f t="shared" si="98"/>
        <v>2.5111717893756156</v>
      </c>
      <c r="V126" s="711">
        <f t="shared" si="98"/>
        <v>18.214369549820244</v>
      </c>
      <c r="W126" s="711">
        <f t="shared" si="98"/>
        <v>59.714280034280669</v>
      </c>
      <c r="X126" s="711">
        <f t="shared" si="98"/>
        <v>3.9473975219531994</v>
      </c>
      <c r="Y126" s="711">
        <f t="shared" si="98"/>
        <v>10.328207712058216</v>
      </c>
      <c r="Z126" s="711">
        <f t="shared" si="98"/>
        <v>22.182429018782965</v>
      </c>
      <c r="AA126" s="711">
        <f t="shared" si="98"/>
        <v>63.874394573670109</v>
      </c>
      <c r="AB126" s="711">
        <f t="shared" si="98"/>
        <v>73.430477509800639</v>
      </c>
    </row>
    <row r="127" spans="1:28" x14ac:dyDescent="0.2">
      <c r="A127" s="693" t="s">
        <v>2747</v>
      </c>
      <c r="B127" s="711">
        <f t="shared" si="96"/>
        <v>0</v>
      </c>
      <c r="C127" s="711">
        <f t="shared" si="96"/>
        <v>0</v>
      </c>
      <c r="D127" s="711">
        <f t="shared" si="96"/>
        <v>0</v>
      </c>
      <c r="E127" s="711">
        <f t="shared" si="96"/>
        <v>22.82494347020339</v>
      </c>
      <c r="F127" s="711">
        <f t="shared" si="96"/>
        <v>14.550912835059691</v>
      </c>
      <c r="G127" s="711">
        <f t="shared" si="96"/>
        <v>3.7939045470538599</v>
      </c>
      <c r="H127" s="711">
        <f t="shared" si="96"/>
        <v>1.9638207101249279</v>
      </c>
      <c r="I127" s="711">
        <f t="shared" si="96"/>
        <v>10.513875825266572</v>
      </c>
      <c r="K127" s="711">
        <f t="shared" si="97"/>
        <v>0</v>
      </c>
      <c r="L127" s="711">
        <f t="shared" si="97"/>
        <v>0</v>
      </c>
      <c r="M127" s="711">
        <f t="shared" si="97"/>
        <v>0</v>
      </c>
      <c r="N127" s="711">
        <f t="shared" si="97"/>
        <v>-9.3027714994208616E-2</v>
      </c>
      <c r="O127" s="711">
        <f t="shared" si="97"/>
        <v>-5.7280513499564603E-2</v>
      </c>
      <c r="P127" s="711">
        <f t="shared" si="97"/>
        <v>-1.4586576561917116E-2</v>
      </c>
      <c r="Q127" s="711">
        <f t="shared" si="97"/>
        <v>-7.4604902973608557E-3</v>
      </c>
      <c r="R127" s="711">
        <f t="shared" si="97"/>
        <v>-4.1185847530686069E-2</v>
      </c>
      <c r="T127" s="693" t="s">
        <v>2747</v>
      </c>
      <c r="U127" s="711">
        <f t="shared" si="98"/>
        <v>0</v>
      </c>
      <c r="V127" s="711">
        <f t="shared" si="98"/>
        <v>0</v>
      </c>
      <c r="W127" s="711">
        <f t="shared" si="98"/>
        <v>0</v>
      </c>
      <c r="X127" s="711">
        <f t="shared" si="98"/>
        <v>22.731915755209183</v>
      </c>
      <c r="Y127" s="711">
        <f t="shared" si="98"/>
        <v>14.493632321560126</v>
      </c>
      <c r="Z127" s="711">
        <f t="shared" si="98"/>
        <v>3.7793179704919431</v>
      </c>
      <c r="AA127" s="711">
        <f t="shared" si="98"/>
        <v>1.9563602198275669</v>
      </c>
      <c r="AB127" s="711">
        <f t="shared" si="98"/>
        <v>10.472689977735886</v>
      </c>
    </row>
    <row r="129" spans="1:28" ht="13.5" thickBot="1" x14ac:dyDescent="0.25">
      <c r="A129" s="696" t="s">
        <v>639</v>
      </c>
      <c r="B129" s="722">
        <f t="shared" ref="B129:I129" si="99">SUM(B104:B128)</f>
        <v>137.06214488064114</v>
      </c>
      <c r="C129" s="722">
        <f t="shared" si="99"/>
        <v>269.90148448295304</v>
      </c>
      <c r="D129" s="722">
        <f t="shared" si="99"/>
        <v>209.16851142259776</v>
      </c>
      <c r="E129" s="722">
        <f t="shared" si="99"/>
        <v>134.94600947033246</v>
      </c>
      <c r="F129" s="722">
        <f t="shared" si="99"/>
        <v>73.302810293598839</v>
      </c>
      <c r="G129" s="722">
        <f t="shared" si="99"/>
        <v>92.714543425860569</v>
      </c>
      <c r="H129" s="722">
        <f t="shared" si="99"/>
        <v>109.2547294370591</v>
      </c>
      <c r="I129" s="722">
        <f t="shared" si="99"/>
        <v>174.7268362729821</v>
      </c>
      <c r="K129" s="722">
        <f t="shared" ref="K129:R129" si="100">SUM(K104:K128)</f>
        <v>-0.55421224310628725</v>
      </c>
      <c r="L129" s="722">
        <f t="shared" si="100"/>
        <v>-1.0899999999999994</v>
      </c>
      <c r="M129" s="722">
        <f t="shared" si="100"/>
        <v>-0.85000000000000009</v>
      </c>
      <c r="N129" s="722">
        <f t="shared" si="100"/>
        <v>-0.55000000000000004</v>
      </c>
      <c r="O129" s="722">
        <f t="shared" si="100"/>
        <v>-0.28856077018492338</v>
      </c>
      <c r="P129" s="722">
        <f t="shared" si="100"/>
        <v>-0.35646331353662963</v>
      </c>
      <c r="Q129" s="722">
        <f t="shared" si="100"/>
        <v>-0.41505512428072577</v>
      </c>
      <c r="R129" s="722">
        <f t="shared" si="100"/>
        <v>-0.68445480599688691</v>
      </c>
      <c r="T129" s="696" t="s">
        <v>639</v>
      </c>
      <c r="U129" s="722">
        <f t="shared" ref="U129:AB129" si="101">SUM(U104:U128)</f>
        <v>136.50793263753488</v>
      </c>
      <c r="V129" s="722">
        <f t="shared" si="101"/>
        <v>268.81148448295301</v>
      </c>
      <c r="W129" s="722">
        <f t="shared" si="101"/>
        <v>208.31851142259774</v>
      </c>
      <c r="X129" s="722">
        <f t="shared" si="101"/>
        <v>134.39600947033244</v>
      </c>
      <c r="Y129" s="722">
        <f t="shared" si="101"/>
        <v>73.014249523413909</v>
      </c>
      <c r="Z129" s="722">
        <f t="shared" si="101"/>
        <v>92.358080112323947</v>
      </c>
      <c r="AA129" s="722">
        <f t="shared" si="101"/>
        <v>108.83967431277837</v>
      </c>
      <c r="AB129" s="722">
        <f t="shared" si="101"/>
        <v>174.04238146698518</v>
      </c>
    </row>
  </sheetData>
  <mergeCells count="2">
    <mergeCell ref="A66:A67"/>
    <mergeCell ref="A35:A36"/>
  </mergeCells>
  <pageMargins left="0.7" right="0.7" top="0.75" bottom="0.75" header="0.3" footer="0.3"/>
  <pageSetup paperSize="9" orientation="portrait" r:id="rId1"/>
  <customProperties>
    <customPr name="_pios_id" r:id="rId2"/>
  </customProperties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>
    <tabColor rgb="FFFF0000"/>
    <pageSetUpPr fitToPage="1"/>
  </sheetPr>
  <dimension ref="A1:BP376"/>
  <sheetViews>
    <sheetView showGridLines="0" zoomScale="80" zoomScaleNormal="80" workbookViewId="0">
      <pane xSplit="4" ySplit="22" topLeftCell="E23" activePane="bottomRight" state="frozen"/>
      <selection activeCell="A47" sqref="A47:Z47"/>
      <selection pane="topRight" activeCell="A47" sqref="A47:Z47"/>
      <selection pane="bottomLeft" activeCell="A47" sqref="A47:Z47"/>
      <selection pane="bottomRight" activeCell="D14" sqref="D14:D18"/>
    </sheetView>
  </sheetViews>
  <sheetFormatPr defaultColWidth="9.140625" defaultRowHeight="10.5" outlineLevelRow="1" outlineLevelCol="2" x14ac:dyDescent="0.15"/>
  <cols>
    <col min="1" max="1" width="12.5703125" style="1" customWidth="1"/>
    <col min="2" max="2" width="45" style="1" customWidth="1"/>
    <col min="3" max="3" width="17.28515625" style="1" customWidth="1" outlineLevel="1"/>
    <col min="4" max="4" width="21.28515625" style="1" customWidth="1"/>
    <col min="5" max="5" width="14.28515625" style="1" hidden="1" customWidth="1" outlineLevel="1"/>
    <col min="6" max="12" width="12.140625" style="1" hidden="1" customWidth="1" outlineLevel="1"/>
    <col min="13" max="13" width="12.140625" style="104" hidden="1" customWidth="1" outlineLevel="1" collapsed="1"/>
    <col min="14" max="14" width="12.140625" style="104" hidden="1" customWidth="1" outlineLevel="1"/>
    <col min="15" max="15" width="12.140625" style="104" customWidth="1" collapsed="1"/>
    <col min="16" max="16" width="12.140625" style="104" customWidth="1"/>
    <col min="17" max="17" width="11.7109375" style="104" customWidth="1"/>
    <col min="18" max="18" width="11.7109375" style="104" customWidth="1" outlineLevel="1"/>
    <col min="19" max="20" width="10.7109375" style="104" customWidth="1" outlineLevel="1"/>
    <col min="21" max="22" width="11.7109375" style="104" customWidth="1" outlineLevel="1"/>
    <col min="23" max="23" width="14.28515625" style="104" customWidth="1" outlineLevel="1"/>
    <col min="24" max="24" width="10.7109375" style="104" customWidth="1" outlineLevel="2"/>
    <col min="25" max="25" width="12.140625" style="1" customWidth="1" outlineLevel="1"/>
    <col min="26" max="27" width="12.140625" style="1" customWidth="1" outlineLevel="2"/>
    <col min="28" max="28" width="13.42578125" style="1" customWidth="1" outlineLevel="2"/>
    <col min="29" max="29" width="14.85546875" style="26" customWidth="1" outlineLevel="2"/>
    <col min="30" max="30" width="9.140625" style="1" customWidth="1" outlineLevel="1"/>
    <col min="31" max="31" width="9.85546875" style="1" customWidth="1" outlineLevel="1"/>
    <col min="32" max="32" width="9.140625" style="1" customWidth="1" outlineLevel="1"/>
    <col min="33" max="33" width="11.28515625" style="1" hidden="1" customWidth="1" outlineLevel="2"/>
    <col min="34" max="34" width="14.5703125" style="1" customWidth="1" outlineLevel="1" collapsed="1"/>
    <col min="35" max="35" width="11.28515625" style="1" customWidth="1" outlineLevel="1"/>
    <col min="36" max="36" width="59.42578125" style="1" customWidth="1" outlineLevel="1"/>
    <col min="37" max="37" width="17.85546875" style="1" hidden="1" customWidth="1" outlineLevel="2"/>
    <col min="38" max="55" width="13.140625" style="1" hidden="1" customWidth="1" outlineLevel="2"/>
    <col min="56" max="56" width="13.140625" style="1" hidden="1" customWidth="1" outlineLevel="2" collapsed="1"/>
    <col min="57" max="57" width="11.7109375" style="1" customWidth="1" outlineLevel="1" collapsed="1"/>
    <col min="58" max="64" width="11.28515625" style="1" customWidth="1" outlineLevel="1"/>
    <col min="65" max="65" width="11" style="1" customWidth="1" outlineLevel="1"/>
    <col min="66" max="66" width="9.140625" style="1"/>
    <col min="67" max="67" width="11.28515625" style="1" customWidth="1"/>
    <col min="68" max="16384" width="9.140625" style="1"/>
  </cols>
  <sheetData>
    <row r="1" spans="1:57" ht="15" customHeight="1" thickBot="1" x14ac:dyDescent="0.2">
      <c r="B1" s="786" t="s">
        <v>3072</v>
      </c>
      <c r="C1" s="786"/>
      <c r="D1" s="786"/>
      <c r="M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57" ht="15" customHeight="1" x14ac:dyDescent="0.2">
      <c r="B2" s="786"/>
      <c r="C2" s="786"/>
      <c r="D2" s="786"/>
      <c r="N2" s="790"/>
      <c r="O2" s="1"/>
      <c r="P2" s="1"/>
      <c r="Q2" s="68">
        <v>7</v>
      </c>
      <c r="R2" s="120">
        <f>Q2+1</f>
        <v>8</v>
      </c>
      <c r="S2" s="68">
        <f t="shared" ref="S2:W2" si="0">R2+1</f>
        <v>9</v>
      </c>
      <c r="T2" s="68">
        <f t="shared" si="0"/>
        <v>10</v>
      </c>
      <c r="U2" s="68">
        <f t="shared" si="0"/>
        <v>11</v>
      </c>
      <c r="V2" s="68">
        <f t="shared" si="0"/>
        <v>12</v>
      </c>
      <c r="W2" s="120">
        <f t="shared" si="0"/>
        <v>13</v>
      </c>
      <c r="X2" s="68"/>
      <c r="AB2" s="131" t="s">
        <v>3041</v>
      </c>
      <c r="AC2" s="622"/>
      <c r="AL2" s="603" t="s">
        <v>3037</v>
      </c>
    </row>
    <row r="3" spans="1:57" ht="56.25" outlineLevel="1" x14ac:dyDescent="0.15">
      <c r="A3" s="39"/>
      <c r="B3" s="777" t="s">
        <v>3073</v>
      </c>
      <c r="F3" s="71">
        <f t="shared" ref="F3:O3" si="1">SUBTOTAL(9,F23:F328)</f>
        <v>92201.14</v>
      </c>
      <c r="G3" s="71">
        <f t="shared" si="1"/>
        <v>6125285.8399999999</v>
      </c>
      <c r="H3" s="71">
        <f t="shared" si="1"/>
        <v>7596615.71</v>
      </c>
      <c r="I3" s="71">
        <f t="shared" si="1"/>
        <v>9617371.6699999999</v>
      </c>
      <c r="J3" s="71">
        <f t="shared" si="1"/>
        <v>39173732.089999996</v>
      </c>
      <c r="K3" s="71">
        <f t="shared" si="1"/>
        <v>126045695.57000002</v>
      </c>
      <c r="L3" s="71">
        <f t="shared" si="1"/>
        <v>95543994.110000014</v>
      </c>
      <c r="M3" s="105">
        <f t="shared" si="1"/>
        <v>156925832.92999998</v>
      </c>
      <c r="N3" s="791">
        <f t="shared" si="1"/>
        <v>97931219.610000044</v>
      </c>
      <c r="O3" s="71">
        <f t="shared" si="1"/>
        <v>111700820.64000002</v>
      </c>
      <c r="P3" s="71">
        <f t="shared" ref="P3:W3" si="2">SUBTOTAL(9,P23:P361)</f>
        <v>167030089.01999998</v>
      </c>
      <c r="Q3" s="71">
        <f t="shared" si="2"/>
        <v>161881876.8199999</v>
      </c>
      <c r="R3" s="110">
        <f t="shared" si="2"/>
        <v>163307955.64521971</v>
      </c>
      <c r="S3" s="105">
        <f t="shared" si="2"/>
        <v>98542324.865911916</v>
      </c>
      <c r="T3" s="71">
        <f t="shared" si="2"/>
        <v>103741683.74063107</v>
      </c>
      <c r="U3" s="71">
        <f t="shared" si="2"/>
        <v>115085101.90206416</v>
      </c>
      <c r="V3" s="71">
        <f t="shared" si="2"/>
        <v>108386199.48723471</v>
      </c>
      <c r="W3" s="110">
        <f t="shared" si="2"/>
        <v>58689395.388086796</v>
      </c>
      <c r="X3" s="105"/>
      <c r="Y3" s="466" t="s">
        <v>2988</v>
      </c>
      <c r="AB3" s="623" t="s">
        <v>3002</v>
      </c>
      <c r="AC3" s="624" t="s">
        <v>3042</v>
      </c>
      <c r="AK3" s="26"/>
      <c r="AL3" s="17" t="s">
        <v>1031</v>
      </c>
      <c r="AM3" s="17" t="s">
        <v>1032</v>
      </c>
      <c r="AN3" s="17" t="s">
        <v>1033</v>
      </c>
      <c r="AO3" s="17" t="s">
        <v>1034</v>
      </c>
      <c r="AP3" s="17" t="s">
        <v>1035</v>
      </c>
      <c r="AQ3" s="17" t="s">
        <v>854</v>
      </c>
      <c r="AR3" s="17" t="s">
        <v>1036</v>
      </c>
      <c r="AS3" s="17" t="s">
        <v>1037</v>
      </c>
      <c r="AT3" s="17" t="s">
        <v>41</v>
      </c>
      <c r="AU3" s="17" t="s">
        <v>1038</v>
      </c>
      <c r="AV3" s="17" t="s">
        <v>1039</v>
      </c>
      <c r="AW3" s="17" t="s">
        <v>1040</v>
      </c>
      <c r="AX3" s="17" t="s">
        <v>1041</v>
      </c>
      <c r="AY3" s="17" t="s">
        <v>1042</v>
      </c>
      <c r="AZ3" s="17" t="s">
        <v>1043</v>
      </c>
      <c r="BA3" s="17" t="s">
        <v>1044</v>
      </c>
      <c r="BB3" s="17" t="s">
        <v>1045</v>
      </c>
      <c r="BC3" s="17" t="s">
        <v>1046</v>
      </c>
      <c r="BD3" s="18" t="s">
        <v>1047</v>
      </c>
    </row>
    <row r="4" spans="1:57" outlineLevel="1" x14ac:dyDescent="0.15">
      <c r="B4" s="532"/>
      <c r="C4" s="533"/>
      <c r="D4" s="532">
        <v>2016</v>
      </c>
      <c r="E4" s="565"/>
      <c r="F4" s="116"/>
      <c r="G4" s="565"/>
      <c r="H4" s="565"/>
      <c r="I4" s="565"/>
      <c r="J4" s="565"/>
      <c r="K4" s="565"/>
      <c r="L4" s="116"/>
      <c r="M4" s="116"/>
      <c r="N4" s="792"/>
      <c r="O4" s="566"/>
      <c r="P4" s="51">
        <f>SUM(AL4:BD4)</f>
        <v>167030089.02000001</v>
      </c>
      <c r="Q4" s="52"/>
      <c r="R4" s="121"/>
      <c r="S4" s="116"/>
      <c r="T4" s="52"/>
      <c r="U4" s="52"/>
      <c r="V4" s="52"/>
      <c r="W4" s="121"/>
      <c r="X4" s="45"/>
      <c r="Y4" s="66">
        <f t="shared" ref="Y4:Y11" si="3">SUM(P4:X4)</f>
        <v>167030089.02000001</v>
      </c>
      <c r="Z4" s="3"/>
      <c r="AA4" s="3"/>
      <c r="AB4" s="625"/>
      <c r="AC4" s="626"/>
      <c r="AK4" s="26" t="s">
        <v>2278</v>
      </c>
      <c r="AL4" s="3">
        <f t="shared" ref="AL4:BD4" si="4">SUMPRODUCT(AL$23:AL$362,$P$23:$P$362)</f>
        <v>248022.19038804792</v>
      </c>
      <c r="AM4" s="3">
        <f t="shared" si="4"/>
        <v>3643180.1781643531</v>
      </c>
      <c r="AN4" s="3">
        <f t="shared" si="4"/>
        <v>15992781.992213426</v>
      </c>
      <c r="AO4" s="3">
        <f t="shared" si="4"/>
        <v>11342448.343110882</v>
      </c>
      <c r="AP4" s="3">
        <f t="shared" si="4"/>
        <v>3197707.9526219005</v>
      </c>
      <c r="AQ4" s="3">
        <f t="shared" si="4"/>
        <v>1315539.0822960818</v>
      </c>
      <c r="AR4" s="3">
        <f t="shared" si="4"/>
        <v>1140846.3882099686</v>
      </c>
      <c r="AS4" s="3">
        <f t="shared" si="4"/>
        <v>2071435.203051927</v>
      </c>
      <c r="AT4" s="3">
        <f t="shared" si="4"/>
        <v>0</v>
      </c>
      <c r="AU4" s="3">
        <f t="shared" si="4"/>
        <v>51145729.652979456</v>
      </c>
      <c r="AV4" s="3">
        <f t="shared" si="4"/>
        <v>2016753.5668444119</v>
      </c>
      <c r="AW4" s="3">
        <f t="shared" si="4"/>
        <v>13644288.959736302</v>
      </c>
      <c r="AX4" s="3">
        <f t="shared" si="4"/>
        <v>928636.12891078123</v>
      </c>
      <c r="AY4" s="3">
        <f t="shared" si="4"/>
        <v>0</v>
      </c>
      <c r="AZ4" s="3">
        <f t="shared" si="4"/>
        <v>26524974.708646838</v>
      </c>
      <c r="BA4" s="3">
        <f t="shared" si="4"/>
        <v>4737106.9145530779</v>
      </c>
      <c r="BB4" s="3">
        <f t="shared" si="4"/>
        <v>1690786.8300022706</v>
      </c>
      <c r="BC4" s="3">
        <f t="shared" si="4"/>
        <v>0</v>
      </c>
      <c r="BD4" s="3">
        <f t="shared" si="4"/>
        <v>27389850.928270292</v>
      </c>
      <c r="BE4" s="3">
        <f>SUM(AL4:BD4)</f>
        <v>167030089.02000001</v>
      </c>
    </row>
    <row r="5" spans="1:57" outlineLevel="1" x14ac:dyDescent="0.15">
      <c r="B5" s="46"/>
      <c r="C5" s="47"/>
      <c r="D5" s="46">
        <v>2017</v>
      </c>
      <c r="E5" s="44"/>
      <c r="F5" s="45"/>
      <c r="G5" s="44"/>
      <c r="H5" s="44"/>
      <c r="I5" s="44"/>
      <c r="J5" s="44"/>
      <c r="K5" s="44"/>
      <c r="L5" s="45"/>
      <c r="M5" s="45"/>
      <c r="N5" s="793"/>
      <c r="O5" s="567"/>
      <c r="P5" s="46"/>
      <c r="Q5" s="45">
        <f>SUM(AL5:BD5)</f>
        <v>161881876.82000002</v>
      </c>
      <c r="R5" s="111"/>
      <c r="S5" s="45"/>
      <c r="T5" s="45"/>
      <c r="U5" s="45"/>
      <c r="V5" s="45"/>
      <c r="W5" s="111"/>
      <c r="X5" s="45"/>
      <c r="Y5" s="66">
        <f t="shared" si="3"/>
        <v>161881876.82000002</v>
      </c>
      <c r="Z5" s="3"/>
      <c r="AA5" s="3"/>
      <c r="AB5" s="625">
        <f t="shared" ref="AB5:AB11" si="5">SUMIFS($AB$23:$AB$361,$AF$23:$AF$361,D5)</f>
        <v>253014197.65295297</v>
      </c>
      <c r="AC5" s="626">
        <f>VLOOKUP(D5,Commissioned!$B$5:$J$15,9,FALSE)</f>
        <v>253014197.65295303</v>
      </c>
      <c r="AK5" s="26" t="s">
        <v>2279</v>
      </c>
      <c r="AL5" s="3">
        <f t="shared" ref="AL5:BD5" si="6">SUMPRODUCT(AL$23:AL$362,$Q$23:$Q$362)</f>
        <v>2022216.1300290078</v>
      </c>
      <c r="AM5" s="3">
        <f t="shared" si="6"/>
        <v>2841711.0391786466</v>
      </c>
      <c r="AN5" s="3">
        <f t="shared" si="6"/>
        <v>11361308.70125981</v>
      </c>
      <c r="AO5" s="3">
        <f t="shared" si="6"/>
        <v>17359060.375062183</v>
      </c>
      <c r="AP5" s="3">
        <f t="shared" si="6"/>
        <v>3248426.7676640986</v>
      </c>
      <c r="AQ5" s="3">
        <f t="shared" si="6"/>
        <v>6253165.211667235</v>
      </c>
      <c r="AR5" s="3">
        <f t="shared" si="6"/>
        <v>313775.44470697903</v>
      </c>
      <c r="AS5" s="3">
        <f t="shared" si="6"/>
        <v>6946394.0155693442</v>
      </c>
      <c r="AT5" s="3">
        <f t="shared" si="6"/>
        <v>0</v>
      </c>
      <c r="AU5" s="3">
        <f t="shared" si="6"/>
        <v>34954088.858637467</v>
      </c>
      <c r="AV5" s="3">
        <f t="shared" si="6"/>
        <v>1776922.3348992288</v>
      </c>
      <c r="AW5" s="3">
        <f t="shared" si="6"/>
        <v>11098229.634232907</v>
      </c>
      <c r="AX5" s="3">
        <f t="shared" si="6"/>
        <v>557209.65694998973</v>
      </c>
      <c r="AY5" s="3">
        <f t="shared" si="6"/>
        <v>0</v>
      </c>
      <c r="AZ5" s="3">
        <f t="shared" si="6"/>
        <v>27781894.014419816</v>
      </c>
      <c r="BA5" s="3">
        <f t="shared" si="6"/>
        <v>5671839.9882426877</v>
      </c>
      <c r="BB5" s="3">
        <f t="shared" si="6"/>
        <v>2260135.9422175782</v>
      </c>
      <c r="BC5" s="3">
        <f t="shared" si="6"/>
        <v>0</v>
      </c>
      <c r="BD5" s="3">
        <f t="shared" si="6"/>
        <v>27435498.705263019</v>
      </c>
      <c r="BE5" s="3">
        <f t="shared" ref="BE5:BE11" si="7">SUM(AL5:BD5)</f>
        <v>161881876.82000002</v>
      </c>
    </row>
    <row r="6" spans="1:57" outlineLevel="1" x14ac:dyDescent="0.15">
      <c r="B6" s="46" t="s">
        <v>3016</v>
      </c>
      <c r="C6" s="47"/>
      <c r="D6" s="46">
        <v>2018</v>
      </c>
      <c r="E6" s="44"/>
      <c r="F6" s="45"/>
      <c r="G6" s="44"/>
      <c r="H6" s="44"/>
      <c r="I6" s="44"/>
      <c r="J6" s="44"/>
      <c r="K6" s="44"/>
      <c r="L6" s="45"/>
      <c r="M6" s="45"/>
      <c r="N6" s="793"/>
      <c r="O6" s="567"/>
      <c r="P6" s="46"/>
      <c r="Q6" s="45"/>
      <c r="R6" s="111">
        <f>SUM(AL6:BD6)</f>
        <v>163307955.64521974</v>
      </c>
      <c r="S6" s="45"/>
      <c r="T6" s="45"/>
      <c r="U6" s="45"/>
      <c r="V6" s="45"/>
      <c r="W6" s="111"/>
      <c r="X6" s="45"/>
      <c r="Y6" s="66">
        <f t="shared" si="3"/>
        <v>163307955.64521974</v>
      </c>
      <c r="Z6" s="3"/>
      <c r="AA6" s="3"/>
      <c r="AB6" s="625">
        <f t="shared" si="5"/>
        <v>208242988.62641203</v>
      </c>
      <c r="AC6" s="626">
        <f>VLOOKUP(D6,Commissioned!$B$5:$J$15,9,FALSE)</f>
        <v>208242988.62641209</v>
      </c>
      <c r="AK6" s="26" t="s">
        <v>2280</v>
      </c>
      <c r="AL6" s="3">
        <f t="shared" ref="AL6:BD6" si="8">SUMPRODUCT(AL$23:AL$362,$R$23:$R$362)</f>
        <v>4658482.4812745005</v>
      </c>
      <c r="AM6" s="3">
        <f t="shared" si="8"/>
        <v>10163218.720457494</v>
      </c>
      <c r="AN6" s="3">
        <f t="shared" si="8"/>
        <v>16300096.829945484</v>
      </c>
      <c r="AO6" s="3">
        <f t="shared" si="8"/>
        <v>17058310.579755407</v>
      </c>
      <c r="AP6" s="3">
        <f t="shared" si="8"/>
        <v>-81036.336958629778</v>
      </c>
      <c r="AQ6" s="3">
        <f t="shared" si="8"/>
        <v>50756.909330799193</v>
      </c>
      <c r="AR6" s="3">
        <f t="shared" si="8"/>
        <v>1112934.1450476926</v>
      </c>
      <c r="AS6" s="3">
        <f t="shared" si="8"/>
        <v>4106063.4341239836</v>
      </c>
      <c r="AT6" s="3">
        <f t="shared" si="8"/>
        <v>0</v>
      </c>
      <c r="AU6" s="3">
        <f t="shared" si="8"/>
        <v>34694738.229120441</v>
      </c>
      <c r="AV6" s="3">
        <f t="shared" si="8"/>
        <v>1736893.6787258838</v>
      </c>
      <c r="AW6" s="3">
        <f t="shared" si="8"/>
        <v>17435171.320887871</v>
      </c>
      <c r="AX6" s="3">
        <f t="shared" si="8"/>
        <v>466884.11383715714</v>
      </c>
      <c r="AY6" s="3">
        <f t="shared" si="8"/>
        <v>0</v>
      </c>
      <c r="AZ6" s="3">
        <f t="shared" si="8"/>
        <v>28837393.969927739</v>
      </c>
      <c r="BA6" s="3">
        <f t="shared" si="8"/>
        <v>10881380.425204702</v>
      </c>
      <c r="BB6" s="3">
        <f t="shared" si="8"/>
        <v>2494613.254643783</v>
      </c>
      <c r="BC6" s="3">
        <f t="shared" si="8"/>
        <v>0</v>
      </c>
      <c r="BD6" s="3">
        <f t="shared" si="8"/>
        <v>13392053.889895439</v>
      </c>
      <c r="BE6" s="3">
        <f t="shared" si="7"/>
        <v>163307955.64521974</v>
      </c>
    </row>
    <row r="7" spans="1:57" outlineLevel="1" x14ac:dyDescent="0.15">
      <c r="B7" s="46"/>
      <c r="C7" s="47"/>
      <c r="D7" s="46">
        <v>2019</v>
      </c>
      <c r="E7" s="44"/>
      <c r="F7" s="45"/>
      <c r="G7" s="44"/>
      <c r="H7" s="44"/>
      <c r="I7" s="44"/>
      <c r="J7" s="44"/>
      <c r="K7" s="44"/>
      <c r="L7" s="45"/>
      <c r="M7" s="45"/>
      <c r="N7" s="793"/>
      <c r="O7" s="567"/>
      <c r="P7" s="46"/>
      <c r="Q7" s="45"/>
      <c r="R7" s="111"/>
      <c r="S7" s="45">
        <f>SUM(AL7:BD7)</f>
        <v>98542324.865911961</v>
      </c>
      <c r="T7" s="45"/>
      <c r="U7" s="45"/>
      <c r="V7" s="45"/>
      <c r="W7" s="111"/>
      <c r="X7" s="45"/>
      <c r="Y7" s="66">
        <f t="shared" si="3"/>
        <v>98542324.865911961</v>
      </c>
      <c r="Z7" s="3"/>
      <c r="AA7" s="3"/>
      <c r="AB7" s="625">
        <f t="shared" si="5"/>
        <v>134946009.47033247</v>
      </c>
      <c r="AC7" s="626">
        <f>VLOOKUP(D7,Commissioned!$B$5:$J$15,9,FALSE)</f>
        <v>134946009.47033244</v>
      </c>
      <c r="AK7" s="26" t="s">
        <v>2281</v>
      </c>
      <c r="AL7" s="3">
        <f t="shared" ref="AL7:BD7" si="9">SUMPRODUCT(AL$23:AL$362,$S$23:$S$362)</f>
        <v>1562765.7294905402</v>
      </c>
      <c r="AM7" s="3">
        <f t="shared" si="9"/>
        <v>2752571.778833461</v>
      </c>
      <c r="AN7" s="3">
        <f t="shared" si="9"/>
        <v>13951532.474153403</v>
      </c>
      <c r="AO7" s="3">
        <f t="shared" si="9"/>
        <v>17442622.730489463</v>
      </c>
      <c r="AP7" s="3">
        <f t="shared" si="9"/>
        <v>4919.2489028597292</v>
      </c>
      <c r="AQ7" s="3">
        <f t="shared" si="9"/>
        <v>203798.63921033044</v>
      </c>
      <c r="AR7" s="3">
        <f t="shared" si="9"/>
        <v>463950.04864036909</v>
      </c>
      <c r="AS7" s="3">
        <f t="shared" si="9"/>
        <v>614031.02784468699</v>
      </c>
      <c r="AT7" s="3">
        <f t="shared" si="9"/>
        <v>0</v>
      </c>
      <c r="AU7" s="3">
        <f t="shared" si="9"/>
        <v>13838684.983992059</v>
      </c>
      <c r="AV7" s="3">
        <f t="shared" si="9"/>
        <v>414753.67194504745</v>
      </c>
      <c r="AW7" s="3">
        <f t="shared" si="9"/>
        <v>14353896.809439218</v>
      </c>
      <c r="AX7" s="3">
        <f t="shared" si="9"/>
        <v>857660.98185657454</v>
      </c>
      <c r="AY7" s="3">
        <f t="shared" si="9"/>
        <v>0</v>
      </c>
      <c r="AZ7" s="3">
        <f t="shared" si="9"/>
        <v>20494179.51663965</v>
      </c>
      <c r="BA7" s="3">
        <f t="shared" si="9"/>
        <v>1164267.3451406029</v>
      </c>
      <c r="BB7" s="3">
        <f t="shared" si="9"/>
        <v>268526.80222267669</v>
      </c>
      <c r="BC7" s="3">
        <f t="shared" si="9"/>
        <v>0</v>
      </c>
      <c r="BD7" s="3">
        <f t="shared" si="9"/>
        <v>10154163.077111002</v>
      </c>
      <c r="BE7" s="3">
        <f t="shared" si="7"/>
        <v>98542324.865911961</v>
      </c>
    </row>
    <row r="8" spans="1:57" outlineLevel="1" x14ac:dyDescent="0.15">
      <c r="B8" s="763" t="s">
        <v>3017</v>
      </c>
      <c r="C8" s="764"/>
      <c r="D8" s="46">
        <v>2020</v>
      </c>
      <c r="E8" s="44"/>
      <c r="F8" s="45"/>
      <c r="G8" s="44"/>
      <c r="H8" s="44"/>
      <c r="I8" s="44"/>
      <c r="J8" s="44"/>
      <c r="K8" s="44"/>
      <c r="L8" s="45"/>
      <c r="M8" s="45"/>
      <c r="N8" s="793"/>
      <c r="O8" s="567"/>
      <c r="P8" s="46"/>
      <c r="Q8" s="45"/>
      <c r="R8" s="111"/>
      <c r="S8" s="45"/>
      <c r="T8" s="45">
        <f>SUM(AL8:BD8)</f>
        <v>103741683.74063107</v>
      </c>
      <c r="U8" s="45"/>
      <c r="V8" s="45"/>
      <c r="W8" s="111"/>
      <c r="X8" s="45"/>
      <c r="Y8" s="66">
        <f t="shared" si="3"/>
        <v>103741683.74063107</v>
      </c>
      <c r="Z8" s="3"/>
      <c r="AA8" s="3"/>
      <c r="AB8" s="625">
        <f t="shared" si="5"/>
        <v>73302810.293598816</v>
      </c>
      <c r="AC8" s="626">
        <f>VLOOKUP(D8,Commissioned!$B$5:$J$15,9,FALSE)</f>
        <v>73302810.293598846</v>
      </c>
      <c r="AK8" s="26" t="s">
        <v>2282</v>
      </c>
      <c r="AL8" s="3">
        <f t="shared" ref="AL8:BD8" si="10">SUMPRODUCT(AL$23:AL$362,$T$23:$T$362)</f>
        <v>692387.58252822037</v>
      </c>
      <c r="AM8" s="3">
        <f t="shared" si="10"/>
        <v>945260.13756662863</v>
      </c>
      <c r="AN8" s="3">
        <f t="shared" si="10"/>
        <v>4145983.1238117348</v>
      </c>
      <c r="AO8" s="3">
        <f t="shared" si="10"/>
        <v>11002275.38729048</v>
      </c>
      <c r="AP8" s="3">
        <f t="shared" si="10"/>
        <v>164.37421165081838</v>
      </c>
      <c r="AQ8" s="3">
        <f t="shared" si="10"/>
        <v>82372.869003849672</v>
      </c>
      <c r="AR8" s="3">
        <f t="shared" si="10"/>
        <v>0</v>
      </c>
      <c r="AS8" s="3">
        <f t="shared" si="10"/>
        <v>3362323.199638858</v>
      </c>
      <c r="AT8" s="3">
        <f t="shared" si="10"/>
        <v>0</v>
      </c>
      <c r="AU8" s="3">
        <f t="shared" si="10"/>
        <v>13280590.337579433</v>
      </c>
      <c r="AV8" s="3">
        <f t="shared" si="10"/>
        <v>339515.33792984107</v>
      </c>
      <c r="AW8" s="3">
        <f t="shared" si="10"/>
        <v>11676430.33257851</v>
      </c>
      <c r="AX8" s="3">
        <f t="shared" si="10"/>
        <v>1609463.6011904988</v>
      </c>
      <c r="AY8" s="3">
        <f t="shared" si="10"/>
        <v>0</v>
      </c>
      <c r="AZ8" s="3">
        <f t="shared" si="10"/>
        <v>16056823.785063453</v>
      </c>
      <c r="BA8" s="3">
        <f t="shared" si="10"/>
        <v>807377.51996923529</v>
      </c>
      <c r="BB8" s="3">
        <f t="shared" si="10"/>
        <v>12553.536429519852</v>
      </c>
      <c r="BC8" s="3">
        <f t="shared" si="10"/>
        <v>0</v>
      </c>
      <c r="BD8" s="3">
        <f t="shared" si="10"/>
        <v>39728162.615839168</v>
      </c>
      <c r="BE8" s="3">
        <f t="shared" si="7"/>
        <v>103741683.74063107</v>
      </c>
    </row>
    <row r="9" spans="1:57" outlineLevel="1" x14ac:dyDescent="0.15">
      <c r="B9" s="763"/>
      <c r="C9" s="764"/>
      <c r="D9" s="46">
        <v>2021</v>
      </c>
      <c r="E9" s="44"/>
      <c r="F9" s="45"/>
      <c r="G9" s="44"/>
      <c r="H9" s="44"/>
      <c r="I9" s="44"/>
      <c r="J9" s="44"/>
      <c r="K9" s="44"/>
      <c r="L9" s="45"/>
      <c r="M9" s="45"/>
      <c r="N9" s="793"/>
      <c r="O9" s="567"/>
      <c r="P9" s="46"/>
      <c r="Q9" s="45"/>
      <c r="R9" s="111"/>
      <c r="S9" s="45"/>
      <c r="T9" s="45"/>
      <c r="U9" s="45">
        <f>SUM(AL9:BD9)</f>
        <v>115085101.90206417</v>
      </c>
      <c r="V9" s="45"/>
      <c r="W9" s="111"/>
      <c r="X9" s="45"/>
      <c r="Y9" s="66">
        <f t="shared" si="3"/>
        <v>115085101.90206417</v>
      </c>
      <c r="Z9" s="3"/>
      <c r="AA9" s="3"/>
      <c r="AB9" s="625">
        <f t="shared" si="5"/>
        <v>92714543.425860584</v>
      </c>
      <c r="AC9" s="626">
        <f>VLOOKUP(D9,Commissioned!$B$5:$J$15,9,FALSE)</f>
        <v>92714543.425860599</v>
      </c>
      <c r="AK9" s="26" t="s">
        <v>2283</v>
      </c>
      <c r="AL9" s="3">
        <f t="shared" ref="AL9:BD9" si="11">SUMPRODUCT(AL$23:AL$362,$U$23:$U$362)</f>
        <v>1072311.5320606302</v>
      </c>
      <c r="AM9" s="3">
        <f t="shared" si="11"/>
        <v>1258401.0171462719</v>
      </c>
      <c r="AN9" s="3">
        <f t="shared" si="11"/>
        <v>4483344.594554658</v>
      </c>
      <c r="AO9" s="3">
        <f t="shared" si="11"/>
        <v>13429931.768897407</v>
      </c>
      <c r="AP9" s="3">
        <f t="shared" si="11"/>
        <v>0</v>
      </c>
      <c r="AQ9" s="3">
        <f t="shared" si="11"/>
        <v>12479.017917941463</v>
      </c>
      <c r="AR9" s="3">
        <f t="shared" si="11"/>
        <v>179330.50886029599</v>
      </c>
      <c r="AS9" s="3">
        <f t="shared" si="11"/>
        <v>2945304.4756389349</v>
      </c>
      <c r="AT9" s="3">
        <f t="shared" si="11"/>
        <v>0</v>
      </c>
      <c r="AU9" s="3">
        <f t="shared" si="11"/>
        <v>18802860.091766585</v>
      </c>
      <c r="AV9" s="3">
        <f t="shared" si="11"/>
        <v>1119791.6410987508</v>
      </c>
      <c r="AW9" s="3">
        <f t="shared" si="11"/>
        <v>5221897.4894429073</v>
      </c>
      <c r="AX9" s="3">
        <f t="shared" si="11"/>
        <v>988208.73006044433</v>
      </c>
      <c r="AY9" s="3">
        <f t="shared" si="11"/>
        <v>0</v>
      </c>
      <c r="AZ9" s="3">
        <f t="shared" si="11"/>
        <v>13654399.173146432</v>
      </c>
      <c r="BA9" s="3">
        <f t="shared" si="11"/>
        <v>999849.24894303363</v>
      </c>
      <c r="BB9" s="3">
        <f t="shared" si="11"/>
        <v>31360.85455604464</v>
      </c>
      <c r="BC9" s="3">
        <f t="shared" si="11"/>
        <v>0</v>
      </c>
      <c r="BD9" s="3">
        <f t="shared" si="11"/>
        <v>50885631.757973842</v>
      </c>
      <c r="BE9" s="3">
        <f t="shared" si="7"/>
        <v>115085101.90206417</v>
      </c>
    </row>
    <row r="10" spans="1:57" outlineLevel="1" x14ac:dyDescent="0.15">
      <c r="B10" s="46"/>
      <c r="C10" s="47"/>
      <c r="D10" s="46">
        <v>2022</v>
      </c>
      <c r="E10" s="44"/>
      <c r="F10" s="45"/>
      <c r="G10" s="44"/>
      <c r="H10" s="44"/>
      <c r="I10" s="44"/>
      <c r="J10" s="44"/>
      <c r="K10" s="44"/>
      <c r="L10" s="45"/>
      <c r="M10" s="45"/>
      <c r="N10" s="793"/>
      <c r="O10" s="567"/>
      <c r="P10" s="46"/>
      <c r="Q10" s="45"/>
      <c r="R10" s="111"/>
      <c r="S10" s="45"/>
      <c r="T10" s="45"/>
      <c r="U10" s="45"/>
      <c r="V10" s="45">
        <f>SUM(AL10:BD10)</f>
        <v>108386199.4872347</v>
      </c>
      <c r="W10" s="111"/>
      <c r="X10" s="45"/>
      <c r="Y10" s="66">
        <f t="shared" si="3"/>
        <v>108386199.4872347</v>
      </c>
      <c r="Z10" s="3"/>
      <c r="AA10" s="3"/>
      <c r="AB10" s="625">
        <f t="shared" si="5"/>
        <v>109254729.43705909</v>
      </c>
      <c r="AC10" s="626">
        <f>VLOOKUP(D10,Commissioned!$B$5:$J$15,9,FALSE)</f>
        <v>109254729.4370591</v>
      </c>
      <c r="AK10" s="26" t="s">
        <v>2284</v>
      </c>
      <c r="AL10" s="3">
        <f t="shared" ref="AL10:BD10" si="12">SUMPRODUCT(AL$23:AL$362,$V$23:$V$362)</f>
        <v>803175.76003777201</v>
      </c>
      <c r="AM10" s="3">
        <f t="shared" si="12"/>
        <v>1897723.0053480512</v>
      </c>
      <c r="AN10" s="3">
        <f t="shared" si="12"/>
        <v>4406302.8697220609</v>
      </c>
      <c r="AO10" s="3">
        <f t="shared" si="12"/>
        <v>11582595.935075082</v>
      </c>
      <c r="AP10" s="3">
        <f t="shared" si="12"/>
        <v>0</v>
      </c>
      <c r="AQ10" s="3">
        <f t="shared" si="12"/>
        <v>0</v>
      </c>
      <c r="AR10" s="3">
        <f t="shared" si="12"/>
        <v>684905.83450039907</v>
      </c>
      <c r="AS10" s="3">
        <f t="shared" si="12"/>
        <v>1843934.6649562165</v>
      </c>
      <c r="AT10" s="3">
        <f t="shared" si="12"/>
        <v>0</v>
      </c>
      <c r="AU10" s="3">
        <f t="shared" si="12"/>
        <v>17192714.16853204</v>
      </c>
      <c r="AV10" s="3">
        <f t="shared" si="12"/>
        <v>953729.79168333777</v>
      </c>
      <c r="AW10" s="3">
        <f t="shared" si="12"/>
        <v>1392113.5909613259</v>
      </c>
      <c r="AX10" s="3">
        <f t="shared" si="12"/>
        <v>96558.391140375432</v>
      </c>
      <c r="AY10" s="3">
        <f t="shared" si="12"/>
        <v>0</v>
      </c>
      <c r="AZ10" s="3">
        <f t="shared" si="12"/>
        <v>13456962.432468297</v>
      </c>
      <c r="BA10" s="3">
        <f t="shared" si="12"/>
        <v>9530380.2816871628</v>
      </c>
      <c r="BB10" s="3">
        <f t="shared" si="12"/>
        <v>48100.614577200744</v>
      </c>
      <c r="BC10" s="3">
        <f t="shared" si="12"/>
        <v>0</v>
      </c>
      <c r="BD10" s="3">
        <f t="shared" si="12"/>
        <v>44497002.146545365</v>
      </c>
      <c r="BE10" s="3">
        <f t="shared" si="7"/>
        <v>108386199.4872347</v>
      </c>
    </row>
    <row r="11" spans="1:57" ht="11.25" outlineLevel="1" x14ac:dyDescent="0.15">
      <c r="B11" s="534" t="s">
        <v>3018</v>
      </c>
      <c r="C11" s="47"/>
      <c r="D11" s="46">
        <v>2023</v>
      </c>
      <c r="E11" s="44"/>
      <c r="F11" s="45"/>
      <c r="G11" s="44"/>
      <c r="H11" s="44"/>
      <c r="I11" s="44"/>
      <c r="J11" s="44"/>
      <c r="K11" s="44"/>
      <c r="L11" s="45"/>
      <c r="M11" s="45"/>
      <c r="N11" s="793"/>
      <c r="O11" s="567"/>
      <c r="P11" s="46"/>
      <c r="Q11" s="45"/>
      <c r="R11" s="111"/>
      <c r="S11" s="45"/>
      <c r="T11" s="45"/>
      <c r="U11" s="45"/>
      <c r="V11" s="45"/>
      <c r="W11" s="111">
        <f>SUM(AL11:BD11)</f>
        <v>58689395.388086781</v>
      </c>
      <c r="X11" s="45"/>
      <c r="Y11" s="66">
        <f t="shared" si="3"/>
        <v>58689395.388086781</v>
      </c>
      <c r="Z11" s="3"/>
      <c r="AA11" s="3"/>
      <c r="AB11" s="625">
        <f t="shared" si="5"/>
        <v>174726836.27298206</v>
      </c>
      <c r="AC11" s="626">
        <f>VLOOKUP(D11,Commissioned!$B$5:$J$15,9,FALSE)</f>
        <v>174726836.27298212</v>
      </c>
      <c r="AK11" s="26" t="s">
        <v>2285</v>
      </c>
      <c r="AL11" s="3">
        <f t="shared" ref="AL11:BD11" si="13">SUMPRODUCT(AL$23:AL$362,$W$23:$W$362)</f>
        <v>337900.79360048351</v>
      </c>
      <c r="AM11" s="3">
        <f t="shared" si="13"/>
        <v>17861.932424271828</v>
      </c>
      <c r="AN11" s="3">
        <f t="shared" si="13"/>
        <v>2130419.9140710277</v>
      </c>
      <c r="AO11" s="3">
        <f t="shared" si="13"/>
        <v>9355014.6099192854</v>
      </c>
      <c r="AP11" s="3">
        <f t="shared" si="13"/>
        <v>0</v>
      </c>
      <c r="AQ11" s="3">
        <f t="shared" si="13"/>
        <v>0</v>
      </c>
      <c r="AR11" s="3">
        <f t="shared" si="13"/>
        <v>919837.04863743158</v>
      </c>
      <c r="AS11" s="3">
        <f t="shared" si="13"/>
        <v>880017.1752313273</v>
      </c>
      <c r="AT11" s="3">
        <f t="shared" si="13"/>
        <v>0</v>
      </c>
      <c r="AU11" s="3">
        <f t="shared" si="13"/>
        <v>12422591.325538812</v>
      </c>
      <c r="AV11" s="3">
        <f t="shared" si="13"/>
        <v>0</v>
      </c>
      <c r="AW11" s="3">
        <f t="shared" si="13"/>
        <v>908055.6975566498</v>
      </c>
      <c r="AX11" s="3">
        <f t="shared" si="13"/>
        <v>30832.745557055896</v>
      </c>
      <c r="AY11" s="3">
        <f t="shared" si="13"/>
        <v>0</v>
      </c>
      <c r="AZ11" s="3">
        <f t="shared" si="13"/>
        <v>7520020.1367127011</v>
      </c>
      <c r="BA11" s="3">
        <f t="shared" si="13"/>
        <v>110640.16809572002</v>
      </c>
      <c r="BB11" s="3">
        <f t="shared" si="13"/>
        <v>75218.455580995433</v>
      </c>
      <c r="BC11" s="3">
        <f t="shared" si="13"/>
        <v>0</v>
      </c>
      <c r="BD11" s="3">
        <f t="shared" si="13"/>
        <v>23980985.385161024</v>
      </c>
      <c r="BE11" s="3">
        <f t="shared" si="7"/>
        <v>58689395.388086781</v>
      </c>
    </row>
    <row r="12" spans="1:57" ht="12" outlineLevel="1" thickBot="1" x14ac:dyDescent="0.2">
      <c r="B12" s="534" t="str">
        <f>IF(A18=0,"$Nominal",IF(A18=1,"$Real 2017/18"))</f>
        <v>$Nominal</v>
      </c>
      <c r="C12" s="47"/>
      <c r="D12" s="48" t="s">
        <v>639</v>
      </c>
      <c r="E12" s="44"/>
      <c r="F12" s="45"/>
      <c r="G12" s="45"/>
      <c r="H12" s="45"/>
      <c r="I12" s="45"/>
      <c r="J12" s="45"/>
      <c r="K12" s="45"/>
      <c r="L12" s="45"/>
      <c r="M12" s="45"/>
      <c r="N12" s="793"/>
      <c r="O12" s="567"/>
      <c r="P12" s="53">
        <f t="shared" ref="P12:V12" si="14">SUBTOTAL(9,P4:P11)</f>
        <v>167030089.02000001</v>
      </c>
      <c r="Q12" s="45">
        <f t="shared" si="14"/>
        <v>161881876.82000002</v>
      </c>
      <c r="R12" s="111">
        <f t="shared" si="14"/>
        <v>163307955.64521974</v>
      </c>
      <c r="S12" s="45">
        <f t="shared" si="14"/>
        <v>98542324.865911961</v>
      </c>
      <c r="T12" s="45">
        <f t="shared" si="14"/>
        <v>103741683.74063107</v>
      </c>
      <c r="U12" s="45">
        <f t="shared" si="14"/>
        <v>115085101.90206417</v>
      </c>
      <c r="V12" s="45">
        <f t="shared" si="14"/>
        <v>108386199.4872347</v>
      </c>
      <c r="W12" s="111">
        <f>SUBTOTAL(9,W4:W11)</f>
        <v>58689395.388086781</v>
      </c>
      <c r="X12" s="45"/>
      <c r="Y12" s="66">
        <f>SUM(Y4:Y11)</f>
        <v>976664626.86914849</v>
      </c>
      <c r="Z12" s="3"/>
      <c r="AA12" s="3"/>
      <c r="AB12" s="627"/>
      <c r="AC12" s="628"/>
      <c r="AD12" s="3"/>
      <c r="AE12" s="3"/>
      <c r="AF12" s="3"/>
      <c r="AG12" s="3"/>
      <c r="AH12" s="3"/>
      <c r="AI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>
        <f>SUM(BE4:BE11)</f>
        <v>976664626.86914849</v>
      </c>
    </row>
    <row r="13" spans="1:57" outlineLevel="1" x14ac:dyDescent="0.15">
      <c r="B13" s="46"/>
      <c r="C13" s="50"/>
      <c r="D13" s="49" t="s">
        <v>2264</v>
      </c>
      <c r="E13" s="759"/>
      <c r="F13" s="117"/>
      <c r="G13" s="117"/>
      <c r="H13" s="117"/>
      <c r="I13" s="117"/>
      <c r="J13" s="117"/>
      <c r="K13" s="117"/>
      <c r="L13" s="117"/>
      <c r="M13" s="117"/>
      <c r="N13" s="794"/>
      <c r="O13" s="568" t="s">
        <v>3006</v>
      </c>
      <c r="P13" s="54">
        <f>P12-P20</f>
        <v>0</v>
      </c>
      <c r="Q13" s="55">
        <f t="shared" ref="Q13:W13" si="15">Q12-Q20</f>
        <v>0</v>
      </c>
      <c r="R13" s="122">
        <f t="shared" si="15"/>
        <v>0</v>
      </c>
      <c r="S13" s="117">
        <f t="shared" si="15"/>
        <v>0</v>
      </c>
      <c r="T13" s="55">
        <f t="shared" si="15"/>
        <v>0</v>
      </c>
      <c r="U13" s="55">
        <f t="shared" si="15"/>
        <v>0</v>
      </c>
      <c r="V13" s="55">
        <f t="shared" si="15"/>
        <v>0</v>
      </c>
      <c r="W13" s="122">
        <f t="shared" si="15"/>
        <v>0</v>
      </c>
      <c r="X13" s="117"/>
      <c r="Y13" s="67"/>
      <c r="Z13" s="3"/>
      <c r="AA13" s="3"/>
      <c r="AB13" s="3"/>
      <c r="AC13" s="3"/>
      <c r="AD13" s="3"/>
      <c r="AE13" s="3"/>
      <c r="AF13" s="3"/>
      <c r="AG13" s="3"/>
      <c r="AH13" s="3"/>
      <c r="AI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</row>
    <row r="14" spans="1:57" outlineLevel="1" x14ac:dyDescent="0.15">
      <c r="A14" s="778">
        <v>1.9699999999999999E-2</v>
      </c>
      <c r="B14" s="779" t="s">
        <v>3019</v>
      </c>
      <c r="C14" s="99"/>
      <c r="D14" s="537" t="s">
        <v>2605</v>
      </c>
      <c r="E14" s="80"/>
      <c r="F14" s="80"/>
      <c r="G14" s="80"/>
      <c r="H14" s="80"/>
      <c r="I14" s="80"/>
      <c r="J14" s="80"/>
      <c r="K14" s="80"/>
      <c r="L14" s="80"/>
      <c r="M14" s="106"/>
      <c r="N14" s="795"/>
      <c r="O14" s="80"/>
      <c r="P14" s="80"/>
      <c r="Q14" s="82">
        <f>1*(1-A18)+$R$14*$A$18</f>
        <v>1</v>
      </c>
      <c r="R14" s="123">
        <f>(1+$A$14)</f>
        <v>1.0197000000000001</v>
      </c>
      <c r="S14" s="82">
        <f>(1+$A$14)*R14*(1-$A$18)+$R$14*$A$18</f>
        <v>1.0397880900000001</v>
      </c>
      <c r="T14" s="82">
        <f t="shared" ref="T14:X14" si="16">(1+$A$14)*S14*(1-$A$18)+$R$14*$A$18</f>
        <v>1.060271915373</v>
      </c>
      <c r="U14" s="82">
        <f t="shared" si="16"/>
        <v>1.0811592721058483</v>
      </c>
      <c r="V14" s="82">
        <f t="shared" si="16"/>
        <v>1.1024581097663335</v>
      </c>
      <c r="W14" s="123">
        <f t="shared" si="16"/>
        <v>1.1241765345287305</v>
      </c>
      <c r="X14" s="82">
        <f t="shared" si="16"/>
        <v>1.1463228122589466</v>
      </c>
      <c r="Y14" s="64"/>
      <c r="AU14" s="3"/>
    </row>
    <row r="15" spans="1:57" outlineLevel="1" x14ac:dyDescent="0.15">
      <c r="A15" s="80"/>
      <c r="B15" s="80"/>
      <c r="C15" s="81"/>
      <c r="D15" s="537" t="s">
        <v>3021</v>
      </c>
      <c r="E15" s="537"/>
      <c r="F15" s="81"/>
      <c r="G15" s="83"/>
      <c r="H15" s="83"/>
      <c r="I15" s="84"/>
      <c r="J15" s="81"/>
      <c r="K15" s="81"/>
      <c r="L15" s="81"/>
      <c r="M15" s="107"/>
      <c r="N15" s="796"/>
      <c r="O15" s="81"/>
      <c r="P15" s="85"/>
      <c r="Q15" s="103">
        <v>1</v>
      </c>
      <c r="R15" s="112">
        <f>(1+'Project labour content'!Q14/100)-1</f>
        <v>6.4999999999999503E-3</v>
      </c>
      <c r="S15" s="86">
        <f>(1+'Project labour content'!R14/100)*(Labesc18+1)-1</f>
        <v>1.3042249999999811E-2</v>
      </c>
      <c r="T15" s="86">
        <f>(1+'Project labour content'!S14/100)*(LabEsc19+1)-1</f>
        <v>2.0640066874999974E-2</v>
      </c>
      <c r="U15" s="86">
        <f>(1+'Project labour content'!T14/100)*(LabEsc20+1)-1</f>
        <v>2.9825827476874789E-2</v>
      </c>
      <c r="V15" s="86">
        <f>(1+'Project labour content'!U14/100)*(LabEsc21+1)-1</f>
        <v>4.1153911579120406E-2</v>
      </c>
      <c r="W15" s="112">
        <f>(1+'Project labour content'!V14/100)*(LabEsc22+1)-1</f>
        <v>5.3127181562280468E-2</v>
      </c>
      <c r="X15" s="86">
        <f>(1+'Project labour content'!W14/100)*(LabEsc23+1)-1</f>
        <v>6.1853092495224971E-2</v>
      </c>
      <c r="Y15" s="72"/>
      <c r="AU15" s="3"/>
    </row>
    <row r="16" spans="1:57" outlineLevel="1" x14ac:dyDescent="0.15">
      <c r="A16" s="780">
        <v>1</v>
      </c>
      <c r="B16" s="779" t="s">
        <v>2710</v>
      </c>
      <c r="C16" s="106"/>
      <c r="D16" s="535" t="s">
        <v>3020</v>
      </c>
      <c r="E16" s="535"/>
      <c r="F16" s="83">
        <f t="shared" ref="F16" si="17">G16*F17/G17</f>
        <v>1.3314209625798812</v>
      </c>
      <c r="G16" s="83">
        <f t="shared" ref="G16" si="18">H16*G17/H17</f>
        <v>1.2991347729561198</v>
      </c>
      <c r="H16" s="83">
        <f t="shared" ref="H16" si="19">I16*H17/I17</f>
        <v>1.2459033370764117</v>
      </c>
      <c r="I16" s="83">
        <f t="shared" ref="I16" si="20">J16*I17/J17</f>
        <v>1.2162710414918916</v>
      </c>
      <c r="J16" s="83">
        <f t="shared" ref="J16" si="21">K16*J17/K17</f>
        <v>1.1817759594327728</v>
      </c>
      <c r="K16" s="83">
        <f t="shared" ref="K16" si="22">L16*K17/L17</f>
        <v>1.144507338128179</v>
      </c>
      <c r="L16" s="83">
        <f t="shared" ref="L16" si="23">M16*L17/M17</f>
        <v>1.12617689027027</v>
      </c>
      <c r="M16" s="86">
        <f t="shared" ref="M16" si="24">N16*M17/N17</f>
        <v>1.0986823372851562</v>
      </c>
      <c r="N16" s="797">
        <f t="shared" ref="N16" si="25">O16*N17/O17</f>
        <v>1.0674105440037951</v>
      </c>
      <c r="O16" s="83">
        <f t="shared" ref="O16:P16" si="26">P16*O17/P17</f>
        <v>1.0534182709550564</v>
      </c>
      <c r="P16" s="83">
        <f t="shared" si="26"/>
        <v>1.0397880900000001</v>
      </c>
      <c r="Q16" s="86">
        <f>1+A14</f>
        <v>1.0197000000000001</v>
      </c>
      <c r="R16" s="112">
        <v>1</v>
      </c>
      <c r="S16" s="86">
        <f t="shared" ref="S16:X16" si="27">1/((1+$A$14)^(COLUMN()-COLUMN($R$16)))</f>
        <v>0.98068059233107774</v>
      </c>
      <c r="T16" s="86">
        <f t="shared" si="27"/>
        <v>0.96173442417483346</v>
      </c>
      <c r="U16" s="86">
        <f t="shared" si="27"/>
        <v>0.94315428476496377</v>
      </c>
      <c r="V16" s="86">
        <f t="shared" si="27"/>
        <v>0.92493310264289852</v>
      </c>
      <c r="W16" s="112">
        <f t="shared" si="27"/>
        <v>0.9070639429664592</v>
      </c>
      <c r="X16" s="86">
        <f t="shared" si="27"/>
        <v>0.88954000487051021</v>
      </c>
      <c r="Y16" s="3"/>
      <c r="AD16" s="97"/>
      <c r="AU16" s="3"/>
    </row>
    <row r="17" spans="1:65" outlineLevel="1" x14ac:dyDescent="0.15">
      <c r="A17" s="81"/>
      <c r="B17" s="81"/>
      <c r="C17" s="531"/>
      <c r="D17" s="536" t="s">
        <v>2998</v>
      </c>
      <c r="E17" s="536"/>
      <c r="F17" s="87">
        <f t="shared" ref="F17:O17" si="28">G17*G18</f>
        <v>1.4678358377090888</v>
      </c>
      <c r="G17" s="87">
        <f t="shared" si="28"/>
        <v>1.4322416661249193</v>
      </c>
      <c r="H17" s="87">
        <f t="shared" si="28"/>
        <v>1.3735562379448285</v>
      </c>
      <c r="I17" s="87">
        <f t="shared" si="28"/>
        <v>1.3408878733666811</v>
      </c>
      <c r="J17" s="87">
        <f t="shared" si="28"/>
        <v>1.3028584904035505</v>
      </c>
      <c r="K17" s="87">
        <f t="shared" si="28"/>
        <v>1.2617713966064905</v>
      </c>
      <c r="L17" s="87">
        <f t="shared" si="28"/>
        <v>1.24156284570989</v>
      </c>
      <c r="M17" s="87">
        <f t="shared" si="28"/>
        <v>1.2112512527970509</v>
      </c>
      <c r="N17" s="798">
        <f t="shared" si="28"/>
        <v>1.176775410687078</v>
      </c>
      <c r="O17" s="87">
        <f t="shared" si="28"/>
        <v>1.161349515790431</v>
      </c>
      <c r="P17" s="90">
        <f t="shared" ref="P17:U17" si="29">Q17*Q18</f>
        <v>1.1463228122589466</v>
      </c>
      <c r="Q17" s="90">
        <f t="shared" si="29"/>
        <v>1.1241765345287305</v>
      </c>
      <c r="R17" s="124">
        <f t="shared" si="29"/>
        <v>1.1024581097663335</v>
      </c>
      <c r="S17" s="90">
        <f t="shared" si="29"/>
        <v>1.0811592721058483</v>
      </c>
      <c r="T17" s="90">
        <f t="shared" si="29"/>
        <v>1.060271915373</v>
      </c>
      <c r="U17" s="90">
        <f t="shared" si="29"/>
        <v>1.0397880900000001</v>
      </c>
      <c r="V17" s="90">
        <f>W17*W18</f>
        <v>1.0197000000000001</v>
      </c>
      <c r="W17" s="124">
        <f>1</f>
        <v>1</v>
      </c>
      <c r="X17" s="90">
        <f>1</f>
        <v>1</v>
      </c>
      <c r="Y17" s="3"/>
      <c r="AD17" s="97"/>
      <c r="AU17" s="3"/>
    </row>
    <row r="18" spans="1:65" ht="15" outlineLevel="1" x14ac:dyDescent="0.2">
      <c r="A18" s="780">
        <v>0</v>
      </c>
      <c r="B18" s="779" t="s">
        <v>3007</v>
      </c>
      <c r="C18" s="81"/>
      <c r="D18" s="537" t="s">
        <v>2603</v>
      </c>
      <c r="E18" s="80"/>
      <c r="F18" s="88">
        <v>1.0292326431181487</v>
      </c>
      <c r="G18" s="88">
        <v>1.024852071005917</v>
      </c>
      <c r="H18" s="88">
        <v>1.0427251732101617</v>
      </c>
      <c r="I18" s="88">
        <v>1.0243632336655593</v>
      </c>
      <c r="J18" s="88">
        <v>1.0291891891891891</v>
      </c>
      <c r="K18" s="88">
        <v>1.0325630252100839</v>
      </c>
      <c r="L18" s="88">
        <v>1.0162767039674467</v>
      </c>
      <c r="M18" s="88">
        <v>1.025025025025025</v>
      </c>
      <c r="N18" s="799">
        <v>1.029296875</v>
      </c>
      <c r="O18" s="89">
        <v>1.0132827324478177</v>
      </c>
      <c r="P18" s="89">
        <v>1.0131086142322099</v>
      </c>
      <c r="Q18" s="89">
        <f>(1+$A$14)</f>
        <v>1.0197000000000001</v>
      </c>
      <c r="R18" s="125">
        <f t="shared" ref="R18:X18" si="30">(1+$A$14)</f>
        <v>1.0197000000000001</v>
      </c>
      <c r="S18" s="89">
        <f t="shared" si="30"/>
        <v>1.0197000000000001</v>
      </c>
      <c r="T18" s="89">
        <f t="shared" si="30"/>
        <v>1.0197000000000001</v>
      </c>
      <c r="U18" s="89">
        <f t="shared" si="30"/>
        <v>1.0197000000000001</v>
      </c>
      <c r="V18" s="89">
        <f t="shared" si="30"/>
        <v>1.0197000000000001</v>
      </c>
      <c r="W18" s="125">
        <f t="shared" si="30"/>
        <v>1.0197000000000001</v>
      </c>
      <c r="X18" s="89">
        <f t="shared" si="30"/>
        <v>1.0197000000000001</v>
      </c>
      <c r="Y18" s="3"/>
      <c r="AD18" s="97"/>
      <c r="AJ18" s="28" t="s">
        <v>3071</v>
      </c>
      <c r="AL18" s="31"/>
      <c r="BF18" s="604" t="s">
        <v>3040</v>
      </c>
    </row>
    <row r="19" spans="1:65" outlineLevel="1" x14ac:dyDescent="0.15">
      <c r="B19" s="758" t="s">
        <v>3065</v>
      </c>
      <c r="D19" s="1" t="s">
        <v>3066</v>
      </c>
      <c r="F19" s="2"/>
      <c r="G19" s="2"/>
      <c r="H19" s="2"/>
      <c r="I19" s="2"/>
      <c r="J19" s="2"/>
      <c r="K19" s="2"/>
      <c r="L19" s="2"/>
      <c r="M19" s="2"/>
      <c r="N19" s="800"/>
      <c r="O19" s="2"/>
      <c r="P19" s="2"/>
      <c r="Q19" s="3">
        <f>'Incurred 2.5% cpi'!Q20</f>
        <v>161881879.3499999</v>
      </c>
      <c r="R19" s="113">
        <f>'Incurred 2.5% cpi'!R20</f>
        <v>163740711.18999994</v>
      </c>
      <c r="S19" s="108">
        <f>'Incurred 2.5% cpi'!S20</f>
        <v>98901740.230000034</v>
      </c>
      <c r="T19" s="3">
        <f>'Incurred 2.5% cpi'!T20</f>
        <v>104253869.32999995</v>
      </c>
      <c r="U19" s="3">
        <f>'Incurred 2.5% cpi'!U20</f>
        <v>115728525.88</v>
      </c>
      <c r="V19" s="3">
        <f>'Incurred 2.5% cpi'!V20</f>
        <v>108990066.78999998</v>
      </c>
      <c r="W19" s="113">
        <f>'Incurred 2.5% cpi'!W20</f>
        <v>58920948.160000004</v>
      </c>
      <c r="X19" s="108">
        <f>'Incurred 2.5% cpi'!X20</f>
        <v>6101834.6800000006</v>
      </c>
      <c r="AD19" s="97"/>
      <c r="AK19" s="467" t="s">
        <v>3005</v>
      </c>
      <c r="AL19" s="468">
        <v>72</v>
      </c>
      <c r="AM19" s="468">
        <f>AL19+1</f>
        <v>73</v>
      </c>
      <c r="AN19" s="468">
        <f t="shared" ref="AN19:BD19" si="31">AM19+1</f>
        <v>74</v>
      </c>
      <c r="AO19" s="468">
        <f t="shared" si="31"/>
        <v>75</v>
      </c>
      <c r="AP19" s="468">
        <f t="shared" si="31"/>
        <v>76</v>
      </c>
      <c r="AQ19" s="468">
        <f t="shared" si="31"/>
        <v>77</v>
      </c>
      <c r="AR19" s="468">
        <f t="shared" si="31"/>
        <v>78</v>
      </c>
      <c r="AS19" s="468">
        <f t="shared" si="31"/>
        <v>79</v>
      </c>
      <c r="AT19" s="468">
        <f t="shared" si="31"/>
        <v>80</v>
      </c>
      <c r="AU19" s="468">
        <f t="shared" si="31"/>
        <v>81</v>
      </c>
      <c r="AV19" s="468">
        <f t="shared" si="31"/>
        <v>82</v>
      </c>
      <c r="AW19" s="468">
        <f t="shared" si="31"/>
        <v>83</v>
      </c>
      <c r="AX19" s="468">
        <f t="shared" si="31"/>
        <v>84</v>
      </c>
      <c r="AY19" s="468">
        <f t="shared" si="31"/>
        <v>85</v>
      </c>
      <c r="AZ19" s="468">
        <f t="shared" si="31"/>
        <v>86</v>
      </c>
      <c r="BA19" s="468">
        <f t="shared" si="31"/>
        <v>87</v>
      </c>
      <c r="BB19" s="468">
        <f t="shared" si="31"/>
        <v>88</v>
      </c>
      <c r="BC19" s="468">
        <f t="shared" si="31"/>
        <v>89</v>
      </c>
      <c r="BD19" s="469">
        <f t="shared" si="31"/>
        <v>90</v>
      </c>
      <c r="BF19" s="56" t="s">
        <v>2979</v>
      </c>
    </row>
    <row r="20" spans="1:65" ht="11.25" outlineLevel="1" thickBot="1" x14ac:dyDescent="0.2">
      <c r="A20" s="26">
        <f>COUNTA(A23:A361)</f>
        <v>337</v>
      </c>
      <c r="F20" s="3">
        <f t="shared" ref="F20:X20" si="32">SUM(F23:F362)</f>
        <v>92201.14</v>
      </c>
      <c r="G20" s="3">
        <f t="shared" si="32"/>
        <v>6125285.8399999999</v>
      </c>
      <c r="H20" s="3">
        <f t="shared" si="32"/>
        <v>7596615.71</v>
      </c>
      <c r="I20" s="3">
        <f t="shared" si="32"/>
        <v>9617371.6699999999</v>
      </c>
      <c r="J20" s="3">
        <f t="shared" si="32"/>
        <v>39173732.089999996</v>
      </c>
      <c r="K20" s="3">
        <f t="shared" si="32"/>
        <v>126045695.57000002</v>
      </c>
      <c r="L20" s="3">
        <f t="shared" si="32"/>
        <v>95543994.110000014</v>
      </c>
      <c r="M20" s="108">
        <f t="shared" si="32"/>
        <v>156925832.92999998</v>
      </c>
      <c r="N20" s="801">
        <f t="shared" si="32"/>
        <v>97931219.610000044</v>
      </c>
      <c r="O20" s="3">
        <f t="shared" si="32"/>
        <v>111700820.64000002</v>
      </c>
      <c r="P20" s="3">
        <f t="shared" si="32"/>
        <v>167030089.01999998</v>
      </c>
      <c r="Q20" s="3">
        <f t="shared" si="32"/>
        <v>161881876.8199999</v>
      </c>
      <c r="R20" s="113">
        <f t="shared" si="32"/>
        <v>163307955.64521971</v>
      </c>
      <c r="S20" s="108">
        <f t="shared" si="32"/>
        <v>98542324.865911916</v>
      </c>
      <c r="T20" s="3">
        <f t="shared" si="32"/>
        <v>103741683.74063107</v>
      </c>
      <c r="U20" s="3">
        <f t="shared" si="32"/>
        <v>115085101.90206416</v>
      </c>
      <c r="V20" s="3">
        <f t="shared" si="32"/>
        <v>108386199.48723471</v>
      </c>
      <c r="W20" s="113">
        <f t="shared" si="32"/>
        <v>58689395.388086796</v>
      </c>
      <c r="X20" s="108">
        <f t="shared" si="32"/>
        <v>6140910.9213628136</v>
      </c>
      <c r="Y20" s="3">
        <f>SUM(P20:W20)</f>
        <v>976664626.86914837</v>
      </c>
      <c r="Z20" s="3"/>
      <c r="AD20" s="97"/>
      <c r="AK20" s="470" t="s">
        <v>3004</v>
      </c>
      <c r="AL20" s="471">
        <v>3</v>
      </c>
      <c r="AM20" s="471">
        <f>AL20+1</f>
        <v>4</v>
      </c>
      <c r="AN20" s="471">
        <f t="shared" ref="AN20:BD20" si="33">AM20+1</f>
        <v>5</v>
      </c>
      <c r="AO20" s="471">
        <f t="shared" si="33"/>
        <v>6</v>
      </c>
      <c r="AP20" s="471">
        <f t="shared" si="33"/>
        <v>7</v>
      </c>
      <c r="AQ20" s="471">
        <f t="shared" si="33"/>
        <v>8</v>
      </c>
      <c r="AR20" s="471">
        <f t="shared" si="33"/>
        <v>9</v>
      </c>
      <c r="AS20" s="471">
        <f t="shared" si="33"/>
        <v>10</v>
      </c>
      <c r="AT20" s="471">
        <f t="shared" si="33"/>
        <v>11</v>
      </c>
      <c r="AU20" s="471">
        <f t="shared" si="33"/>
        <v>12</v>
      </c>
      <c r="AV20" s="471">
        <f t="shared" si="33"/>
        <v>13</v>
      </c>
      <c r="AW20" s="471">
        <f t="shared" si="33"/>
        <v>14</v>
      </c>
      <c r="AX20" s="471">
        <f t="shared" si="33"/>
        <v>15</v>
      </c>
      <c r="AY20" s="471">
        <f t="shared" si="33"/>
        <v>16</v>
      </c>
      <c r="AZ20" s="471">
        <f t="shared" si="33"/>
        <v>17</v>
      </c>
      <c r="BA20" s="471">
        <f t="shared" si="33"/>
        <v>18</v>
      </c>
      <c r="BB20" s="471">
        <f t="shared" si="33"/>
        <v>19</v>
      </c>
      <c r="BC20" s="471">
        <f t="shared" si="33"/>
        <v>20</v>
      </c>
      <c r="BD20" s="472">
        <f t="shared" si="33"/>
        <v>21</v>
      </c>
      <c r="BF20" s="56" t="s">
        <v>2980</v>
      </c>
    </row>
    <row r="21" spans="1:65" ht="15" x14ac:dyDescent="0.25">
      <c r="A21" s="4" t="s">
        <v>0</v>
      </c>
      <c r="B21" s="5"/>
      <c r="C21" s="5"/>
      <c r="D21" s="5"/>
      <c r="E21" s="4" t="s">
        <v>1</v>
      </c>
      <c r="F21" s="6" t="s">
        <v>2</v>
      </c>
      <c r="G21" s="6" t="s">
        <v>3</v>
      </c>
      <c r="H21" s="6" t="s">
        <v>4</v>
      </c>
      <c r="I21" s="6" t="s">
        <v>5</v>
      </c>
      <c r="J21" s="6" t="s">
        <v>6</v>
      </c>
      <c r="K21" s="6" t="s">
        <v>7</v>
      </c>
      <c r="L21" s="6" t="s">
        <v>8</v>
      </c>
      <c r="M21" s="7" t="s">
        <v>9</v>
      </c>
      <c r="N21" s="802" t="s">
        <v>10</v>
      </c>
      <c r="O21" s="6" t="s">
        <v>11</v>
      </c>
      <c r="P21" s="7" t="s">
        <v>12</v>
      </c>
      <c r="Q21" s="8" t="s">
        <v>13</v>
      </c>
      <c r="R21" s="126" t="s">
        <v>14</v>
      </c>
      <c r="S21" s="118" t="s">
        <v>15</v>
      </c>
      <c r="T21" s="8" t="s">
        <v>16</v>
      </c>
      <c r="U21" s="8" t="s">
        <v>17</v>
      </c>
      <c r="V21" s="8" t="s">
        <v>18</v>
      </c>
      <c r="W21" s="126" t="s">
        <v>19</v>
      </c>
      <c r="X21" s="118" t="s">
        <v>2606</v>
      </c>
      <c r="Y21" s="3"/>
      <c r="Z21" s="21"/>
      <c r="AA21" s="760" t="s">
        <v>1061</v>
      </c>
      <c r="AB21" s="761"/>
      <c r="AC21" s="762"/>
      <c r="AF21" s="23" t="str">
        <f>IF(AE21="","",IF(MONTH(AE21)&lt;7,YEAR(AE21),YEAR(AE21)+1+#REF!))</f>
        <v/>
      </c>
      <c r="AH21" s="29">
        <f>COLUMN()</f>
        <v>34</v>
      </c>
      <c r="AI21"/>
      <c r="AJ21"/>
      <c r="AK21"/>
      <c r="AL21" s="1">
        <f>COLUMN()</f>
        <v>38</v>
      </c>
      <c r="AM21" s="1">
        <f>COLUMN()</f>
        <v>39</v>
      </c>
      <c r="AN21" s="1">
        <f>COLUMN()</f>
        <v>40</v>
      </c>
      <c r="AO21" s="1">
        <f>COLUMN()</f>
        <v>41</v>
      </c>
      <c r="AP21" s="1">
        <f>COLUMN()</f>
        <v>42</v>
      </c>
      <c r="AQ21" s="1">
        <f>COLUMN()</f>
        <v>43</v>
      </c>
      <c r="AR21" s="1">
        <f>COLUMN()</f>
        <v>44</v>
      </c>
      <c r="AS21" s="1">
        <f>COLUMN()</f>
        <v>45</v>
      </c>
      <c r="AT21" s="1">
        <f>COLUMN()</f>
        <v>46</v>
      </c>
      <c r="AU21" s="1">
        <f>COLUMN()</f>
        <v>47</v>
      </c>
      <c r="AV21" s="1">
        <f>COLUMN()</f>
        <v>48</v>
      </c>
      <c r="AW21" s="1">
        <f>COLUMN()</f>
        <v>49</v>
      </c>
      <c r="AX21" s="1">
        <f>COLUMN()</f>
        <v>50</v>
      </c>
      <c r="AY21" s="1">
        <f>COLUMN()</f>
        <v>51</v>
      </c>
      <c r="AZ21" s="1">
        <f>COLUMN()</f>
        <v>52</v>
      </c>
      <c r="BA21" s="1">
        <f>COLUMN()</f>
        <v>53</v>
      </c>
      <c r="BB21" s="1">
        <f>COLUMN()</f>
        <v>54</v>
      </c>
      <c r="BC21" s="1">
        <f>COLUMN()</f>
        <v>55</v>
      </c>
      <c r="BD21" s="1">
        <f>COLUMN()</f>
        <v>56</v>
      </c>
      <c r="BF21" s="98"/>
      <c r="BG21" s="98"/>
      <c r="BH21" s="98"/>
      <c r="BI21" s="98"/>
      <c r="BJ21" s="98"/>
      <c r="BK21" s="98"/>
      <c r="BL21" s="98"/>
    </row>
    <row r="22" spans="1:65" ht="52.5" x14ac:dyDescent="0.15">
      <c r="A22" s="9" t="s">
        <v>20</v>
      </c>
      <c r="B22" s="10" t="s">
        <v>21</v>
      </c>
      <c r="C22" s="11" t="s">
        <v>22</v>
      </c>
      <c r="D22" s="11" t="s">
        <v>23</v>
      </c>
      <c r="E22" s="11" t="s">
        <v>24</v>
      </c>
      <c r="F22" s="33" t="str">
        <f t="shared" ref="F22:P22" si="34">"Actual "&amp;F21</f>
        <v>Actual 2006</v>
      </c>
      <c r="G22" s="33" t="str">
        <f t="shared" si="34"/>
        <v>Actual 2007</v>
      </c>
      <c r="H22" s="33" t="str">
        <f t="shared" si="34"/>
        <v>Actual 2008</v>
      </c>
      <c r="I22" s="33" t="str">
        <f t="shared" si="34"/>
        <v>Actual 2009</v>
      </c>
      <c r="J22" s="33" t="str">
        <f t="shared" si="34"/>
        <v>Actual 2010</v>
      </c>
      <c r="K22" s="33" t="str">
        <f t="shared" si="34"/>
        <v>Actual 2011</v>
      </c>
      <c r="L22" s="33" t="str">
        <f t="shared" si="34"/>
        <v>Actual 2012</v>
      </c>
      <c r="M22" s="789" t="str">
        <f t="shared" si="34"/>
        <v>Actual 2013</v>
      </c>
      <c r="N22" s="803" t="str">
        <f t="shared" si="34"/>
        <v>Actual 2014</v>
      </c>
      <c r="O22" s="33" t="str">
        <f t="shared" si="34"/>
        <v>Actual 2015</v>
      </c>
      <c r="P22" s="33" t="str">
        <f t="shared" si="34"/>
        <v>Actual 2016</v>
      </c>
      <c r="Q22" s="34" t="str">
        <f>"Plan "&amp;Q21</f>
        <v>Plan 2017</v>
      </c>
      <c r="R22" s="114" t="str">
        <f t="shared" ref="R22:W22" si="35">"Plan "&amp;R21</f>
        <v>Plan 2018</v>
      </c>
      <c r="S22" s="109" t="str">
        <f t="shared" si="35"/>
        <v>Plan 2019</v>
      </c>
      <c r="T22" s="34" t="str">
        <f t="shared" si="35"/>
        <v>Plan 2020</v>
      </c>
      <c r="U22" s="34" t="str">
        <f t="shared" si="35"/>
        <v>Plan 2021</v>
      </c>
      <c r="V22" s="34" t="str">
        <f t="shared" si="35"/>
        <v>Plan 2022</v>
      </c>
      <c r="W22" s="114" t="str">
        <f t="shared" si="35"/>
        <v>Plan 2023</v>
      </c>
      <c r="X22" s="109" t="str">
        <f t="shared" ref="X22" si="36">"Plan "&amp;X21</f>
        <v>Plan 2024</v>
      </c>
      <c r="Y22" s="598" t="s">
        <v>3013</v>
      </c>
      <c r="Z22" s="598" t="s">
        <v>1100</v>
      </c>
      <c r="AA22" s="600" t="s">
        <v>1099</v>
      </c>
      <c r="AB22" s="601" t="s">
        <v>1098</v>
      </c>
      <c r="AC22" s="602" t="s">
        <v>1062</v>
      </c>
      <c r="AD22" s="598" t="s">
        <v>1063</v>
      </c>
      <c r="AE22" s="598" t="s">
        <v>1065</v>
      </c>
      <c r="AF22" s="599" t="s">
        <v>1064</v>
      </c>
      <c r="AG22" s="598" t="s">
        <v>3039</v>
      </c>
      <c r="AH22" s="598" t="s">
        <v>2604</v>
      </c>
      <c r="AI22" s="598" t="s">
        <v>3003</v>
      </c>
      <c r="AJ22" s="598" t="s">
        <v>3057</v>
      </c>
      <c r="AK22" s="40" t="s">
        <v>2238</v>
      </c>
      <c r="AL22" s="35" t="s">
        <v>1031</v>
      </c>
      <c r="AM22" s="35" t="s">
        <v>1032</v>
      </c>
      <c r="AN22" s="35" t="s">
        <v>1033</v>
      </c>
      <c r="AO22" s="35" t="s">
        <v>1034</v>
      </c>
      <c r="AP22" s="35" t="s">
        <v>1035</v>
      </c>
      <c r="AQ22" s="35" t="s">
        <v>854</v>
      </c>
      <c r="AR22" s="35" t="s">
        <v>1036</v>
      </c>
      <c r="AS22" s="35" t="s">
        <v>1037</v>
      </c>
      <c r="AT22" s="35" t="s">
        <v>41</v>
      </c>
      <c r="AU22" s="35" t="s">
        <v>1038</v>
      </c>
      <c r="AV22" s="35" t="s">
        <v>1039</v>
      </c>
      <c r="AW22" s="35" t="s">
        <v>1040</v>
      </c>
      <c r="AX22" s="35" t="s">
        <v>1041</v>
      </c>
      <c r="AY22" s="35" t="s">
        <v>1042</v>
      </c>
      <c r="AZ22" s="35" t="s">
        <v>1043</v>
      </c>
      <c r="BA22" s="35" t="s">
        <v>1044</v>
      </c>
      <c r="BB22" s="35" t="s">
        <v>1045</v>
      </c>
      <c r="BC22" s="35" t="s">
        <v>1046</v>
      </c>
      <c r="BD22" s="36" t="s">
        <v>1047</v>
      </c>
      <c r="BE22" s="29" t="s">
        <v>639</v>
      </c>
      <c r="BF22" s="618" t="s">
        <v>2736</v>
      </c>
      <c r="BG22" s="618" t="s">
        <v>2737</v>
      </c>
      <c r="BH22" s="618" t="s">
        <v>2738</v>
      </c>
      <c r="BI22" s="618" t="s">
        <v>2739</v>
      </c>
      <c r="BJ22" s="618" t="s">
        <v>2740</v>
      </c>
      <c r="BK22" s="618" t="s">
        <v>2741</v>
      </c>
      <c r="BL22" s="618" t="s">
        <v>2742</v>
      </c>
      <c r="BM22" s="619" t="s">
        <v>2709</v>
      </c>
    </row>
    <row r="23" spans="1:65" x14ac:dyDescent="0.15">
      <c r="A23" s="12" t="s">
        <v>25</v>
      </c>
      <c r="B23" s="13" t="s">
        <v>26</v>
      </c>
      <c r="C23" s="13" t="s">
        <v>27</v>
      </c>
      <c r="D23" s="13" t="s">
        <v>28</v>
      </c>
      <c r="E23" s="13" t="s">
        <v>29</v>
      </c>
      <c r="F23" s="14">
        <v>14438.5</v>
      </c>
      <c r="G23" s="14">
        <v>5643382.1699999999</v>
      </c>
      <c r="H23" s="14">
        <v>6634694.54</v>
      </c>
      <c r="I23" s="14">
        <v>7459380.96</v>
      </c>
      <c r="J23" s="14">
        <v>20848276.829999998</v>
      </c>
      <c r="K23" s="14">
        <v>100800022.72</v>
      </c>
      <c r="L23" s="14">
        <v>32862274.5</v>
      </c>
      <c r="M23" s="15">
        <v>2236198.14</v>
      </c>
      <c r="N23" s="804">
        <v>394226.32</v>
      </c>
      <c r="O23" s="14">
        <v>137031.29999999999</v>
      </c>
      <c r="P23" s="15">
        <v>283719.84000000003</v>
      </c>
      <c r="Q23" s="16">
        <f>IF(ISTEXT('Incurred 2.5% cpi'!Q23),"",'Incurred 2.5% cpi'!Q23/'Incurred 2.5% cpi'!Q$14*Incurred!Q$14)</f>
        <v>135401.71</v>
      </c>
      <c r="R23" s="127">
        <f>IF(ISTEXT('Incurred 2.5% cpi'!R23),"",'Incurred 2.5% cpi'!R23/'Incurred 2.5% cpi'!R$14*R$14*BF23)</f>
        <v>897693.5519281365</v>
      </c>
      <c r="S23" s="119" t="str">
        <f>IF(ISTEXT('Incurred 2.5% cpi'!S23),"",'Incurred 2.5% cpi'!S23/'Incurred 2.5% cpi'!S$14*Incurred!S$14*BG23)</f>
        <v/>
      </c>
      <c r="T23" s="16" t="str">
        <f>IF(ISTEXT('Incurred 2.5% cpi'!T23),"",'Incurred 2.5% cpi'!T23/'Incurred 2.5% cpi'!T$14*Incurred!T$14*BH23)</f>
        <v/>
      </c>
      <c r="U23" s="16" t="str">
        <f>IF(ISTEXT('Incurred 2.5% cpi'!U23),"",'Incurred 2.5% cpi'!U23/'Incurred 2.5% cpi'!U$14*Incurred!U$14*BI23)</f>
        <v/>
      </c>
      <c r="V23" s="16" t="str">
        <f>IF(ISTEXT('Incurred 2.5% cpi'!V23),"",'Incurred 2.5% cpi'!V23/'Incurred 2.5% cpi'!V$14*Incurred!V$14*BJ23)</f>
        <v/>
      </c>
      <c r="W23" s="127" t="str">
        <f>IF(ISTEXT('Incurred 2.5% cpi'!W23),"",'Incurred 2.5% cpi'!W23/'Incurred 2.5% cpi'!W$14*Incurred!W$14*BK23)</f>
        <v/>
      </c>
      <c r="X23" s="119" t="str">
        <f>IF(ISTEXT('Incurred 2.5% cpi'!X23),"",'Incurred 2.5% cpi'!X23/'Incurred 2.5% cpi'!X$14*Incurred!X$14*BL23)</f>
        <v/>
      </c>
      <c r="Y23" s="95">
        <f>SUM(F23:W23)</f>
        <v>178346741.08192813</v>
      </c>
      <c r="Z23" s="95">
        <f t="shared" ref="Z23:Z44" si="37">-SUMIFS(F23:W23,F23:W23,"&lt;0")+SUMIFS(F23:W23,F23:W23,"&gt;0")</f>
        <v>178346741.08192813</v>
      </c>
      <c r="AA23" s="676">
        <f t="shared" ref="AA23:AA44" si="38">IF(ROUND(Y23,0)=0,0,SUMPRODUCT($F$17:$W$17,F23:W23))</f>
        <v>227167493.30070397</v>
      </c>
      <c r="AB23" s="676">
        <f t="shared" ref="AB23:AB44" si="39">IF(AC23="","",AA23/AC23)</f>
        <v>182968984.68382898</v>
      </c>
      <c r="AC23" s="677">
        <f t="shared" ref="AC23:AC44" si="40">IF(AF23="","",IF(AF23&lt;AD23,INDEX($F$17:$W$17,1,MATCH(TEXT(AF23,"000"),$F$21:$W$21)),INDEX($F$17:$W$17,1,MATCH(AD23,$F$21:$W$21))))</f>
        <v>1.24156284570989</v>
      </c>
      <c r="AD23" s="678" t="str">
        <f t="shared" ref="AD23:AD44" si="41">IF(AI23=0,"",INDEX($F$21:$W$21,1,MATCH(AI23,F23:W23,0)))</f>
        <v>2018</v>
      </c>
      <c r="AE23" s="679">
        <v>40876</v>
      </c>
      <c r="AF23" s="678">
        <v>2012</v>
      </c>
      <c r="AG23" s="680"/>
      <c r="AH23" s="676">
        <f>IF(ROUND(Y23,0)=0,0,SUMPRODUCT($F$16:$W$16,F23:W23))</f>
        <v>206055442.18714315</v>
      </c>
      <c r="AI23" s="95">
        <f t="shared" ref="AI23:AI44" si="42">IF(ROUND(Z23,0)=0,0,LOOKUP(2,1/(F23:W23&lt;&gt;""),F23:W23))</f>
        <v>897693.5519281365</v>
      </c>
      <c r="AJ23" s="681" t="s">
        <v>0</v>
      </c>
      <c r="AK23" s="37">
        <f t="shared" ref="AK23:AK44" si="43">IF(ISNA(VLOOKUP($A23,Estimates,71,FALSE)),0,VLOOKUP($A23,Estimates,71,FALSE))</f>
        <v>0</v>
      </c>
      <c r="AL23" s="31">
        <f t="shared" ref="AL23:BD23" si="44">IF($AK23=0,VLOOKUP(MID($A23,4,5),ProjectSplits,AL$20,FALSE),IF(ISNA(VLOOKUP($A23,Estimates,AL$19,FALSE)),VLOOKUP(MID($A23,4,5),ProjectSplits,AL$20,FALSE),VLOOKUP($A23,Estimates,AL$19,FALSE)))</f>
        <v>0</v>
      </c>
      <c r="AM23" s="31">
        <f t="shared" si="44"/>
        <v>0</v>
      </c>
      <c r="AN23" s="31">
        <f t="shared" si="44"/>
        <v>4.4874302157497943E-2</v>
      </c>
      <c r="AO23" s="31">
        <f t="shared" si="44"/>
        <v>0</v>
      </c>
      <c r="AP23" s="31">
        <f t="shared" si="44"/>
        <v>0</v>
      </c>
      <c r="AQ23" s="31">
        <f t="shared" si="44"/>
        <v>0</v>
      </c>
      <c r="AR23" s="31">
        <f t="shared" si="44"/>
        <v>7.6869566107446395E-4</v>
      </c>
      <c r="AS23" s="31">
        <f t="shared" si="44"/>
        <v>0</v>
      </c>
      <c r="AT23" s="31">
        <f t="shared" si="44"/>
        <v>0</v>
      </c>
      <c r="AU23" s="31">
        <f t="shared" si="44"/>
        <v>0.25202997004207189</v>
      </c>
      <c r="AV23" s="31">
        <f t="shared" si="44"/>
        <v>0</v>
      </c>
      <c r="AW23" s="31">
        <f t="shared" si="44"/>
        <v>0.13029368434774419</v>
      </c>
      <c r="AX23" s="31">
        <f t="shared" si="44"/>
        <v>0</v>
      </c>
      <c r="AY23" s="31">
        <f t="shared" si="44"/>
        <v>0</v>
      </c>
      <c r="AZ23" s="31">
        <f t="shared" si="44"/>
        <v>4.5298550890942951E-2</v>
      </c>
      <c r="BA23" s="31">
        <f t="shared" si="44"/>
        <v>0</v>
      </c>
      <c r="BB23" s="31">
        <f t="shared" si="44"/>
        <v>0.5267347969006686</v>
      </c>
      <c r="BC23" s="31">
        <f t="shared" si="44"/>
        <v>0</v>
      </c>
      <c r="BD23" s="31">
        <f t="shared" si="44"/>
        <v>0</v>
      </c>
      <c r="BE23" s="30">
        <f>SUM(AL23:BD23)</f>
        <v>1</v>
      </c>
      <c r="BF23" s="620">
        <f t="shared" ref="BF23:BF52" si="45">1+IF(ISNA(VLOOKUP($A23,ProjLabEsc,7,FALSE)),VLOOKUP(D23,CatLabEsc,4,FALSE),VLOOKUP(A23,ProjLabEsc,7,FALSE))*Labesc18*LabIn</f>
        <v>1.0030444840366091</v>
      </c>
      <c r="BG23" s="620">
        <f t="shared" ref="BG23:BG44" si="46">1+IF(ISNA(VLOOKUP($A23,ProjLabEsc,7,FALSE)),VLOOKUP($D23,CatLabEsc,4,FALSE),VLOOKUP($A23,ProjLabEsc,7,FALSE))*LabEsc19*LabIn</f>
        <v>1.0061087572194563</v>
      </c>
      <c r="BH23" s="620">
        <f t="shared" ref="BH23:BH44" si="47">1+IF(ISNA(VLOOKUP($A23,ProjLabEsc,7,FALSE)),VLOOKUP($D23,CatLabEsc,4,FALSE),VLOOKUP($A23,ProjLabEsc,7,FALSE))*LabEsc20*LabIn</f>
        <v>1.0096674390946898</v>
      </c>
      <c r="BI23" s="620">
        <f t="shared" ref="BI23:BI44" si="48">1+IF(ISNA(VLOOKUP($A23,ProjLabEsc,7,FALSE)),VLOOKUP($D23,CatLabEsc,4,FALSE),VLOOKUP($A23,ProjLabEsc,7,FALSE))*LabEsc21*LabIn</f>
        <v>1.0139698854818469</v>
      </c>
      <c r="BJ23" s="620">
        <f t="shared" ref="BJ23:BJ44" si="49">1+IF(ISNA(VLOOKUP($A23,ProjLabEsc,7,FALSE)),VLOOKUP($D23,CatLabEsc,4,FALSE),VLOOKUP($A23,ProjLabEsc,7,FALSE))*LabEsc22*LabIn</f>
        <v>1.0192757579764089</v>
      </c>
      <c r="BK23" s="620">
        <f t="shared" ref="BK23:BK44" si="50">1+IF(ISNA(VLOOKUP($A23,ProjLabEsc,7,FALSE)),VLOOKUP($D23,CatLabEsc,4,FALSE),VLOOKUP($A23,ProjLabEsc,7,FALSE))*LabEsc23*LabIn</f>
        <v>1.0248838240271385</v>
      </c>
      <c r="BL23" s="620">
        <f t="shared" ref="BL23:BL44" si="51">1+IF(ISNA(VLOOKUP($A23,ProjLabEsc,7,FALSE)),VLOOKUP($D23,CatLabEsc,4,FALSE),VLOOKUP($A23,ProjLabEsc,7,FALSE))*LabEsc24*LabIn</f>
        <v>1.0289708850333266</v>
      </c>
      <c r="BM23" s="621" t="str">
        <f t="shared" ref="BM23:BM44" si="52">IF(ISNA(VLOOKUP($A23,ProjLabEsc,7,FALSE)),"Category","Project")</f>
        <v>Category</v>
      </c>
    </row>
    <row r="24" spans="1:65" x14ac:dyDescent="0.15">
      <c r="A24" s="12" t="s">
        <v>34</v>
      </c>
      <c r="B24" s="13" t="s">
        <v>35</v>
      </c>
      <c r="C24" s="13" t="s">
        <v>27</v>
      </c>
      <c r="D24" s="13" t="s">
        <v>28</v>
      </c>
      <c r="E24" s="13" t="s">
        <v>29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798544.67</v>
      </c>
      <c r="M24" s="15">
        <v>913779.99</v>
      </c>
      <c r="N24" s="804">
        <v>1978728.67</v>
      </c>
      <c r="O24" s="14">
        <v>5687410.8899999997</v>
      </c>
      <c r="P24" s="15">
        <v>23030612.23</v>
      </c>
      <c r="Q24" s="16">
        <f>IF(ISTEXT('Incurred 2.5% cpi'!Q24),"",'Incurred 2.5% cpi'!Q24/'Incurred 2.5% cpi'!Q$14*Incurred!Q$14)</f>
        <v>4035823.18</v>
      </c>
      <c r="R24" s="127">
        <f>IF(ISTEXT('Incurred 2.5% cpi'!R24),"",'Incurred 2.5% cpi'!R24/'Incurred 2.5% cpi'!R$14*Incurred!R$14*BF24)</f>
        <v>1581719.2506739143</v>
      </c>
      <c r="S24" s="119" t="str">
        <f>IF(ISTEXT('Incurred 2.5% cpi'!S24),"",'Incurred 2.5% cpi'!S24/'Incurred 2.5% cpi'!S$14*Incurred!S$14*BG24)</f>
        <v/>
      </c>
      <c r="T24" s="16" t="str">
        <f>IF(ISTEXT('Incurred 2.5% cpi'!T24),"",'Incurred 2.5% cpi'!T24/'Incurred 2.5% cpi'!T$14*Incurred!T$14*BH24)</f>
        <v/>
      </c>
      <c r="U24" s="16" t="str">
        <f>IF(ISTEXT('Incurred 2.5% cpi'!U24),"",'Incurred 2.5% cpi'!U24/'Incurred 2.5% cpi'!U$14*Incurred!U$14*BI24)</f>
        <v/>
      </c>
      <c r="V24" s="16" t="str">
        <f>IF(ISTEXT('Incurred 2.5% cpi'!V24),"",'Incurred 2.5% cpi'!V24/'Incurred 2.5% cpi'!V$14*Incurred!V$14*BJ24)</f>
        <v/>
      </c>
      <c r="W24" s="127" t="str">
        <f>IF(ISTEXT('Incurred 2.5% cpi'!W24),"",'Incurred 2.5% cpi'!W24/'Incurred 2.5% cpi'!W$14*Incurred!W$14*BK24)</f>
        <v/>
      </c>
      <c r="X24" s="119" t="str">
        <f>IF(ISTEXT('Incurred 2.5% cpi'!X24),"",'Incurred 2.5% cpi'!X24/'Incurred 2.5% cpi'!X$14*Incurred!X$14*BL24)</f>
        <v/>
      </c>
      <c r="Y24" s="95">
        <f t="shared" ref="Y24:Y53" si="53">SUM(F24:W24)</f>
        <v>38026618.880673915</v>
      </c>
      <c r="Z24" s="95">
        <f t="shared" si="37"/>
        <v>38026618.880673915</v>
      </c>
      <c r="AA24" s="676">
        <f t="shared" si="38"/>
        <v>43713124.788341306</v>
      </c>
      <c r="AB24" s="676">
        <f t="shared" si="39"/>
        <v>38884573.237126336</v>
      </c>
      <c r="AC24" s="677">
        <f>IF(AF24="","",IF(AF24&lt;VALUE(AD24),INDEX($F$17:$W$17,1,MATCH(TEXT(AF24,"000"),$F$21:$W$21)),INDEX($F$17:$W$17,1,MATCH(AD24,$F$21:$W$21))))</f>
        <v>1.1241765345287305</v>
      </c>
      <c r="AD24" s="678" t="str">
        <f t="shared" si="41"/>
        <v>2018</v>
      </c>
      <c r="AE24" s="679">
        <v>42576</v>
      </c>
      <c r="AF24" s="678">
        <v>2017</v>
      </c>
      <c r="AG24" s="680"/>
      <c r="AH24" s="676">
        <f>IF(ROUND(Y24,0)=0,0,SUMPRODUCT($F$16:$W$16,F24:W24))</f>
        <v>39650599.329897724</v>
      </c>
      <c r="AI24" s="95">
        <f t="shared" si="42"/>
        <v>1581719.2506739143</v>
      </c>
      <c r="AJ24" s="681" t="s">
        <v>0</v>
      </c>
      <c r="AK24" s="37">
        <f t="shared" si="43"/>
        <v>26346858.324677039</v>
      </c>
      <c r="AL24" s="31">
        <f t="shared" ref="AL24:AU25" si="54">IF($AK24=0,VLOOKUP(MID($A24,4,5),ProjectSplits,AL$20,FALSE),IF(ISNA(VLOOKUP($A24,Estimates,AL$19,FALSE)),VLOOKUP(MID($A24,4,5),ProjectSplits,AL$20,FALSE),VLOOKUP($A24,Estimates,AL$19,FALSE)))</f>
        <v>0</v>
      </c>
      <c r="AM24" s="31">
        <f t="shared" si="54"/>
        <v>4.5909214660884122E-2</v>
      </c>
      <c r="AN24" s="31">
        <f t="shared" si="54"/>
        <v>3.1340458710143203E-2</v>
      </c>
      <c r="AO24" s="31">
        <f t="shared" si="54"/>
        <v>0</v>
      </c>
      <c r="AP24" s="31">
        <f t="shared" si="54"/>
        <v>0</v>
      </c>
      <c r="AQ24" s="31">
        <f t="shared" si="54"/>
        <v>6.0728303173178009E-3</v>
      </c>
      <c r="AR24" s="31">
        <f t="shared" si="54"/>
        <v>0</v>
      </c>
      <c r="AS24" s="31">
        <f t="shared" si="54"/>
        <v>0</v>
      </c>
      <c r="AT24" s="31">
        <f t="shared" si="54"/>
        <v>0</v>
      </c>
      <c r="AU24" s="31">
        <f t="shared" si="54"/>
        <v>0.55817574703242634</v>
      </c>
      <c r="AV24" s="31">
        <f t="shared" ref="AV24:BD25" si="55">IF($AK24=0,VLOOKUP(MID($A24,4,5),ProjectSplits,AV$20,FALSE),IF(ISNA(VLOOKUP($A24,Estimates,AV$19,FALSE)),VLOOKUP(MID($A24,4,5),ProjectSplits,AV$20,FALSE),VLOOKUP($A24,Estimates,AV$19,FALSE)))</f>
        <v>2.7160788041347264E-2</v>
      </c>
      <c r="AW24" s="31">
        <f t="shared" si="55"/>
        <v>0.18527269204316513</v>
      </c>
      <c r="AX24" s="31">
        <f t="shared" si="55"/>
        <v>2.2649759321720371E-2</v>
      </c>
      <c r="AY24" s="31">
        <f t="shared" si="55"/>
        <v>0</v>
      </c>
      <c r="AZ24" s="31">
        <f t="shared" si="55"/>
        <v>8.5019624438218755E-2</v>
      </c>
      <c r="BA24" s="31">
        <f t="shared" si="55"/>
        <v>3.8398885434777243E-2</v>
      </c>
      <c r="BB24" s="31">
        <f t="shared" si="55"/>
        <v>0</v>
      </c>
      <c r="BC24" s="31">
        <f t="shared" si="55"/>
        <v>0</v>
      </c>
      <c r="BD24" s="31">
        <f t="shared" si="55"/>
        <v>0</v>
      </c>
      <c r="BE24" s="30">
        <f t="shared" ref="BE24:BE25" si="56">SUM(AL24:BD24)</f>
        <v>1.0000000000000002</v>
      </c>
      <c r="BF24" s="620">
        <f t="shared" si="45"/>
        <v>1.0030444840366091</v>
      </c>
      <c r="BG24" s="620">
        <f t="shared" si="46"/>
        <v>1.0061087572194563</v>
      </c>
      <c r="BH24" s="620">
        <f t="shared" si="47"/>
        <v>1.0096674390946898</v>
      </c>
      <c r="BI24" s="620">
        <f t="shared" si="48"/>
        <v>1.0139698854818469</v>
      </c>
      <c r="BJ24" s="620">
        <f t="shared" si="49"/>
        <v>1.0192757579764089</v>
      </c>
      <c r="BK24" s="620">
        <f t="shared" si="50"/>
        <v>1.0248838240271385</v>
      </c>
      <c r="BL24" s="620">
        <f t="shared" si="51"/>
        <v>1.0289708850333266</v>
      </c>
      <c r="BM24" s="621" t="str">
        <f t="shared" si="52"/>
        <v>Category</v>
      </c>
    </row>
    <row r="25" spans="1:65" x14ac:dyDescent="0.15">
      <c r="A25" s="12" t="s">
        <v>37</v>
      </c>
      <c r="B25" s="13" t="s">
        <v>38</v>
      </c>
      <c r="C25" s="13" t="s">
        <v>27</v>
      </c>
      <c r="D25" s="13" t="s">
        <v>31</v>
      </c>
      <c r="E25" s="13" t="s">
        <v>29</v>
      </c>
      <c r="F25" s="14">
        <v>14316.59</v>
      </c>
      <c r="G25" s="14">
        <v>182203.75</v>
      </c>
      <c r="H25" s="14">
        <v>485896.08</v>
      </c>
      <c r="I25" s="14">
        <v>1703092.27</v>
      </c>
      <c r="J25" s="14">
        <v>14056261.109999999</v>
      </c>
      <c r="K25" s="14">
        <v>5216315.03</v>
      </c>
      <c r="L25" s="14">
        <v>228703</v>
      </c>
      <c r="M25" s="15">
        <v>282437.38</v>
      </c>
      <c r="N25" s="804">
        <v>-151764.68</v>
      </c>
      <c r="O25" s="14">
        <v>247663.51</v>
      </c>
      <c r="P25" s="15">
        <v>88534.74</v>
      </c>
      <c r="Q25" s="16">
        <f>IF(ISTEXT('Incurred 2.5% cpi'!Q25),"",'Incurred 2.5% cpi'!Q25/'Incurred 2.5% cpi'!Q$14*Incurred!Q$14)</f>
        <v>521758.07</v>
      </c>
      <c r="R25" s="127" t="str">
        <f>IF(ISTEXT('Incurred 2.5% cpi'!R25),"",'Incurred 2.5% cpi'!R25/'Incurred 2.5% cpi'!R$14*Incurred!R$14*BF25)</f>
        <v/>
      </c>
      <c r="S25" s="119" t="str">
        <f>IF(ISTEXT('Incurred 2.5% cpi'!S25),"",'Incurred 2.5% cpi'!S25/'Incurred 2.5% cpi'!S$14*Incurred!S$14*BG25)</f>
        <v/>
      </c>
      <c r="T25" s="16" t="str">
        <f>IF(ISTEXT('Incurred 2.5% cpi'!T25),"",'Incurred 2.5% cpi'!T25/'Incurred 2.5% cpi'!T$14*Incurred!T$14*BH25)</f>
        <v/>
      </c>
      <c r="U25" s="16" t="str">
        <f>IF(ISTEXT('Incurred 2.5% cpi'!U25),"",'Incurred 2.5% cpi'!U25/'Incurred 2.5% cpi'!U$14*Incurred!U$14*BI25)</f>
        <v/>
      </c>
      <c r="V25" s="16" t="str">
        <f>IF(ISTEXT('Incurred 2.5% cpi'!V25),"",'Incurred 2.5% cpi'!V25/'Incurred 2.5% cpi'!V$14*Incurred!V$14*BJ25)</f>
        <v/>
      </c>
      <c r="W25" s="127" t="str">
        <f>IF(ISTEXT('Incurred 2.5% cpi'!W25),"",'Incurred 2.5% cpi'!W25/'Incurred 2.5% cpi'!W$14*Incurred!W$14*BK25)</f>
        <v/>
      </c>
      <c r="X25" s="119" t="str">
        <f>IF(ISTEXT('Incurred 2.5% cpi'!X25),"",'Incurred 2.5% cpi'!X25/'Incurred 2.5% cpi'!X$14*Incurred!X$14*BL25)</f>
        <v/>
      </c>
      <c r="Y25" s="95">
        <f t="shared" si="53"/>
        <v>22875416.849999998</v>
      </c>
      <c r="Z25" s="95">
        <f t="shared" si="37"/>
        <v>23178946.209999997</v>
      </c>
      <c r="AA25" s="676">
        <f t="shared" si="38"/>
        <v>29551272.103910919</v>
      </c>
      <c r="AB25" s="676">
        <f t="shared" si="39"/>
        <v>23420464.422785688</v>
      </c>
      <c r="AC25" s="677">
        <f t="shared" si="40"/>
        <v>1.2617713966064905</v>
      </c>
      <c r="AD25" s="678" t="str">
        <f t="shared" si="41"/>
        <v>2017</v>
      </c>
      <c r="AE25" s="679">
        <v>40525</v>
      </c>
      <c r="AF25" s="678">
        <v>2011</v>
      </c>
      <c r="AG25" s="680"/>
      <c r="AH25" s="676">
        <f>IF(ROUND(Y25,0)=0,0,SUMPRODUCT($F$16:$W$16,F25:W25))</f>
        <v>26804893.394248158</v>
      </c>
      <c r="AI25" s="95">
        <f t="shared" si="42"/>
        <v>521758.07</v>
      </c>
      <c r="AJ25" s="681" t="s">
        <v>0</v>
      </c>
      <c r="AK25" s="37">
        <f t="shared" si="43"/>
        <v>0</v>
      </c>
      <c r="AL25" s="31">
        <f t="shared" si="54"/>
        <v>0</v>
      </c>
      <c r="AM25" s="31">
        <f t="shared" si="54"/>
        <v>0</v>
      </c>
      <c r="AN25" s="31">
        <f t="shared" si="54"/>
        <v>9.5604049437070203E-3</v>
      </c>
      <c r="AO25" s="31">
        <f t="shared" si="54"/>
        <v>0</v>
      </c>
      <c r="AP25" s="31">
        <f t="shared" si="54"/>
        <v>0</v>
      </c>
      <c r="AQ25" s="31">
        <f t="shared" si="54"/>
        <v>0</v>
      </c>
      <c r="AR25" s="31">
        <f t="shared" si="54"/>
        <v>0</v>
      </c>
      <c r="AS25" s="31">
        <f t="shared" si="54"/>
        <v>0</v>
      </c>
      <c r="AT25" s="31">
        <f t="shared" si="54"/>
        <v>0</v>
      </c>
      <c r="AU25" s="31">
        <f t="shared" si="54"/>
        <v>0.56218143898982686</v>
      </c>
      <c r="AV25" s="31">
        <f t="shared" si="55"/>
        <v>0</v>
      </c>
      <c r="AW25" s="31">
        <f t="shared" si="55"/>
        <v>0.26308070577347437</v>
      </c>
      <c r="AX25" s="31">
        <f t="shared" si="55"/>
        <v>0</v>
      </c>
      <c r="AY25" s="31">
        <f t="shared" si="55"/>
        <v>0</v>
      </c>
      <c r="AZ25" s="31">
        <f t="shared" si="55"/>
        <v>0.13730816501851864</v>
      </c>
      <c r="BA25" s="31">
        <f t="shared" si="55"/>
        <v>2.7869285274473111E-2</v>
      </c>
      <c r="BB25" s="31">
        <f t="shared" si="55"/>
        <v>0</v>
      </c>
      <c r="BC25" s="31">
        <f t="shared" si="55"/>
        <v>0</v>
      </c>
      <c r="BD25" s="31">
        <f t="shared" si="55"/>
        <v>0</v>
      </c>
      <c r="BE25" s="30">
        <f t="shared" si="56"/>
        <v>1</v>
      </c>
      <c r="BF25" s="620">
        <f t="shared" si="45"/>
        <v>1.0031222795856722</v>
      </c>
      <c r="BG25" s="620">
        <f t="shared" si="46"/>
        <v>1.0062648539886514</v>
      </c>
      <c r="BH25" s="620">
        <f t="shared" si="47"/>
        <v>1.0099144706847265</v>
      </c>
      <c r="BI25" s="620">
        <f t="shared" si="48"/>
        <v>1.0143268572702815</v>
      </c>
      <c r="BJ25" s="620">
        <f t="shared" si="49"/>
        <v>1.019768310460623</v>
      </c>
      <c r="BK25" s="620">
        <f t="shared" si="50"/>
        <v>1.0255196791440326</v>
      </c>
      <c r="BL25" s="620">
        <f t="shared" si="51"/>
        <v>1.0297111766166984</v>
      </c>
      <c r="BM25" s="621" t="str">
        <f t="shared" si="52"/>
        <v>Category</v>
      </c>
    </row>
    <row r="26" spans="1:65" x14ac:dyDescent="0.15">
      <c r="A26" s="12" t="s">
        <v>42</v>
      </c>
      <c r="B26" s="13" t="s">
        <v>43</v>
      </c>
      <c r="C26" s="13" t="s">
        <v>27</v>
      </c>
      <c r="D26" s="13" t="s">
        <v>44</v>
      </c>
      <c r="E26" s="13" t="s">
        <v>45</v>
      </c>
      <c r="F26" s="14">
        <v>24174.52</v>
      </c>
      <c r="G26" s="14">
        <v>1563.51</v>
      </c>
      <c r="H26" s="14">
        <v>0</v>
      </c>
      <c r="I26" s="14">
        <v>383.71</v>
      </c>
      <c r="J26" s="14">
        <v>0</v>
      </c>
      <c r="K26" s="14">
        <v>0</v>
      </c>
      <c r="L26" s="14">
        <v>0</v>
      </c>
      <c r="M26" s="15">
        <v>0</v>
      </c>
      <c r="N26" s="804"/>
      <c r="O26" s="14"/>
      <c r="P26" s="15"/>
      <c r="Q26" s="16">
        <f>IF(ISTEXT('Incurred 2.5% cpi'!Q26),"",'Incurred 2.5% cpi'!Q26/'Incurred 2.5% cpi'!Q$14*Incurred!Q$14)</f>
        <v>-616364.03</v>
      </c>
      <c r="R26" s="127" t="str">
        <f>IF(ISTEXT('Incurred 2.5% cpi'!R26),"",'Incurred 2.5% cpi'!R26/'Incurred 2.5% cpi'!R$14*Incurred!R$14*BF26)</f>
        <v/>
      </c>
      <c r="S26" s="119" t="str">
        <f>IF(ISTEXT('Incurred 2.5% cpi'!S26),"",'Incurred 2.5% cpi'!S26/'Incurred 2.5% cpi'!S$14*Incurred!S$14*BG26)</f>
        <v/>
      </c>
      <c r="T26" s="16" t="str">
        <f>IF(ISTEXT('Incurred 2.5% cpi'!T26),"",'Incurred 2.5% cpi'!T26/'Incurred 2.5% cpi'!T$14*Incurred!T$14*BH26)</f>
        <v/>
      </c>
      <c r="U26" s="16" t="str">
        <f>IF(ISTEXT('Incurred 2.5% cpi'!U26),"",'Incurred 2.5% cpi'!U26/'Incurred 2.5% cpi'!U$14*Incurred!U$14*BI26)</f>
        <v/>
      </c>
      <c r="V26" s="16" t="str">
        <f>IF(ISTEXT('Incurred 2.5% cpi'!V26),"",'Incurred 2.5% cpi'!V26/'Incurred 2.5% cpi'!V$14*Incurred!V$14*BJ26)</f>
        <v/>
      </c>
      <c r="W26" s="127" t="str">
        <f>IF(ISTEXT('Incurred 2.5% cpi'!W26),"",'Incurred 2.5% cpi'!W26/'Incurred 2.5% cpi'!W$14*Incurred!W$14*BK26)</f>
        <v/>
      </c>
      <c r="X26" s="119">
        <f>IF(ISTEXT('Incurred 2.5% cpi'!X26),"",'Incurred 2.5% cpi'!X26/'Incurred 2.5% cpi'!X$14*Incurred!X$14*BL26)</f>
        <v>-3.9080608367551367E-2</v>
      </c>
      <c r="Y26" s="95">
        <f t="shared" si="53"/>
        <v>-590242.29</v>
      </c>
      <c r="Z26" s="95">
        <f t="shared" si="37"/>
        <v>642485.77</v>
      </c>
      <c r="AA26" s="682">
        <f>IF(ROUND(Y26,0)=0,0,SUMPRODUCT($F$17:$W$17,F26:W26))*0</f>
        <v>0</v>
      </c>
      <c r="AB26" s="676">
        <f t="shared" si="39"/>
        <v>0</v>
      </c>
      <c r="AC26" s="677">
        <f t="shared" si="40"/>
        <v>1</v>
      </c>
      <c r="AD26" s="678" t="str">
        <f t="shared" si="41"/>
        <v>2017</v>
      </c>
      <c r="AE26" s="679">
        <v>46317</v>
      </c>
      <c r="AF26" s="678">
        <v>2027</v>
      </c>
      <c r="AG26" s="680"/>
      <c r="AH26" s="682">
        <f>IF(ROUND(Y26,0)=0,0,SUMPRODUCT($F$16:$W$16,F26:W26))*0</f>
        <v>0</v>
      </c>
      <c r="AI26" s="95">
        <f t="shared" si="42"/>
        <v>-616364.03</v>
      </c>
      <c r="AJ26" s="681" t="s">
        <v>0</v>
      </c>
      <c r="AK26" s="37">
        <f t="shared" si="43"/>
        <v>0</v>
      </c>
      <c r="AL26" s="31">
        <f t="shared" ref="AL26:AU27" si="57">IF($AK26=0,VLOOKUP(MID($A26,4,5),ProjectSplits,AL$20,FALSE),IF(ISNA(VLOOKUP($A26,Estimates,AL$19,FALSE)),VLOOKUP(MID($A26,4,5),ProjectSplits,AL$20,FALSE),VLOOKUP($A26,Estimates,AL$19,FALSE)))</f>
        <v>0</v>
      </c>
      <c r="AM26" s="31">
        <f t="shared" si="57"/>
        <v>0</v>
      </c>
      <c r="AN26" s="31">
        <f t="shared" si="57"/>
        <v>0</v>
      </c>
      <c r="AO26" s="31">
        <f t="shared" si="57"/>
        <v>0</v>
      </c>
      <c r="AP26" s="31">
        <f t="shared" si="57"/>
        <v>0</v>
      </c>
      <c r="AQ26" s="31">
        <f t="shared" si="57"/>
        <v>1</v>
      </c>
      <c r="AR26" s="31">
        <f t="shared" si="57"/>
        <v>0</v>
      </c>
      <c r="AS26" s="31">
        <f t="shared" si="57"/>
        <v>0</v>
      </c>
      <c r="AT26" s="31">
        <f t="shared" si="57"/>
        <v>0</v>
      </c>
      <c r="AU26" s="31">
        <f t="shared" si="57"/>
        <v>0</v>
      </c>
      <c r="AV26" s="31">
        <f t="shared" ref="AV26:BD27" si="58">IF($AK26=0,VLOOKUP(MID($A26,4,5),ProjectSplits,AV$20,FALSE),IF(ISNA(VLOOKUP($A26,Estimates,AV$19,FALSE)),VLOOKUP(MID($A26,4,5),ProjectSplits,AV$20,FALSE),VLOOKUP($A26,Estimates,AV$19,FALSE)))</f>
        <v>0</v>
      </c>
      <c r="AW26" s="31">
        <f t="shared" si="58"/>
        <v>0</v>
      </c>
      <c r="AX26" s="31">
        <f t="shared" si="58"/>
        <v>0</v>
      </c>
      <c r="AY26" s="31">
        <f t="shared" si="58"/>
        <v>0</v>
      </c>
      <c r="AZ26" s="31">
        <f t="shared" si="58"/>
        <v>0</v>
      </c>
      <c r="BA26" s="31">
        <f t="shared" si="58"/>
        <v>0</v>
      </c>
      <c r="BB26" s="31">
        <f t="shared" si="58"/>
        <v>0</v>
      </c>
      <c r="BC26" s="31">
        <f t="shared" si="58"/>
        <v>0</v>
      </c>
      <c r="BD26" s="31">
        <f t="shared" si="58"/>
        <v>0</v>
      </c>
      <c r="BE26" s="30">
        <f t="shared" ref="BE26:BE27" si="59">SUM(AL26:BD26)</f>
        <v>1</v>
      </c>
      <c r="BF26" s="620">
        <f t="shared" si="45"/>
        <v>1.0013788876313259</v>
      </c>
      <c r="BG26" s="620">
        <f t="shared" si="46"/>
        <v>1.0027667380322551</v>
      </c>
      <c r="BH26" s="620">
        <f t="shared" si="47"/>
        <v>1.0043785127574885</v>
      </c>
      <c r="BI26" s="620">
        <f t="shared" si="48"/>
        <v>1.0063271484002954</v>
      </c>
      <c r="BJ26" s="620">
        <f t="shared" si="49"/>
        <v>1.0087302491780192</v>
      </c>
      <c r="BK26" s="620">
        <f t="shared" si="50"/>
        <v>1.0112702174682198</v>
      </c>
      <c r="BL26" s="620">
        <f t="shared" si="51"/>
        <v>1.0131213021847563</v>
      </c>
      <c r="BM26" s="621" t="str">
        <f t="shared" si="52"/>
        <v>Category</v>
      </c>
    </row>
    <row r="27" spans="1:65" x14ac:dyDescent="0.15">
      <c r="A27" s="12" t="s">
        <v>46</v>
      </c>
      <c r="B27" s="13" t="s">
        <v>47</v>
      </c>
      <c r="C27" s="13" t="s">
        <v>27</v>
      </c>
      <c r="D27" s="13" t="s">
        <v>40</v>
      </c>
      <c r="E27" s="13" t="s">
        <v>29</v>
      </c>
      <c r="F27" s="14">
        <v>21868.92</v>
      </c>
      <c r="G27" s="14">
        <v>297382.73</v>
      </c>
      <c r="H27" s="14">
        <v>171231.17</v>
      </c>
      <c r="I27" s="14">
        <v>64637.61</v>
      </c>
      <c r="J27" s="14">
        <v>0</v>
      </c>
      <c r="K27" s="14">
        <v>61467.839999999997</v>
      </c>
      <c r="L27" s="14">
        <v>2533646.94</v>
      </c>
      <c r="M27" s="15">
        <v>25051794.890000001</v>
      </c>
      <c r="N27" s="804">
        <v>12265063.91</v>
      </c>
      <c r="O27" s="14">
        <v>816930.73</v>
      </c>
      <c r="P27" s="15">
        <v>209044.69</v>
      </c>
      <c r="Q27" s="16">
        <f>IF(ISTEXT('Incurred 2.5% cpi'!Q27),"",'Incurred 2.5% cpi'!Q27/'Incurred 2.5% cpi'!Q$14*Incurred!Q$14)</f>
        <v>51943.360000000001</v>
      </c>
      <c r="R27" s="127" t="str">
        <f>IF(ISTEXT('Incurred 2.5% cpi'!R27),"",'Incurred 2.5% cpi'!R27/'Incurred 2.5% cpi'!R$14*Incurred!R$14*BF27)</f>
        <v/>
      </c>
      <c r="S27" s="119" t="str">
        <f>IF(ISTEXT('Incurred 2.5% cpi'!S27),"",'Incurred 2.5% cpi'!S27/'Incurred 2.5% cpi'!S$14*Incurred!S$14*BG27)</f>
        <v/>
      </c>
      <c r="T27" s="16" t="str">
        <f>IF(ISTEXT('Incurred 2.5% cpi'!T27),"",'Incurred 2.5% cpi'!T27/'Incurred 2.5% cpi'!T$14*Incurred!T$14*BH27)</f>
        <v/>
      </c>
      <c r="U27" s="16" t="str">
        <f>IF(ISTEXT('Incurred 2.5% cpi'!U27),"",'Incurred 2.5% cpi'!U27/'Incurred 2.5% cpi'!U$14*Incurred!U$14*BI27)</f>
        <v/>
      </c>
      <c r="V27" s="16" t="str">
        <f>IF(ISTEXT('Incurred 2.5% cpi'!V27),"",'Incurred 2.5% cpi'!V27/'Incurred 2.5% cpi'!V$14*Incurred!V$14*BJ27)</f>
        <v/>
      </c>
      <c r="W27" s="127" t="str">
        <f>IF(ISTEXT('Incurred 2.5% cpi'!W27),"",'Incurred 2.5% cpi'!W27/'Incurred 2.5% cpi'!W$14*Incurred!W$14*BK27)</f>
        <v/>
      </c>
      <c r="X27" s="119" t="str">
        <f>IF(ISTEXT('Incurred 2.5% cpi'!X27),"",'Incurred 2.5% cpi'!X27/'Incurred 2.5% cpi'!X$14*Incurred!X$14*BL27)</f>
        <v/>
      </c>
      <c r="Y27" s="95">
        <f t="shared" si="53"/>
        <v>41545012.789999999</v>
      </c>
      <c r="Z27" s="95">
        <f t="shared" si="37"/>
        <v>41545012.789999999</v>
      </c>
      <c r="AA27" s="676">
        <f t="shared" si="38"/>
        <v>50027143.493675977</v>
      </c>
      <c r="AB27" s="676">
        <f t="shared" si="39"/>
        <v>42512057.134561367</v>
      </c>
      <c r="AC27" s="677">
        <f t="shared" si="40"/>
        <v>1.176775410687078</v>
      </c>
      <c r="AD27" s="678" t="str">
        <f t="shared" si="41"/>
        <v>2017</v>
      </c>
      <c r="AE27" s="679">
        <v>41576</v>
      </c>
      <c r="AF27" s="678">
        <v>2014</v>
      </c>
      <c r="AG27" s="680"/>
      <c r="AH27" s="676">
        <f>IF(ROUND(Y27,0)=0,0,SUMPRODUCT($F$16:$W$16,F27:W27))</f>
        <v>45377818.03272257</v>
      </c>
      <c r="AI27" s="95">
        <f t="shared" si="42"/>
        <v>51943.360000000001</v>
      </c>
      <c r="AJ27" s="681" t="s">
        <v>0</v>
      </c>
      <c r="AK27" s="37">
        <f t="shared" si="43"/>
        <v>0</v>
      </c>
      <c r="AL27" s="31">
        <f t="shared" si="57"/>
        <v>0</v>
      </c>
      <c r="AM27" s="31">
        <f t="shared" si="57"/>
        <v>5.9975675784972029E-3</v>
      </c>
      <c r="AN27" s="31">
        <f t="shared" si="57"/>
        <v>6.8812806221026201E-2</v>
      </c>
      <c r="AO27" s="31">
        <f t="shared" si="57"/>
        <v>0</v>
      </c>
      <c r="AP27" s="31">
        <f t="shared" si="57"/>
        <v>0</v>
      </c>
      <c r="AQ27" s="31">
        <f t="shared" si="57"/>
        <v>0</v>
      </c>
      <c r="AR27" s="31">
        <f t="shared" si="57"/>
        <v>0</v>
      </c>
      <c r="AS27" s="31">
        <f t="shared" si="57"/>
        <v>0</v>
      </c>
      <c r="AT27" s="31">
        <f t="shared" si="57"/>
        <v>0</v>
      </c>
      <c r="AU27" s="31">
        <f t="shared" si="57"/>
        <v>0.21413670272955318</v>
      </c>
      <c r="AV27" s="31">
        <f t="shared" si="58"/>
        <v>0</v>
      </c>
      <c r="AW27" s="31">
        <f t="shared" si="58"/>
        <v>0.34840753576984795</v>
      </c>
      <c r="AX27" s="31">
        <f t="shared" si="58"/>
        <v>0</v>
      </c>
      <c r="AY27" s="31">
        <f t="shared" si="58"/>
        <v>0</v>
      </c>
      <c r="AZ27" s="31">
        <f t="shared" si="58"/>
        <v>0.14397345474177362</v>
      </c>
      <c r="BA27" s="31">
        <f t="shared" si="58"/>
        <v>0.21867193295930187</v>
      </c>
      <c r="BB27" s="31">
        <f t="shared" si="58"/>
        <v>0</v>
      </c>
      <c r="BC27" s="31">
        <f t="shared" si="58"/>
        <v>0</v>
      </c>
      <c r="BD27" s="31">
        <f t="shared" si="58"/>
        <v>0</v>
      </c>
      <c r="BE27" s="30">
        <f t="shared" si="59"/>
        <v>1</v>
      </c>
      <c r="BF27" s="620">
        <f t="shared" si="45"/>
        <v>1.0034498951996242</v>
      </c>
      <c r="BG27" s="620">
        <f t="shared" si="46"/>
        <v>1.0069222147180459</v>
      </c>
      <c r="BH27" s="620">
        <f t="shared" si="47"/>
        <v>1.0109547796356901</v>
      </c>
      <c r="BI27" s="620">
        <f t="shared" si="48"/>
        <v>1.0158301506211216</v>
      </c>
      <c r="BJ27" s="620">
        <f t="shared" si="49"/>
        <v>1.0218425664619335</v>
      </c>
      <c r="BK27" s="620">
        <f t="shared" si="50"/>
        <v>1.0281974167140426</v>
      </c>
      <c r="BL27" s="620">
        <f t="shared" si="51"/>
        <v>1.0328287210586446</v>
      </c>
      <c r="BM27" s="621" t="str">
        <f t="shared" si="52"/>
        <v>Category</v>
      </c>
    </row>
    <row r="28" spans="1:65" x14ac:dyDescent="0.15">
      <c r="A28" s="12" t="s">
        <v>48</v>
      </c>
      <c r="B28" s="13" t="s">
        <v>49</v>
      </c>
      <c r="C28" s="13" t="s">
        <v>27</v>
      </c>
      <c r="D28" s="13" t="s">
        <v>40</v>
      </c>
      <c r="E28" s="13" t="s">
        <v>30</v>
      </c>
      <c r="F28" s="14">
        <v>5492.33</v>
      </c>
      <c r="G28" s="14">
        <v>0</v>
      </c>
      <c r="H28" s="14">
        <v>130.91999999999999</v>
      </c>
      <c r="I28" s="14">
        <v>245.68</v>
      </c>
      <c r="J28" s="14">
        <v>0</v>
      </c>
      <c r="K28" s="14">
        <v>0</v>
      </c>
      <c r="L28" s="14">
        <v>0</v>
      </c>
      <c r="M28" s="15">
        <v>0</v>
      </c>
      <c r="N28" s="804"/>
      <c r="O28" s="14"/>
      <c r="P28" s="15"/>
      <c r="Q28" s="16" t="str">
        <f>IF(ISTEXT('Incurred 2.5% cpi'!Q28),"",'Incurred 2.5% cpi'!Q28/'Incurred 2.5% cpi'!Q$14*Incurred!Q$14)</f>
        <v/>
      </c>
      <c r="R28" s="127">
        <f>IF(ISTEXT('Incurred 2.5% cpi'!R28),"",'Incurred 2.5% cpi'!R28/'Incurred 2.5% cpi'!R$14*Incurred!R$14*BF28)</f>
        <v>-5846.8964414884686</v>
      </c>
      <c r="S28" s="119" t="str">
        <f>IF(ISTEXT('Incurred 2.5% cpi'!S28),"",'Incurred 2.5% cpi'!S28/'Incurred 2.5% cpi'!S$14*Incurred!S$14*BG28)</f>
        <v/>
      </c>
      <c r="T28" s="16" t="str">
        <f>IF(ISTEXT('Incurred 2.5% cpi'!T28),"",'Incurred 2.5% cpi'!T28/'Incurred 2.5% cpi'!T$14*Incurred!T$14*BH28)</f>
        <v/>
      </c>
      <c r="U28" s="16" t="str">
        <f>IF(ISTEXT('Incurred 2.5% cpi'!U28),"",'Incurred 2.5% cpi'!U28/'Incurred 2.5% cpi'!U$14*Incurred!U$14*BI28)</f>
        <v/>
      </c>
      <c r="V28" s="16" t="str">
        <f>IF(ISTEXT('Incurred 2.5% cpi'!V28),"",'Incurred 2.5% cpi'!V28/'Incurred 2.5% cpi'!V$14*Incurred!V$14*BJ28)</f>
        <v/>
      </c>
      <c r="W28" s="127" t="str">
        <f>IF(ISTEXT('Incurred 2.5% cpi'!W28),"",'Incurred 2.5% cpi'!W28/'Incurred 2.5% cpi'!W$14*Incurred!W$14*BK28)</f>
        <v/>
      </c>
      <c r="X28" s="119" t="str">
        <f>IF(ISTEXT('Incurred 2.5% cpi'!X28),"",'Incurred 2.5% cpi'!X28/'Incurred 2.5% cpi'!X$14*Incurred!X$14*BL28)</f>
        <v/>
      </c>
      <c r="Y28" s="95">
        <f t="shared" si="53"/>
        <v>22.033558511531737</v>
      </c>
      <c r="Z28" s="95">
        <f t="shared" si="37"/>
        <v>11715.826441488469</v>
      </c>
      <c r="AA28" s="682">
        <f>IF(ROUND(Y28,0)=0,0,SUMPRODUCT($F$17:$W$17,F28:W28))*0</f>
        <v>0</v>
      </c>
      <c r="AB28" s="676">
        <f t="shared" si="39"/>
        <v>0</v>
      </c>
      <c r="AC28" s="677">
        <f t="shared" si="40"/>
        <v>1.1241765345287305</v>
      </c>
      <c r="AD28" s="678" t="str">
        <f t="shared" si="41"/>
        <v>2018</v>
      </c>
      <c r="AE28" s="679">
        <v>42789</v>
      </c>
      <c r="AF28" s="678">
        <v>2017</v>
      </c>
      <c r="AG28" s="680"/>
      <c r="AH28" s="682">
        <f>IF(ROUND(Y28,0)=0,0,SUMPRODUCT($F$16:$W$16,F28:W28))*0</f>
        <v>0</v>
      </c>
      <c r="AI28" s="95">
        <f t="shared" si="42"/>
        <v>-5846.8964414884686</v>
      </c>
      <c r="AJ28" s="681" t="s">
        <v>0</v>
      </c>
      <c r="AK28" s="37">
        <f t="shared" si="43"/>
        <v>0</v>
      </c>
      <c r="AL28" s="31">
        <f t="shared" ref="AL28:AU31" si="60">IF($AK28=0,VLOOKUP(MID($A28,4,5),ProjectSplits,AL$20,FALSE),IF(ISNA(VLOOKUP($A28,Estimates,AL$19,FALSE)),VLOOKUP(MID($A28,4,5),ProjectSplits,AL$20,FALSE),VLOOKUP($A28,Estimates,AL$19,FALSE)))</f>
        <v>0</v>
      </c>
      <c r="AM28" s="31">
        <f t="shared" si="60"/>
        <v>2.6056158987752733E-2</v>
      </c>
      <c r="AN28" s="31">
        <f t="shared" si="60"/>
        <v>9.1319062575419691E-2</v>
      </c>
      <c r="AO28" s="31">
        <f t="shared" si="60"/>
        <v>0</v>
      </c>
      <c r="AP28" s="31">
        <f t="shared" si="60"/>
        <v>0</v>
      </c>
      <c r="AQ28" s="31">
        <f t="shared" si="60"/>
        <v>6.9881752971480568E-2</v>
      </c>
      <c r="AR28" s="31">
        <f t="shared" si="60"/>
        <v>0</v>
      </c>
      <c r="AS28" s="31">
        <f t="shared" si="60"/>
        <v>0</v>
      </c>
      <c r="AT28" s="31">
        <f t="shared" si="60"/>
        <v>0</v>
      </c>
      <c r="AU28" s="31">
        <f t="shared" si="60"/>
        <v>0.3525747905768124</v>
      </c>
      <c r="AV28" s="31">
        <f t="shared" ref="AV28:BD31" si="61">IF($AK28=0,VLOOKUP(MID($A28,4,5),ProjectSplits,AV$20,FALSE),IF(ISNA(VLOOKUP($A28,Estimates,AV$19,FALSE)),VLOOKUP(MID($A28,4,5),ProjectSplits,AV$20,FALSE),VLOOKUP($A28,Estimates,AV$19,FALSE)))</f>
        <v>5.263277289874322E-2</v>
      </c>
      <c r="AW28" s="31">
        <f t="shared" si="61"/>
        <v>0.21048957495829559</v>
      </c>
      <c r="AX28" s="31">
        <f t="shared" si="61"/>
        <v>1.107858723761727E-2</v>
      </c>
      <c r="AY28" s="31">
        <f t="shared" si="61"/>
        <v>0</v>
      </c>
      <c r="AZ28" s="31">
        <f t="shared" si="61"/>
        <v>0.14008962428201663</v>
      </c>
      <c r="BA28" s="31">
        <f t="shared" si="61"/>
        <v>4.5877675511861844E-2</v>
      </c>
      <c r="BB28" s="31">
        <f t="shared" si="61"/>
        <v>0</v>
      </c>
      <c r="BC28" s="31">
        <f t="shared" si="61"/>
        <v>0</v>
      </c>
      <c r="BD28" s="31">
        <f t="shared" si="61"/>
        <v>0</v>
      </c>
      <c r="BE28" s="30">
        <f t="shared" ref="BE28:BE31" si="62">SUM(AL28:BD28)</f>
        <v>1</v>
      </c>
      <c r="BF28" s="620">
        <f t="shared" si="45"/>
        <v>1.0034498951996242</v>
      </c>
      <c r="BG28" s="620">
        <f t="shared" si="46"/>
        <v>1.0069222147180459</v>
      </c>
      <c r="BH28" s="620">
        <f t="shared" si="47"/>
        <v>1.0109547796356901</v>
      </c>
      <c r="BI28" s="620">
        <f t="shared" si="48"/>
        <v>1.0158301506211216</v>
      </c>
      <c r="BJ28" s="620">
        <f t="shared" si="49"/>
        <v>1.0218425664619335</v>
      </c>
      <c r="BK28" s="620">
        <f t="shared" si="50"/>
        <v>1.0281974167140426</v>
      </c>
      <c r="BL28" s="620">
        <f t="shared" si="51"/>
        <v>1.0328287210586446</v>
      </c>
      <c r="BM28" s="621" t="str">
        <f t="shared" si="52"/>
        <v>Category</v>
      </c>
    </row>
    <row r="29" spans="1:65" x14ac:dyDescent="0.15">
      <c r="A29" s="12" t="s">
        <v>50</v>
      </c>
      <c r="B29" s="13" t="s">
        <v>51</v>
      </c>
      <c r="C29" s="13" t="s">
        <v>27</v>
      </c>
      <c r="D29" s="13" t="s">
        <v>40</v>
      </c>
      <c r="E29" s="13" t="s">
        <v>29</v>
      </c>
      <c r="F29" s="14">
        <v>11910.28</v>
      </c>
      <c r="G29" s="14">
        <v>753.68</v>
      </c>
      <c r="H29" s="14">
        <v>110585</v>
      </c>
      <c r="I29" s="14">
        <v>0</v>
      </c>
      <c r="J29" s="14">
        <v>491172.67</v>
      </c>
      <c r="K29" s="14">
        <v>2109341.7999999998</v>
      </c>
      <c r="L29" s="14">
        <v>13925378.630000001</v>
      </c>
      <c r="M29" s="15">
        <v>20268858.550000001</v>
      </c>
      <c r="N29" s="804">
        <v>4400650.9400000004</v>
      </c>
      <c r="O29" s="14">
        <v>1224600.4099999999</v>
      </c>
      <c r="P29" s="15">
        <v>922861.43</v>
      </c>
      <c r="Q29" s="16">
        <f>IF(ISTEXT('Incurred 2.5% cpi'!Q29),"",'Incurred 2.5% cpi'!Q29/'Incurred 2.5% cpi'!Q$14*Incurred!Q$14)</f>
        <v>282063.58</v>
      </c>
      <c r="R29" s="127" t="str">
        <f>IF(ISTEXT('Incurred 2.5% cpi'!R29),"",'Incurred 2.5% cpi'!R29/'Incurred 2.5% cpi'!R$14*Incurred!R$14*BF29)</f>
        <v/>
      </c>
      <c r="S29" s="119" t="str">
        <f>IF(ISTEXT('Incurred 2.5% cpi'!S29),"",'Incurred 2.5% cpi'!S29/'Incurred 2.5% cpi'!S$14*Incurred!S$14*BG29)</f>
        <v/>
      </c>
      <c r="T29" s="16" t="str">
        <f>IF(ISTEXT('Incurred 2.5% cpi'!T29),"",'Incurred 2.5% cpi'!T29/'Incurred 2.5% cpi'!T$14*Incurred!T$14*BH29)</f>
        <v/>
      </c>
      <c r="U29" s="16" t="str">
        <f>IF(ISTEXT('Incurred 2.5% cpi'!U29),"",'Incurred 2.5% cpi'!U29/'Incurred 2.5% cpi'!U$14*Incurred!U$14*BI29)</f>
        <v/>
      </c>
      <c r="V29" s="16" t="str">
        <f>IF(ISTEXT('Incurred 2.5% cpi'!V29),"",'Incurred 2.5% cpi'!V29/'Incurred 2.5% cpi'!V$14*Incurred!V$14*BJ29)</f>
        <v/>
      </c>
      <c r="W29" s="127" t="str">
        <f>IF(ISTEXT('Incurred 2.5% cpi'!W29),"",'Incurred 2.5% cpi'!W29/'Incurred 2.5% cpi'!W$14*Incurred!W$14*BK29)</f>
        <v/>
      </c>
      <c r="X29" s="119" t="str">
        <f>IF(ISTEXT('Incurred 2.5% cpi'!X29),"",'Incurred 2.5% cpi'!X29/'Incurred 2.5% cpi'!X$14*Incurred!X$14*BL29)</f>
        <v/>
      </c>
      <c r="Y29" s="95">
        <f t="shared" si="53"/>
        <v>43748176.969999991</v>
      </c>
      <c r="Z29" s="95">
        <f t="shared" si="37"/>
        <v>43748176.969999991</v>
      </c>
      <c r="AA29" s="676">
        <f t="shared" si="38"/>
        <v>53287558.445510857</v>
      </c>
      <c r="AB29" s="676">
        <f t="shared" si="39"/>
        <v>46485647.738704823</v>
      </c>
      <c r="AC29" s="677">
        <f t="shared" si="40"/>
        <v>1.1463228122589466</v>
      </c>
      <c r="AD29" s="678" t="str">
        <f t="shared" si="41"/>
        <v>2017</v>
      </c>
      <c r="AE29" s="679">
        <v>42345</v>
      </c>
      <c r="AF29" s="678">
        <v>2016</v>
      </c>
      <c r="AG29" s="680"/>
      <c r="AH29" s="676">
        <f t="shared" ref="AH29:AH33" si="63">IF(ROUND(Y29,0)=0,0,SUMPRODUCT($F$16:$W$16,F29:W29))</f>
        <v>48335222.874640711</v>
      </c>
      <c r="AI29" s="95">
        <f t="shared" si="42"/>
        <v>282063.58</v>
      </c>
      <c r="AJ29" s="681" t="s">
        <v>0</v>
      </c>
      <c r="AK29" s="37">
        <f t="shared" si="43"/>
        <v>0</v>
      </c>
      <c r="AL29" s="31">
        <f t="shared" si="60"/>
        <v>0</v>
      </c>
      <c r="AM29" s="31">
        <f t="shared" si="60"/>
        <v>0</v>
      </c>
      <c r="AN29" s="31">
        <f t="shared" si="60"/>
        <v>3.0009116129340204E-2</v>
      </c>
      <c r="AO29" s="31">
        <f t="shared" si="60"/>
        <v>0</v>
      </c>
      <c r="AP29" s="31">
        <f t="shared" si="60"/>
        <v>0</v>
      </c>
      <c r="AQ29" s="31">
        <f t="shared" si="60"/>
        <v>0</v>
      </c>
      <c r="AR29" s="31">
        <f t="shared" si="60"/>
        <v>0</v>
      </c>
      <c r="AS29" s="31">
        <f t="shared" si="60"/>
        <v>0</v>
      </c>
      <c r="AT29" s="31">
        <f t="shared" si="60"/>
        <v>0</v>
      </c>
      <c r="AU29" s="31">
        <f t="shared" si="60"/>
        <v>0.57599624274460848</v>
      </c>
      <c r="AV29" s="31">
        <f t="shared" si="61"/>
        <v>0</v>
      </c>
      <c r="AW29" s="31">
        <f t="shared" si="61"/>
        <v>0.12189611413581034</v>
      </c>
      <c r="AX29" s="31">
        <f t="shared" si="61"/>
        <v>2.798564541537066E-3</v>
      </c>
      <c r="AY29" s="31">
        <f t="shared" si="61"/>
        <v>0</v>
      </c>
      <c r="AZ29" s="31">
        <f t="shared" si="61"/>
        <v>0.26929996244870408</v>
      </c>
      <c r="BA29" s="31">
        <f t="shared" si="61"/>
        <v>0</v>
      </c>
      <c r="BB29" s="31">
        <f t="shared" si="61"/>
        <v>0</v>
      </c>
      <c r="BC29" s="31">
        <f t="shared" si="61"/>
        <v>0</v>
      </c>
      <c r="BD29" s="31">
        <f t="shared" si="61"/>
        <v>0</v>
      </c>
      <c r="BE29" s="30">
        <f t="shared" si="62"/>
        <v>1.0000000000000002</v>
      </c>
      <c r="BF29" s="620">
        <f t="shared" si="45"/>
        <v>1.0034498951996242</v>
      </c>
      <c r="BG29" s="620">
        <f t="shared" si="46"/>
        <v>1.0069222147180459</v>
      </c>
      <c r="BH29" s="620">
        <f t="shared" si="47"/>
        <v>1.0109547796356901</v>
      </c>
      <c r="BI29" s="620">
        <f t="shared" si="48"/>
        <v>1.0158301506211216</v>
      </c>
      <c r="BJ29" s="620">
        <f t="shared" si="49"/>
        <v>1.0218425664619335</v>
      </c>
      <c r="BK29" s="620">
        <f t="shared" si="50"/>
        <v>1.0281974167140426</v>
      </c>
      <c r="BL29" s="620">
        <f t="shared" si="51"/>
        <v>1.0328287210586446</v>
      </c>
      <c r="BM29" s="621" t="str">
        <f t="shared" si="52"/>
        <v>Category</v>
      </c>
    </row>
    <row r="30" spans="1:65" x14ac:dyDescent="0.15">
      <c r="A30" s="12" t="s">
        <v>52</v>
      </c>
      <c r="B30" s="13" t="s">
        <v>53</v>
      </c>
      <c r="C30" s="13" t="s">
        <v>27</v>
      </c>
      <c r="D30" s="13" t="s">
        <v>54</v>
      </c>
      <c r="E30" s="13" t="s">
        <v>29</v>
      </c>
      <c r="F30" s="14">
        <v>0</v>
      </c>
      <c r="G30" s="14">
        <v>0</v>
      </c>
      <c r="H30" s="14">
        <v>0</v>
      </c>
      <c r="I30" s="14">
        <v>0</v>
      </c>
      <c r="J30" s="14">
        <v>0</v>
      </c>
      <c r="K30" s="14">
        <v>0</v>
      </c>
      <c r="L30" s="14">
        <v>0</v>
      </c>
      <c r="M30" s="15">
        <v>0</v>
      </c>
      <c r="N30" s="804">
        <v>131231.91</v>
      </c>
      <c r="O30" s="14">
        <v>1187948.25</v>
      </c>
      <c r="P30" s="15">
        <v>3564305.29</v>
      </c>
      <c r="Q30" s="16">
        <f>IF(ISTEXT('Incurred 2.5% cpi'!Q30),"",'Incurred 2.5% cpi'!Q30/'Incurred 2.5% cpi'!Q$14*Incurred!Q$14)</f>
        <v>404975.08</v>
      </c>
      <c r="R30" s="127" t="str">
        <f>IF(ISTEXT('Incurred 2.5% cpi'!R30),"",'Incurred 2.5% cpi'!R30/'Incurred 2.5% cpi'!R$14*Incurred!R$14*BF30)</f>
        <v/>
      </c>
      <c r="S30" s="119" t="str">
        <f>IF(ISTEXT('Incurred 2.5% cpi'!S30),"",'Incurred 2.5% cpi'!S30/'Incurred 2.5% cpi'!S$14*Incurred!S$14*BG30)</f>
        <v/>
      </c>
      <c r="T30" s="16" t="str">
        <f>IF(ISTEXT('Incurred 2.5% cpi'!T30),"",'Incurred 2.5% cpi'!T30/'Incurred 2.5% cpi'!T$14*Incurred!T$14*BH30)</f>
        <v/>
      </c>
      <c r="U30" s="16" t="str">
        <f>IF(ISTEXT('Incurred 2.5% cpi'!U30),"",'Incurred 2.5% cpi'!U30/'Incurred 2.5% cpi'!U$14*Incurred!U$14*BI30)</f>
        <v/>
      </c>
      <c r="V30" s="16" t="str">
        <f>IF(ISTEXT('Incurred 2.5% cpi'!V30),"",'Incurred 2.5% cpi'!V30/'Incurred 2.5% cpi'!V$14*Incurred!V$14*BJ30)</f>
        <v/>
      </c>
      <c r="W30" s="127" t="str">
        <f>IF(ISTEXT('Incurred 2.5% cpi'!W30),"",'Incurred 2.5% cpi'!W30/'Incurred 2.5% cpi'!W$14*Incurred!W$14*BK30)</f>
        <v/>
      </c>
      <c r="X30" s="119" t="str">
        <f>IF(ISTEXT('Incurred 2.5% cpi'!X30),"",'Incurred 2.5% cpi'!X30/'Incurred 2.5% cpi'!X$14*Incurred!X$14*BL30)</f>
        <v/>
      </c>
      <c r="Y30" s="95">
        <f t="shared" si="53"/>
        <v>5288460.53</v>
      </c>
      <c r="Z30" s="95">
        <f t="shared" si="37"/>
        <v>5288460.53</v>
      </c>
      <c r="AA30" s="676">
        <f t="shared" si="38"/>
        <v>6075161.5554942256</v>
      </c>
      <c r="AB30" s="676">
        <f t="shared" si="39"/>
        <v>5299695.2433690969</v>
      </c>
      <c r="AC30" s="677">
        <f t="shared" si="40"/>
        <v>1.1463228122589466</v>
      </c>
      <c r="AD30" s="678" t="str">
        <f t="shared" si="41"/>
        <v>2017</v>
      </c>
      <c r="AE30" s="679">
        <v>42361</v>
      </c>
      <c r="AF30" s="678">
        <v>2016</v>
      </c>
      <c r="AG30" s="680"/>
      <c r="AH30" s="676">
        <f t="shared" si="63"/>
        <v>5510559.9946848387</v>
      </c>
      <c r="AI30" s="95">
        <f t="shared" si="42"/>
        <v>404975.08</v>
      </c>
      <c r="AJ30" s="681" t="s">
        <v>0</v>
      </c>
      <c r="AK30" s="37">
        <f t="shared" si="43"/>
        <v>4308958.0092796246</v>
      </c>
      <c r="AL30" s="31">
        <f t="shared" si="60"/>
        <v>0</v>
      </c>
      <c r="AM30" s="31">
        <f t="shared" si="60"/>
        <v>0</v>
      </c>
      <c r="AN30" s="31">
        <f t="shared" si="60"/>
        <v>4.6414933626479263E-2</v>
      </c>
      <c r="AO30" s="31">
        <f t="shared" si="60"/>
        <v>0</v>
      </c>
      <c r="AP30" s="31">
        <f t="shared" si="60"/>
        <v>0</v>
      </c>
      <c r="AQ30" s="31">
        <f t="shared" si="60"/>
        <v>0</v>
      </c>
      <c r="AR30" s="31">
        <f t="shared" si="60"/>
        <v>0</v>
      </c>
      <c r="AS30" s="31">
        <f t="shared" si="60"/>
        <v>0</v>
      </c>
      <c r="AT30" s="31">
        <f t="shared" si="60"/>
        <v>0</v>
      </c>
      <c r="AU30" s="31">
        <f t="shared" si="60"/>
        <v>0.56037491873099432</v>
      </c>
      <c r="AV30" s="31">
        <f t="shared" si="61"/>
        <v>0</v>
      </c>
      <c r="AW30" s="31">
        <f t="shared" si="61"/>
        <v>5.9109417971834909E-2</v>
      </c>
      <c r="AX30" s="31">
        <f t="shared" si="61"/>
        <v>0</v>
      </c>
      <c r="AY30" s="31">
        <f t="shared" si="61"/>
        <v>0</v>
      </c>
      <c r="AZ30" s="31">
        <f t="shared" si="61"/>
        <v>0.23820144285699313</v>
      </c>
      <c r="BA30" s="31">
        <f t="shared" si="61"/>
        <v>9.5899286813698498E-2</v>
      </c>
      <c r="BB30" s="31">
        <f t="shared" si="61"/>
        <v>0</v>
      </c>
      <c r="BC30" s="31">
        <f t="shared" si="61"/>
        <v>0</v>
      </c>
      <c r="BD30" s="31">
        <f t="shared" si="61"/>
        <v>0</v>
      </c>
      <c r="BE30" s="30">
        <f t="shared" si="62"/>
        <v>1.0000000000000002</v>
      </c>
      <c r="BF30" s="620">
        <f t="shared" si="45"/>
        <v>1.0030818160192299</v>
      </c>
      <c r="BG30" s="620">
        <f t="shared" si="46"/>
        <v>1.006183663842585</v>
      </c>
      <c r="BH30" s="620">
        <f t="shared" si="47"/>
        <v>1.0097859828820543</v>
      </c>
      <c r="BI30" s="620">
        <f t="shared" si="48"/>
        <v>1.0141411866007726</v>
      </c>
      <c r="BJ30" s="620">
        <f t="shared" si="49"/>
        <v>1.0195121206090012</v>
      </c>
      <c r="BK30" s="620">
        <f t="shared" si="50"/>
        <v>1.0251889537223347</v>
      </c>
      <c r="BL30" s="620">
        <f t="shared" si="51"/>
        <v>1.0293261309677997</v>
      </c>
      <c r="BM30" s="621" t="str">
        <f t="shared" si="52"/>
        <v>Category</v>
      </c>
    </row>
    <row r="31" spans="1:65" x14ac:dyDescent="0.15">
      <c r="A31" s="12" t="s">
        <v>57</v>
      </c>
      <c r="B31" s="13" t="s">
        <v>58</v>
      </c>
      <c r="C31" s="13" t="s">
        <v>27</v>
      </c>
      <c r="D31" s="13" t="s">
        <v>28</v>
      </c>
      <c r="E31" s="13" t="s">
        <v>29</v>
      </c>
      <c r="F31" s="14">
        <v>0</v>
      </c>
      <c r="G31" s="14">
        <v>0</v>
      </c>
      <c r="H31" s="14">
        <v>38503</v>
      </c>
      <c r="I31" s="14">
        <v>247149.1</v>
      </c>
      <c r="J31" s="14">
        <v>673856.07</v>
      </c>
      <c r="K31" s="14">
        <v>4689603.7300000004</v>
      </c>
      <c r="L31" s="14">
        <v>9839939.1899999995</v>
      </c>
      <c r="M31" s="15">
        <v>7572131.0899999999</v>
      </c>
      <c r="N31" s="804">
        <v>697035.34</v>
      </c>
      <c r="O31" s="14">
        <v>230314.93</v>
      </c>
      <c r="P31" s="15">
        <v>82087.88</v>
      </c>
      <c r="Q31" s="16">
        <f>IF(ISTEXT('Incurred 2.5% cpi'!Q31),"",'Incurred 2.5% cpi'!Q31/'Incurred 2.5% cpi'!Q$14*Incurred!Q$14)</f>
        <v>26390.36</v>
      </c>
      <c r="R31" s="127" t="str">
        <f>IF(ISTEXT('Incurred 2.5% cpi'!R31),"",'Incurred 2.5% cpi'!R31/'Incurred 2.5% cpi'!R$14*Incurred!R$14*BF31)</f>
        <v/>
      </c>
      <c r="S31" s="119" t="str">
        <f>IF(ISTEXT('Incurred 2.5% cpi'!S31),"",'Incurred 2.5% cpi'!S31/'Incurred 2.5% cpi'!S$14*Incurred!S$14*BG31)</f>
        <v/>
      </c>
      <c r="T31" s="16" t="str">
        <f>IF(ISTEXT('Incurred 2.5% cpi'!T31),"",'Incurred 2.5% cpi'!T31/'Incurred 2.5% cpi'!T$14*Incurred!T$14*BH31)</f>
        <v/>
      </c>
      <c r="U31" s="16" t="str">
        <f>IF(ISTEXT('Incurred 2.5% cpi'!U31),"",'Incurred 2.5% cpi'!U31/'Incurred 2.5% cpi'!U$14*Incurred!U$14*BI31)</f>
        <v/>
      </c>
      <c r="V31" s="16" t="str">
        <f>IF(ISTEXT('Incurred 2.5% cpi'!V31),"",'Incurred 2.5% cpi'!V31/'Incurred 2.5% cpi'!V$14*Incurred!V$14*BJ31)</f>
        <v/>
      </c>
      <c r="W31" s="127" t="str">
        <f>IF(ISTEXT('Incurred 2.5% cpi'!W31),"",'Incurred 2.5% cpi'!W31/'Incurred 2.5% cpi'!W$14*Incurred!W$14*BK31)</f>
        <v/>
      </c>
      <c r="X31" s="119" t="str">
        <f>IF(ISTEXT('Incurred 2.5% cpi'!X31),"",'Incurred 2.5% cpi'!X31/'Incurred 2.5% cpi'!X$14*Incurred!X$14*BL31)</f>
        <v/>
      </c>
      <c r="Y31" s="95">
        <f t="shared" si="53"/>
        <v>24097010.689999998</v>
      </c>
      <c r="Z31" s="95">
        <f t="shared" si="37"/>
        <v>24097010.689999998</v>
      </c>
      <c r="AA31" s="676">
        <f t="shared" si="38"/>
        <v>29779585.202260781</v>
      </c>
      <c r="AB31" s="676">
        <f t="shared" si="39"/>
        <v>24585803.427235298</v>
      </c>
      <c r="AC31" s="677">
        <f t="shared" si="40"/>
        <v>1.2112512527970509</v>
      </c>
      <c r="AD31" s="678" t="str">
        <f t="shared" si="41"/>
        <v>2017</v>
      </c>
      <c r="AE31" s="679">
        <v>41243</v>
      </c>
      <c r="AF31" s="678">
        <v>2013</v>
      </c>
      <c r="AG31" s="680"/>
      <c r="AH31" s="676">
        <f t="shared" si="63"/>
        <v>27011987.973468278</v>
      </c>
      <c r="AI31" s="95">
        <f t="shared" si="42"/>
        <v>26390.36</v>
      </c>
      <c r="AJ31" s="681" t="s">
        <v>0</v>
      </c>
      <c r="AK31" s="37">
        <f t="shared" si="43"/>
        <v>0</v>
      </c>
      <c r="AL31" s="31">
        <f t="shared" si="60"/>
        <v>0</v>
      </c>
      <c r="AM31" s="31">
        <f t="shared" si="60"/>
        <v>0</v>
      </c>
      <c r="AN31" s="31">
        <f t="shared" si="60"/>
        <v>4.5019449406495209E-2</v>
      </c>
      <c r="AO31" s="31">
        <f t="shared" si="60"/>
        <v>0</v>
      </c>
      <c r="AP31" s="31">
        <f t="shared" si="60"/>
        <v>0</v>
      </c>
      <c r="AQ31" s="31">
        <f t="shared" si="60"/>
        <v>0</v>
      </c>
      <c r="AR31" s="31">
        <f t="shared" si="60"/>
        <v>0</v>
      </c>
      <c r="AS31" s="31">
        <f t="shared" si="60"/>
        <v>0</v>
      </c>
      <c r="AT31" s="31">
        <f t="shared" si="60"/>
        <v>0</v>
      </c>
      <c r="AU31" s="31">
        <f t="shared" si="60"/>
        <v>0.46141719957434996</v>
      </c>
      <c r="AV31" s="31">
        <f t="shared" si="61"/>
        <v>0</v>
      </c>
      <c r="AW31" s="31">
        <f t="shared" si="61"/>
        <v>0.22842542937902044</v>
      </c>
      <c r="AX31" s="31">
        <f t="shared" si="61"/>
        <v>0</v>
      </c>
      <c r="AY31" s="31">
        <f t="shared" si="61"/>
        <v>0</v>
      </c>
      <c r="AZ31" s="31">
        <f t="shared" si="61"/>
        <v>0.26513792164013439</v>
      </c>
      <c r="BA31" s="31">
        <f t="shared" si="61"/>
        <v>0</v>
      </c>
      <c r="BB31" s="31">
        <f t="shared" si="61"/>
        <v>0</v>
      </c>
      <c r="BC31" s="31">
        <f t="shared" si="61"/>
        <v>0</v>
      </c>
      <c r="BD31" s="31">
        <f t="shared" si="61"/>
        <v>0</v>
      </c>
      <c r="BE31" s="30">
        <f t="shared" si="62"/>
        <v>1</v>
      </c>
      <c r="BF31" s="620">
        <f t="shared" si="45"/>
        <v>1.0030444840366091</v>
      </c>
      <c r="BG31" s="620">
        <f t="shared" si="46"/>
        <v>1.0061087572194563</v>
      </c>
      <c r="BH31" s="620">
        <f t="shared" si="47"/>
        <v>1.0096674390946898</v>
      </c>
      <c r="BI31" s="620">
        <f t="shared" si="48"/>
        <v>1.0139698854818469</v>
      </c>
      <c r="BJ31" s="620">
        <f t="shared" si="49"/>
        <v>1.0192757579764089</v>
      </c>
      <c r="BK31" s="620">
        <f t="shared" si="50"/>
        <v>1.0248838240271385</v>
      </c>
      <c r="BL31" s="620">
        <f t="shared" si="51"/>
        <v>1.0289708850333266</v>
      </c>
      <c r="BM31" s="621" t="str">
        <f t="shared" si="52"/>
        <v>Category</v>
      </c>
    </row>
    <row r="32" spans="1:65" x14ac:dyDescent="0.15">
      <c r="A32" s="12" t="s">
        <v>61</v>
      </c>
      <c r="B32" s="13" t="s">
        <v>62</v>
      </c>
      <c r="C32" s="13" t="s">
        <v>27</v>
      </c>
      <c r="D32" s="13" t="s">
        <v>40</v>
      </c>
      <c r="E32" s="13" t="s">
        <v>29</v>
      </c>
      <c r="F32" s="14">
        <v>0</v>
      </c>
      <c r="G32" s="14">
        <v>0</v>
      </c>
      <c r="H32" s="14">
        <v>0</v>
      </c>
      <c r="I32" s="14">
        <v>0</v>
      </c>
      <c r="J32" s="14">
        <v>0</v>
      </c>
      <c r="K32" s="14">
        <v>0</v>
      </c>
      <c r="L32" s="14">
        <v>0</v>
      </c>
      <c r="M32" s="15">
        <v>0</v>
      </c>
      <c r="N32" s="804"/>
      <c r="O32" s="14">
        <v>301176.65000000002</v>
      </c>
      <c r="P32" s="15">
        <v>12290961.529999999</v>
      </c>
      <c r="Q32" s="16">
        <f>IF(ISTEXT('Incurred 2.5% cpi'!Q32),"",'Incurred 2.5% cpi'!Q32/'Incurred 2.5% cpi'!Q$14*Incurred!Q$14)</f>
        <v>8877399.8599999994</v>
      </c>
      <c r="R32" s="127">
        <f>IF(ISTEXT('Incurred 2.5% cpi'!R32),"",'Incurred 2.5% cpi'!R32/'Incurred 2.5% cpi'!R$14*Incurred!R$14*BF32)</f>
        <v>245942.97033022958</v>
      </c>
      <c r="S32" s="119" t="str">
        <f>IF(ISTEXT('Incurred 2.5% cpi'!S32),"",'Incurred 2.5% cpi'!S32/'Incurred 2.5% cpi'!S$14*Incurred!S$14*BG32)</f>
        <v/>
      </c>
      <c r="T32" s="16" t="str">
        <f>IF(ISTEXT('Incurred 2.5% cpi'!T32),"",'Incurred 2.5% cpi'!T32/'Incurred 2.5% cpi'!T$14*Incurred!T$14*BH32)</f>
        <v/>
      </c>
      <c r="U32" s="16" t="str">
        <f>IF(ISTEXT('Incurred 2.5% cpi'!U32),"",'Incurred 2.5% cpi'!U32/'Incurred 2.5% cpi'!U$14*Incurred!U$14*BI32)</f>
        <v/>
      </c>
      <c r="V32" s="16" t="str">
        <f>IF(ISTEXT('Incurred 2.5% cpi'!V32),"",'Incurred 2.5% cpi'!V32/'Incurred 2.5% cpi'!V$14*Incurred!V$14*BJ32)</f>
        <v/>
      </c>
      <c r="W32" s="127" t="str">
        <f>IF(ISTEXT('Incurred 2.5% cpi'!W32),"",'Incurred 2.5% cpi'!W32/'Incurred 2.5% cpi'!W$14*Incurred!W$14*BK32)</f>
        <v/>
      </c>
      <c r="X32" s="119" t="str">
        <f>IF(ISTEXT('Incurred 2.5% cpi'!X32),"",'Incurred 2.5% cpi'!X32/'Incurred 2.5% cpi'!X$14*Incurred!X$14*BL32)</f>
        <v/>
      </c>
      <c r="Y32" s="95">
        <f t="shared" si="53"/>
        <v>21715481.01033023</v>
      </c>
      <c r="Z32" s="95">
        <f t="shared" si="37"/>
        <v>21715481.01033023</v>
      </c>
      <c r="AA32" s="676">
        <f t="shared" si="38"/>
        <v>24690087.375502229</v>
      </c>
      <c r="AB32" s="676">
        <f t="shared" si="39"/>
        <v>21962820.444257572</v>
      </c>
      <c r="AC32" s="677">
        <f t="shared" si="40"/>
        <v>1.1241765345287305</v>
      </c>
      <c r="AD32" s="678" t="str">
        <f t="shared" si="41"/>
        <v>2018</v>
      </c>
      <c r="AE32" s="679">
        <v>42704</v>
      </c>
      <c r="AF32" s="678">
        <v>2017</v>
      </c>
      <c r="AG32" s="680"/>
      <c r="AH32" s="676">
        <f t="shared" si="63"/>
        <v>22395488.007009447</v>
      </c>
      <c r="AI32" s="95">
        <f t="shared" si="42"/>
        <v>245942.97033022958</v>
      </c>
      <c r="AJ32" s="681" t="s">
        <v>0</v>
      </c>
      <c r="AK32" s="37">
        <f t="shared" si="43"/>
        <v>10922580.9999924</v>
      </c>
      <c r="AL32" s="31">
        <f t="shared" ref="AL32:BD32" si="64">IF($AK32=0,VLOOKUP(MID($A32,4,5),ProjectSplits,AL$20,FALSE),IF(ISNA(VLOOKUP($A32,Estimates,AL$19,FALSE)),VLOOKUP(MID($A32,4,5),ProjectSplits,AL$20,FALSE),VLOOKUP($A32,Estimates,AL$19,FALSE)))</f>
        <v>0</v>
      </c>
      <c r="AM32" s="31">
        <f t="shared" si="64"/>
        <v>0</v>
      </c>
      <c r="AN32" s="31">
        <f t="shared" si="64"/>
        <v>0</v>
      </c>
      <c r="AO32" s="31">
        <f t="shared" si="64"/>
        <v>0</v>
      </c>
      <c r="AP32" s="31">
        <f t="shared" si="64"/>
        <v>0</v>
      </c>
      <c r="AQ32" s="31">
        <f t="shared" si="64"/>
        <v>0</v>
      </c>
      <c r="AR32" s="31">
        <f t="shared" si="64"/>
        <v>0</v>
      </c>
      <c r="AS32" s="31">
        <f t="shared" si="64"/>
        <v>0</v>
      </c>
      <c r="AT32" s="31">
        <f t="shared" si="64"/>
        <v>0</v>
      </c>
      <c r="AU32" s="31">
        <f t="shared" si="64"/>
        <v>0</v>
      </c>
      <c r="AV32" s="31">
        <f t="shared" si="64"/>
        <v>0</v>
      </c>
      <c r="AW32" s="31">
        <f t="shared" si="64"/>
        <v>2.3735232542450389E-2</v>
      </c>
      <c r="AX32" s="31">
        <f t="shared" si="64"/>
        <v>0</v>
      </c>
      <c r="AY32" s="31">
        <f t="shared" si="64"/>
        <v>0</v>
      </c>
      <c r="AZ32" s="31">
        <f t="shared" si="64"/>
        <v>0.97626476745754964</v>
      </c>
      <c r="BA32" s="31">
        <f t="shared" si="64"/>
        <v>0</v>
      </c>
      <c r="BB32" s="31">
        <f t="shared" si="64"/>
        <v>0</v>
      </c>
      <c r="BC32" s="31">
        <f t="shared" si="64"/>
        <v>0</v>
      </c>
      <c r="BD32" s="31">
        <f t="shared" si="64"/>
        <v>0</v>
      </c>
      <c r="BE32" s="30">
        <f>SUM(AL32:BD32)</f>
        <v>1</v>
      </c>
      <c r="BF32" s="620">
        <f t="shared" si="45"/>
        <v>1.0034498951996242</v>
      </c>
      <c r="BG32" s="620">
        <f t="shared" si="46"/>
        <v>1.0069222147180459</v>
      </c>
      <c r="BH32" s="620">
        <f t="shared" si="47"/>
        <v>1.0109547796356901</v>
      </c>
      <c r="BI32" s="620">
        <f t="shared" si="48"/>
        <v>1.0158301506211216</v>
      </c>
      <c r="BJ32" s="620">
        <f t="shared" si="49"/>
        <v>1.0218425664619335</v>
      </c>
      <c r="BK32" s="620">
        <f t="shared" si="50"/>
        <v>1.0281974167140426</v>
      </c>
      <c r="BL32" s="620">
        <f t="shared" si="51"/>
        <v>1.0328287210586446</v>
      </c>
      <c r="BM32" s="621" t="str">
        <f t="shared" si="52"/>
        <v>Category</v>
      </c>
    </row>
    <row r="33" spans="1:65" x14ac:dyDescent="0.15">
      <c r="A33" s="12" t="s">
        <v>67</v>
      </c>
      <c r="B33" s="13" t="s">
        <v>68</v>
      </c>
      <c r="C33" s="13" t="s">
        <v>27</v>
      </c>
      <c r="D33" s="13" t="s">
        <v>28</v>
      </c>
      <c r="E33" s="13" t="s">
        <v>29</v>
      </c>
      <c r="F33" s="14">
        <v>0</v>
      </c>
      <c r="G33" s="14">
        <v>0</v>
      </c>
      <c r="H33" s="14">
        <v>77228</v>
      </c>
      <c r="I33" s="14">
        <v>0</v>
      </c>
      <c r="J33" s="14">
        <v>453453.13</v>
      </c>
      <c r="K33" s="14">
        <v>1359903.97</v>
      </c>
      <c r="L33" s="14">
        <v>14877728.73</v>
      </c>
      <c r="M33" s="15">
        <v>37695811.990000002</v>
      </c>
      <c r="N33" s="804">
        <v>11090338.27</v>
      </c>
      <c r="O33" s="14">
        <v>1206213.96</v>
      </c>
      <c r="P33" s="15">
        <v>1147486.3</v>
      </c>
      <c r="Q33" s="16">
        <f>IF(ISTEXT('Incurred 2.5% cpi'!Q33),"",'Incurred 2.5% cpi'!Q33/'Incurred 2.5% cpi'!Q$14*Incurred!Q$14)</f>
        <v>944364.38</v>
      </c>
      <c r="R33" s="127" t="str">
        <f>IF(ISTEXT('Incurred 2.5% cpi'!R33),"",'Incurred 2.5% cpi'!R33/'Incurred 2.5% cpi'!R$14*Incurred!R$14*BF33)</f>
        <v/>
      </c>
      <c r="S33" s="119" t="str">
        <f>IF(ISTEXT('Incurred 2.5% cpi'!S33),"",'Incurred 2.5% cpi'!S33/'Incurred 2.5% cpi'!S$14*Incurred!S$14*BG33)</f>
        <v/>
      </c>
      <c r="T33" s="16" t="str">
        <f>IF(ISTEXT('Incurred 2.5% cpi'!T33),"",'Incurred 2.5% cpi'!T33/'Incurred 2.5% cpi'!T$14*Incurred!T$14*BH33)</f>
        <v/>
      </c>
      <c r="U33" s="16" t="str">
        <f>IF(ISTEXT('Incurred 2.5% cpi'!U33),"",'Incurred 2.5% cpi'!U33/'Incurred 2.5% cpi'!U$14*Incurred!U$14*BI33)</f>
        <v/>
      </c>
      <c r="V33" s="16" t="str">
        <f>IF(ISTEXT('Incurred 2.5% cpi'!V33),"",'Incurred 2.5% cpi'!V33/'Incurred 2.5% cpi'!V$14*Incurred!V$14*BJ33)</f>
        <v/>
      </c>
      <c r="W33" s="127" t="str">
        <f>IF(ISTEXT('Incurred 2.5% cpi'!W33),"",'Incurred 2.5% cpi'!W33/'Incurred 2.5% cpi'!W$14*Incurred!W$14*BK33)</f>
        <v/>
      </c>
      <c r="X33" s="119" t="str">
        <f>IF(ISTEXT('Incurred 2.5% cpi'!X33),"",'Incurred 2.5% cpi'!X33/'Incurred 2.5% cpi'!X$14*Incurred!X$14*BL33)</f>
        <v/>
      </c>
      <c r="Y33" s="95">
        <f t="shared" si="53"/>
        <v>68852528.730000004</v>
      </c>
      <c r="Z33" s="95">
        <f t="shared" si="37"/>
        <v>68852528.730000004</v>
      </c>
      <c r="AA33" s="676">
        <f t="shared" si="38"/>
        <v>83372180.280059263</v>
      </c>
      <c r="AB33" s="676">
        <f t="shared" si="39"/>
        <v>70847996.587030277</v>
      </c>
      <c r="AC33" s="677">
        <f t="shared" si="40"/>
        <v>1.176775410687078</v>
      </c>
      <c r="AD33" s="678" t="str">
        <f t="shared" si="41"/>
        <v>2017</v>
      </c>
      <c r="AE33" s="679">
        <v>41718</v>
      </c>
      <c r="AF33" s="678">
        <v>2014</v>
      </c>
      <c r="AG33" s="680"/>
      <c r="AH33" s="676">
        <f t="shared" si="63"/>
        <v>75623898.578541026</v>
      </c>
      <c r="AI33" s="95">
        <f t="shared" si="42"/>
        <v>944364.38</v>
      </c>
      <c r="AJ33" s="681" t="s">
        <v>0</v>
      </c>
      <c r="AK33" s="37">
        <f t="shared" si="43"/>
        <v>0</v>
      </c>
      <c r="AL33" s="31">
        <f t="shared" ref="AL33:AU34" si="65">IF($AK33=0,VLOOKUP(MID($A33,4,5),ProjectSplits,AL$20,FALSE),IF(ISNA(VLOOKUP($A33,Estimates,AL$19,FALSE)),VLOOKUP(MID($A33,4,5),ProjectSplits,AL$20,FALSE),VLOOKUP($A33,Estimates,AL$19,FALSE)))</f>
        <v>0</v>
      </c>
      <c r="AM33" s="31">
        <f t="shared" si="65"/>
        <v>1.7017376710523916E-3</v>
      </c>
      <c r="AN33" s="31">
        <f t="shared" si="65"/>
        <v>7.2796248786436257E-2</v>
      </c>
      <c r="AO33" s="31">
        <f t="shared" si="65"/>
        <v>0</v>
      </c>
      <c r="AP33" s="31">
        <f t="shared" si="65"/>
        <v>0</v>
      </c>
      <c r="AQ33" s="31">
        <f t="shared" si="65"/>
        <v>0</v>
      </c>
      <c r="AR33" s="31">
        <f t="shared" si="65"/>
        <v>0</v>
      </c>
      <c r="AS33" s="31">
        <f t="shared" si="65"/>
        <v>0</v>
      </c>
      <c r="AT33" s="31">
        <f t="shared" si="65"/>
        <v>0</v>
      </c>
      <c r="AU33" s="31">
        <f t="shared" si="65"/>
        <v>0.40929924573090215</v>
      </c>
      <c r="AV33" s="31">
        <f t="shared" ref="AV33:BD34" si="66">IF($AK33=0,VLOOKUP(MID($A33,4,5),ProjectSplits,AV$20,FALSE),IF(ISNA(VLOOKUP($A33,Estimates,AV$19,FALSE)),VLOOKUP(MID($A33,4,5),ProjectSplits,AV$20,FALSE),VLOOKUP($A33,Estimates,AV$19,FALSE)))</f>
        <v>0</v>
      </c>
      <c r="AW33" s="31">
        <f t="shared" si="66"/>
        <v>0.15460765779756919</v>
      </c>
      <c r="AX33" s="31">
        <f t="shared" si="66"/>
        <v>0</v>
      </c>
      <c r="AY33" s="31">
        <f t="shared" si="66"/>
        <v>0</v>
      </c>
      <c r="AZ33" s="31">
        <f t="shared" si="66"/>
        <v>0.11708801793106921</v>
      </c>
      <c r="BA33" s="31">
        <f t="shared" si="66"/>
        <v>0.24450709208297083</v>
      </c>
      <c r="BB33" s="31">
        <f t="shared" si="66"/>
        <v>0</v>
      </c>
      <c r="BC33" s="31">
        <f t="shared" si="66"/>
        <v>0</v>
      </c>
      <c r="BD33" s="31">
        <f t="shared" si="66"/>
        <v>0</v>
      </c>
      <c r="BE33" s="30">
        <f t="shared" ref="BE33:BE34" si="67">SUM(AL33:BD33)</f>
        <v>1</v>
      </c>
      <c r="BF33" s="620">
        <f t="shared" si="45"/>
        <v>1.0030444840366091</v>
      </c>
      <c r="BG33" s="620">
        <f t="shared" si="46"/>
        <v>1.0061087572194563</v>
      </c>
      <c r="BH33" s="620">
        <f t="shared" si="47"/>
        <v>1.0096674390946898</v>
      </c>
      <c r="BI33" s="620">
        <f t="shared" si="48"/>
        <v>1.0139698854818469</v>
      </c>
      <c r="BJ33" s="620">
        <f t="shared" si="49"/>
        <v>1.0192757579764089</v>
      </c>
      <c r="BK33" s="620">
        <f t="shared" si="50"/>
        <v>1.0248838240271385</v>
      </c>
      <c r="BL33" s="620">
        <f t="shared" si="51"/>
        <v>1.0289708850333266</v>
      </c>
      <c r="BM33" s="621" t="str">
        <f t="shared" si="52"/>
        <v>Category</v>
      </c>
    </row>
    <row r="34" spans="1:65" x14ac:dyDescent="0.15">
      <c r="A34" s="12" t="s">
        <v>69</v>
      </c>
      <c r="B34" s="13" t="s">
        <v>70</v>
      </c>
      <c r="C34" s="13" t="s">
        <v>2373</v>
      </c>
      <c r="D34" s="13" t="s">
        <v>28</v>
      </c>
      <c r="E34" s="13" t="s">
        <v>29</v>
      </c>
      <c r="F34" s="14">
        <v>0</v>
      </c>
      <c r="G34" s="14">
        <v>0</v>
      </c>
      <c r="H34" s="14">
        <v>0</v>
      </c>
      <c r="I34" s="14">
        <v>0</v>
      </c>
      <c r="J34" s="14">
        <v>0</v>
      </c>
      <c r="K34" s="14">
        <v>0</v>
      </c>
      <c r="L34" s="14">
        <v>0</v>
      </c>
      <c r="M34" s="15">
        <v>0</v>
      </c>
      <c r="N34" s="804"/>
      <c r="O34" s="14"/>
      <c r="P34" s="15">
        <v>40538.910000000003</v>
      </c>
      <c r="Q34" s="16">
        <f>IF(ISTEXT('Incurred 2.5% cpi'!Q34),"",'Incurred 2.5% cpi'!Q34/'Incurred 2.5% cpi'!Q$14*Incurred!Q$14)</f>
        <v>74267.429999999993</v>
      </c>
      <c r="R34" s="127">
        <v>-114806.34</v>
      </c>
      <c r="S34" s="119" t="str">
        <f>IF(ISTEXT('Incurred 2.5% cpi'!S34),"",'Incurred 2.5% cpi'!S34/'Incurred 2.5% cpi'!S$14*Incurred!S$14*BG34)</f>
        <v/>
      </c>
      <c r="T34" s="16" t="str">
        <f>IF(ISTEXT('Incurred 2.5% cpi'!T34),"",'Incurred 2.5% cpi'!T34/'Incurred 2.5% cpi'!T$14*Incurred!T$14*BH34)</f>
        <v/>
      </c>
      <c r="U34" s="16" t="str">
        <f>IF(ISTEXT('Incurred 2.5% cpi'!U34),"",'Incurred 2.5% cpi'!U34/'Incurred 2.5% cpi'!U$14*Incurred!U$14*BI34)</f>
        <v/>
      </c>
      <c r="V34" s="16" t="str">
        <f>IF(ISTEXT('Incurred 2.5% cpi'!V34),"",'Incurred 2.5% cpi'!V34/'Incurred 2.5% cpi'!V$14*Incurred!V$14*BJ34)</f>
        <v/>
      </c>
      <c r="W34" s="127" t="str">
        <f>IF(ISTEXT('Incurred 2.5% cpi'!W34),"",'Incurred 2.5% cpi'!W34/'Incurred 2.5% cpi'!W$14*Incurred!W$14*BK34)</f>
        <v/>
      </c>
      <c r="X34" s="119" t="str">
        <f>IF(ISTEXT('Incurred 2.5% cpi'!X34),"",'Incurred 2.5% cpi'!X34/'Incurred 2.5% cpi'!X$14*Incurred!X$14*BL34)</f>
        <v/>
      </c>
      <c r="Y34" s="95">
        <f t="shared" si="53"/>
        <v>0</v>
      </c>
      <c r="Z34" s="95">
        <f t="shared" si="37"/>
        <v>229612.68</v>
      </c>
      <c r="AA34" s="682">
        <f>IF(ROUND(Y34,0)=0,0,SUMPRODUCT($F$17:$W$17,F34:W34))*0</f>
        <v>0</v>
      </c>
      <c r="AB34" s="676" t="str">
        <f t="shared" si="39"/>
        <v/>
      </c>
      <c r="AC34" s="677" t="str">
        <f t="shared" si="40"/>
        <v/>
      </c>
      <c r="AD34" s="678" t="str">
        <f t="shared" si="41"/>
        <v>2018</v>
      </c>
      <c r="AE34" s="679" t="s">
        <v>0</v>
      </c>
      <c r="AF34" s="678" t="s">
        <v>0</v>
      </c>
      <c r="AG34" s="680"/>
      <c r="AH34" s="682">
        <f>IF(ROUND(Y34,0)=0,0,SUMPRODUCT($F$16:$W$16,F34:W34))*0</f>
        <v>0</v>
      </c>
      <c r="AI34" s="95">
        <f t="shared" si="42"/>
        <v>-114806.34</v>
      </c>
      <c r="AJ34" s="681" t="s">
        <v>0</v>
      </c>
      <c r="AK34" s="37">
        <f t="shared" si="43"/>
        <v>2873691.8114265869</v>
      </c>
      <c r="AL34" s="31">
        <f t="shared" si="65"/>
        <v>0</v>
      </c>
      <c r="AM34" s="31">
        <f t="shared" si="65"/>
        <v>0</v>
      </c>
      <c r="AN34" s="31">
        <f t="shared" si="65"/>
        <v>0</v>
      </c>
      <c r="AO34" s="31">
        <f t="shared" si="65"/>
        <v>0</v>
      </c>
      <c r="AP34" s="31">
        <f t="shared" si="65"/>
        <v>0</v>
      </c>
      <c r="AQ34" s="31">
        <f t="shared" si="65"/>
        <v>0</v>
      </c>
      <c r="AR34" s="31">
        <f t="shared" si="65"/>
        <v>0</v>
      </c>
      <c r="AS34" s="31">
        <f t="shared" si="65"/>
        <v>0</v>
      </c>
      <c r="AT34" s="31">
        <f t="shared" si="65"/>
        <v>0</v>
      </c>
      <c r="AU34" s="31">
        <f t="shared" si="65"/>
        <v>0.76608834589304087</v>
      </c>
      <c r="AV34" s="31">
        <f t="shared" si="66"/>
        <v>0</v>
      </c>
      <c r="AW34" s="31">
        <f t="shared" si="66"/>
        <v>0.1319034972694752</v>
      </c>
      <c r="AX34" s="31">
        <f t="shared" si="66"/>
        <v>1.9257458221303685E-2</v>
      </c>
      <c r="AY34" s="31">
        <f t="shared" si="66"/>
        <v>0</v>
      </c>
      <c r="AZ34" s="31">
        <f t="shared" si="66"/>
        <v>8.275069861618034E-2</v>
      </c>
      <c r="BA34" s="31">
        <f t="shared" si="66"/>
        <v>0</v>
      </c>
      <c r="BB34" s="31">
        <f t="shared" si="66"/>
        <v>0</v>
      </c>
      <c r="BC34" s="31">
        <f t="shared" si="66"/>
        <v>0</v>
      </c>
      <c r="BD34" s="31">
        <f t="shared" si="66"/>
        <v>0</v>
      </c>
      <c r="BE34" s="30">
        <f t="shared" si="67"/>
        <v>1</v>
      </c>
      <c r="BF34" s="620">
        <f t="shared" si="45"/>
        <v>1.0030444840366091</v>
      </c>
      <c r="BG34" s="620">
        <f t="shared" si="46"/>
        <v>1.0061087572194563</v>
      </c>
      <c r="BH34" s="620">
        <f t="shared" si="47"/>
        <v>1.0096674390946898</v>
      </c>
      <c r="BI34" s="620">
        <f t="shared" si="48"/>
        <v>1.0139698854818469</v>
      </c>
      <c r="BJ34" s="620">
        <f t="shared" si="49"/>
        <v>1.0192757579764089</v>
      </c>
      <c r="BK34" s="620">
        <f t="shared" si="50"/>
        <v>1.0248838240271385</v>
      </c>
      <c r="BL34" s="620">
        <f t="shared" si="51"/>
        <v>1.0289708850333266</v>
      </c>
      <c r="BM34" s="621" t="str">
        <f t="shared" si="52"/>
        <v>Category</v>
      </c>
    </row>
    <row r="35" spans="1:65" x14ac:dyDescent="0.15">
      <c r="A35" s="12" t="s">
        <v>72</v>
      </c>
      <c r="B35" s="13" t="s">
        <v>73</v>
      </c>
      <c r="C35" s="13" t="s">
        <v>27</v>
      </c>
      <c r="D35" s="13" t="s">
        <v>40</v>
      </c>
      <c r="E35" s="13" t="s">
        <v>32</v>
      </c>
      <c r="F35" s="14">
        <v>0</v>
      </c>
      <c r="G35" s="14">
        <v>0</v>
      </c>
      <c r="H35" s="14">
        <v>18240</v>
      </c>
      <c r="I35" s="14">
        <v>0</v>
      </c>
      <c r="J35" s="14">
        <v>25691.19</v>
      </c>
      <c r="K35" s="14">
        <v>263358.78999999998</v>
      </c>
      <c r="L35" s="14">
        <v>2199097.6</v>
      </c>
      <c r="M35" s="15">
        <v>7683992.3799999999</v>
      </c>
      <c r="N35" s="804">
        <v>1100087.3</v>
      </c>
      <c r="O35" s="14">
        <v>214079.04</v>
      </c>
      <c r="P35" s="15">
        <v>16232.07</v>
      </c>
      <c r="Q35" s="16" t="str">
        <f>IF(ISTEXT('Incurred 2.5% cpi'!Q35),"",'Incurred 2.5% cpi'!Q35/'Incurred 2.5% cpi'!Q$14*Incurred!Q$14)</f>
        <v/>
      </c>
      <c r="R35" s="127" t="str">
        <f>IF(ISTEXT('Incurred 2.5% cpi'!R35),"",'Incurred 2.5% cpi'!R35/'Incurred 2.5% cpi'!R$14*Incurred!R$14*BF35)</f>
        <v/>
      </c>
      <c r="S35" s="119" t="str">
        <f>IF(ISTEXT('Incurred 2.5% cpi'!S35),"",'Incurred 2.5% cpi'!S35/'Incurred 2.5% cpi'!S$14*Incurred!S$14*BG35)</f>
        <v/>
      </c>
      <c r="T35" s="16" t="str">
        <f>IF(ISTEXT('Incurred 2.5% cpi'!T35),"",'Incurred 2.5% cpi'!T35/'Incurred 2.5% cpi'!T$14*Incurred!T$14*BH35)</f>
        <v/>
      </c>
      <c r="U35" s="16" t="str">
        <f>IF(ISTEXT('Incurred 2.5% cpi'!U35),"",'Incurred 2.5% cpi'!U35/'Incurred 2.5% cpi'!U$14*Incurred!U$14*BI35)</f>
        <v/>
      </c>
      <c r="V35" s="16" t="str">
        <f>IF(ISTEXT('Incurred 2.5% cpi'!V35),"",'Incurred 2.5% cpi'!V35/'Incurred 2.5% cpi'!V$14*Incurred!V$14*BJ35)</f>
        <v/>
      </c>
      <c r="W35" s="127" t="str">
        <f>IF(ISTEXT('Incurred 2.5% cpi'!W35),"",'Incurred 2.5% cpi'!W35/'Incurred 2.5% cpi'!W$14*Incurred!W$14*BK35)</f>
        <v/>
      </c>
      <c r="X35" s="119" t="str">
        <f>IF(ISTEXT('Incurred 2.5% cpi'!X35),"",'Incurred 2.5% cpi'!X35/'Incurred 2.5% cpi'!X$14*Incurred!X$14*BL35)</f>
        <v/>
      </c>
      <c r="Y35" s="95">
        <f t="shared" si="53"/>
        <v>11520778.370000001</v>
      </c>
      <c r="Z35" s="95">
        <f t="shared" si="37"/>
        <v>11520778.370000001</v>
      </c>
      <c r="AA35" s="676">
        <f t="shared" si="38"/>
        <v>13990170.975900063</v>
      </c>
      <c r="AB35" s="676">
        <f t="shared" si="39"/>
        <v>12046477.641468817</v>
      </c>
      <c r="AC35" s="677">
        <f t="shared" si="40"/>
        <v>1.161349515790431</v>
      </c>
      <c r="AD35" s="678" t="str">
        <f t="shared" si="41"/>
        <v>2016</v>
      </c>
      <c r="AE35" s="679">
        <v>42016</v>
      </c>
      <c r="AF35" s="678">
        <v>2015</v>
      </c>
      <c r="AG35" s="680"/>
      <c r="AH35" s="676">
        <f>IF(ROUND(Y35,0)=0,0,SUMPRODUCT($F$16:$W$16,F35:W35))</f>
        <v>12689979.648174826</v>
      </c>
      <c r="AI35" s="95">
        <f t="shared" si="42"/>
        <v>16232.07</v>
      </c>
      <c r="AJ35" s="681" t="s">
        <v>0</v>
      </c>
      <c r="AK35" s="37">
        <f t="shared" si="43"/>
        <v>0</v>
      </c>
      <c r="AL35" s="31">
        <f t="shared" ref="AL35:AU36" si="68">IF($AK35=0,VLOOKUP(MID($A35,4,5),ProjectSplits,AL$20,FALSE),IF(ISNA(VLOOKUP($A35,Estimates,AL$19,FALSE)),VLOOKUP(MID($A35,4,5),ProjectSplits,AL$20,FALSE),VLOOKUP($A35,Estimates,AL$19,FALSE)))</f>
        <v>0</v>
      </c>
      <c r="AM35" s="31">
        <f t="shared" si="68"/>
        <v>0</v>
      </c>
      <c r="AN35" s="31">
        <f t="shared" si="68"/>
        <v>0.11161900340610426</v>
      </c>
      <c r="AO35" s="31">
        <f t="shared" si="68"/>
        <v>0</v>
      </c>
      <c r="AP35" s="31">
        <f t="shared" si="68"/>
        <v>0</v>
      </c>
      <c r="AQ35" s="31">
        <f t="shared" si="68"/>
        <v>0</v>
      </c>
      <c r="AR35" s="31">
        <f t="shared" si="68"/>
        <v>0</v>
      </c>
      <c r="AS35" s="31">
        <f t="shared" si="68"/>
        <v>0</v>
      </c>
      <c r="AT35" s="31">
        <f t="shared" si="68"/>
        <v>0</v>
      </c>
      <c r="AU35" s="31">
        <f t="shared" si="68"/>
        <v>0.12662043616447669</v>
      </c>
      <c r="AV35" s="31">
        <f t="shared" ref="AV35:BD36" si="69">IF($AK35=0,VLOOKUP(MID($A35,4,5),ProjectSplits,AV$20,FALSE),IF(ISNA(VLOOKUP($A35,Estimates,AV$19,FALSE)),VLOOKUP(MID($A35,4,5),ProjectSplits,AV$20,FALSE),VLOOKUP($A35,Estimates,AV$19,FALSE)))</f>
        <v>0</v>
      </c>
      <c r="AW35" s="31">
        <f t="shared" si="69"/>
        <v>0.22081157960265235</v>
      </c>
      <c r="AX35" s="31">
        <f t="shared" si="69"/>
        <v>0</v>
      </c>
      <c r="AY35" s="31">
        <f t="shared" si="69"/>
        <v>0</v>
      </c>
      <c r="AZ35" s="31">
        <f t="shared" si="69"/>
        <v>0.54094898082676668</v>
      </c>
      <c r="BA35" s="31">
        <f t="shared" si="69"/>
        <v>0</v>
      </c>
      <c r="BB35" s="31">
        <f t="shared" si="69"/>
        <v>0</v>
      </c>
      <c r="BC35" s="31">
        <f t="shared" si="69"/>
        <v>0</v>
      </c>
      <c r="BD35" s="31">
        <f t="shared" si="69"/>
        <v>0</v>
      </c>
      <c r="BE35" s="30">
        <f t="shared" ref="BE35:BE36" si="70">SUM(AL35:BD35)</f>
        <v>1</v>
      </c>
      <c r="BF35" s="620">
        <f t="shared" si="45"/>
        <v>1.0034498951996242</v>
      </c>
      <c r="BG35" s="620">
        <f t="shared" si="46"/>
        <v>1.0069222147180459</v>
      </c>
      <c r="BH35" s="620">
        <f t="shared" si="47"/>
        <v>1.0109547796356901</v>
      </c>
      <c r="BI35" s="620">
        <f t="shared" si="48"/>
        <v>1.0158301506211216</v>
      </c>
      <c r="BJ35" s="620">
        <f t="shared" si="49"/>
        <v>1.0218425664619335</v>
      </c>
      <c r="BK35" s="620">
        <f t="shared" si="50"/>
        <v>1.0281974167140426</v>
      </c>
      <c r="BL35" s="620">
        <f t="shared" si="51"/>
        <v>1.0328287210586446</v>
      </c>
      <c r="BM35" s="621" t="str">
        <f t="shared" si="52"/>
        <v>Category</v>
      </c>
    </row>
    <row r="36" spans="1:65" x14ac:dyDescent="0.15">
      <c r="A36" s="12" t="s">
        <v>74</v>
      </c>
      <c r="B36" s="13" t="s">
        <v>75</v>
      </c>
      <c r="C36" s="13" t="s">
        <v>27</v>
      </c>
      <c r="D36" s="13" t="s">
        <v>44</v>
      </c>
      <c r="E36" s="13" t="s">
        <v>32</v>
      </c>
      <c r="F36" s="14">
        <v>0</v>
      </c>
      <c r="G36" s="14">
        <v>0</v>
      </c>
      <c r="H36" s="14">
        <v>0</v>
      </c>
      <c r="I36" s="14">
        <v>0</v>
      </c>
      <c r="J36" s="14">
        <v>4826.04</v>
      </c>
      <c r="K36" s="14">
        <v>101717.9</v>
      </c>
      <c r="L36" s="14">
        <v>9808.48</v>
      </c>
      <c r="M36" s="15">
        <v>0</v>
      </c>
      <c r="N36" s="804"/>
      <c r="O36" s="14"/>
      <c r="P36" s="15"/>
      <c r="Q36" s="16" t="str">
        <f>IF(ISTEXT('Incurred 2.5% cpi'!Q36),"",'Incurred 2.5% cpi'!Q36/'Incurred 2.5% cpi'!Q$14*Incurred!Q$14)</f>
        <v/>
      </c>
      <c r="R36" s="127">
        <f>IF(ISTEXT('Incurred 2.5% cpi'!R36),"",'Incurred 2.5% cpi'!R36/'Incurred 2.5% cpi'!R$14*Incurred!R$14*BF36)</f>
        <v>-115910.40018926366</v>
      </c>
      <c r="S36" s="119" t="str">
        <f>IF(ISTEXT('Incurred 2.5% cpi'!S36),"",'Incurred 2.5% cpi'!S36/'Incurred 2.5% cpi'!S$14*Incurred!S$14*BG36)</f>
        <v/>
      </c>
      <c r="T36" s="16" t="str">
        <f>IF(ISTEXT('Incurred 2.5% cpi'!T36),"",'Incurred 2.5% cpi'!T36/'Incurred 2.5% cpi'!T$14*Incurred!T$14*BH36)</f>
        <v/>
      </c>
      <c r="U36" s="16" t="str">
        <f>IF(ISTEXT('Incurred 2.5% cpi'!U36),"",'Incurred 2.5% cpi'!U36/'Incurred 2.5% cpi'!U$14*Incurred!U$14*BI36)</f>
        <v/>
      </c>
      <c r="V36" s="16" t="str">
        <f>IF(ISTEXT('Incurred 2.5% cpi'!V36),"",'Incurred 2.5% cpi'!V36/'Incurred 2.5% cpi'!V$14*Incurred!V$14*BJ36)</f>
        <v/>
      </c>
      <c r="W36" s="127" t="str">
        <f>IF(ISTEXT('Incurred 2.5% cpi'!W36),"",'Incurred 2.5% cpi'!W36/'Incurred 2.5% cpi'!W$14*Incurred!W$14*BK36)</f>
        <v/>
      </c>
      <c r="X36" s="119" t="str">
        <f>IF(ISTEXT('Incurred 2.5% cpi'!X36),"",'Incurred 2.5% cpi'!X36/'Incurred 2.5% cpi'!X$14*Incurred!X$14*BL36)</f>
        <v/>
      </c>
      <c r="Y36" s="95">
        <f t="shared" si="53"/>
        <v>442.01981073632487</v>
      </c>
      <c r="Z36" s="95">
        <f t="shared" si="37"/>
        <v>232262.82018926364</v>
      </c>
      <c r="AA36" s="682">
        <f>IF(ROUND(Y36,0)=0,0,SUMPRODUCT($F$17:$W$17,F36:W36))*0</f>
        <v>0</v>
      </c>
      <c r="AB36" s="676"/>
      <c r="AC36" s="677"/>
      <c r="AD36" s="678" t="str">
        <f t="shared" si="41"/>
        <v>2018</v>
      </c>
      <c r="AE36" s="679"/>
      <c r="AF36" s="678" t="s">
        <v>0</v>
      </c>
      <c r="AG36" s="680"/>
      <c r="AH36" s="682">
        <f>IF(ROUND(Y36,0)=0,0,SUMPRODUCT($F$16:$W$16,F36:W36))*0</f>
        <v>0</v>
      </c>
      <c r="AI36" s="95">
        <f t="shared" si="42"/>
        <v>-115910.40018926366</v>
      </c>
      <c r="AJ36" s="681" t="s">
        <v>0</v>
      </c>
      <c r="AK36" s="37">
        <f t="shared" si="43"/>
        <v>0</v>
      </c>
      <c r="AL36" s="31">
        <f t="shared" si="68"/>
        <v>0</v>
      </c>
      <c r="AM36" s="31">
        <f t="shared" si="68"/>
        <v>0</v>
      </c>
      <c r="AN36" s="31">
        <f t="shared" si="68"/>
        <v>0</v>
      </c>
      <c r="AO36" s="31">
        <f t="shared" si="68"/>
        <v>0</v>
      </c>
      <c r="AP36" s="31">
        <f t="shared" si="68"/>
        <v>1</v>
      </c>
      <c r="AQ36" s="31">
        <f t="shared" si="68"/>
        <v>0</v>
      </c>
      <c r="AR36" s="31">
        <f t="shared" si="68"/>
        <v>0</v>
      </c>
      <c r="AS36" s="31">
        <f t="shared" si="68"/>
        <v>0</v>
      </c>
      <c r="AT36" s="31">
        <f t="shared" si="68"/>
        <v>0</v>
      </c>
      <c r="AU36" s="31">
        <f t="shared" si="68"/>
        <v>0</v>
      </c>
      <c r="AV36" s="31">
        <f t="shared" si="69"/>
        <v>0</v>
      </c>
      <c r="AW36" s="31">
        <f t="shared" si="69"/>
        <v>0</v>
      </c>
      <c r="AX36" s="31">
        <f t="shared" si="69"/>
        <v>0</v>
      </c>
      <c r="AY36" s="31">
        <f t="shared" si="69"/>
        <v>0</v>
      </c>
      <c r="AZ36" s="31">
        <f t="shared" si="69"/>
        <v>0</v>
      </c>
      <c r="BA36" s="31">
        <f t="shared" si="69"/>
        <v>0</v>
      </c>
      <c r="BB36" s="31">
        <f t="shared" si="69"/>
        <v>0</v>
      </c>
      <c r="BC36" s="31">
        <f t="shared" si="69"/>
        <v>0</v>
      </c>
      <c r="BD36" s="31">
        <f t="shared" si="69"/>
        <v>0</v>
      </c>
      <c r="BE36" s="30">
        <f t="shared" si="70"/>
        <v>1</v>
      </c>
      <c r="BF36" s="620">
        <f t="shared" si="45"/>
        <v>1.0013788876313259</v>
      </c>
      <c r="BG36" s="620">
        <f t="shared" si="46"/>
        <v>1.0027667380322551</v>
      </c>
      <c r="BH36" s="620">
        <f t="shared" si="47"/>
        <v>1.0043785127574885</v>
      </c>
      <c r="BI36" s="620">
        <f t="shared" si="48"/>
        <v>1.0063271484002954</v>
      </c>
      <c r="BJ36" s="620">
        <f t="shared" si="49"/>
        <v>1.0087302491780192</v>
      </c>
      <c r="BK36" s="620">
        <f t="shared" si="50"/>
        <v>1.0112702174682198</v>
      </c>
      <c r="BL36" s="620">
        <f t="shared" si="51"/>
        <v>1.0131213021847563</v>
      </c>
      <c r="BM36" s="621" t="str">
        <f t="shared" si="52"/>
        <v>Category</v>
      </c>
    </row>
    <row r="37" spans="1:65" x14ac:dyDescent="0.15">
      <c r="A37" s="12" t="s">
        <v>76</v>
      </c>
      <c r="B37" s="13" t="s">
        <v>77</v>
      </c>
      <c r="C37" s="13" t="s">
        <v>27</v>
      </c>
      <c r="D37" s="13" t="s">
        <v>40</v>
      </c>
      <c r="E37" s="13" t="s">
        <v>32</v>
      </c>
      <c r="F37" s="14">
        <v>0</v>
      </c>
      <c r="G37" s="14">
        <v>0</v>
      </c>
      <c r="H37" s="14">
        <v>0</v>
      </c>
      <c r="I37" s="14">
        <v>34867.480000000003</v>
      </c>
      <c r="J37" s="14">
        <v>298117.36</v>
      </c>
      <c r="K37" s="14">
        <v>814094.62</v>
      </c>
      <c r="L37" s="14">
        <v>2193174.1800000002</v>
      </c>
      <c r="M37" s="15">
        <v>50167.8</v>
      </c>
      <c r="N37" s="804">
        <v>-74756.86</v>
      </c>
      <c r="O37" s="14"/>
      <c r="P37" s="15">
        <v>273.05</v>
      </c>
      <c r="Q37" s="16" t="str">
        <f>IF(ISTEXT('Incurred 2.5% cpi'!Q37),"",'Incurred 2.5% cpi'!Q37/'Incurred 2.5% cpi'!Q$14*Incurred!Q$14)</f>
        <v/>
      </c>
      <c r="R37" s="127" t="str">
        <f>IF(ISTEXT('Incurred 2.5% cpi'!R37),"",'Incurred 2.5% cpi'!R37/'Incurred 2.5% cpi'!R$14*Incurred!R$14*BF37)</f>
        <v/>
      </c>
      <c r="S37" s="119" t="str">
        <f>IF(ISTEXT('Incurred 2.5% cpi'!S37),"",'Incurred 2.5% cpi'!S37/'Incurred 2.5% cpi'!S$14*Incurred!S$14*BG37)</f>
        <v/>
      </c>
      <c r="T37" s="16" t="str">
        <f>IF(ISTEXT('Incurred 2.5% cpi'!T37),"",'Incurred 2.5% cpi'!T37/'Incurred 2.5% cpi'!T$14*Incurred!T$14*BH37)</f>
        <v/>
      </c>
      <c r="U37" s="16" t="str">
        <f>IF(ISTEXT('Incurred 2.5% cpi'!U37),"",'Incurred 2.5% cpi'!U37/'Incurred 2.5% cpi'!U$14*Incurred!U$14*BI37)</f>
        <v/>
      </c>
      <c r="V37" s="16" t="str">
        <f>IF(ISTEXT('Incurred 2.5% cpi'!V37),"",'Incurred 2.5% cpi'!V37/'Incurred 2.5% cpi'!V$14*Incurred!V$14*BJ37)</f>
        <v/>
      </c>
      <c r="W37" s="127" t="str">
        <f>IF(ISTEXT('Incurred 2.5% cpi'!W37),"",'Incurred 2.5% cpi'!W37/'Incurred 2.5% cpi'!W$14*Incurred!W$14*BK37)</f>
        <v/>
      </c>
      <c r="X37" s="119" t="str">
        <f>IF(ISTEXT('Incurred 2.5% cpi'!X37),"",'Incurred 2.5% cpi'!X37/'Incurred 2.5% cpi'!X$14*Incurred!X$14*BL37)</f>
        <v/>
      </c>
      <c r="Y37" s="95">
        <f t="shared" si="53"/>
        <v>3315937.63</v>
      </c>
      <c r="Z37" s="95">
        <f t="shared" si="37"/>
        <v>3465451.3499999996</v>
      </c>
      <c r="AA37" s="676">
        <f t="shared" si="38"/>
        <v>4158429.7758408147</v>
      </c>
      <c r="AB37" s="676">
        <f t="shared" si="39"/>
        <v>3349351.0136920568</v>
      </c>
      <c r="AC37" s="677">
        <f t="shared" si="40"/>
        <v>1.24156284570989</v>
      </c>
      <c r="AD37" s="678" t="str">
        <f t="shared" si="41"/>
        <v>2016</v>
      </c>
      <c r="AE37" s="679">
        <v>40857</v>
      </c>
      <c r="AF37" s="678">
        <v>2012</v>
      </c>
      <c r="AG37" s="680"/>
      <c r="AH37" s="676">
        <f t="shared" ref="AH37" si="71">IF(ROUND(Y37,0)=0,0,SUMPRODUCT($F$16:$W$16,F37:W37))</f>
        <v>3771961.7090232968</v>
      </c>
      <c r="AI37" s="95">
        <f t="shared" si="42"/>
        <v>273.05</v>
      </c>
      <c r="AJ37" s="681" t="s">
        <v>0</v>
      </c>
      <c r="AK37" s="37">
        <f t="shared" si="43"/>
        <v>0</v>
      </c>
      <c r="AL37" s="31">
        <f t="shared" ref="AL37:AU41" si="72">IF($AK37=0,VLOOKUP(MID($A37,4,5),ProjectSplits,AL$20,FALSE),IF(ISNA(VLOOKUP($A37,Estimates,AL$19,FALSE)),VLOOKUP(MID($A37,4,5),ProjectSplits,AL$20,FALSE),VLOOKUP($A37,Estimates,AL$19,FALSE)))</f>
        <v>0</v>
      </c>
      <c r="AM37" s="31">
        <f t="shared" si="72"/>
        <v>0</v>
      </c>
      <c r="AN37" s="31">
        <f t="shared" si="72"/>
        <v>0.83928385278341977</v>
      </c>
      <c r="AO37" s="31">
        <f t="shared" si="72"/>
        <v>0</v>
      </c>
      <c r="AP37" s="31">
        <f t="shared" si="72"/>
        <v>0</v>
      </c>
      <c r="AQ37" s="31">
        <f t="shared" si="72"/>
        <v>0</v>
      </c>
      <c r="AR37" s="31">
        <f t="shared" si="72"/>
        <v>0</v>
      </c>
      <c r="AS37" s="31">
        <f t="shared" si="72"/>
        <v>0</v>
      </c>
      <c r="AT37" s="31">
        <f t="shared" si="72"/>
        <v>0</v>
      </c>
      <c r="AU37" s="31">
        <f t="shared" si="72"/>
        <v>0</v>
      </c>
      <c r="AV37" s="31">
        <f t="shared" ref="AV37:BD41" si="73">IF($AK37=0,VLOOKUP(MID($A37,4,5),ProjectSplits,AV$20,FALSE),IF(ISNA(VLOOKUP($A37,Estimates,AV$19,FALSE)),VLOOKUP(MID($A37,4,5),ProjectSplits,AV$20,FALSE),VLOOKUP($A37,Estimates,AV$19,FALSE)))</f>
        <v>0</v>
      </c>
      <c r="AW37" s="31">
        <f t="shared" si="73"/>
        <v>0</v>
      </c>
      <c r="AX37" s="31">
        <f t="shared" si="73"/>
        <v>0</v>
      </c>
      <c r="AY37" s="31">
        <f t="shared" si="73"/>
        <v>0</v>
      </c>
      <c r="AZ37" s="31">
        <f t="shared" si="73"/>
        <v>0.16071614721658023</v>
      </c>
      <c r="BA37" s="31">
        <f t="shared" si="73"/>
        <v>0</v>
      </c>
      <c r="BB37" s="31">
        <f t="shared" si="73"/>
        <v>0</v>
      </c>
      <c r="BC37" s="31">
        <f t="shared" si="73"/>
        <v>0</v>
      </c>
      <c r="BD37" s="31">
        <f t="shared" si="73"/>
        <v>0</v>
      </c>
      <c r="BE37" s="30">
        <f t="shared" ref="BE37:BE38" si="74">SUM(AL37:BD37)</f>
        <v>1</v>
      </c>
      <c r="BF37" s="620">
        <f t="shared" si="45"/>
        <v>1.0034498951996242</v>
      </c>
      <c r="BG37" s="620">
        <f t="shared" si="46"/>
        <v>1.0069222147180459</v>
      </c>
      <c r="BH37" s="620">
        <f t="shared" si="47"/>
        <v>1.0109547796356901</v>
      </c>
      <c r="BI37" s="620">
        <f t="shared" si="48"/>
        <v>1.0158301506211216</v>
      </c>
      <c r="BJ37" s="620">
        <f t="shared" si="49"/>
        <v>1.0218425664619335</v>
      </c>
      <c r="BK37" s="620">
        <f t="shared" si="50"/>
        <v>1.0281974167140426</v>
      </c>
      <c r="BL37" s="620">
        <f t="shared" si="51"/>
        <v>1.0328287210586446</v>
      </c>
      <c r="BM37" s="621" t="str">
        <f t="shared" si="52"/>
        <v>Category</v>
      </c>
    </row>
    <row r="38" spans="1:65" x14ac:dyDescent="0.15">
      <c r="A38" s="12" t="s">
        <v>78</v>
      </c>
      <c r="B38" s="13" t="s">
        <v>79</v>
      </c>
      <c r="C38" s="13" t="s">
        <v>27</v>
      </c>
      <c r="D38" s="13" t="s">
        <v>44</v>
      </c>
      <c r="E38" s="13" t="s">
        <v>45</v>
      </c>
      <c r="F38" s="14">
        <v>0</v>
      </c>
      <c r="G38" s="14">
        <v>0</v>
      </c>
      <c r="H38" s="14">
        <v>0</v>
      </c>
      <c r="I38" s="14">
        <v>0</v>
      </c>
      <c r="J38" s="14">
        <v>15015.66</v>
      </c>
      <c r="K38" s="14">
        <v>326471.92</v>
      </c>
      <c r="L38" s="14">
        <v>138665.04999999999</v>
      </c>
      <c r="M38" s="15">
        <v>85507.51</v>
      </c>
      <c r="N38" s="804">
        <v>174722.74</v>
      </c>
      <c r="O38" s="14">
        <v>15657.66</v>
      </c>
      <c r="P38" s="15"/>
      <c r="Q38" s="16">
        <f>IF(ISTEXT('Incurred 2.5% cpi'!Q38),"",'Incurred 2.5% cpi'!Q38/'Incurred 2.5% cpi'!Q$14*Incurred!Q$14)</f>
        <v>-756040.51</v>
      </c>
      <c r="R38" s="127" t="str">
        <f>IF(ISTEXT('Incurred 2.5% cpi'!R38),"",'Incurred 2.5% cpi'!R38/'Incurred 2.5% cpi'!R$14*Incurred!R$14*BF38)</f>
        <v/>
      </c>
      <c r="S38" s="119" t="str">
        <f>IF(ISTEXT('Incurred 2.5% cpi'!S38),"",'Incurred 2.5% cpi'!S38/'Incurred 2.5% cpi'!S$14*Incurred!S$14*BG38)</f>
        <v/>
      </c>
      <c r="T38" s="16" t="str">
        <f>IF(ISTEXT('Incurred 2.5% cpi'!T38),"",'Incurred 2.5% cpi'!T38/'Incurred 2.5% cpi'!T$14*Incurred!T$14*BH38)</f>
        <v/>
      </c>
      <c r="U38" s="16" t="str">
        <f>IF(ISTEXT('Incurred 2.5% cpi'!U38),"",'Incurred 2.5% cpi'!U38/'Incurred 2.5% cpi'!U$14*Incurred!U$14*BI38)</f>
        <v/>
      </c>
      <c r="V38" s="16" t="str">
        <f>IF(ISTEXT('Incurred 2.5% cpi'!V38),"",'Incurred 2.5% cpi'!V38/'Incurred 2.5% cpi'!V$14*Incurred!V$14*BJ38)</f>
        <v/>
      </c>
      <c r="W38" s="127" t="str">
        <f>IF(ISTEXT('Incurred 2.5% cpi'!W38),"",'Incurred 2.5% cpi'!W38/'Incurred 2.5% cpi'!W$14*Incurred!W$14*BK38)</f>
        <v/>
      </c>
      <c r="X38" s="119" t="str">
        <f>IF(ISTEXT('Incurred 2.5% cpi'!X38),"",'Incurred 2.5% cpi'!X38/'Incurred 2.5% cpi'!X$14*Incurred!X$14*BL38)</f>
        <v/>
      </c>
      <c r="Y38" s="95">
        <f t="shared" si="53"/>
        <v>2.9999999911524355E-2</v>
      </c>
      <c r="Z38" s="95">
        <f t="shared" si="37"/>
        <v>1512081.0499999998</v>
      </c>
      <c r="AA38" s="682">
        <f>IF(ROUND(Y38,0)=0,0,SUMPRODUCT($F$17:$W$17,F38:W38))*0</f>
        <v>0</v>
      </c>
      <c r="AB38" s="676">
        <f t="shared" si="39"/>
        <v>0</v>
      </c>
      <c r="AC38" s="677">
        <f t="shared" si="40"/>
        <v>1</v>
      </c>
      <c r="AD38" s="678" t="str">
        <f t="shared" si="41"/>
        <v>2017</v>
      </c>
      <c r="AE38" s="679">
        <v>49192</v>
      </c>
      <c r="AF38" s="678">
        <v>2035</v>
      </c>
      <c r="AG38" s="680"/>
      <c r="AH38" s="682">
        <f>IF(ROUND(Y38,0)=0,0,SUMPRODUCT($F$16:$W$16,F38:W38))*0</f>
        <v>0</v>
      </c>
      <c r="AI38" s="95">
        <f t="shared" si="42"/>
        <v>-756040.51</v>
      </c>
      <c r="AJ38" s="681" t="s">
        <v>0</v>
      </c>
      <c r="AK38" s="37">
        <f t="shared" si="43"/>
        <v>0</v>
      </c>
      <c r="AL38" s="31">
        <f t="shared" si="72"/>
        <v>0</v>
      </c>
      <c r="AM38" s="31">
        <f t="shared" si="72"/>
        <v>0</v>
      </c>
      <c r="AN38" s="31">
        <f t="shared" si="72"/>
        <v>0</v>
      </c>
      <c r="AO38" s="31">
        <f t="shared" si="72"/>
        <v>0</v>
      </c>
      <c r="AP38" s="31">
        <f t="shared" si="72"/>
        <v>0.95</v>
      </c>
      <c r="AQ38" s="31">
        <f t="shared" si="72"/>
        <v>0.05</v>
      </c>
      <c r="AR38" s="31">
        <f t="shared" si="72"/>
        <v>0</v>
      </c>
      <c r="AS38" s="31">
        <f t="shared" si="72"/>
        <v>0</v>
      </c>
      <c r="AT38" s="31">
        <f t="shared" si="72"/>
        <v>0</v>
      </c>
      <c r="AU38" s="31">
        <f t="shared" si="72"/>
        <v>0</v>
      </c>
      <c r="AV38" s="31">
        <f t="shared" si="73"/>
        <v>0</v>
      </c>
      <c r="AW38" s="31">
        <f t="shared" si="73"/>
        <v>0</v>
      </c>
      <c r="AX38" s="31">
        <f t="shared" si="73"/>
        <v>0</v>
      </c>
      <c r="AY38" s="31">
        <f t="shared" si="73"/>
        <v>0</v>
      </c>
      <c r="AZ38" s="31">
        <f t="shared" si="73"/>
        <v>0</v>
      </c>
      <c r="BA38" s="31">
        <f t="shared" si="73"/>
        <v>0</v>
      </c>
      <c r="BB38" s="31">
        <f t="shared" si="73"/>
        <v>0</v>
      </c>
      <c r="BC38" s="31">
        <f t="shared" si="73"/>
        <v>0</v>
      </c>
      <c r="BD38" s="31">
        <f t="shared" si="73"/>
        <v>0</v>
      </c>
      <c r="BE38" s="30">
        <f t="shared" si="74"/>
        <v>1</v>
      </c>
      <c r="BF38" s="620">
        <f t="shared" si="45"/>
        <v>1.0013788876313259</v>
      </c>
      <c r="BG38" s="620">
        <f t="shared" si="46"/>
        <v>1.0027667380322551</v>
      </c>
      <c r="BH38" s="620">
        <f t="shared" si="47"/>
        <v>1.0043785127574885</v>
      </c>
      <c r="BI38" s="620">
        <f t="shared" si="48"/>
        <v>1.0063271484002954</v>
      </c>
      <c r="BJ38" s="620">
        <f t="shared" si="49"/>
        <v>1.0087302491780192</v>
      </c>
      <c r="BK38" s="620">
        <f t="shared" si="50"/>
        <v>1.0112702174682198</v>
      </c>
      <c r="BL38" s="620">
        <f t="shared" si="51"/>
        <v>1.0131213021847563</v>
      </c>
      <c r="BM38" s="621" t="str">
        <f t="shared" si="52"/>
        <v>Category</v>
      </c>
    </row>
    <row r="39" spans="1:65" x14ac:dyDescent="0.15">
      <c r="A39" s="12" t="s">
        <v>80</v>
      </c>
      <c r="B39" s="13" t="s">
        <v>81</v>
      </c>
      <c r="C39" s="13" t="s">
        <v>27</v>
      </c>
      <c r="D39" s="13" t="s">
        <v>55</v>
      </c>
      <c r="E39" s="13" t="s">
        <v>45</v>
      </c>
      <c r="F39" s="14">
        <v>0</v>
      </c>
      <c r="G39" s="14">
        <v>0</v>
      </c>
      <c r="H39" s="14">
        <v>0</v>
      </c>
      <c r="I39" s="14">
        <v>0</v>
      </c>
      <c r="J39" s="14">
        <v>0</v>
      </c>
      <c r="K39" s="14">
        <v>164575.43</v>
      </c>
      <c r="L39" s="14">
        <v>240508.19</v>
      </c>
      <c r="M39" s="15">
        <v>117943.46</v>
      </c>
      <c r="N39" s="804"/>
      <c r="O39" s="14">
        <v>39373.82</v>
      </c>
      <c r="P39" s="15"/>
      <c r="Q39" s="16" t="str">
        <f>IF(ISTEXT('Incurred 2.5% cpi'!Q39),"",'Incurred 2.5% cpi'!Q39/'Incurred 2.5% cpi'!Q$14*Incurred!Q$14)</f>
        <v/>
      </c>
      <c r="R39" s="127">
        <f>IF(ISTEXT('Incurred 2.5% cpi'!R39),"",'Incurred 2.5% cpi'!R39/'Incurred 2.5% cpi'!R$14*Incurred!R$14*BF39)</f>
        <v>593248.8043062411</v>
      </c>
      <c r="S39" s="119" t="str">
        <f>IF(ISTEXT('Incurred 2.5% cpi'!S39),"",'Incurred 2.5% cpi'!S39/'Incurred 2.5% cpi'!S$14*Incurred!S$14*BG39)</f>
        <v/>
      </c>
      <c r="T39" s="16" t="str">
        <f>IF(ISTEXT('Incurred 2.5% cpi'!T39),"",'Incurred 2.5% cpi'!T39/'Incurred 2.5% cpi'!T$14*Incurred!T$14*BH39)</f>
        <v/>
      </c>
      <c r="U39" s="16" t="str">
        <f>IF(ISTEXT('Incurred 2.5% cpi'!U39),"",'Incurred 2.5% cpi'!U39/'Incurred 2.5% cpi'!U$14*Incurred!U$14*BI39)</f>
        <v/>
      </c>
      <c r="V39" s="16" t="str">
        <f>IF(ISTEXT('Incurred 2.5% cpi'!V39),"",'Incurred 2.5% cpi'!V39/'Incurred 2.5% cpi'!V$14*Incurred!V$14*BJ39)</f>
        <v/>
      </c>
      <c r="W39" s="127" t="str">
        <f>IF(ISTEXT('Incurred 2.5% cpi'!W39),"",'Incurred 2.5% cpi'!W39/'Incurred 2.5% cpi'!W$14*Incurred!W$14*BK39)</f>
        <v/>
      </c>
      <c r="X39" s="119" t="str">
        <f>IF(ISTEXT('Incurred 2.5% cpi'!X39),"",'Incurred 2.5% cpi'!X39/'Incurred 2.5% cpi'!X$14*Incurred!X$14*BL39)</f>
        <v/>
      </c>
      <c r="Y39" s="95">
        <f t="shared" si="53"/>
        <v>1155649.7043062411</v>
      </c>
      <c r="Z39" s="95">
        <f t="shared" si="37"/>
        <v>1155649.7043062411</v>
      </c>
      <c r="AA39" s="676">
        <f t="shared" si="38"/>
        <v>1348880.4888437833</v>
      </c>
      <c r="AB39" s="676">
        <f t="shared" si="39"/>
        <v>1223520.854801167</v>
      </c>
      <c r="AC39" s="677">
        <f t="shared" si="40"/>
        <v>1.1024581097663335</v>
      </c>
      <c r="AD39" s="678" t="str">
        <f t="shared" si="41"/>
        <v>2018</v>
      </c>
      <c r="AE39" s="679">
        <v>43249</v>
      </c>
      <c r="AF39" s="678">
        <v>2018</v>
      </c>
      <c r="AG39" s="680"/>
      <c r="AH39" s="676">
        <f t="shared" ref="AH39:AH43" si="75">IF(ROUND(Y39,0)=0,0,SUMPRODUCT($F$16:$W$16,F39:W39))</f>
        <v>1223520.8548011668</v>
      </c>
      <c r="AI39" s="95">
        <f t="shared" si="42"/>
        <v>593248.8043062411</v>
      </c>
      <c r="AJ39" s="681" t="s">
        <v>0</v>
      </c>
      <c r="AK39" s="37">
        <f t="shared" si="43"/>
        <v>0</v>
      </c>
      <c r="AL39" s="31">
        <f t="shared" si="72"/>
        <v>0</v>
      </c>
      <c r="AM39" s="31">
        <f t="shared" si="72"/>
        <v>0</v>
      </c>
      <c r="AN39" s="31">
        <f t="shared" si="72"/>
        <v>0</v>
      </c>
      <c r="AO39" s="31">
        <f t="shared" si="72"/>
        <v>1</v>
      </c>
      <c r="AP39" s="31">
        <f t="shared" si="72"/>
        <v>0</v>
      </c>
      <c r="AQ39" s="31">
        <f t="shared" si="72"/>
        <v>0</v>
      </c>
      <c r="AR39" s="31">
        <f t="shared" si="72"/>
        <v>0</v>
      </c>
      <c r="AS39" s="31">
        <f t="shared" si="72"/>
        <v>0</v>
      </c>
      <c r="AT39" s="31">
        <f t="shared" si="72"/>
        <v>0</v>
      </c>
      <c r="AU39" s="31">
        <f t="shared" si="72"/>
        <v>0</v>
      </c>
      <c r="AV39" s="31">
        <f t="shared" si="73"/>
        <v>0</v>
      </c>
      <c r="AW39" s="31">
        <f t="shared" si="73"/>
        <v>0</v>
      </c>
      <c r="AX39" s="31">
        <f t="shared" si="73"/>
        <v>0</v>
      </c>
      <c r="AY39" s="31">
        <f t="shared" si="73"/>
        <v>0</v>
      </c>
      <c r="AZ39" s="31">
        <f t="shared" si="73"/>
        <v>0</v>
      </c>
      <c r="BA39" s="31">
        <f t="shared" si="73"/>
        <v>0</v>
      </c>
      <c r="BB39" s="31">
        <f t="shared" si="73"/>
        <v>0</v>
      </c>
      <c r="BC39" s="31">
        <f t="shared" si="73"/>
        <v>0</v>
      </c>
      <c r="BD39" s="31">
        <f t="shared" si="73"/>
        <v>0</v>
      </c>
      <c r="BE39" s="30">
        <f t="shared" ref="BE39:BE41" si="76">SUM(AL39:BD39)</f>
        <v>1</v>
      </c>
      <c r="BF39" s="620">
        <f t="shared" si="45"/>
        <v>1.0046190746045656</v>
      </c>
      <c r="BG39" s="620">
        <f t="shared" si="46"/>
        <v>1.0092681731940607</v>
      </c>
      <c r="BH39" s="620">
        <f t="shared" si="47"/>
        <v>1.0146673859598225</v>
      </c>
      <c r="BI39" s="620">
        <f t="shared" si="48"/>
        <v>1.0211950341936284</v>
      </c>
      <c r="BJ39" s="620">
        <f t="shared" si="49"/>
        <v>1.0292450750544078</v>
      </c>
      <c r="BK39" s="620">
        <f t="shared" si="50"/>
        <v>1.0377536023333034</v>
      </c>
      <c r="BL39" s="620">
        <f t="shared" si="51"/>
        <v>1.0439544690397748</v>
      </c>
      <c r="BM39" s="621" t="str">
        <f t="shared" si="52"/>
        <v>Category</v>
      </c>
    </row>
    <row r="40" spans="1:65" x14ac:dyDescent="0.15">
      <c r="A40" s="12" t="s">
        <v>2270</v>
      </c>
      <c r="B40" s="13" t="s">
        <v>2269</v>
      </c>
      <c r="C40" s="13" t="s">
        <v>27</v>
      </c>
      <c r="D40" s="13" t="s">
        <v>55</v>
      </c>
      <c r="E40" s="13" t="s">
        <v>32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5">
        <v>0</v>
      </c>
      <c r="N40" s="804"/>
      <c r="O40" s="14"/>
      <c r="P40" s="15">
        <f>-254962.77+20013.73</f>
        <v>-234949.03999999998</v>
      </c>
      <c r="Q40" s="16" t="str">
        <f>IF(ISTEXT('Incurred 2.5% cpi'!Q40),"",'Incurred 2.5% cpi'!Q40/'Incurred 2.5% cpi'!Q$14*Incurred!Q$14)</f>
        <v/>
      </c>
      <c r="R40" s="127" t="str">
        <f>IF(ISTEXT('Incurred 2.5% cpi'!R40),"",'Incurred 2.5% cpi'!R40/'Incurred 2.5% cpi'!R$14*Incurred!R$14*BF40)</f>
        <v/>
      </c>
      <c r="S40" s="119" t="str">
        <f>IF(ISTEXT('Incurred 2.5% cpi'!S40),"",'Incurred 2.5% cpi'!S40/'Incurred 2.5% cpi'!S$14*Incurred!S$14*BG40)</f>
        <v/>
      </c>
      <c r="T40" s="16" t="str">
        <f>IF(ISTEXT('Incurred 2.5% cpi'!T40),"",'Incurred 2.5% cpi'!T40/'Incurred 2.5% cpi'!T$14*Incurred!T$14*BH40)</f>
        <v/>
      </c>
      <c r="U40" s="16" t="str">
        <f>IF(ISTEXT('Incurred 2.5% cpi'!U40),"",'Incurred 2.5% cpi'!U40/'Incurred 2.5% cpi'!U$14*Incurred!U$14*BI40)</f>
        <v/>
      </c>
      <c r="V40" s="16" t="str">
        <f>IF(ISTEXT('Incurred 2.5% cpi'!V40),"",'Incurred 2.5% cpi'!V40/'Incurred 2.5% cpi'!V$14*Incurred!V$14*BJ40)</f>
        <v/>
      </c>
      <c r="W40" s="127" t="str">
        <f>IF(ISTEXT('Incurred 2.5% cpi'!W40),"",'Incurred 2.5% cpi'!W40/'Incurred 2.5% cpi'!W$14*Incurred!W$14*BK40)</f>
        <v/>
      </c>
      <c r="X40" s="119" t="str">
        <f>IF(ISTEXT('Incurred 2.5% cpi'!X40),"",'Incurred 2.5% cpi'!X40/'Incurred 2.5% cpi'!X$14*Incurred!X$14*BL40)</f>
        <v/>
      </c>
      <c r="Y40" s="95">
        <f t="shared" si="53"/>
        <v>-234949.03999999998</v>
      </c>
      <c r="Z40" s="95">
        <f t="shared" si="37"/>
        <v>234949.03999999998</v>
      </c>
      <c r="AA40" s="676">
        <f t="shared" si="38"/>
        <v>-269327.44427033974</v>
      </c>
      <c r="AB40" s="676">
        <f t="shared" si="39"/>
        <v>-206720.41227356749</v>
      </c>
      <c r="AC40" s="677">
        <f t="shared" si="40"/>
        <v>1.3028584904035505</v>
      </c>
      <c r="AD40" s="678" t="str">
        <f t="shared" si="41"/>
        <v>2016</v>
      </c>
      <c r="AE40" s="679">
        <v>40304</v>
      </c>
      <c r="AF40" s="678">
        <v>2010</v>
      </c>
      <c r="AG40" s="680"/>
      <c r="AH40" s="676">
        <f t="shared" si="75"/>
        <v>-244297.21354893359</v>
      </c>
      <c r="AI40" s="95">
        <f t="shared" si="42"/>
        <v>-234949.03999999998</v>
      </c>
      <c r="AJ40" s="681" t="s">
        <v>0</v>
      </c>
      <c r="AK40" s="37">
        <f t="shared" si="43"/>
        <v>0</v>
      </c>
      <c r="AL40" s="31">
        <f t="shared" si="72"/>
        <v>0</v>
      </c>
      <c r="AM40" s="31">
        <f t="shared" si="72"/>
        <v>0</v>
      </c>
      <c r="AN40" s="31">
        <f t="shared" si="72"/>
        <v>0</v>
      </c>
      <c r="AO40" s="31">
        <f t="shared" si="72"/>
        <v>1</v>
      </c>
      <c r="AP40" s="31">
        <f t="shared" si="72"/>
        <v>0</v>
      </c>
      <c r="AQ40" s="31">
        <f t="shared" si="72"/>
        <v>0</v>
      </c>
      <c r="AR40" s="31">
        <f t="shared" si="72"/>
        <v>0</v>
      </c>
      <c r="AS40" s="31">
        <f t="shared" si="72"/>
        <v>0</v>
      </c>
      <c r="AT40" s="31">
        <f t="shared" si="72"/>
        <v>0</v>
      </c>
      <c r="AU40" s="31">
        <f t="shared" si="72"/>
        <v>0</v>
      </c>
      <c r="AV40" s="31">
        <f t="shared" si="73"/>
        <v>0</v>
      </c>
      <c r="AW40" s="31">
        <f t="shared" si="73"/>
        <v>0</v>
      </c>
      <c r="AX40" s="31">
        <f t="shared" si="73"/>
        <v>0</v>
      </c>
      <c r="AY40" s="31">
        <f t="shared" si="73"/>
        <v>0</v>
      </c>
      <c r="AZ40" s="31">
        <f t="shared" si="73"/>
        <v>0</v>
      </c>
      <c r="BA40" s="31">
        <f t="shared" si="73"/>
        <v>0</v>
      </c>
      <c r="BB40" s="31">
        <f t="shared" si="73"/>
        <v>0</v>
      </c>
      <c r="BC40" s="31">
        <f t="shared" si="73"/>
        <v>0</v>
      </c>
      <c r="BD40" s="31">
        <f t="shared" si="73"/>
        <v>0</v>
      </c>
      <c r="BE40" s="30">
        <f t="shared" si="76"/>
        <v>1</v>
      </c>
      <c r="BF40" s="620">
        <f t="shared" si="45"/>
        <v>1.0046190746045656</v>
      </c>
      <c r="BG40" s="620">
        <f t="shared" si="46"/>
        <v>1.0092681731940607</v>
      </c>
      <c r="BH40" s="620">
        <f t="shared" si="47"/>
        <v>1.0146673859598225</v>
      </c>
      <c r="BI40" s="620">
        <f t="shared" si="48"/>
        <v>1.0211950341936284</v>
      </c>
      <c r="BJ40" s="620">
        <f t="shared" si="49"/>
        <v>1.0292450750544078</v>
      </c>
      <c r="BK40" s="620">
        <f t="shared" si="50"/>
        <v>1.0377536023333034</v>
      </c>
      <c r="BL40" s="620">
        <f t="shared" si="51"/>
        <v>1.0439544690397748</v>
      </c>
      <c r="BM40" s="621" t="str">
        <f t="shared" si="52"/>
        <v>Category</v>
      </c>
    </row>
    <row r="41" spans="1:65" x14ac:dyDescent="0.15">
      <c r="A41" s="12" t="s">
        <v>82</v>
      </c>
      <c r="B41" s="13" t="s">
        <v>83</v>
      </c>
      <c r="C41" s="13" t="s">
        <v>2372</v>
      </c>
      <c r="D41" s="13" t="s">
        <v>28</v>
      </c>
      <c r="E41" s="13" t="s">
        <v>84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1413756.58</v>
      </c>
      <c r="M41" s="15">
        <v>871332.2</v>
      </c>
      <c r="N41" s="804">
        <v>45.45</v>
      </c>
      <c r="O41" s="14"/>
      <c r="P41" s="15"/>
      <c r="Q41" s="16" t="str">
        <f>IF(ISTEXT('Incurred 2.5% cpi'!Q41),"",'Incurred 2.5% cpi'!Q41/'Incurred 2.5% cpi'!Q$14*Incurred!Q$14)</f>
        <v/>
      </c>
      <c r="R41" s="127" t="str">
        <f>IF(ISTEXT('Incurred 2.5% cpi'!R41),"",'Incurred 2.5% cpi'!R41/'Incurred 2.5% cpi'!R$14*Incurred!R$14*BF41)</f>
        <v/>
      </c>
      <c r="S41" s="119" t="str">
        <f>IF(ISTEXT('Incurred 2.5% cpi'!S41),"",'Incurred 2.5% cpi'!S41/'Incurred 2.5% cpi'!S$14*Incurred!S$14*BG41)</f>
        <v/>
      </c>
      <c r="T41" s="16" t="str">
        <f>IF(ISTEXT('Incurred 2.5% cpi'!T41),"",'Incurred 2.5% cpi'!T41/'Incurred 2.5% cpi'!T$14*Incurred!T$14*BH41)</f>
        <v/>
      </c>
      <c r="U41" s="16" t="str">
        <f>IF(ISTEXT('Incurred 2.5% cpi'!U41),"",'Incurred 2.5% cpi'!U41/'Incurred 2.5% cpi'!U$14*Incurred!U$14*BI41)</f>
        <v/>
      </c>
      <c r="V41" s="16" t="str">
        <f>IF(ISTEXT('Incurred 2.5% cpi'!V41),"",'Incurred 2.5% cpi'!V41/'Incurred 2.5% cpi'!V$14*Incurred!V$14*BJ41)</f>
        <v/>
      </c>
      <c r="W41" s="127" t="str">
        <f>IF(ISTEXT('Incurred 2.5% cpi'!W41),"",'Incurred 2.5% cpi'!W41/'Incurred 2.5% cpi'!W$14*Incurred!W$14*BK41)</f>
        <v/>
      </c>
      <c r="X41" s="119" t="str">
        <f>IF(ISTEXT('Incurred 2.5% cpi'!X41),"",'Incurred 2.5% cpi'!X41/'Incurred 2.5% cpi'!X$14*Incurred!X$14*BL41)</f>
        <v/>
      </c>
      <c r="Y41" s="95">
        <f t="shared" si="53"/>
        <v>2285134.2300000004</v>
      </c>
      <c r="Z41" s="95">
        <f t="shared" si="37"/>
        <v>2285134.2300000004</v>
      </c>
      <c r="AA41" s="676">
        <f t="shared" si="38"/>
        <v>2810723.3459007079</v>
      </c>
      <c r="AB41" s="676">
        <f t="shared" si="39"/>
        <v>2263859.0995316207</v>
      </c>
      <c r="AC41" s="677">
        <f t="shared" si="40"/>
        <v>1.24156284570989</v>
      </c>
      <c r="AD41" s="678" t="str">
        <f t="shared" si="41"/>
        <v>2014</v>
      </c>
      <c r="AE41" s="679">
        <v>40746</v>
      </c>
      <c r="AF41" s="678">
        <v>2012</v>
      </c>
      <c r="AG41" s="680"/>
      <c r="AH41" s="676">
        <f t="shared" si="75"/>
        <v>2549505.8007205743</v>
      </c>
      <c r="AI41" s="95">
        <f t="shared" si="42"/>
        <v>45.45</v>
      </c>
      <c r="AJ41" s="681" t="s">
        <v>0</v>
      </c>
      <c r="AK41" s="37">
        <f t="shared" si="43"/>
        <v>0</v>
      </c>
      <c r="AL41" s="31">
        <f t="shared" si="72"/>
        <v>0</v>
      </c>
      <c r="AM41" s="31">
        <f t="shared" si="72"/>
        <v>8.4897030931944104E-4</v>
      </c>
      <c r="AN41" s="31">
        <f t="shared" si="72"/>
        <v>3.425283513470974E-3</v>
      </c>
      <c r="AO41" s="31">
        <f t="shared" si="72"/>
        <v>0</v>
      </c>
      <c r="AP41" s="31">
        <f t="shared" si="72"/>
        <v>0</v>
      </c>
      <c r="AQ41" s="31">
        <f t="shared" si="72"/>
        <v>9.8933283246155444E-4</v>
      </c>
      <c r="AR41" s="31">
        <f t="shared" si="72"/>
        <v>0</v>
      </c>
      <c r="AS41" s="31">
        <f t="shared" si="72"/>
        <v>0</v>
      </c>
      <c r="AT41" s="31">
        <f t="shared" si="72"/>
        <v>0</v>
      </c>
      <c r="AU41" s="31">
        <f t="shared" si="72"/>
        <v>0.11145871112366139</v>
      </c>
      <c r="AV41" s="31">
        <f t="shared" si="73"/>
        <v>3.2212957180222388E-3</v>
      </c>
      <c r="AW41" s="31">
        <f t="shared" si="73"/>
        <v>3.3295346485484864E-2</v>
      </c>
      <c r="AX41" s="31">
        <f t="shared" si="73"/>
        <v>1.6907698106837219E-3</v>
      </c>
      <c r="AY41" s="31">
        <f t="shared" si="73"/>
        <v>0</v>
      </c>
      <c r="AZ41" s="31">
        <f t="shared" si="73"/>
        <v>1.976345725093211E-2</v>
      </c>
      <c r="BA41" s="31">
        <f t="shared" si="73"/>
        <v>0.82530683295596374</v>
      </c>
      <c r="BB41" s="31">
        <f t="shared" si="73"/>
        <v>0</v>
      </c>
      <c r="BC41" s="31">
        <f t="shared" si="73"/>
        <v>0</v>
      </c>
      <c r="BD41" s="31">
        <f t="shared" si="73"/>
        <v>0</v>
      </c>
      <c r="BE41" s="30">
        <f t="shared" si="76"/>
        <v>1</v>
      </c>
      <c r="BF41" s="620">
        <f t="shared" si="45"/>
        <v>1.0030444840366091</v>
      </c>
      <c r="BG41" s="620">
        <f t="shared" si="46"/>
        <v>1.0061087572194563</v>
      </c>
      <c r="BH41" s="620">
        <f t="shared" si="47"/>
        <v>1.0096674390946898</v>
      </c>
      <c r="BI41" s="620">
        <f t="shared" si="48"/>
        <v>1.0139698854818469</v>
      </c>
      <c r="BJ41" s="620">
        <f t="shared" si="49"/>
        <v>1.0192757579764089</v>
      </c>
      <c r="BK41" s="620">
        <f t="shared" si="50"/>
        <v>1.0248838240271385</v>
      </c>
      <c r="BL41" s="620">
        <f t="shared" si="51"/>
        <v>1.0289708850333266</v>
      </c>
      <c r="BM41" s="621" t="str">
        <f t="shared" si="52"/>
        <v>Category</v>
      </c>
    </row>
    <row r="42" spans="1:65" x14ac:dyDescent="0.15">
      <c r="A42" s="12" t="s">
        <v>85</v>
      </c>
      <c r="B42" s="13" t="s">
        <v>86</v>
      </c>
      <c r="C42" s="13" t="s">
        <v>27</v>
      </c>
      <c r="D42" s="13" t="s">
        <v>54</v>
      </c>
      <c r="E42" s="13" t="s">
        <v>32</v>
      </c>
      <c r="F42" s="14">
        <v>0</v>
      </c>
      <c r="G42" s="14">
        <v>0</v>
      </c>
      <c r="H42" s="14">
        <v>5915</v>
      </c>
      <c r="I42" s="14">
        <v>0</v>
      </c>
      <c r="J42" s="14">
        <v>5170.29</v>
      </c>
      <c r="K42" s="14">
        <v>166130.54999999999</v>
      </c>
      <c r="L42" s="14">
        <v>291183.75</v>
      </c>
      <c r="M42" s="15">
        <v>2416906.69</v>
      </c>
      <c r="N42" s="804">
        <v>116388.69</v>
      </c>
      <c r="O42" s="14"/>
      <c r="P42" s="15">
        <v>-15090</v>
      </c>
      <c r="Q42" s="16" t="str">
        <f>IF(ISTEXT('Incurred 2.5% cpi'!Q42),"",'Incurred 2.5% cpi'!Q42/'Incurred 2.5% cpi'!Q$14*Incurred!Q$14)</f>
        <v/>
      </c>
      <c r="R42" s="127" t="str">
        <f>IF(ISTEXT('Incurred 2.5% cpi'!R42),"",'Incurred 2.5% cpi'!R42/'Incurred 2.5% cpi'!R$14*Incurred!R$14*BF42)</f>
        <v/>
      </c>
      <c r="S42" s="119" t="str">
        <f>IF(ISTEXT('Incurred 2.5% cpi'!S42),"",'Incurred 2.5% cpi'!S42/'Incurred 2.5% cpi'!S$14*Incurred!S$14*BG42)</f>
        <v/>
      </c>
      <c r="T42" s="16" t="str">
        <f>IF(ISTEXT('Incurred 2.5% cpi'!T42),"",'Incurred 2.5% cpi'!T42/'Incurred 2.5% cpi'!T$14*Incurred!T$14*BH42)</f>
        <v/>
      </c>
      <c r="U42" s="16" t="str">
        <f>IF(ISTEXT('Incurred 2.5% cpi'!U42),"",'Incurred 2.5% cpi'!U42/'Incurred 2.5% cpi'!U$14*Incurred!U$14*BI42)</f>
        <v/>
      </c>
      <c r="V42" s="16" t="str">
        <f>IF(ISTEXT('Incurred 2.5% cpi'!V42),"",'Incurred 2.5% cpi'!V42/'Incurred 2.5% cpi'!V$14*Incurred!V$14*BJ42)</f>
        <v/>
      </c>
      <c r="W42" s="127" t="str">
        <f>IF(ISTEXT('Incurred 2.5% cpi'!W42),"",'Incurred 2.5% cpi'!W42/'Incurred 2.5% cpi'!W$14*Incurred!W$14*BK42)</f>
        <v/>
      </c>
      <c r="X42" s="119" t="str">
        <f>IF(ISTEXT('Incurred 2.5% cpi'!X42),"",'Incurred 2.5% cpi'!X42/'Incurred 2.5% cpi'!X$14*Incurred!X$14*BL42)</f>
        <v/>
      </c>
      <c r="Y42" s="95">
        <f t="shared" si="53"/>
        <v>2986604.9699999997</v>
      </c>
      <c r="Z42" s="95">
        <f t="shared" si="37"/>
        <v>3016784.9699999997</v>
      </c>
      <c r="AA42" s="676">
        <f t="shared" si="38"/>
        <v>3633149.0361319408</v>
      </c>
      <c r="AB42" s="676">
        <f t="shared" si="39"/>
        <v>2999500.7458132114</v>
      </c>
      <c r="AC42" s="677">
        <f t="shared" si="40"/>
        <v>1.2112512527970509</v>
      </c>
      <c r="AD42" s="678" t="str">
        <f t="shared" si="41"/>
        <v>2016</v>
      </c>
      <c r="AE42" s="679">
        <v>41381</v>
      </c>
      <c r="AF42" s="678">
        <v>2013</v>
      </c>
      <c r="AG42" s="680"/>
      <c r="AH42" s="676">
        <f t="shared" si="75"/>
        <v>3295498.4900986282</v>
      </c>
      <c r="AI42" s="95">
        <f t="shared" si="42"/>
        <v>-15090</v>
      </c>
      <c r="AJ42" s="681" t="s">
        <v>0</v>
      </c>
      <c r="AK42" s="37">
        <f t="shared" si="43"/>
        <v>0</v>
      </c>
      <c r="AL42" s="31">
        <f t="shared" ref="AL42:AU43" si="77">IF($AK42=0,VLOOKUP(MID($A42,4,5),ProjectSplits,AL$20,FALSE),IF(ISNA(VLOOKUP($A42,Estimates,AL$19,FALSE)),VLOOKUP(MID($A42,4,5),ProjectSplits,AL$20,FALSE),VLOOKUP($A42,Estimates,AL$19,FALSE)))</f>
        <v>0</v>
      </c>
      <c r="AM42" s="31">
        <f t="shared" si="77"/>
        <v>0</v>
      </c>
      <c r="AN42" s="31">
        <f t="shared" si="77"/>
        <v>0</v>
      </c>
      <c r="AO42" s="31">
        <f t="shared" si="77"/>
        <v>0</v>
      </c>
      <c r="AP42" s="31">
        <f t="shared" si="77"/>
        <v>0</v>
      </c>
      <c r="AQ42" s="31">
        <f t="shared" si="77"/>
        <v>0</v>
      </c>
      <c r="AR42" s="31">
        <f t="shared" si="77"/>
        <v>0</v>
      </c>
      <c r="AS42" s="31">
        <f t="shared" si="77"/>
        <v>0</v>
      </c>
      <c r="AT42" s="31">
        <f t="shared" si="77"/>
        <v>0</v>
      </c>
      <c r="AU42" s="31">
        <f t="shared" si="77"/>
        <v>0.25410410952001239</v>
      </c>
      <c r="AV42" s="31">
        <f t="shared" ref="AV42:BD43" si="78">IF($AK42=0,VLOOKUP(MID($A42,4,5),ProjectSplits,AV$20,FALSE),IF(ISNA(VLOOKUP($A42,Estimates,AV$19,FALSE)),VLOOKUP(MID($A42,4,5),ProjectSplits,AV$20,FALSE),VLOOKUP($A42,Estimates,AV$19,FALSE)))</f>
        <v>0</v>
      </c>
      <c r="AW42" s="31">
        <f t="shared" si="78"/>
        <v>0</v>
      </c>
      <c r="AX42" s="31">
        <f t="shared" si="78"/>
        <v>0</v>
      </c>
      <c r="AY42" s="31">
        <f t="shared" si="78"/>
        <v>0</v>
      </c>
      <c r="AZ42" s="31">
        <f t="shared" si="78"/>
        <v>0.74589589047998761</v>
      </c>
      <c r="BA42" s="31">
        <f t="shared" si="78"/>
        <v>0</v>
      </c>
      <c r="BB42" s="31">
        <f t="shared" si="78"/>
        <v>0</v>
      </c>
      <c r="BC42" s="31">
        <f t="shared" si="78"/>
        <v>0</v>
      </c>
      <c r="BD42" s="31">
        <f t="shared" si="78"/>
        <v>0</v>
      </c>
      <c r="BE42" s="30">
        <f t="shared" ref="BE42:BE43" si="79">SUM(AL42:BD42)</f>
        <v>1</v>
      </c>
      <c r="BF42" s="620">
        <f t="shared" si="45"/>
        <v>1.0030818160192299</v>
      </c>
      <c r="BG42" s="620">
        <f t="shared" si="46"/>
        <v>1.006183663842585</v>
      </c>
      <c r="BH42" s="620">
        <f t="shared" si="47"/>
        <v>1.0097859828820543</v>
      </c>
      <c r="BI42" s="620">
        <f t="shared" si="48"/>
        <v>1.0141411866007726</v>
      </c>
      <c r="BJ42" s="620">
        <f t="shared" si="49"/>
        <v>1.0195121206090012</v>
      </c>
      <c r="BK42" s="620">
        <f t="shared" si="50"/>
        <v>1.0251889537223347</v>
      </c>
      <c r="BL42" s="620">
        <f t="shared" si="51"/>
        <v>1.0293261309677997</v>
      </c>
      <c r="BM42" s="621" t="str">
        <f t="shared" si="52"/>
        <v>Category</v>
      </c>
    </row>
    <row r="43" spans="1:65" x14ac:dyDescent="0.15">
      <c r="A43" s="12" t="s">
        <v>87</v>
      </c>
      <c r="B43" s="13" t="s">
        <v>88</v>
      </c>
      <c r="C43" s="13" t="s">
        <v>27</v>
      </c>
      <c r="D43" s="13" t="s">
        <v>31</v>
      </c>
      <c r="E43" s="13" t="s">
        <v>32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459297.58</v>
      </c>
      <c r="L43" s="14">
        <v>1236085.3700000001</v>
      </c>
      <c r="M43" s="15">
        <v>4746280.5199999996</v>
      </c>
      <c r="N43" s="804">
        <v>7405961.0599999996</v>
      </c>
      <c r="O43" s="14">
        <v>18429504.32</v>
      </c>
      <c r="P43" s="15">
        <v>37006.379999999997</v>
      </c>
      <c r="Q43" s="16">
        <f>IF(ISTEXT('Incurred 2.5% cpi'!Q43),"",'Incurred 2.5% cpi'!Q43/'Incurred 2.5% cpi'!Q$14*Incurred!Q$14)</f>
        <v>189660.65</v>
      </c>
      <c r="R43" s="127" t="str">
        <f>IF(ISTEXT('Incurred 2.5% cpi'!R43),"",'Incurred 2.5% cpi'!R43/'Incurred 2.5% cpi'!R$14*Incurred!R$14*BF43)</f>
        <v/>
      </c>
      <c r="S43" s="119" t="str">
        <f>IF(ISTEXT('Incurred 2.5% cpi'!S43),"",'Incurred 2.5% cpi'!S43/'Incurred 2.5% cpi'!S$14*Incurred!S$14*BG43)</f>
        <v/>
      </c>
      <c r="T43" s="16" t="str">
        <f>IF(ISTEXT('Incurred 2.5% cpi'!T43),"",'Incurred 2.5% cpi'!T43/'Incurred 2.5% cpi'!T$14*Incurred!T$14*BH43)</f>
        <v/>
      </c>
      <c r="U43" s="16" t="str">
        <f>IF(ISTEXT('Incurred 2.5% cpi'!U43),"",'Incurred 2.5% cpi'!U43/'Incurred 2.5% cpi'!U$14*Incurred!U$14*BI43)</f>
        <v/>
      </c>
      <c r="V43" s="16" t="str">
        <f>IF(ISTEXT('Incurred 2.5% cpi'!V43),"",'Incurred 2.5% cpi'!V43/'Incurred 2.5% cpi'!V$14*Incurred!V$14*BJ43)</f>
        <v/>
      </c>
      <c r="W43" s="127" t="str">
        <f>IF(ISTEXT('Incurred 2.5% cpi'!W43),"",'Incurred 2.5% cpi'!W43/'Incurred 2.5% cpi'!W$14*Incurred!W$14*BK43)</f>
        <v/>
      </c>
      <c r="X43" s="119" t="str">
        <f>IF(ISTEXT('Incurred 2.5% cpi'!X43),"",'Incurred 2.5% cpi'!X43/'Incurred 2.5% cpi'!X$14*Incurred!X$14*BL43)</f>
        <v/>
      </c>
      <c r="Y43" s="95">
        <f t="shared" si="53"/>
        <v>32503795.879999999</v>
      </c>
      <c r="Z43" s="95">
        <f t="shared" si="37"/>
        <v>32503795.879999999</v>
      </c>
      <c r="AA43" s="676">
        <f t="shared" si="38"/>
        <v>38237026.540518641</v>
      </c>
      <c r="AB43" s="676">
        <f t="shared" si="39"/>
        <v>33356246.714805108</v>
      </c>
      <c r="AC43" s="677">
        <f t="shared" si="40"/>
        <v>1.1463228122589466</v>
      </c>
      <c r="AD43" s="678" t="str">
        <f t="shared" si="41"/>
        <v>2017</v>
      </c>
      <c r="AE43" s="679">
        <v>42219</v>
      </c>
      <c r="AF43" s="678">
        <v>2016</v>
      </c>
      <c r="AG43" s="680"/>
      <c r="AH43" s="676">
        <f t="shared" si="75"/>
        <v>34683428.061155975</v>
      </c>
      <c r="AI43" s="95">
        <f t="shared" si="42"/>
        <v>189660.65</v>
      </c>
      <c r="AJ43" s="681" t="s">
        <v>0</v>
      </c>
      <c r="AK43" s="37">
        <f t="shared" si="43"/>
        <v>0</v>
      </c>
      <c r="AL43" s="31">
        <f t="shared" si="77"/>
        <v>0</v>
      </c>
      <c r="AM43" s="31">
        <f t="shared" si="77"/>
        <v>1.2122457498357256E-2</v>
      </c>
      <c r="AN43" s="31">
        <f t="shared" si="77"/>
        <v>7.4994865341509523E-2</v>
      </c>
      <c r="AO43" s="31">
        <f t="shared" si="77"/>
        <v>0</v>
      </c>
      <c r="AP43" s="31">
        <f t="shared" si="77"/>
        <v>0</v>
      </c>
      <c r="AQ43" s="31">
        <f t="shared" si="77"/>
        <v>0</v>
      </c>
      <c r="AR43" s="31">
        <f t="shared" si="77"/>
        <v>0</v>
      </c>
      <c r="AS43" s="31">
        <f t="shared" si="77"/>
        <v>0</v>
      </c>
      <c r="AT43" s="31">
        <f t="shared" si="77"/>
        <v>0</v>
      </c>
      <c r="AU43" s="31">
        <f t="shared" si="77"/>
        <v>0.27203615903425238</v>
      </c>
      <c r="AV43" s="31">
        <f t="shared" si="78"/>
        <v>0</v>
      </c>
      <c r="AW43" s="31">
        <f t="shared" si="78"/>
        <v>8.9582906088047989E-2</v>
      </c>
      <c r="AX43" s="31">
        <f t="shared" si="78"/>
        <v>0</v>
      </c>
      <c r="AY43" s="31">
        <f t="shared" si="78"/>
        <v>0</v>
      </c>
      <c r="AZ43" s="31">
        <f t="shared" si="78"/>
        <v>0.17731662117916025</v>
      </c>
      <c r="BA43" s="31">
        <f t="shared" si="78"/>
        <v>0.37394699085867261</v>
      </c>
      <c r="BB43" s="31">
        <f t="shared" si="78"/>
        <v>0</v>
      </c>
      <c r="BC43" s="31">
        <f t="shared" si="78"/>
        <v>0</v>
      </c>
      <c r="BD43" s="31">
        <f t="shared" si="78"/>
        <v>0</v>
      </c>
      <c r="BE43" s="30">
        <f t="shared" si="79"/>
        <v>1</v>
      </c>
      <c r="BF43" s="620">
        <f t="shared" si="45"/>
        <v>1.0031222795856722</v>
      </c>
      <c r="BG43" s="620">
        <f t="shared" si="46"/>
        <v>1.0062648539886514</v>
      </c>
      <c r="BH43" s="620">
        <f t="shared" si="47"/>
        <v>1.0099144706847265</v>
      </c>
      <c r="BI43" s="620">
        <f t="shared" si="48"/>
        <v>1.0143268572702815</v>
      </c>
      <c r="BJ43" s="620">
        <f t="shared" si="49"/>
        <v>1.019768310460623</v>
      </c>
      <c r="BK43" s="620">
        <f t="shared" si="50"/>
        <v>1.0255196791440326</v>
      </c>
      <c r="BL43" s="620">
        <f t="shared" si="51"/>
        <v>1.0297111766166984</v>
      </c>
      <c r="BM43" s="621" t="str">
        <f t="shared" si="52"/>
        <v>Category</v>
      </c>
    </row>
    <row r="44" spans="1:65" x14ac:dyDescent="0.15">
      <c r="A44" s="12" t="s">
        <v>89</v>
      </c>
      <c r="B44" s="13" t="s">
        <v>90</v>
      </c>
      <c r="C44" s="13" t="s">
        <v>27</v>
      </c>
      <c r="D44" s="13" t="s">
        <v>54</v>
      </c>
      <c r="E44" s="13" t="s">
        <v>32</v>
      </c>
      <c r="F44" s="14">
        <v>0</v>
      </c>
      <c r="G44" s="14">
        <v>0</v>
      </c>
      <c r="H44" s="14">
        <v>0</v>
      </c>
      <c r="I44" s="14">
        <v>107614.86</v>
      </c>
      <c r="J44" s="14">
        <v>2026660.21</v>
      </c>
      <c r="K44" s="14">
        <v>5821932.9500000002</v>
      </c>
      <c r="L44" s="14">
        <v>5526002.0099999998</v>
      </c>
      <c r="M44" s="15">
        <v>580408.01</v>
      </c>
      <c r="N44" s="804">
        <v>546782.29</v>
      </c>
      <c r="O44" s="14">
        <v>3550.71</v>
      </c>
      <c r="P44" s="15">
        <v>148.43</v>
      </c>
      <c r="Q44" s="16" t="str">
        <f>IF(ISTEXT('Incurred 2.5% cpi'!Q44),"",'Incurred 2.5% cpi'!Q44/'Incurred 2.5% cpi'!Q$14*Incurred!Q$14)</f>
        <v/>
      </c>
      <c r="R44" s="127" t="str">
        <f>IF(ISTEXT('Incurred 2.5% cpi'!R44),"",'Incurred 2.5% cpi'!R44/'Incurred 2.5% cpi'!R$14*Incurred!R$14*BF44)</f>
        <v/>
      </c>
      <c r="S44" s="119" t="str">
        <f>IF(ISTEXT('Incurred 2.5% cpi'!S44),"",'Incurred 2.5% cpi'!S44/'Incurred 2.5% cpi'!S$14*Incurred!S$14*BG44)</f>
        <v/>
      </c>
      <c r="T44" s="16" t="str">
        <f>IF(ISTEXT('Incurred 2.5% cpi'!T44),"",'Incurred 2.5% cpi'!T44/'Incurred 2.5% cpi'!T$14*Incurred!T$14*BH44)</f>
        <v/>
      </c>
      <c r="U44" s="16" t="str">
        <f>IF(ISTEXT('Incurred 2.5% cpi'!U44),"",'Incurred 2.5% cpi'!U44/'Incurred 2.5% cpi'!U$14*Incurred!U$14*BI44)</f>
        <v/>
      </c>
      <c r="V44" s="16" t="str">
        <f>IF(ISTEXT('Incurred 2.5% cpi'!V44),"",'Incurred 2.5% cpi'!V44/'Incurred 2.5% cpi'!V$14*Incurred!V$14*BJ44)</f>
        <v/>
      </c>
      <c r="W44" s="127" t="str">
        <f>IF(ISTEXT('Incurred 2.5% cpi'!W44),"",'Incurred 2.5% cpi'!W44/'Incurred 2.5% cpi'!W$14*Incurred!W$14*BK44)</f>
        <v/>
      </c>
      <c r="X44" s="119" t="str">
        <f>IF(ISTEXT('Incurred 2.5% cpi'!X44),"",'Incurred 2.5% cpi'!X44/'Incurred 2.5% cpi'!X$14*Incurred!X$14*BL44)</f>
        <v/>
      </c>
      <c r="Y44" s="95">
        <f t="shared" si="53"/>
        <v>14613099.469999999</v>
      </c>
      <c r="Z44" s="95">
        <f t="shared" si="37"/>
        <v>14613099.469999999</v>
      </c>
      <c r="AA44" s="676">
        <f t="shared" si="38"/>
        <v>18342331.819885962</v>
      </c>
      <c r="AB44" s="676">
        <f t="shared" si="39"/>
        <v>15143292.341311848</v>
      </c>
      <c r="AC44" s="677">
        <f t="shared" si="40"/>
        <v>1.2112512527970509</v>
      </c>
      <c r="AD44" s="678" t="str">
        <f t="shared" si="41"/>
        <v>2016</v>
      </c>
      <c r="AE44" s="679">
        <v>41134</v>
      </c>
      <c r="AF44" s="678">
        <v>2013</v>
      </c>
      <c r="AG44" s="680"/>
      <c r="AH44" s="676">
        <f>IF(ROUND(Y44,0)=0,0,SUMPRODUCT($F$16:$W$16,F44:W44))</f>
        <v>16637667.823744904</v>
      </c>
      <c r="AI44" s="95">
        <f t="shared" si="42"/>
        <v>148.43</v>
      </c>
      <c r="AJ44" s="681" t="s">
        <v>0</v>
      </c>
      <c r="AK44" s="37">
        <f t="shared" si="43"/>
        <v>0</v>
      </c>
      <c r="AL44" s="31">
        <f t="shared" ref="AL44:AU47" si="80">IF($AK44=0,VLOOKUP(MID($A44,4,5),ProjectSplits,AL$20,FALSE),IF(ISNA(VLOOKUP($A44,Estimates,AL$19,FALSE)),VLOOKUP(MID($A44,4,5),ProjectSplits,AL$20,FALSE),VLOOKUP($A44,Estimates,AL$19,FALSE)))</f>
        <v>0</v>
      </c>
      <c r="AM44" s="31">
        <f t="shared" si="80"/>
        <v>0</v>
      </c>
      <c r="AN44" s="31">
        <f t="shared" si="80"/>
        <v>0.98529252208264806</v>
      </c>
      <c r="AO44" s="31">
        <f t="shared" si="80"/>
        <v>0</v>
      </c>
      <c r="AP44" s="31">
        <f t="shared" si="80"/>
        <v>0</v>
      </c>
      <c r="AQ44" s="31">
        <f t="shared" si="80"/>
        <v>0</v>
      </c>
      <c r="AR44" s="31">
        <f t="shared" si="80"/>
        <v>0</v>
      </c>
      <c r="AS44" s="31">
        <f t="shared" si="80"/>
        <v>0</v>
      </c>
      <c r="AT44" s="31">
        <f t="shared" si="80"/>
        <v>0</v>
      </c>
      <c r="AU44" s="31">
        <f t="shared" si="80"/>
        <v>0</v>
      </c>
      <c r="AV44" s="31">
        <f t="shared" ref="AV44:BD47" si="81">IF($AK44=0,VLOOKUP(MID($A44,4,5),ProjectSplits,AV$20,FALSE),IF(ISNA(VLOOKUP($A44,Estimates,AV$19,FALSE)),VLOOKUP(MID($A44,4,5),ProjectSplits,AV$20,FALSE),VLOOKUP($A44,Estimates,AV$19,FALSE)))</f>
        <v>0</v>
      </c>
      <c r="AW44" s="31">
        <f t="shared" si="81"/>
        <v>1.470747791735184E-2</v>
      </c>
      <c r="AX44" s="31">
        <f t="shared" si="81"/>
        <v>0</v>
      </c>
      <c r="AY44" s="31">
        <f t="shared" si="81"/>
        <v>0</v>
      </c>
      <c r="AZ44" s="31">
        <f t="shared" si="81"/>
        <v>0</v>
      </c>
      <c r="BA44" s="31">
        <f t="shared" si="81"/>
        <v>0</v>
      </c>
      <c r="BB44" s="31">
        <f t="shared" si="81"/>
        <v>0</v>
      </c>
      <c r="BC44" s="31">
        <f t="shared" si="81"/>
        <v>0</v>
      </c>
      <c r="BD44" s="31">
        <f t="shared" si="81"/>
        <v>0</v>
      </c>
      <c r="BE44" s="30">
        <f t="shared" ref="BE44:BE46" si="82">SUM(AL44:BD44)</f>
        <v>0.99999999999999989</v>
      </c>
      <c r="BF44" s="620">
        <f t="shared" si="45"/>
        <v>1.0030818160192299</v>
      </c>
      <c r="BG44" s="620">
        <f t="shared" si="46"/>
        <v>1.006183663842585</v>
      </c>
      <c r="BH44" s="620">
        <f t="shared" si="47"/>
        <v>1.0097859828820543</v>
      </c>
      <c r="BI44" s="620">
        <f t="shared" si="48"/>
        <v>1.0141411866007726</v>
      </c>
      <c r="BJ44" s="620">
        <f t="shared" si="49"/>
        <v>1.0195121206090012</v>
      </c>
      <c r="BK44" s="620">
        <f t="shared" si="50"/>
        <v>1.0251889537223347</v>
      </c>
      <c r="BL44" s="620">
        <f t="shared" si="51"/>
        <v>1.0293261309677997</v>
      </c>
      <c r="BM44" s="621" t="str">
        <f t="shared" si="52"/>
        <v>Category</v>
      </c>
    </row>
    <row r="45" spans="1:65" x14ac:dyDescent="0.15">
      <c r="A45" s="12" t="s">
        <v>91</v>
      </c>
      <c r="B45" s="13" t="s">
        <v>92</v>
      </c>
      <c r="C45" s="13" t="s">
        <v>27</v>
      </c>
      <c r="D45" s="13" t="s">
        <v>55</v>
      </c>
      <c r="E45" s="13" t="s">
        <v>32</v>
      </c>
      <c r="F45" s="14">
        <v>0</v>
      </c>
      <c r="G45" s="14">
        <v>0</v>
      </c>
      <c r="H45" s="14">
        <v>0</v>
      </c>
      <c r="I45" s="14">
        <v>0</v>
      </c>
      <c r="J45" s="14">
        <v>238513.45</v>
      </c>
      <c r="K45" s="14">
        <v>135131.38</v>
      </c>
      <c r="L45" s="14">
        <v>94858.79</v>
      </c>
      <c r="M45" s="15">
        <v>95193.71</v>
      </c>
      <c r="N45" s="804">
        <v>182971.82</v>
      </c>
      <c r="O45" s="14">
        <v>320398.09000000003</v>
      </c>
      <c r="P45" s="15">
        <v>344966.82</v>
      </c>
      <c r="Q45" s="16">
        <f>IF(ISTEXT('Incurred 2.5% cpi'!Q45),"",'Incurred 2.5% cpi'!Q45/'Incurred 2.5% cpi'!Q$14*Incurred!Q$14)</f>
        <v>384962.44</v>
      </c>
      <c r="R45" s="127" t="str">
        <f>IF(ISTEXT('Incurred 2.5% cpi'!R45),"",'Incurred 2.5% cpi'!R45/'Incurred 2.5% cpi'!R$14*Incurred!R$14*BF45)</f>
        <v/>
      </c>
      <c r="S45" s="119" t="str">
        <f>IF(ISTEXT('Incurred 2.5% cpi'!S45),"",'Incurred 2.5% cpi'!S45/'Incurred 2.5% cpi'!S$14*Incurred!S$14*BG45)</f>
        <v/>
      </c>
      <c r="T45" s="16" t="str">
        <f>IF(ISTEXT('Incurred 2.5% cpi'!T45),"",'Incurred 2.5% cpi'!T45/'Incurred 2.5% cpi'!T$14*Incurred!T$14*BH45)</f>
        <v/>
      </c>
      <c r="U45" s="16" t="str">
        <f>IF(ISTEXT('Incurred 2.5% cpi'!U45),"",'Incurred 2.5% cpi'!U45/'Incurred 2.5% cpi'!U$14*Incurred!U$14*BI45)</f>
        <v/>
      </c>
      <c r="V45" s="16" t="str">
        <f>IF(ISTEXT('Incurred 2.5% cpi'!V45),"",'Incurred 2.5% cpi'!V45/'Incurred 2.5% cpi'!V$14*Incurred!V$14*BJ45)</f>
        <v/>
      </c>
      <c r="W45" s="127" t="str">
        <f>IF(ISTEXT('Incurred 2.5% cpi'!W45),"",'Incurred 2.5% cpi'!W45/'Incurred 2.5% cpi'!W$14*Incurred!W$14*BK45)</f>
        <v/>
      </c>
      <c r="X45" s="119" t="str">
        <f>IF(ISTEXT('Incurred 2.5% cpi'!X45),"",'Incurred 2.5% cpi'!X45/'Incurred 2.5% cpi'!X$14*Incurred!X$14*BL45)</f>
        <v/>
      </c>
      <c r="Y45" s="95">
        <f t="shared" si="53"/>
        <v>1796996.5</v>
      </c>
      <c r="Z45" s="95">
        <f t="shared" ref="Z45:Z66" si="83">-SUMIFS(F45:W45,F45:W45,"&lt;0")+SUMIFS(F45:W45,F45:W45,"&gt;0")</f>
        <v>1796996.5</v>
      </c>
      <c r="AA45" s="676">
        <f t="shared" ref="AA45:AA66" si="84">IF(ROUND(Y45,0)=0,0,SUMPRODUCT($F$17:$W$17,F45:W45))</f>
        <v>2129950.8154924922</v>
      </c>
      <c r="AB45" s="676">
        <f t="shared" ref="AB45:AB66" si="85">IF(AC45="","",AA45/AC45)</f>
        <v>1894676.4587871383</v>
      </c>
      <c r="AC45" s="677">
        <f t="shared" ref="AC45:AC66" si="86">IF(AF45="","",IF(AF45&lt;AD45,INDEX($F$17:$W$17,1,MATCH(TEXT(AF45,"000"),$F$21:$W$21)),INDEX($F$17:$W$17,1,MATCH(AD45,$F$21:$W$21))))</f>
        <v>1.1241765345287305</v>
      </c>
      <c r="AD45" s="678" t="str">
        <f t="shared" ref="AD45:AD66" si="87">IF(AI45=0,"",INDEX($F$21:$W$21,1,MATCH(AI45,F45:W45,0)))</f>
        <v>2017</v>
      </c>
      <c r="AE45" s="679">
        <v>42685</v>
      </c>
      <c r="AF45" s="678">
        <v>2017</v>
      </c>
      <c r="AG45" s="680"/>
      <c r="AH45" s="676">
        <f>IF(ROUND(Y45,0)=0,0,SUMPRODUCT($F$16:$W$16,F45:W45))</f>
        <v>1932001.5850252449</v>
      </c>
      <c r="AI45" s="95">
        <f t="shared" ref="AI45:AI66" si="88">IF(ROUND(Z45,0)=0,0,LOOKUP(2,1/(F45:W45&lt;&gt;""),F45:W45))</f>
        <v>384962.44</v>
      </c>
      <c r="AJ45" s="681" t="s">
        <v>0</v>
      </c>
      <c r="AK45" s="37">
        <f t="shared" ref="AK45:AK66" si="89">IF(ISNA(VLOOKUP($A45,Estimates,71,FALSE)),0,VLOOKUP($A45,Estimates,71,FALSE))</f>
        <v>0</v>
      </c>
      <c r="AL45" s="31">
        <f t="shared" si="80"/>
        <v>0</v>
      </c>
      <c r="AM45" s="31">
        <f t="shared" si="80"/>
        <v>0</v>
      </c>
      <c r="AN45" s="31">
        <f t="shared" si="80"/>
        <v>0</v>
      </c>
      <c r="AO45" s="31">
        <f t="shared" si="80"/>
        <v>1</v>
      </c>
      <c r="AP45" s="31">
        <f t="shared" si="80"/>
        <v>0</v>
      </c>
      <c r="AQ45" s="31">
        <f t="shared" si="80"/>
        <v>0</v>
      </c>
      <c r="AR45" s="31">
        <f t="shared" si="80"/>
        <v>0</v>
      </c>
      <c r="AS45" s="31">
        <f t="shared" si="80"/>
        <v>0</v>
      </c>
      <c r="AT45" s="31">
        <f t="shared" si="80"/>
        <v>0</v>
      </c>
      <c r="AU45" s="31">
        <f t="shared" si="80"/>
        <v>0</v>
      </c>
      <c r="AV45" s="31">
        <f t="shared" si="81"/>
        <v>0</v>
      </c>
      <c r="AW45" s="31">
        <f t="shared" si="81"/>
        <v>0</v>
      </c>
      <c r="AX45" s="31">
        <f t="shared" si="81"/>
        <v>0</v>
      </c>
      <c r="AY45" s="31">
        <f t="shared" si="81"/>
        <v>0</v>
      </c>
      <c r="AZ45" s="31">
        <f t="shared" si="81"/>
        <v>0</v>
      </c>
      <c r="BA45" s="31">
        <f t="shared" si="81"/>
        <v>0</v>
      </c>
      <c r="BB45" s="31">
        <f t="shared" si="81"/>
        <v>0</v>
      </c>
      <c r="BC45" s="31">
        <f t="shared" si="81"/>
        <v>0</v>
      </c>
      <c r="BD45" s="31">
        <f t="shared" si="81"/>
        <v>0</v>
      </c>
      <c r="BE45" s="30">
        <f t="shared" si="82"/>
        <v>1</v>
      </c>
      <c r="BF45" s="620">
        <f t="shared" si="45"/>
        <v>1.0046190746045656</v>
      </c>
      <c r="BG45" s="620">
        <f t="shared" ref="BG45:BG66" si="90">1+IF(ISNA(VLOOKUP($A45,ProjLabEsc,7,FALSE)),VLOOKUP($D45,CatLabEsc,4,FALSE),VLOOKUP($A45,ProjLabEsc,7,FALSE))*LabEsc19*LabIn</f>
        <v>1.0092681731940607</v>
      </c>
      <c r="BH45" s="620">
        <f t="shared" ref="BH45:BH66" si="91">1+IF(ISNA(VLOOKUP($A45,ProjLabEsc,7,FALSE)),VLOOKUP($D45,CatLabEsc,4,FALSE),VLOOKUP($A45,ProjLabEsc,7,FALSE))*LabEsc20*LabIn</f>
        <v>1.0146673859598225</v>
      </c>
      <c r="BI45" s="620">
        <f t="shared" ref="BI45:BI66" si="92">1+IF(ISNA(VLOOKUP($A45,ProjLabEsc,7,FALSE)),VLOOKUP($D45,CatLabEsc,4,FALSE),VLOOKUP($A45,ProjLabEsc,7,FALSE))*LabEsc21*LabIn</f>
        <v>1.0211950341936284</v>
      </c>
      <c r="BJ45" s="620">
        <f t="shared" ref="BJ45:BJ66" si="93">1+IF(ISNA(VLOOKUP($A45,ProjLabEsc,7,FALSE)),VLOOKUP($D45,CatLabEsc,4,FALSE),VLOOKUP($A45,ProjLabEsc,7,FALSE))*LabEsc22*LabIn</f>
        <v>1.0292450750544078</v>
      </c>
      <c r="BK45" s="620">
        <f t="shared" ref="BK45:BK66" si="94">1+IF(ISNA(VLOOKUP($A45,ProjLabEsc,7,FALSE)),VLOOKUP($D45,CatLabEsc,4,FALSE),VLOOKUP($A45,ProjLabEsc,7,FALSE))*LabEsc23*LabIn</f>
        <v>1.0377536023333034</v>
      </c>
      <c r="BL45" s="620">
        <f t="shared" ref="BL45:BL66" si="95">1+IF(ISNA(VLOOKUP($A45,ProjLabEsc,7,FALSE)),VLOOKUP($D45,CatLabEsc,4,FALSE),VLOOKUP($A45,ProjLabEsc,7,FALSE))*LabEsc24*LabIn</f>
        <v>1.0439544690397748</v>
      </c>
      <c r="BM45" s="621" t="str">
        <f t="shared" ref="BM45:BM66" si="96">IF(ISNA(VLOOKUP($A45,ProjLabEsc,7,FALSE)),"Category","Project")</f>
        <v>Category</v>
      </c>
    </row>
    <row r="46" spans="1:65" x14ac:dyDescent="0.15">
      <c r="A46" s="12" t="s">
        <v>93</v>
      </c>
      <c r="B46" s="13" t="s">
        <v>94</v>
      </c>
      <c r="C46" s="13" t="s">
        <v>27</v>
      </c>
      <c r="D46" s="13" t="s">
        <v>40</v>
      </c>
      <c r="E46" s="13" t="s">
        <v>29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2703.28</v>
      </c>
      <c r="L46" s="14">
        <v>236981.66</v>
      </c>
      <c r="M46" s="15">
        <v>1081055.72</v>
      </c>
      <c r="N46" s="804">
        <v>635020.11</v>
      </c>
      <c r="O46" s="14">
        <v>650420.4</v>
      </c>
      <c r="P46" s="15">
        <v>373843.75</v>
      </c>
      <c r="Q46" s="16">
        <f>IF(ISTEXT('Incurred 2.5% cpi'!Q46),"",'Incurred 2.5% cpi'!Q46/'Incurred 2.5% cpi'!Q$14*Incurred!Q$14)</f>
        <v>1461802.45</v>
      </c>
      <c r="R46" s="127" t="str">
        <f>IF(ISTEXT('Incurred 2.5% cpi'!R46),"",'Incurred 2.5% cpi'!R46/'Incurred 2.5% cpi'!R$14*Incurred!R$14*BF46)</f>
        <v/>
      </c>
      <c r="S46" s="119" t="str">
        <f>IF(ISTEXT('Incurred 2.5% cpi'!S46),"",'Incurred 2.5% cpi'!S46/'Incurred 2.5% cpi'!S$14*Incurred!S$14*BG46)</f>
        <v/>
      </c>
      <c r="T46" s="16" t="str">
        <f>IF(ISTEXT('Incurred 2.5% cpi'!T46),"",'Incurred 2.5% cpi'!T46/'Incurred 2.5% cpi'!T$14*Incurred!T$14*BH46)</f>
        <v/>
      </c>
      <c r="U46" s="16" t="str">
        <f>IF(ISTEXT('Incurred 2.5% cpi'!U46),"",'Incurred 2.5% cpi'!U46/'Incurred 2.5% cpi'!U$14*Incurred!U$14*BI46)</f>
        <v/>
      </c>
      <c r="V46" s="16" t="str">
        <f>IF(ISTEXT('Incurred 2.5% cpi'!V46),"",'Incurred 2.5% cpi'!V46/'Incurred 2.5% cpi'!V$14*Incurred!V$14*BJ46)</f>
        <v/>
      </c>
      <c r="W46" s="127" t="str">
        <f>IF(ISTEXT('Incurred 2.5% cpi'!W46),"",'Incurred 2.5% cpi'!W46/'Incurred 2.5% cpi'!W$14*Incurred!W$14*BK46)</f>
        <v/>
      </c>
      <c r="X46" s="119" t="str">
        <f>IF(ISTEXT('Incurred 2.5% cpi'!X46),"",'Incurred 2.5% cpi'!X46/'Incurred 2.5% cpi'!X$14*Incurred!X$14*BL46)</f>
        <v/>
      </c>
      <c r="Y46" s="95">
        <f t="shared" si="53"/>
        <v>4441827.37</v>
      </c>
      <c r="Z46" s="95">
        <f t="shared" si="83"/>
        <v>4441827.37</v>
      </c>
      <c r="AA46" s="676">
        <f t="shared" si="84"/>
        <v>5181579.73933715</v>
      </c>
      <c r="AB46" s="676">
        <f t="shared" si="85"/>
        <v>4609222.4665669044</v>
      </c>
      <c r="AC46" s="677">
        <f t="shared" si="86"/>
        <v>1.1241765345287305</v>
      </c>
      <c r="AD46" s="678" t="str">
        <f t="shared" si="87"/>
        <v>2017</v>
      </c>
      <c r="AE46" s="679">
        <v>42814</v>
      </c>
      <c r="AF46" s="678">
        <v>2017</v>
      </c>
      <c r="AG46" s="680"/>
      <c r="AH46" s="676">
        <f>IF(ROUND(Y46,0)=0,0,SUMPRODUCT($F$16:$W$16,F46:W46))</f>
        <v>4700024.1491582729</v>
      </c>
      <c r="AI46" s="95">
        <f t="shared" si="88"/>
        <v>1461802.45</v>
      </c>
      <c r="AJ46" s="681" t="s">
        <v>0</v>
      </c>
      <c r="AK46" s="37">
        <f t="shared" si="89"/>
        <v>0</v>
      </c>
      <c r="AL46" s="31">
        <f t="shared" si="80"/>
        <v>0</v>
      </c>
      <c r="AM46" s="31">
        <f t="shared" si="80"/>
        <v>0</v>
      </c>
      <c r="AN46" s="31">
        <f t="shared" si="80"/>
        <v>0</v>
      </c>
      <c r="AO46" s="31">
        <f t="shared" si="80"/>
        <v>0</v>
      </c>
      <c r="AP46" s="31">
        <f t="shared" si="80"/>
        <v>0</v>
      </c>
      <c r="AQ46" s="31">
        <f t="shared" si="80"/>
        <v>0</v>
      </c>
      <c r="AR46" s="31">
        <f t="shared" si="80"/>
        <v>0</v>
      </c>
      <c r="AS46" s="31">
        <f t="shared" si="80"/>
        <v>0</v>
      </c>
      <c r="AT46" s="31">
        <f t="shared" si="80"/>
        <v>0</v>
      </c>
      <c r="AU46" s="31">
        <f t="shared" si="80"/>
        <v>0</v>
      </c>
      <c r="AV46" s="31">
        <f t="shared" si="81"/>
        <v>0</v>
      </c>
      <c r="AW46" s="31">
        <f t="shared" si="81"/>
        <v>0</v>
      </c>
      <c r="AX46" s="31">
        <f t="shared" si="81"/>
        <v>0</v>
      </c>
      <c r="AY46" s="31">
        <f t="shared" si="81"/>
        <v>0</v>
      </c>
      <c r="AZ46" s="31">
        <f t="shared" si="81"/>
        <v>1</v>
      </c>
      <c r="BA46" s="31">
        <f t="shared" si="81"/>
        <v>0</v>
      </c>
      <c r="BB46" s="31">
        <f t="shared" si="81"/>
        <v>0</v>
      </c>
      <c r="BC46" s="31">
        <f t="shared" si="81"/>
        <v>0</v>
      </c>
      <c r="BD46" s="31">
        <f t="shared" si="81"/>
        <v>0</v>
      </c>
      <c r="BE46" s="30">
        <f t="shared" si="82"/>
        <v>1</v>
      </c>
      <c r="BF46" s="620">
        <f t="shared" si="45"/>
        <v>1.0034498951996242</v>
      </c>
      <c r="BG46" s="620">
        <f t="shared" si="90"/>
        <v>1.0069222147180459</v>
      </c>
      <c r="BH46" s="620">
        <f t="shared" si="91"/>
        <v>1.0109547796356901</v>
      </c>
      <c r="BI46" s="620">
        <f t="shared" si="92"/>
        <v>1.0158301506211216</v>
      </c>
      <c r="BJ46" s="620">
        <f t="shared" si="93"/>
        <v>1.0218425664619335</v>
      </c>
      <c r="BK46" s="620">
        <f t="shared" si="94"/>
        <v>1.0281974167140426</v>
      </c>
      <c r="BL46" s="620">
        <f t="shared" si="95"/>
        <v>1.0328287210586446</v>
      </c>
      <c r="BM46" s="621" t="str">
        <f t="shared" si="96"/>
        <v>Category</v>
      </c>
    </row>
    <row r="47" spans="1:65" x14ac:dyDescent="0.15">
      <c r="A47" s="12" t="s">
        <v>95</v>
      </c>
      <c r="B47" s="13" t="s">
        <v>96</v>
      </c>
      <c r="C47" s="13" t="s">
        <v>27</v>
      </c>
      <c r="D47" s="13" t="s">
        <v>55</v>
      </c>
      <c r="E47" s="13" t="s">
        <v>32</v>
      </c>
      <c r="F47" s="14">
        <v>0</v>
      </c>
      <c r="G47" s="14">
        <v>0</v>
      </c>
      <c r="H47" s="14">
        <v>0</v>
      </c>
      <c r="I47" s="14">
        <v>0</v>
      </c>
      <c r="J47" s="14">
        <v>7039.44</v>
      </c>
      <c r="K47" s="14">
        <v>10890.38</v>
      </c>
      <c r="L47" s="14">
        <v>223367.44</v>
      </c>
      <c r="M47" s="15">
        <v>1308235.0900000001</v>
      </c>
      <c r="N47" s="804">
        <v>493502.02</v>
      </c>
      <c r="O47" s="14">
        <v>45049.86</v>
      </c>
      <c r="P47" s="15"/>
      <c r="Q47" s="16" t="str">
        <f>IF(ISTEXT('Incurred 2.5% cpi'!Q47),"",'Incurred 2.5% cpi'!Q47/'Incurred 2.5% cpi'!Q$14*Incurred!Q$14)</f>
        <v/>
      </c>
      <c r="R47" s="127" t="str">
        <f>IF(ISTEXT('Incurred 2.5% cpi'!R47),"",'Incurred 2.5% cpi'!R47/'Incurred 2.5% cpi'!R$14*Incurred!R$14*BF47)</f>
        <v/>
      </c>
      <c r="S47" s="119" t="str">
        <f>IF(ISTEXT('Incurred 2.5% cpi'!S47),"",'Incurred 2.5% cpi'!S47/'Incurred 2.5% cpi'!S$14*Incurred!S$14*BG47)</f>
        <v/>
      </c>
      <c r="T47" s="16" t="str">
        <f>IF(ISTEXT('Incurred 2.5% cpi'!T47),"",'Incurred 2.5% cpi'!T47/'Incurred 2.5% cpi'!T$14*Incurred!T$14*BH47)</f>
        <v/>
      </c>
      <c r="U47" s="16" t="str">
        <f>IF(ISTEXT('Incurred 2.5% cpi'!U47),"",'Incurred 2.5% cpi'!U47/'Incurred 2.5% cpi'!U$14*Incurred!U$14*BI47)</f>
        <v/>
      </c>
      <c r="V47" s="16" t="str">
        <f>IF(ISTEXT('Incurred 2.5% cpi'!V47),"",'Incurred 2.5% cpi'!V47/'Incurred 2.5% cpi'!V$14*Incurred!V$14*BJ47)</f>
        <v/>
      </c>
      <c r="W47" s="127" t="str">
        <f>IF(ISTEXT('Incurred 2.5% cpi'!W47),"",'Incurred 2.5% cpi'!W47/'Incurred 2.5% cpi'!W$14*Incurred!W$14*BK47)</f>
        <v/>
      </c>
      <c r="X47" s="119" t="str">
        <f>IF(ISTEXT('Incurred 2.5% cpi'!X47),"",'Incurred 2.5% cpi'!X47/'Incurred 2.5% cpi'!X$14*Incurred!X$14*BL47)</f>
        <v/>
      </c>
      <c r="Y47" s="95">
        <f t="shared" ref="Y47" si="97">SUM(F47:W47)</f>
        <v>2088084.2300000002</v>
      </c>
      <c r="Z47" s="95">
        <f t="shared" ref="Z47" si="98">-SUMIFS(F47:W47,F47:W47,"&lt;0")+SUMIFS(F47:W47,F47:W47,"&gt;0")</f>
        <v>2088084.2300000002</v>
      </c>
      <c r="AA47" s="676">
        <f t="shared" ref="AA47" si="99">IF(ROUND(Y47,0)=0,0,SUMPRODUCT($F$17:$W$17,F47:W47))</f>
        <v>2517898.3456725865</v>
      </c>
      <c r="AB47" s="676">
        <f t="shared" ref="AB47" si="100">IF(AC47="","",AA47/AC47)</f>
        <v>2239771.3066730415</v>
      </c>
      <c r="AC47" s="677">
        <f t="shared" ref="AC47" si="101">IF(AF47="","",IF(AF47&lt;AD47,INDEX($F$17:$W$17,1,MATCH(TEXT(AF47,"000"),$F$21:$W$21)),INDEX($F$17:$W$17,1,MATCH(AD47,$F$21:$W$21))))</f>
        <v>1.1241765345287305</v>
      </c>
      <c r="AD47" s="678" t="str">
        <f t="shared" ref="AD47" si="102">IF(AI47=0,"",INDEX($F$21:$W$21,1,MATCH(AI47,F47:W47,0)))</f>
        <v>2015</v>
      </c>
      <c r="AE47" s="679">
        <v>41498</v>
      </c>
      <c r="AF47" s="678">
        <v>2017</v>
      </c>
      <c r="AG47" s="680"/>
      <c r="AH47" s="676">
        <f>IF(ROUND(Y47,0)=0,0,SUMPRODUCT($F$16:$W$16,F47:W47))</f>
        <v>2283894.8014145005</v>
      </c>
      <c r="AI47" s="95">
        <f t="shared" ref="AI47" si="103">IF(ROUND(Z47,0)=0,0,LOOKUP(2,1/(F47:W47&lt;&gt;""),F47:W47))</f>
        <v>45049.86</v>
      </c>
      <c r="AJ47" s="681"/>
      <c r="AK47" s="37">
        <f t="shared" si="89"/>
        <v>0</v>
      </c>
      <c r="AL47" s="31">
        <f t="shared" si="80"/>
        <v>0</v>
      </c>
      <c r="AM47" s="31">
        <f t="shared" si="80"/>
        <v>0</v>
      </c>
      <c r="AN47" s="31">
        <f t="shared" si="80"/>
        <v>0</v>
      </c>
      <c r="AO47" s="31">
        <f t="shared" si="80"/>
        <v>0</v>
      </c>
      <c r="AP47" s="31">
        <f t="shared" si="80"/>
        <v>0</v>
      </c>
      <c r="AQ47" s="31">
        <f t="shared" si="80"/>
        <v>0</v>
      </c>
      <c r="AR47" s="31">
        <f t="shared" si="80"/>
        <v>1</v>
      </c>
      <c r="AS47" s="31">
        <f t="shared" si="80"/>
        <v>0</v>
      </c>
      <c r="AT47" s="31">
        <f t="shared" si="80"/>
        <v>0</v>
      </c>
      <c r="AU47" s="31">
        <f t="shared" si="80"/>
        <v>0</v>
      </c>
      <c r="AV47" s="31">
        <f t="shared" si="81"/>
        <v>0</v>
      </c>
      <c r="AW47" s="31">
        <f t="shared" si="81"/>
        <v>0</v>
      </c>
      <c r="AX47" s="31">
        <f t="shared" si="81"/>
        <v>0</v>
      </c>
      <c r="AY47" s="31">
        <f t="shared" si="81"/>
        <v>0</v>
      </c>
      <c r="AZ47" s="31">
        <f t="shared" si="81"/>
        <v>0</v>
      </c>
      <c r="BA47" s="31">
        <f t="shared" si="81"/>
        <v>0</v>
      </c>
      <c r="BB47" s="31">
        <f t="shared" si="81"/>
        <v>0</v>
      </c>
      <c r="BC47" s="31">
        <f t="shared" si="81"/>
        <v>0</v>
      </c>
      <c r="BD47" s="31">
        <f t="shared" si="81"/>
        <v>0</v>
      </c>
      <c r="BE47" s="30">
        <f t="shared" ref="BE47" si="104">SUM(AL47:BD47)</f>
        <v>1</v>
      </c>
      <c r="BF47" s="620">
        <f t="shared" ref="BF47" si="105">1+IF(ISNA(VLOOKUP($A47,ProjLabEsc,7,FALSE)),VLOOKUP(D47,CatLabEsc,4,FALSE),VLOOKUP(A47,ProjLabEsc,7,FALSE))*Labesc18*LabIn</f>
        <v>1.0046190746045656</v>
      </c>
      <c r="BG47" s="620">
        <f t="shared" si="90"/>
        <v>1.0092681731940607</v>
      </c>
      <c r="BH47" s="620">
        <f t="shared" si="91"/>
        <v>1.0146673859598225</v>
      </c>
      <c r="BI47" s="620">
        <f t="shared" si="92"/>
        <v>1.0211950341936284</v>
      </c>
      <c r="BJ47" s="620">
        <f t="shared" si="93"/>
        <v>1.0292450750544078</v>
      </c>
      <c r="BK47" s="620">
        <f t="shared" si="94"/>
        <v>1.0377536023333034</v>
      </c>
      <c r="BL47" s="620">
        <f t="shared" si="95"/>
        <v>1.0439544690397748</v>
      </c>
      <c r="BM47" s="621" t="str">
        <f t="shared" si="96"/>
        <v>Category</v>
      </c>
    </row>
    <row r="48" spans="1:65" x14ac:dyDescent="0.15">
      <c r="A48" s="12" t="s">
        <v>98</v>
      </c>
      <c r="B48" s="13" t="s">
        <v>99</v>
      </c>
      <c r="C48" s="13" t="s">
        <v>27</v>
      </c>
      <c r="D48" s="13" t="s">
        <v>55</v>
      </c>
      <c r="E48" s="13" t="s">
        <v>32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12682.87</v>
      </c>
      <c r="M48" s="15">
        <v>240717.04</v>
      </c>
      <c r="N48" s="804">
        <v>542699.27</v>
      </c>
      <c r="O48" s="14">
        <v>366767.58</v>
      </c>
      <c r="P48" s="15">
        <v>313547.76</v>
      </c>
      <c r="Q48" s="16" t="str">
        <f>IF(ISTEXT('Incurred 2.5% cpi'!Q48),"",'Incurred 2.5% cpi'!Q48/'Incurred 2.5% cpi'!Q$14*Incurred!Q$14)</f>
        <v/>
      </c>
      <c r="R48" s="127" t="str">
        <f>IF(ISTEXT('Incurred 2.5% cpi'!R48),"",'Incurred 2.5% cpi'!R48/'Incurred 2.5% cpi'!R$14*Incurred!R$14*BF48)</f>
        <v/>
      </c>
      <c r="S48" s="119" t="str">
        <f>IF(ISTEXT('Incurred 2.5% cpi'!S48),"",'Incurred 2.5% cpi'!S48/'Incurred 2.5% cpi'!S$14*Incurred!S$14*BG48)</f>
        <v/>
      </c>
      <c r="T48" s="16" t="str">
        <f>IF(ISTEXT('Incurred 2.5% cpi'!T48),"",'Incurred 2.5% cpi'!T48/'Incurred 2.5% cpi'!T$14*Incurred!T$14*BH48)</f>
        <v/>
      </c>
      <c r="U48" s="16" t="str">
        <f>IF(ISTEXT('Incurred 2.5% cpi'!U48),"",'Incurred 2.5% cpi'!U48/'Incurred 2.5% cpi'!U$14*Incurred!U$14*BI48)</f>
        <v/>
      </c>
      <c r="V48" s="16" t="str">
        <f>IF(ISTEXT('Incurred 2.5% cpi'!V48),"",'Incurred 2.5% cpi'!V48/'Incurred 2.5% cpi'!V$14*Incurred!V$14*BJ48)</f>
        <v/>
      </c>
      <c r="W48" s="127" t="str">
        <f>IF(ISTEXT('Incurred 2.5% cpi'!W48),"",'Incurred 2.5% cpi'!W48/'Incurred 2.5% cpi'!W$14*Incurred!W$14*BK48)</f>
        <v/>
      </c>
      <c r="X48" s="119" t="str">
        <f>IF(ISTEXT('Incurred 2.5% cpi'!X48),"",'Incurred 2.5% cpi'!X48/'Incurred 2.5% cpi'!X$14*Incurred!X$14*BL48)</f>
        <v/>
      </c>
      <c r="Y48" s="95">
        <f t="shared" si="53"/>
        <v>1476414.52</v>
      </c>
      <c r="Z48" s="95">
        <f t="shared" si="83"/>
        <v>1476414.52</v>
      </c>
      <c r="AA48" s="676">
        <f t="shared" si="84"/>
        <v>1731322.8542337152</v>
      </c>
      <c r="AB48" s="676">
        <f t="shared" si="85"/>
        <v>1510327.4886608652</v>
      </c>
      <c r="AC48" s="677">
        <f t="shared" si="86"/>
        <v>1.1463228122589466</v>
      </c>
      <c r="AD48" s="678" t="str">
        <f t="shared" si="87"/>
        <v>2016</v>
      </c>
      <c r="AE48" s="679">
        <v>42262</v>
      </c>
      <c r="AF48" s="678">
        <v>2016</v>
      </c>
      <c r="AG48" s="680"/>
      <c r="AH48" s="676">
        <f t="shared" ref="AH48:AH51" si="106">IF(ROUND(Y48,0)=0,0,SUMPRODUCT($F$16:$W$16,F48:W48))</f>
        <v>1570420.5347091777</v>
      </c>
      <c r="AI48" s="95">
        <f t="shared" si="88"/>
        <v>313547.76</v>
      </c>
      <c r="AJ48" s="681" t="s">
        <v>0</v>
      </c>
      <c r="AK48" s="37">
        <f t="shared" si="89"/>
        <v>0</v>
      </c>
      <c r="AL48" s="31">
        <f t="shared" ref="AL48:AU51" si="107">IF($AK48=0,VLOOKUP(MID($A48,4,5),ProjectSplits,AL$20,FALSE),IF(ISNA(VLOOKUP($A48,Estimates,AL$19,FALSE)),VLOOKUP(MID($A48,4,5),ProjectSplits,AL$20,FALSE),VLOOKUP($A48,Estimates,AL$19,FALSE)))</f>
        <v>0</v>
      </c>
      <c r="AM48" s="31">
        <f t="shared" si="107"/>
        <v>0</v>
      </c>
      <c r="AN48" s="31">
        <f t="shared" si="107"/>
        <v>0</v>
      </c>
      <c r="AO48" s="31">
        <f t="shared" si="107"/>
        <v>1</v>
      </c>
      <c r="AP48" s="31">
        <f t="shared" si="107"/>
        <v>0</v>
      </c>
      <c r="AQ48" s="31">
        <f t="shared" si="107"/>
        <v>0</v>
      </c>
      <c r="AR48" s="31">
        <f t="shared" si="107"/>
        <v>0</v>
      </c>
      <c r="AS48" s="31">
        <f t="shared" si="107"/>
        <v>0</v>
      </c>
      <c r="AT48" s="31">
        <f t="shared" si="107"/>
        <v>0</v>
      </c>
      <c r="AU48" s="31">
        <f t="shared" si="107"/>
        <v>0</v>
      </c>
      <c r="AV48" s="31">
        <f t="shared" ref="AV48:BD51" si="108">IF($AK48=0,VLOOKUP(MID($A48,4,5),ProjectSplits,AV$20,FALSE),IF(ISNA(VLOOKUP($A48,Estimates,AV$19,FALSE)),VLOOKUP(MID($A48,4,5),ProjectSplits,AV$20,FALSE),VLOOKUP($A48,Estimates,AV$19,FALSE)))</f>
        <v>0</v>
      </c>
      <c r="AW48" s="31">
        <f t="shared" si="108"/>
        <v>0</v>
      </c>
      <c r="AX48" s="31">
        <f t="shared" si="108"/>
        <v>0</v>
      </c>
      <c r="AY48" s="31">
        <f t="shared" si="108"/>
        <v>0</v>
      </c>
      <c r="AZ48" s="31">
        <f t="shared" si="108"/>
        <v>0</v>
      </c>
      <c r="BA48" s="31">
        <f t="shared" si="108"/>
        <v>0</v>
      </c>
      <c r="BB48" s="31">
        <f t="shared" si="108"/>
        <v>0</v>
      </c>
      <c r="BC48" s="31">
        <f t="shared" si="108"/>
        <v>0</v>
      </c>
      <c r="BD48" s="31">
        <f t="shared" si="108"/>
        <v>0</v>
      </c>
      <c r="BE48" s="30">
        <f t="shared" ref="BE48:BE51" si="109">SUM(AL48:BD48)</f>
        <v>1</v>
      </c>
      <c r="BF48" s="620">
        <f t="shared" si="45"/>
        <v>1.0046190746045656</v>
      </c>
      <c r="BG48" s="620">
        <f t="shared" si="90"/>
        <v>1.0092681731940607</v>
      </c>
      <c r="BH48" s="620">
        <f t="shared" si="91"/>
        <v>1.0146673859598225</v>
      </c>
      <c r="BI48" s="620">
        <f t="shared" si="92"/>
        <v>1.0211950341936284</v>
      </c>
      <c r="BJ48" s="620">
        <f t="shared" si="93"/>
        <v>1.0292450750544078</v>
      </c>
      <c r="BK48" s="620">
        <f t="shared" si="94"/>
        <v>1.0377536023333034</v>
      </c>
      <c r="BL48" s="620">
        <f t="shared" si="95"/>
        <v>1.0439544690397748</v>
      </c>
      <c r="BM48" s="621" t="str">
        <f t="shared" si="96"/>
        <v>Category</v>
      </c>
    </row>
    <row r="49" spans="1:65" x14ac:dyDescent="0.15">
      <c r="A49" s="12" t="s">
        <v>100</v>
      </c>
      <c r="B49" s="13" t="s">
        <v>101</v>
      </c>
      <c r="C49" s="13" t="s">
        <v>27</v>
      </c>
      <c r="D49" s="13" t="s">
        <v>54</v>
      </c>
      <c r="E49" s="13" t="s">
        <v>30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35526.65</v>
      </c>
      <c r="L49" s="14">
        <v>197493.65</v>
      </c>
      <c r="M49" s="15">
        <v>331133.13</v>
      </c>
      <c r="N49" s="804">
        <v>501644.35</v>
      </c>
      <c r="O49" s="14">
        <v>142192.95000000001</v>
      </c>
      <c r="P49" s="15">
        <v>30379.49</v>
      </c>
      <c r="Q49" s="16">
        <f>IF(ISTEXT('Incurred 2.5% cpi'!Q49),"",'Incurred 2.5% cpi'!Q49/'Incurred 2.5% cpi'!Q$14*Incurred!Q$14)</f>
        <v>42.57</v>
      </c>
      <c r="R49" s="127">
        <f>IF(ISTEXT('Incurred 2.5% cpi'!R49),"",'Incurred 2.5% cpi'!R49/'Incurred 2.5% cpi'!R$14*Incurred!R$14*BF49)</f>
        <v>-1235806.1156848993</v>
      </c>
      <c r="S49" s="119" t="str">
        <f>IF(ISTEXT('Incurred 2.5% cpi'!S49),"",'Incurred 2.5% cpi'!S49/'Incurred 2.5% cpi'!S$14*Incurred!S$14*BG49)</f>
        <v/>
      </c>
      <c r="T49" s="16" t="str">
        <f>IF(ISTEXT('Incurred 2.5% cpi'!T49),"",'Incurred 2.5% cpi'!T49/'Incurred 2.5% cpi'!T$14*Incurred!T$14*BH49)</f>
        <v/>
      </c>
      <c r="U49" s="16" t="str">
        <f>IF(ISTEXT('Incurred 2.5% cpi'!U49),"",'Incurred 2.5% cpi'!U49/'Incurred 2.5% cpi'!U$14*Incurred!U$14*BI49)</f>
        <v/>
      </c>
      <c r="V49" s="16" t="str">
        <f>IF(ISTEXT('Incurred 2.5% cpi'!V49),"",'Incurred 2.5% cpi'!V49/'Incurred 2.5% cpi'!V$14*Incurred!V$14*BJ49)</f>
        <v/>
      </c>
      <c r="W49" s="127" t="str">
        <f>IF(ISTEXT('Incurred 2.5% cpi'!W49),"",'Incurred 2.5% cpi'!W49/'Incurred 2.5% cpi'!W$14*Incurred!W$14*BK49)</f>
        <v/>
      </c>
      <c r="X49" s="119" t="str">
        <f>IF(ISTEXT('Incurred 2.5% cpi'!X49),"",'Incurred 2.5% cpi'!X49/'Incurred 2.5% cpi'!X$14*Incurred!X$14*BL49)</f>
        <v/>
      </c>
      <c r="Y49" s="95">
        <f t="shared" si="53"/>
        <v>2606.6743151005358</v>
      </c>
      <c r="Z49" s="95">
        <f t="shared" si="83"/>
        <v>2474218.9056848991</v>
      </c>
      <c r="AA49" s="682">
        <f>IF(ROUND(Y49,0)=0,0,SUMPRODUCT($F$17:$W$17,F49:W49))*0</f>
        <v>0</v>
      </c>
      <c r="AB49" s="676">
        <f t="shared" si="85"/>
        <v>0</v>
      </c>
      <c r="AC49" s="677">
        <f t="shared" si="86"/>
        <v>1.1241765345287305</v>
      </c>
      <c r="AD49" s="678" t="str">
        <f t="shared" si="87"/>
        <v>2018</v>
      </c>
      <c r="AE49" s="679">
        <v>42825</v>
      </c>
      <c r="AF49" s="678">
        <v>2017</v>
      </c>
      <c r="AG49" s="680"/>
      <c r="AH49" s="682">
        <f>IF(ROUND(Y49,0)=0,0,SUMPRODUCT($F$16:$W$16,F49:W49))*0</f>
        <v>0</v>
      </c>
      <c r="AI49" s="95">
        <f t="shared" si="88"/>
        <v>-1235806.1156848993</v>
      </c>
      <c r="AJ49" s="681" t="s">
        <v>0</v>
      </c>
      <c r="AK49" s="37">
        <f t="shared" si="89"/>
        <v>0</v>
      </c>
      <c r="AL49" s="31">
        <f t="shared" si="107"/>
        <v>0</v>
      </c>
      <c r="AM49" s="31">
        <f t="shared" si="107"/>
        <v>0</v>
      </c>
      <c r="AN49" s="31">
        <f t="shared" si="107"/>
        <v>0</v>
      </c>
      <c r="AO49" s="31">
        <f t="shared" si="107"/>
        <v>1</v>
      </c>
      <c r="AP49" s="31">
        <f t="shared" si="107"/>
        <v>0</v>
      </c>
      <c r="AQ49" s="31">
        <f t="shared" si="107"/>
        <v>0</v>
      </c>
      <c r="AR49" s="31">
        <f t="shared" si="107"/>
        <v>0</v>
      </c>
      <c r="AS49" s="31">
        <f t="shared" si="107"/>
        <v>0</v>
      </c>
      <c r="AT49" s="31">
        <f t="shared" si="107"/>
        <v>0</v>
      </c>
      <c r="AU49" s="31">
        <f t="shared" si="107"/>
        <v>0</v>
      </c>
      <c r="AV49" s="31">
        <f t="shared" si="108"/>
        <v>0</v>
      </c>
      <c r="AW49" s="31">
        <f t="shared" si="108"/>
        <v>0</v>
      </c>
      <c r="AX49" s="31">
        <f t="shared" si="108"/>
        <v>0</v>
      </c>
      <c r="AY49" s="31">
        <f t="shared" si="108"/>
        <v>0</v>
      </c>
      <c r="AZ49" s="31">
        <f t="shared" si="108"/>
        <v>0</v>
      </c>
      <c r="BA49" s="31">
        <f t="shared" si="108"/>
        <v>0</v>
      </c>
      <c r="BB49" s="31">
        <f t="shared" si="108"/>
        <v>0</v>
      </c>
      <c r="BC49" s="31">
        <f t="shared" si="108"/>
        <v>0</v>
      </c>
      <c r="BD49" s="31">
        <f t="shared" si="108"/>
        <v>0</v>
      </c>
      <c r="BE49" s="30">
        <f t="shared" si="109"/>
        <v>1</v>
      </c>
      <c r="BF49" s="620">
        <f t="shared" si="45"/>
        <v>1.0030818160192299</v>
      </c>
      <c r="BG49" s="620">
        <f t="shared" si="90"/>
        <v>1.006183663842585</v>
      </c>
      <c r="BH49" s="620">
        <f t="shared" si="91"/>
        <v>1.0097859828820543</v>
      </c>
      <c r="BI49" s="620">
        <f t="shared" si="92"/>
        <v>1.0141411866007726</v>
      </c>
      <c r="BJ49" s="620">
        <f t="shared" si="93"/>
        <v>1.0195121206090012</v>
      </c>
      <c r="BK49" s="620">
        <f t="shared" si="94"/>
        <v>1.0251889537223347</v>
      </c>
      <c r="BL49" s="620">
        <f t="shared" si="95"/>
        <v>1.0293261309677997</v>
      </c>
      <c r="BM49" s="621" t="str">
        <f t="shared" si="96"/>
        <v>Category</v>
      </c>
    </row>
    <row r="50" spans="1:65" x14ac:dyDescent="0.15">
      <c r="A50" s="12" t="s">
        <v>102</v>
      </c>
      <c r="B50" s="13" t="s">
        <v>103</v>
      </c>
      <c r="C50" s="13" t="s">
        <v>27</v>
      </c>
      <c r="D50" s="13" t="s">
        <v>28</v>
      </c>
      <c r="E50" s="13" t="s">
        <v>32</v>
      </c>
      <c r="F50" s="14">
        <v>0</v>
      </c>
      <c r="G50" s="14">
        <v>0</v>
      </c>
      <c r="H50" s="14">
        <v>0</v>
      </c>
      <c r="I50" s="14">
        <v>0</v>
      </c>
      <c r="J50" s="14">
        <v>0</v>
      </c>
      <c r="K50" s="14">
        <v>2774905.31</v>
      </c>
      <c r="L50" s="14">
        <v>380743.78</v>
      </c>
      <c r="M50" s="15">
        <v>172163.75</v>
      </c>
      <c r="N50" s="804">
        <v>-633552.68999999994</v>
      </c>
      <c r="O50" s="14">
        <v>50000</v>
      </c>
      <c r="P50" s="15">
        <v>-2260000</v>
      </c>
      <c r="Q50" s="16" t="str">
        <f>IF(ISTEXT('Incurred 2.5% cpi'!Q50),"",'Incurred 2.5% cpi'!Q50/'Incurred 2.5% cpi'!Q$14*Incurred!Q$14)</f>
        <v/>
      </c>
      <c r="R50" s="127" t="str">
        <f>IF(ISTEXT('Incurred 2.5% cpi'!R50),"",'Incurred 2.5% cpi'!R50/'Incurred 2.5% cpi'!R$14*Incurred!R$14*BF50)</f>
        <v/>
      </c>
      <c r="S50" s="119" t="str">
        <f>IF(ISTEXT('Incurred 2.5% cpi'!S50),"",'Incurred 2.5% cpi'!S50/'Incurred 2.5% cpi'!S$14*Incurred!S$14*BG50)</f>
        <v/>
      </c>
      <c r="T50" s="16" t="str">
        <f>IF(ISTEXT('Incurred 2.5% cpi'!T50),"",'Incurred 2.5% cpi'!T50/'Incurred 2.5% cpi'!T$14*Incurred!T$14*BH50)</f>
        <v/>
      </c>
      <c r="U50" s="16" t="str">
        <f>IF(ISTEXT('Incurred 2.5% cpi'!U50),"",'Incurred 2.5% cpi'!U50/'Incurred 2.5% cpi'!U$14*Incurred!U$14*BI50)</f>
        <v/>
      </c>
      <c r="V50" s="16" t="str">
        <f>IF(ISTEXT('Incurred 2.5% cpi'!V50),"",'Incurred 2.5% cpi'!V50/'Incurred 2.5% cpi'!V$14*Incurred!V$14*BJ50)</f>
        <v/>
      </c>
      <c r="W50" s="127" t="str">
        <f>IF(ISTEXT('Incurred 2.5% cpi'!W50),"",'Incurred 2.5% cpi'!W50/'Incurred 2.5% cpi'!W$14*Incurred!W$14*BK50)</f>
        <v/>
      </c>
      <c r="X50" s="119" t="str">
        <f>IF(ISTEXT('Incurred 2.5% cpi'!X50),"",'Incurred 2.5% cpi'!X50/'Incurred 2.5% cpi'!X$14*Incurred!X$14*BL50)</f>
        <v/>
      </c>
      <c r="Y50" s="95">
        <f t="shared" si="53"/>
        <v>484260.14999999991</v>
      </c>
      <c r="Z50" s="95">
        <f t="shared" si="83"/>
        <v>6271365.5299999993</v>
      </c>
      <c r="AA50" s="676">
        <f t="shared" si="84"/>
        <v>904375.73042399436</v>
      </c>
      <c r="AB50" s="676">
        <f t="shared" si="85"/>
        <v>820326.61596155993</v>
      </c>
      <c r="AC50" s="677">
        <f t="shared" si="86"/>
        <v>1.1024581097663335</v>
      </c>
      <c r="AD50" s="678" t="str">
        <f t="shared" si="87"/>
        <v>2016</v>
      </c>
      <c r="AE50" s="679">
        <v>41423</v>
      </c>
      <c r="AF50" s="678">
        <v>2018</v>
      </c>
      <c r="AG50" s="680"/>
      <c r="AH50" s="676">
        <f t="shared" si="106"/>
        <v>820326.61596155865</v>
      </c>
      <c r="AI50" s="95">
        <f t="shared" si="88"/>
        <v>-2260000</v>
      </c>
      <c r="AJ50" s="681" t="s">
        <v>0</v>
      </c>
      <c r="AK50" s="37">
        <f t="shared" si="89"/>
        <v>0</v>
      </c>
      <c r="AL50" s="31">
        <f t="shared" si="107"/>
        <v>2.2136929460580913E-2</v>
      </c>
      <c r="AM50" s="31">
        <f t="shared" si="107"/>
        <v>5.3813816325222377E-2</v>
      </c>
      <c r="AN50" s="31">
        <f t="shared" si="107"/>
        <v>0.11134319172125574</v>
      </c>
      <c r="AO50" s="31">
        <f t="shared" si="107"/>
        <v>9.0968890737851332E-2</v>
      </c>
      <c r="AP50" s="31">
        <f t="shared" si="107"/>
        <v>7.4541536858258553E-2</v>
      </c>
      <c r="AQ50" s="31">
        <f t="shared" si="107"/>
        <v>1.1751232220950061E-2</v>
      </c>
      <c r="AR50" s="31">
        <f t="shared" si="107"/>
        <v>0</v>
      </c>
      <c r="AS50" s="31">
        <f t="shared" si="107"/>
        <v>6.8464730290456431E-4</v>
      </c>
      <c r="AT50" s="31">
        <f t="shared" si="107"/>
        <v>0</v>
      </c>
      <c r="AU50" s="31">
        <f t="shared" si="107"/>
        <v>0.17341498239445721</v>
      </c>
      <c r="AV50" s="31">
        <f t="shared" si="108"/>
        <v>1.7950403456968127E-2</v>
      </c>
      <c r="AW50" s="31">
        <f t="shared" si="108"/>
        <v>6.5339859349486357E-2</v>
      </c>
      <c r="AX50" s="31">
        <f t="shared" si="108"/>
        <v>5.6745630269864544E-3</v>
      </c>
      <c r="AY50" s="31">
        <f t="shared" si="108"/>
        <v>0</v>
      </c>
      <c r="AZ50" s="31">
        <f t="shared" si="108"/>
        <v>0.18794046685627466</v>
      </c>
      <c r="BA50" s="31">
        <f t="shared" si="108"/>
        <v>4.4902024194389448E-2</v>
      </c>
      <c r="BB50" s="31">
        <f t="shared" si="108"/>
        <v>1.1915879815256323E-2</v>
      </c>
      <c r="BC50" s="31">
        <f t="shared" si="108"/>
        <v>0</v>
      </c>
      <c r="BD50" s="31">
        <f t="shared" si="108"/>
        <v>0.12762157627915785</v>
      </c>
      <c r="BE50" s="30">
        <f t="shared" si="109"/>
        <v>0.99999999999999989</v>
      </c>
      <c r="BF50" s="620">
        <f t="shared" si="45"/>
        <v>1.0030444840366091</v>
      </c>
      <c r="BG50" s="620">
        <f t="shared" si="90"/>
        <v>1.0061087572194563</v>
      </c>
      <c r="BH50" s="620">
        <f t="shared" si="91"/>
        <v>1.0096674390946898</v>
      </c>
      <c r="BI50" s="620">
        <f t="shared" si="92"/>
        <v>1.0139698854818469</v>
      </c>
      <c r="BJ50" s="620">
        <f t="shared" si="93"/>
        <v>1.0192757579764089</v>
      </c>
      <c r="BK50" s="620">
        <f t="shared" si="94"/>
        <v>1.0248838240271385</v>
      </c>
      <c r="BL50" s="620">
        <f t="shared" si="95"/>
        <v>1.0289708850333266</v>
      </c>
      <c r="BM50" s="621" t="str">
        <f t="shared" si="96"/>
        <v>Category</v>
      </c>
    </row>
    <row r="51" spans="1:65" x14ac:dyDescent="0.15">
      <c r="A51" s="12" t="s">
        <v>104</v>
      </c>
      <c r="B51" s="13" t="s">
        <v>105</v>
      </c>
      <c r="C51" s="13" t="s">
        <v>27</v>
      </c>
      <c r="D51" s="13" t="s">
        <v>54</v>
      </c>
      <c r="E51" s="13" t="s">
        <v>29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54051.360000000001</v>
      </c>
      <c r="M51" s="15">
        <v>71052.52</v>
      </c>
      <c r="N51" s="804">
        <v>18775.68</v>
      </c>
      <c r="O51" s="14">
        <v>45776.79</v>
      </c>
      <c r="P51" s="15">
        <v>108256.04</v>
      </c>
      <c r="Q51" s="16">
        <f>IF(ISTEXT('Incurred 2.5% cpi'!Q51),"",'Incurred 2.5% cpi'!Q51/'Incurred 2.5% cpi'!Q$14*Incurred!Q$14)</f>
        <v>512659.14</v>
      </c>
      <c r="R51" s="127">
        <f>IF(ISTEXT('Incurred 2.5% cpi'!R51),"",'Incurred 2.5% cpi'!R51/'Incurred 2.5% cpi'!R$14*Incurred!R$14*BF51)</f>
        <v>108677.35786254912</v>
      </c>
      <c r="S51" s="119" t="str">
        <f>IF(ISTEXT('Incurred 2.5% cpi'!S51),"",'Incurred 2.5% cpi'!S51/'Incurred 2.5% cpi'!S$14*Incurred!S$14*BG51)</f>
        <v/>
      </c>
      <c r="T51" s="16" t="str">
        <f>IF(ISTEXT('Incurred 2.5% cpi'!T51),"",'Incurred 2.5% cpi'!T51/'Incurred 2.5% cpi'!T$14*Incurred!T$14*BH51)</f>
        <v/>
      </c>
      <c r="U51" s="16" t="str">
        <f>IF(ISTEXT('Incurred 2.5% cpi'!U51),"",'Incurred 2.5% cpi'!U51/'Incurred 2.5% cpi'!U$14*Incurred!U$14*BI51)</f>
        <v/>
      </c>
      <c r="V51" s="16" t="str">
        <f>IF(ISTEXT('Incurred 2.5% cpi'!V51),"",'Incurred 2.5% cpi'!V51/'Incurred 2.5% cpi'!V$14*Incurred!V$14*BJ51)</f>
        <v/>
      </c>
      <c r="W51" s="127" t="str">
        <f>IF(ISTEXT('Incurred 2.5% cpi'!W51),"",'Incurred 2.5% cpi'!W51/'Incurred 2.5% cpi'!W$14*Incurred!W$14*BK51)</f>
        <v/>
      </c>
      <c r="X51" s="119" t="str">
        <f>IF(ISTEXT('Incurred 2.5% cpi'!X51),"",'Incurred 2.5% cpi'!X51/'Incurred 2.5% cpi'!X$14*Incurred!X$14*BL51)</f>
        <v/>
      </c>
      <c r="Y51" s="95">
        <f t="shared" si="53"/>
        <v>919248.88786254916</v>
      </c>
      <c r="Z51" s="95">
        <f t="shared" si="83"/>
        <v>919248.88786254916</v>
      </c>
      <c r="AA51" s="676">
        <f t="shared" si="84"/>
        <v>1048656.2037843883</v>
      </c>
      <c r="AB51" s="676">
        <f t="shared" si="85"/>
        <v>951198.23102090601</v>
      </c>
      <c r="AC51" s="677">
        <f t="shared" si="86"/>
        <v>1.1024581097663335</v>
      </c>
      <c r="AD51" s="678" t="str">
        <f t="shared" si="87"/>
        <v>2018</v>
      </c>
      <c r="AE51" s="679">
        <v>42970</v>
      </c>
      <c r="AF51" s="678">
        <v>2018</v>
      </c>
      <c r="AG51" s="680"/>
      <c r="AH51" s="676">
        <f t="shared" si="106"/>
        <v>951198.23102090578</v>
      </c>
      <c r="AI51" s="95">
        <f t="shared" si="88"/>
        <v>108677.35786254912</v>
      </c>
      <c r="AJ51" s="681" t="s">
        <v>0</v>
      </c>
      <c r="AK51" s="37">
        <f t="shared" si="89"/>
        <v>0</v>
      </c>
      <c r="AL51" s="31">
        <f t="shared" si="107"/>
        <v>0</v>
      </c>
      <c r="AM51" s="31">
        <f t="shared" si="107"/>
        <v>0</v>
      </c>
      <c r="AN51" s="31">
        <f t="shared" si="107"/>
        <v>0</v>
      </c>
      <c r="AO51" s="31">
        <f t="shared" si="107"/>
        <v>0</v>
      </c>
      <c r="AP51" s="31">
        <f t="shared" si="107"/>
        <v>0</v>
      </c>
      <c r="AQ51" s="31">
        <f t="shared" si="107"/>
        <v>0</v>
      </c>
      <c r="AR51" s="31">
        <f t="shared" si="107"/>
        <v>0</v>
      </c>
      <c r="AS51" s="31">
        <f t="shared" si="107"/>
        <v>1</v>
      </c>
      <c r="AT51" s="31">
        <f t="shared" si="107"/>
        <v>0</v>
      </c>
      <c r="AU51" s="31">
        <f t="shared" si="107"/>
        <v>0</v>
      </c>
      <c r="AV51" s="31">
        <f t="shared" si="108"/>
        <v>0</v>
      </c>
      <c r="AW51" s="31">
        <f t="shared" si="108"/>
        <v>0</v>
      </c>
      <c r="AX51" s="31">
        <f t="shared" si="108"/>
        <v>0</v>
      </c>
      <c r="AY51" s="31">
        <f t="shared" si="108"/>
        <v>0</v>
      </c>
      <c r="AZ51" s="31">
        <f t="shared" si="108"/>
        <v>0</v>
      </c>
      <c r="BA51" s="31">
        <f t="shared" si="108"/>
        <v>0</v>
      </c>
      <c r="BB51" s="31">
        <f t="shared" si="108"/>
        <v>0</v>
      </c>
      <c r="BC51" s="31">
        <f t="shared" si="108"/>
        <v>0</v>
      </c>
      <c r="BD51" s="31">
        <f t="shared" si="108"/>
        <v>0</v>
      </c>
      <c r="BE51" s="30">
        <f t="shared" si="109"/>
        <v>1</v>
      </c>
      <c r="BF51" s="620">
        <f t="shared" si="45"/>
        <v>1.0030818160192299</v>
      </c>
      <c r="BG51" s="620">
        <f t="shared" si="90"/>
        <v>1.006183663842585</v>
      </c>
      <c r="BH51" s="620">
        <f t="shared" si="91"/>
        <v>1.0097859828820543</v>
      </c>
      <c r="BI51" s="620">
        <f t="shared" si="92"/>
        <v>1.0141411866007726</v>
      </c>
      <c r="BJ51" s="620">
        <f t="shared" si="93"/>
        <v>1.0195121206090012</v>
      </c>
      <c r="BK51" s="620">
        <f t="shared" si="94"/>
        <v>1.0251889537223347</v>
      </c>
      <c r="BL51" s="620">
        <f t="shared" si="95"/>
        <v>1.0293261309677997</v>
      </c>
      <c r="BM51" s="621" t="str">
        <f t="shared" si="96"/>
        <v>Category</v>
      </c>
    </row>
    <row r="52" spans="1:65" x14ac:dyDescent="0.15">
      <c r="A52" s="12" t="s">
        <v>110</v>
      </c>
      <c r="B52" s="13" t="s">
        <v>111</v>
      </c>
      <c r="C52" s="13" t="s">
        <v>27</v>
      </c>
      <c r="D52" s="13" t="s">
        <v>40</v>
      </c>
      <c r="E52" s="13" t="s">
        <v>29</v>
      </c>
      <c r="F52" s="14">
        <v>0</v>
      </c>
      <c r="G52" s="14">
        <v>0</v>
      </c>
      <c r="H52" s="14">
        <v>54192</v>
      </c>
      <c r="I52" s="14">
        <v>0</v>
      </c>
      <c r="J52" s="14">
        <v>29678.639999999999</v>
      </c>
      <c r="K52" s="14">
        <v>732303.74</v>
      </c>
      <c r="L52" s="14">
        <v>3901923.03</v>
      </c>
      <c r="M52" s="15">
        <v>19554374.670000002</v>
      </c>
      <c r="N52" s="804">
        <v>14103021.539999999</v>
      </c>
      <c r="O52" s="14">
        <v>8009727.3799999999</v>
      </c>
      <c r="P52" s="15">
        <v>3145956.1</v>
      </c>
      <c r="Q52" s="16">
        <f>IF(ISTEXT('Incurred 2.5% cpi'!Q52),"",'Incurred 2.5% cpi'!Q52/'Incurred 2.5% cpi'!Q$14*Incurred!Q$14)</f>
        <v>120668.72</v>
      </c>
      <c r="R52" s="127" t="str">
        <f>IF(ISTEXT('Incurred 2.5% cpi'!R52),"",'Incurred 2.5% cpi'!R52/'Incurred 2.5% cpi'!R$14*Incurred!R$14*BF52)</f>
        <v/>
      </c>
      <c r="S52" s="119" t="str">
        <f>IF(ISTEXT('Incurred 2.5% cpi'!S52),"",'Incurred 2.5% cpi'!S52/'Incurred 2.5% cpi'!S$14*Incurred!S$14*BG52)</f>
        <v/>
      </c>
      <c r="T52" s="16" t="str">
        <f>IF(ISTEXT('Incurred 2.5% cpi'!T52),"",'Incurred 2.5% cpi'!T52/'Incurred 2.5% cpi'!T$14*Incurred!T$14*BH52)</f>
        <v/>
      </c>
      <c r="U52" s="16" t="str">
        <f>IF(ISTEXT('Incurred 2.5% cpi'!U52),"",'Incurred 2.5% cpi'!U52/'Incurred 2.5% cpi'!U$14*Incurred!U$14*BI52)</f>
        <v/>
      </c>
      <c r="V52" s="16" t="str">
        <f>IF(ISTEXT('Incurred 2.5% cpi'!V52),"",'Incurred 2.5% cpi'!V52/'Incurred 2.5% cpi'!V$14*Incurred!V$14*BJ52)</f>
        <v/>
      </c>
      <c r="W52" s="127" t="str">
        <f>IF(ISTEXT('Incurred 2.5% cpi'!W52),"",'Incurred 2.5% cpi'!W52/'Incurred 2.5% cpi'!W$14*Incurred!W$14*BK52)</f>
        <v/>
      </c>
      <c r="X52" s="119" t="str">
        <f>IF(ISTEXT('Incurred 2.5% cpi'!X52),"",'Incurred 2.5% cpi'!X52/'Incurred 2.5% cpi'!X$14*Incurred!X$14*BL52)</f>
        <v/>
      </c>
      <c r="Y52" s="95">
        <f t="shared" si="53"/>
        <v>49651845.820000008</v>
      </c>
      <c r="Z52" s="95">
        <f t="shared" si="83"/>
        <v>49651845.820000008</v>
      </c>
      <c r="AA52" s="676">
        <f t="shared" si="84"/>
        <v>59206962.384391844</v>
      </c>
      <c r="AB52" s="676">
        <f t="shared" si="85"/>
        <v>51649467.105795838</v>
      </c>
      <c r="AC52" s="677">
        <f t="shared" si="86"/>
        <v>1.1463228122589466</v>
      </c>
      <c r="AD52" s="678" t="str">
        <f t="shared" si="87"/>
        <v>2017</v>
      </c>
      <c r="AE52" s="679">
        <v>42447</v>
      </c>
      <c r="AF52" s="678">
        <v>2016</v>
      </c>
      <c r="AG52" s="680"/>
      <c r="AH52" s="676">
        <f>IF(ROUND(Y52,0)=0,0,SUMPRODUCT($F$16:$W$16,F52:W52))</f>
        <v>53704500.75145328</v>
      </c>
      <c r="AI52" s="95">
        <f t="shared" si="88"/>
        <v>120668.72</v>
      </c>
      <c r="AJ52" s="681" t="s">
        <v>0</v>
      </c>
      <c r="AK52" s="37">
        <f t="shared" si="89"/>
        <v>0</v>
      </c>
      <c r="AL52" s="31">
        <f t="shared" ref="AL52:AU52" si="110">IF($AK52=0,VLOOKUP(MID($A52,4,5),ProjectSplits,AL$20,FALSE),IF(ISNA(VLOOKUP($A52,Estimates,AL$19,FALSE)),VLOOKUP(MID($A52,4,5),ProjectSplits,AL$20,FALSE),VLOOKUP($A52,Estimates,AL$19,FALSE)))</f>
        <v>0</v>
      </c>
      <c r="AM52" s="31">
        <f t="shared" si="110"/>
        <v>5.4800000208486938E-2</v>
      </c>
      <c r="AN52" s="31">
        <f t="shared" si="110"/>
        <v>9.1600000273894575E-2</v>
      </c>
      <c r="AO52" s="31">
        <f t="shared" si="110"/>
        <v>0</v>
      </c>
      <c r="AP52" s="31">
        <f t="shared" si="110"/>
        <v>0</v>
      </c>
      <c r="AQ52" s="31">
        <f t="shared" si="110"/>
        <v>0</v>
      </c>
      <c r="AR52" s="31">
        <f t="shared" si="110"/>
        <v>0</v>
      </c>
      <c r="AS52" s="31">
        <f t="shared" si="110"/>
        <v>0</v>
      </c>
      <c r="AT52" s="31">
        <f t="shared" si="110"/>
        <v>0</v>
      </c>
      <c r="AU52" s="31">
        <f t="shared" si="110"/>
        <v>0.10100000006472634</v>
      </c>
      <c r="AV52" s="31">
        <f t="shared" ref="AV52:BD52" si="111">IF($AK52=0,VLOOKUP(MID($A52,4,5),ProjectSplits,AV$20,FALSE),IF(ISNA(VLOOKUP($A52,Estimates,AV$19,FALSE)),VLOOKUP(MID($A52,4,5),ProjectSplits,AV$20,FALSE),VLOOKUP($A52,Estimates,AV$19,FALSE)))</f>
        <v>0</v>
      </c>
      <c r="AW52" s="31">
        <f t="shared" si="111"/>
        <v>0.30879999978606243</v>
      </c>
      <c r="AX52" s="31">
        <f t="shared" si="111"/>
        <v>0</v>
      </c>
      <c r="AY52" s="31">
        <f t="shared" si="111"/>
        <v>0</v>
      </c>
      <c r="AZ52" s="31">
        <f t="shared" si="111"/>
        <v>0.44379999966682976</v>
      </c>
      <c r="BA52" s="31">
        <f t="shared" si="111"/>
        <v>0</v>
      </c>
      <c r="BB52" s="31">
        <f t="shared" si="111"/>
        <v>0</v>
      </c>
      <c r="BC52" s="31">
        <f t="shared" si="111"/>
        <v>0</v>
      </c>
      <c r="BD52" s="31">
        <f t="shared" si="111"/>
        <v>0</v>
      </c>
      <c r="BE52" s="30">
        <f t="shared" ref="BE52" si="112">SUM(AL52:BD52)</f>
        <v>1</v>
      </c>
      <c r="BF52" s="620">
        <f t="shared" si="45"/>
        <v>1.0034498951996242</v>
      </c>
      <c r="BG52" s="620">
        <f t="shared" si="90"/>
        <v>1.0069222147180459</v>
      </c>
      <c r="BH52" s="620">
        <f t="shared" si="91"/>
        <v>1.0109547796356901</v>
      </c>
      <c r="BI52" s="620">
        <f t="shared" si="92"/>
        <v>1.0158301506211216</v>
      </c>
      <c r="BJ52" s="620">
        <f t="shared" si="93"/>
        <v>1.0218425664619335</v>
      </c>
      <c r="BK52" s="620">
        <f t="shared" si="94"/>
        <v>1.0281974167140426</v>
      </c>
      <c r="BL52" s="620">
        <f t="shared" si="95"/>
        <v>1.0328287210586446</v>
      </c>
      <c r="BM52" s="621" t="str">
        <f t="shared" si="96"/>
        <v>Category</v>
      </c>
    </row>
    <row r="53" spans="1:65" x14ac:dyDescent="0.15">
      <c r="A53" s="608" t="s">
        <v>114</v>
      </c>
      <c r="B53" s="609" t="s">
        <v>115</v>
      </c>
      <c r="C53" s="609" t="s">
        <v>27</v>
      </c>
      <c r="D53" s="609" t="s">
        <v>40</v>
      </c>
      <c r="E53" s="609" t="s">
        <v>29</v>
      </c>
      <c r="F53" s="606">
        <v>0</v>
      </c>
      <c r="G53" s="606">
        <v>0</v>
      </c>
      <c r="H53" s="606">
        <v>0</v>
      </c>
      <c r="I53" s="606">
        <v>0</v>
      </c>
      <c r="J53" s="606">
        <v>0</v>
      </c>
      <c r="K53" s="606">
        <v>0</v>
      </c>
      <c r="L53" s="606">
        <v>406723.76</v>
      </c>
      <c r="M53" s="610">
        <v>1683133.11</v>
      </c>
      <c r="N53" s="805">
        <v>9006445.4700000007</v>
      </c>
      <c r="O53" s="615">
        <v>13834207.35</v>
      </c>
      <c r="P53" s="610">
        <v>31162866.48</v>
      </c>
      <c r="Q53" s="610">
        <f>IF(ISTEXT('Incurred 2.5% cpi'!Q53),"",'Incurred 2.5% cpi'!Q53/'Incurred 2.5% cpi'!Q$14*Incurred!Q$14)</f>
        <v>14184599.66</v>
      </c>
      <c r="R53" s="611" t="str">
        <f>IF(ISTEXT('Incurred 2.5% cpi'!R53),"",'Incurred 2.5% cpi'!R53/'Incurred 2.5% cpi'!R$14*Incurred!R$14*BF53)</f>
        <v/>
      </c>
      <c r="S53" s="612" t="str">
        <f>IF(ISTEXT('Incurred 2.5% cpi'!S53),"",'Incurred 2.5% cpi'!S53/'Incurred 2.5% cpi'!S$14*Incurred!S$14*BG53)</f>
        <v/>
      </c>
      <c r="T53" s="610" t="str">
        <f>IF(ISTEXT('Incurred 2.5% cpi'!T53),"",'Incurred 2.5% cpi'!T53/'Incurred 2.5% cpi'!T$14*Incurred!T$14*BH53)</f>
        <v/>
      </c>
      <c r="U53" s="610" t="str">
        <f>IF(ISTEXT('Incurred 2.5% cpi'!U53),"",'Incurred 2.5% cpi'!U53/'Incurred 2.5% cpi'!U$14*Incurred!U$14*BI53)</f>
        <v/>
      </c>
      <c r="V53" s="610" t="str">
        <f>IF(ISTEXT('Incurred 2.5% cpi'!V53),"",'Incurred 2.5% cpi'!V53/'Incurred 2.5% cpi'!V$14*Incurred!V$14*BJ53)</f>
        <v/>
      </c>
      <c r="W53" s="611" t="str">
        <f>IF(ISTEXT('Incurred 2.5% cpi'!W53),"",'Incurred 2.5% cpi'!W53/'Incurred 2.5% cpi'!W$14*Incurred!W$14*BK53)</f>
        <v/>
      </c>
      <c r="X53" s="612" t="str">
        <f>IF(ISTEXT('Incurred 2.5% cpi'!X53),"",'Incurred 2.5% cpi'!X53/'Incurred 2.5% cpi'!X$14*Incurred!X$14*BL53)</f>
        <v/>
      </c>
      <c r="Y53" s="95">
        <f t="shared" si="53"/>
        <v>70277975.829999998</v>
      </c>
      <c r="Z53" s="95">
        <f t="shared" si="83"/>
        <v>70277975.829999998</v>
      </c>
      <c r="AA53" s="676">
        <f>IF(ROUND(Y53,0)=0,0,SUMPRODUCT($F$17:$W$17,F53:W53))</f>
        <v>80877282.601911932</v>
      </c>
      <c r="AB53" s="676">
        <f t="shared" si="85"/>
        <v>71943578.359618351</v>
      </c>
      <c r="AC53" s="677">
        <f>IF(AF53="","",IF(AF53&lt;AD53,INDEX($F$17:$W$17,1,MATCH(TEXT(AF53,"000"),$F$21:$W$21)),INDEX($F$17:$W$17,1,MATCH(AD53,$F$21:$W$21))))</f>
        <v>1.1241765345287305</v>
      </c>
      <c r="AD53" s="678" t="str">
        <f t="shared" si="87"/>
        <v>2017</v>
      </c>
      <c r="AE53" s="679">
        <v>43420</v>
      </c>
      <c r="AF53" s="678">
        <v>2017</v>
      </c>
      <c r="AG53" s="680"/>
      <c r="AH53" s="676">
        <f>IF(ROUND(Y53,0)=0,0,SUMPRODUCT($F$16:$W$16,F53:W53))</f>
        <v>73360866.853302836</v>
      </c>
      <c r="AI53" s="95">
        <f t="shared" si="88"/>
        <v>14184599.66</v>
      </c>
      <c r="AJ53" s="681" t="s">
        <v>3059</v>
      </c>
      <c r="AK53" s="37">
        <f t="shared" si="89"/>
        <v>55413255.620694734</v>
      </c>
      <c r="AL53" s="31">
        <f t="shared" ref="AL53:BD53" si="113">IF($AK53=0,VLOOKUP(MID($A53,4,5),ProjectSplits,AL$20,FALSE),IF(ISNA(VLOOKUP($A53,Estimates,AL$19,FALSE)),VLOOKUP(MID($A53,4,5),ProjectSplits,AL$20,FALSE),VLOOKUP($A53,Estimates,AL$19,FALSE)))</f>
        <v>0</v>
      </c>
      <c r="AM53" s="31">
        <f t="shared" si="113"/>
        <v>2.0736493800065814E-2</v>
      </c>
      <c r="AN53" s="31">
        <f t="shared" si="113"/>
        <v>0.14009851116809655</v>
      </c>
      <c r="AO53" s="31">
        <f t="shared" si="113"/>
        <v>0</v>
      </c>
      <c r="AP53" s="31">
        <f t="shared" si="113"/>
        <v>1.1730045324340205E-3</v>
      </c>
      <c r="AQ53" s="31">
        <f t="shared" si="113"/>
        <v>0</v>
      </c>
      <c r="AR53" s="31">
        <f t="shared" si="113"/>
        <v>0</v>
      </c>
      <c r="AS53" s="31">
        <f t="shared" si="113"/>
        <v>0</v>
      </c>
      <c r="AT53" s="31">
        <f t="shared" si="113"/>
        <v>0</v>
      </c>
      <c r="AU53" s="31">
        <f t="shared" si="113"/>
        <v>0.32336100731679684</v>
      </c>
      <c r="AV53" s="31">
        <f t="shared" si="113"/>
        <v>3.9093173208885737E-2</v>
      </c>
      <c r="AW53" s="31">
        <f t="shared" si="113"/>
        <v>0.15870496759294167</v>
      </c>
      <c r="AX53" s="31">
        <f t="shared" si="113"/>
        <v>1.1525852303274063E-2</v>
      </c>
      <c r="AY53" s="31">
        <f t="shared" si="113"/>
        <v>0</v>
      </c>
      <c r="AZ53" s="31">
        <f t="shared" si="113"/>
        <v>0.21744896686091472</v>
      </c>
      <c r="BA53" s="31">
        <f t="shared" si="113"/>
        <v>4.6810083070830268E-2</v>
      </c>
      <c r="BB53" s="31">
        <f t="shared" si="113"/>
        <v>4.104794014576036E-2</v>
      </c>
      <c r="BC53" s="31">
        <f t="shared" si="113"/>
        <v>0</v>
      </c>
      <c r="BD53" s="31">
        <f t="shared" si="113"/>
        <v>0</v>
      </c>
      <c r="BE53" s="30">
        <f>SUM(AL53:BD53)</f>
        <v>1</v>
      </c>
      <c r="BF53" s="620">
        <f t="shared" ref="BF53:BF85" si="114">1+IF(ISNA(VLOOKUP($A53,ProjLabEsc,7,FALSE)),VLOOKUP(D53,CatLabEsc,4,FALSE),VLOOKUP(A53,ProjLabEsc,7,FALSE))*Labesc18*LabIn</f>
        <v>1.0034498951996242</v>
      </c>
      <c r="BG53" s="620">
        <f t="shared" si="90"/>
        <v>1.0069222147180459</v>
      </c>
      <c r="BH53" s="620">
        <f t="shared" si="91"/>
        <v>1.0109547796356901</v>
      </c>
      <c r="BI53" s="620">
        <f t="shared" si="92"/>
        <v>1.0158301506211216</v>
      </c>
      <c r="BJ53" s="620">
        <f t="shared" si="93"/>
        <v>1.0218425664619335</v>
      </c>
      <c r="BK53" s="620">
        <f t="shared" si="94"/>
        <v>1.0281974167140426</v>
      </c>
      <c r="BL53" s="620">
        <f t="shared" si="95"/>
        <v>1.0328287210586446</v>
      </c>
      <c r="BM53" s="621" t="str">
        <f t="shared" si="96"/>
        <v>Category</v>
      </c>
    </row>
    <row r="54" spans="1:65" x14ac:dyDescent="0.15">
      <c r="A54" s="12" t="s">
        <v>117</v>
      </c>
      <c r="B54" s="13" t="s">
        <v>118</v>
      </c>
      <c r="C54" s="13" t="s">
        <v>27</v>
      </c>
      <c r="D54" s="13" t="s">
        <v>40</v>
      </c>
      <c r="E54" s="13" t="s">
        <v>32</v>
      </c>
      <c r="F54" s="14">
        <v>0</v>
      </c>
      <c r="G54" s="14">
        <v>0</v>
      </c>
      <c r="H54" s="14">
        <v>0</v>
      </c>
      <c r="I54" s="14">
        <v>0</v>
      </c>
      <c r="J54" s="14">
        <v>0</v>
      </c>
      <c r="K54" s="14">
        <v>0</v>
      </c>
      <c r="L54" s="14">
        <v>0</v>
      </c>
      <c r="M54" s="15">
        <v>20153.740000000002</v>
      </c>
      <c r="N54" s="804">
        <v>372949.98</v>
      </c>
      <c r="O54" s="14">
        <v>731802.21</v>
      </c>
      <c r="P54" s="15">
        <v>494183.48</v>
      </c>
      <c r="Q54" s="16">
        <f>IF(ISTEXT('Incurred 2.5% cpi'!Q54),"",'Incurred 2.5% cpi'!Q54/'Incurred 2.5% cpi'!Q$14*Incurred!Q$14)</f>
        <v>20020.939999999999</v>
      </c>
      <c r="R54" s="127" t="str">
        <f>IF(ISTEXT('Incurred 2.5% cpi'!R54),"",'Incurred 2.5% cpi'!R54/'Incurred 2.5% cpi'!R$14*Incurred!R$14*BF54)</f>
        <v/>
      </c>
      <c r="S54" s="119" t="str">
        <f>IF(ISTEXT('Incurred 2.5% cpi'!S54),"",'Incurred 2.5% cpi'!S54/'Incurred 2.5% cpi'!S$14*Incurred!S$14*BG54)</f>
        <v/>
      </c>
      <c r="T54" s="16" t="str">
        <f>IF(ISTEXT('Incurred 2.5% cpi'!T54),"",'Incurred 2.5% cpi'!T54/'Incurred 2.5% cpi'!T$14*Incurred!T$14*BH54)</f>
        <v/>
      </c>
      <c r="U54" s="16" t="str">
        <f>IF(ISTEXT('Incurred 2.5% cpi'!U54),"",'Incurred 2.5% cpi'!U54/'Incurred 2.5% cpi'!U$14*Incurred!U$14*BI54)</f>
        <v/>
      </c>
      <c r="V54" s="16" t="str">
        <f>IF(ISTEXT('Incurred 2.5% cpi'!V54),"",'Incurred 2.5% cpi'!V54/'Incurred 2.5% cpi'!V$14*Incurred!V$14*BJ54)</f>
        <v/>
      </c>
      <c r="W54" s="127" t="str">
        <f>IF(ISTEXT('Incurred 2.5% cpi'!W54),"",'Incurred 2.5% cpi'!W54/'Incurred 2.5% cpi'!W$14*Incurred!W$14*BK54)</f>
        <v/>
      </c>
      <c r="X54" s="119" t="str">
        <f>IF(ISTEXT('Incurred 2.5% cpi'!X54),"",'Incurred 2.5% cpi'!X54/'Incurred 2.5% cpi'!X$14*Incurred!X$14*BL54)</f>
        <v/>
      </c>
      <c r="Y54" s="95">
        <f t="shared" ref="Y54:Y85" si="115">SUM(F54:W54)</f>
        <v>1639110.3499999999</v>
      </c>
      <c r="Z54" s="95">
        <f t="shared" si="83"/>
        <v>1639110.3499999999</v>
      </c>
      <c r="AA54" s="676">
        <f t="shared" si="84"/>
        <v>1902168.6184543716</v>
      </c>
      <c r="AB54" s="676">
        <f t="shared" si="85"/>
        <v>1692055.082124433</v>
      </c>
      <c r="AC54" s="677">
        <f t="shared" si="86"/>
        <v>1.1241765345287305</v>
      </c>
      <c r="AD54" s="678" t="str">
        <f t="shared" si="87"/>
        <v>2017</v>
      </c>
      <c r="AE54" s="679">
        <v>42583</v>
      </c>
      <c r="AF54" s="678">
        <v>2017</v>
      </c>
      <c r="AG54" s="680"/>
      <c r="AH54" s="676">
        <f t="shared" ref="AH54:AH62" si="116">IF(ROUND(Y54,0)=0,0,SUMPRODUCT($F$16:$W$16,F54:W54))</f>
        <v>1725388.5672422841</v>
      </c>
      <c r="AI54" s="95">
        <f t="shared" si="88"/>
        <v>20020.939999999999</v>
      </c>
      <c r="AJ54" s="681" t="s">
        <v>0</v>
      </c>
      <c r="AK54" s="37">
        <f t="shared" si="89"/>
        <v>0</v>
      </c>
      <c r="AL54" s="31">
        <f t="shared" ref="AL54:AU54" si="117">IF($AK54=0,VLOOKUP(MID($A54,4,5),ProjectSplits,AL$20,FALSE),IF(ISNA(VLOOKUP($A54,Estimates,AL$19,FALSE)),VLOOKUP(MID($A54,4,5),ProjectSplits,AL$20,FALSE),VLOOKUP($A54,Estimates,AL$19,FALSE)))</f>
        <v>0</v>
      </c>
      <c r="AM54" s="31">
        <f t="shared" si="117"/>
        <v>0</v>
      </c>
      <c r="AN54" s="31">
        <f t="shared" si="117"/>
        <v>0</v>
      </c>
      <c r="AO54" s="31">
        <f t="shared" si="117"/>
        <v>0</v>
      </c>
      <c r="AP54" s="31">
        <f t="shared" si="117"/>
        <v>0</v>
      </c>
      <c r="AQ54" s="31">
        <f t="shared" si="117"/>
        <v>0</v>
      </c>
      <c r="AR54" s="31">
        <f t="shared" si="117"/>
        <v>1</v>
      </c>
      <c r="AS54" s="31">
        <f t="shared" si="117"/>
        <v>0</v>
      </c>
      <c r="AT54" s="31">
        <f t="shared" si="117"/>
        <v>0</v>
      </c>
      <c r="AU54" s="31">
        <f t="shared" si="117"/>
        <v>0</v>
      </c>
      <c r="AV54" s="31">
        <f t="shared" ref="AV54:BD54" si="118">IF($AK54=0,VLOOKUP(MID($A54,4,5),ProjectSplits,AV$20,FALSE),IF(ISNA(VLOOKUP($A54,Estimates,AV$19,FALSE)),VLOOKUP(MID($A54,4,5),ProjectSplits,AV$20,FALSE),VLOOKUP($A54,Estimates,AV$19,FALSE)))</f>
        <v>0</v>
      </c>
      <c r="AW54" s="31">
        <f t="shared" si="118"/>
        <v>0</v>
      </c>
      <c r="AX54" s="31">
        <f t="shared" si="118"/>
        <v>0</v>
      </c>
      <c r="AY54" s="31">
        <f t="shared" si="118"/>
        <v>0</v>
      </c>
      <c r="AZ54" s="31">
        <f t="shared" si="118"/>
        <v>0</v>
      </c>
      <c r="BA54" s="31">
        <f t="shared" si="118"/>
        <v>0</v>
      </c>
      <c r="BB54" s="31">
        <f t="shared" si="118"/>
        <v>0</v>
      </c>
      <c r="BC54" s="31">
        <f t="shared" si="118"/>
        <v>0</v>
      </c>
      <c r="BD54" s="31">
        <f t="shared" si="118"/>
        <v>0</v>
      </c>
      <c r="BE54" s="30">
        <f t="shared" ref="BE54:BE62" si="119">SUM(AL54:BD54)</f>
        <v>1</v>
      </c>
      <c r="BF54" s="620">
        <f t="shared" si="114"/>
        <v>1.0034498951996242</v>
      </c>
      <c r="BG54" s="620">
        <f t="shared" si="90"/>
        <v>1.0069222147180459</v>
      </c>
      <c r="BH54" s="620">
        <f t="shared" si="91"/>
        <v>1.0109547796356901</v>
      </c>
      <c r="BI54" s="620">
        <f t="shared" si="92"/>
        <v>1.0158301506211216</v>
      </c>
      <c r="BJ54" s="620">
        <f t="shared" si="93"/>
        <v>1.0218425664619335</v>
      </c>
      <c r="BK54" s="620">
        <f t="shared" si="94"/>
        <v>1.0281974167140426</v>
      </c>
      <c r="BL54" s="620">
        <f t="shared" si="95"/>
        <v>1.0328287210586446</v>
      </c>
      <c r="BM54" s="621" t="str">
        <f t="shared" si="96"/>
        <v>Category</v>
      </c>
    </row>
    <row r="55" spans="1:65" x14ac:dyDescent="0.15">
      <c r="A55" s="12" t="s">
        <v>124</v>
      </c>
      <c r="B55" s="13" t="s">
        <v>125</v>
      </c>
      <c r="C55" s="13" t="s">
        <v>27</v>
      </c>
      <c r="D55" s="13" t="s">
        <v>55</v>
      </c>
      <c r="E55" s="13" t="s">
        <v>29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5">
        <v>0</v>
      </c>
      <c r="N55" s="804"/>
      <c r="O55" s="14"/>
      <c r="P55" s="15">
        <v>65315.69</v>
      </c>
      <c r="Q55" s="16">
        <f>IF(ISTEXT('Incurred 2.5% cpi'!Q55),"",'Incurred 2.5% cpi'!Q55/'Incurred 2.5% cpi'!Q$14*Incurred!Q$14)</f>
        <v>458622.65</v>
      </c>
      <c r="R55" s="127">
        <f>IF(ISTEXT('Incurred 2.5% cpi'!R55),"",'Incurred 2.5% cpi'!R55/'Incurred 2.5% cpi'!R$14*Incurred!R$14*BF55)</f>
        <v>2814328.1856889389</v>
      </c>
      <c r="S55" s="119">
        <f>IF(ISTEXT('Incurred 2.5% cpi'!S55),"",'Incurred 2.5% cpi'!S55/'Incurred 2.5% cpi'!S$14*Incurred!S$14*BG55)</f>
        <v>4471899.309019913</v>
      </c>
      <c r="T55" s="16" t="str">
        <f>IF(ISTEXT('Incurred 2.5% cpi'!T55),"",'Incurred 2.5% cpi'!T55/'Incurred 2.5% cpi'!T$14*Incurred!T$14*BH55)</f>
        <v/>
      </c>
      <c r="U55" s="16" t="str">
        <f>IF(ISTEXT('Incurred 2.5% cpi'!U55),"",'Incurred 2.5% cpi'!U55/'Incurred 2.5% cpi'!U$14*Incurred!U$14*BI55)</f>
        <v/>
      </c>
      <c r="V55" s="16" t="str">
        <f>IF(ISTEXT('Incurred 2.5% cpi'!V55),"",'Incurred 2.5% cpi'!V55/'Incurred 2.5% cpi'!V$14*Incurred!V$14*BJ55)</f>
        <v/>
      </c>
      <c r="W55" s="127" t="str">
        <f>IF(ISTEXT('Incurred 2.5% cpi'!W55),"",'Incurred 2.5% cpi'!W55/'Incurred 2.5% cpi'!W$14*Incurred!W$14*BK55)</f>
        <v/>
      </c>
      <c r="X55" s="119" t="str">
        <f>IF(ISTEXT('Incurred 2.5% cpi'!X55),"",'Incurred 2.5% cpi'!X55/'Incurred 2.5% cpi'!X$14*Incurred!X$14*BL55)</f>
        <v/>
      </c>
      <c r="Y55" s="95">
        <f t="shared" si="115"/>
        <v>7810165.8347088518</v>
      </c>
      <c r="Z55" s="95">
        <f t="shared" si="83"/>
        <v>7810165.8347088518</v>
      </c>
      <c r="AA55" s="676">
        <f t="shared" si="84"/>
        <v>8527960.0205061734</v>
      </c>
      <c r="AB55" s="676">
        <f t="shared" si="85"/>
        <v>7887792.5209813714</v>
      </c>
      <c r="AC55" s="677">
        <f t="shared" si="86"/>
        <v>1.0811592721058483</v>
      </c>
      <c r="AD55" s="678" t="str">
        <f t="shared" si="87"/>
        <v>2019</v>
      </c>
      <c r="AE55" s="679">
        <v>42982</v>
      </c>
      <c r="AF55" s="678">
        <v>2019</v>
      </c>
      <c r="AG55" s="680"/>
      <c r="AH55" s="676">
        <f t="shared" si="116"/>
        <v>7735405.0416606572</v>
      </c>
      <c r="AI55" s="95">
        <f t="shared" si="88"/>
        <v>4471899.309019913</v>
      </c>
      <c r="AJ55" s="681" t="s">
        <v>3059</v>
      </c>
      <c r="AK55" s="37">
        <f t="shared" si="89"/>
        <v>0</v>
      </c>
      <c r="AL55" s="31">
        <f t="shared" ref="AL55:AU62" si="120">IF($AK55=0,VLOOKUP(MID($A55,4,5),ProjectSplits,AL$20,FALSE),IF(ISNA(VLOOKUP($A55,Estimates,AL$19,FALSE)),VLOOKUP(MID($A55,4,5),ProjectSplits,AL$20,FALSE),VLOOKUP($A55,Estimates,AL$19,FALSE)))</f>
        <v>0</v>
      </c>
      <c r="AM55" s="31">
        <f t="shared" si="120"/>
        <v>0</v>
      </c>
      <c r="AN55" s="31">
        <f t="shared" si="120"/>
        <v>0</v>
      </c>
      <c r="AO55" s="31">
        <f t="shared" si="120"/>
        <v>1</v>
      </c>
      <c r="AP55" s="31">
        <f t="shared" si="120"/>
        <v>0</v>
      </c>
      <c r="AQ55" s="31">
        <f t="shared" si="120"/>
        <v>0</v>
      </c>
      <c r="AR55" s="31">
        <f t="shared" si="120"/>
        <v>0</v>
      </c>
      <c r="AS55" s="31">
        <f t="shared" si="120"/>
        <v>0</v>
      </c>
      <c r="AT55" s="31">
        <f t="shared" si="120"/>
        <v>0</v>
      </c>
      <c r="AU55" s="31">
        <f t="shared" si="120"/>
        <v>0</v>
      </c>
      <c r="AV55" s="31">
        <f t="shared" ref="AV55:BD62" si="121">IF($AK55=0,VLOOKUP(MID($A55,4,5),ProjectSplits,AV$20,FALSE),IF(ISNA(VLOOKUP($A55,Estimates,AV$19,FALSE)),VLOOKUP(MID($A55,4,5),ProjectSplits,AV$20,FALSE),VLOOKUP($A55,Estimates,AV$19,FALSE)))</f>
        <v>0</v>
      </c>
      <c r="AW55" s="31">
        <f t="shared" si="121"/>
        <v>0</v>
      </c>
      <c r="AX55" s="31">
        <f t="shared" si="121"/>
        <v>0</v>
      </c>
      <c r="AY55" s="31">
        <f t="shared" si="121"/>
        <v>0</v>
      </c>
      <c r="AZ55" s="31">
        <f t="shared" si="121"/>
        <v>0</v>
      </c>
      <c r="BA55" s="31">
        <f t="shared" si="121"/>
        <v>0</v>
      </c>
      <c r="BB55" s="31">
        <f t="shared" si="121"/>
        <v>0</v>
      </c>
      <c r="BC55" s="31">
        <f t="shared" si="121"/>
        <v>0</v>
      </c>
      <c r="BD55" s="31">
        <f t="shared" si="121"/>
        <v>0</v>
      </c>
      <c r="BE55" s="30">
        <f t="shared" si="119"/>
        <v>1</v>
      </c>
      <c r="BF55" s="620">
        <f t="shared" si="114"/>
        <v>1.0046190746045656</v>
      </c>
      <c r="BG55" s="620">
        <f t="shared" si="90"/>
        <v>1.0092681731940607</v>
      </c>
      <c r="BH55" s="620">
        <f t="shared" si="91"/>
        <v>1.0146673859598225</v>
      </c>
      <c r="BI55" s="620">
        <f t="shared" si="92"/>
        <v>1.0211950341936284</v>
      </c>
      <c r="BJ55" s="620">
        <f t="shared" si="93"/>
        <v>1.0292450750544078</v>
      </c>
      <c r="BK55" s="620">
        <f t="shared" si="94"/>
        <v>1.0377536023333034</v>
      </c>
      <c r="BL55" s="620">
        <f t="shared" si="95"/>
        <v>1.0439544690397748</v>
      </c>
      <c r="BM55" s="621" t="str">
        <f t="shared" si="96"/>
        <v>Category</v>
      </c>
    </row>
    <row r="56" spans="1:65" x14ac:dyDescent="0.15">
      <c r="A56" s="12" t="s">
        <v>126</v>
      </c>
      <c r="B56" s="13" t="s">
        <v>127</v>
      </c>
      <c r="C56" s="13" t="s">
        <v>27</v>
      </c>
      <c r="D56" s="13" t="s">
        <v>40</v>
      </c>
      <c r="E56" s="13" t="s">
        <v>32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281060.90000000002</v>
      </c>
      <c r="M56" s="15">
        <v>3275383.8</v>
      </c>
      <c r="N56" s="804">
        <v>213568.72</v>
      </c>
      <c r="O56" s="14">
        <v>52025.41</v>
      </c>
      <c r="P56" s="15">
        <v>41.02</v>
      </c>
      <c r="Q56" s="16" t="str">
        <f>IF(ISTEXT('Incurred 2.5% cpi'!Q56),"",'Incurred 2.5% cpi'!Q56/'Incurred 2.5% cpi'!Q$14*Incurred!Q$14)</f>
        <v/>
      </c>
      <c r="R56" s="127" t="str">
        <f>IF(ISTEXT('Incurred 2.5% cpi'!R56),"",'Incurred 2.5% cpi'!R56/'Incurred 2.5% cpi'!R$14*Incurred!R$14*BF56)</f>
        <v/>
      </c>
      <c r="S56" s="119" t="str">
        <f>IF(ISTEXT('Incurred 2.5% cpi'!S56),"",'Incurred 2.5% cpi'!S56/'Incurred 2.5% cpi'!S$14*Incurred!S$14*BG56)</f>
        <v/>
      </c>
      <c r="T56" s="16" t="str">
        <f>IF(ISTEXT('Incurred 2.5% cpi'!T56),"",'Incurred 2.5% cpi'!T56/'Incurred 2.5% cpi'!T$14*Incurred!T$14*BH56)</f>
        <v/>
      </c>
      <c r="U56" s="16" t="str">
        <f>IF(ISTEXT('Incurred 2.5% cpi'!U56),"",'Incurred 2.5% cpi'!U56/'Incurred 2.5% cpi'!U$14*Incurred!U$14*BI56)</f>
        <v/>
      </c>
      <c r="V56" s="16" t="str">
        <f>IF(ISTEXT('Incurred 2.5% cpi'!V56),"",'Incurred 2.5% cpi'!V56/'Incurred 2.5% cpi'!V$14*Incurred!V$14*BJ56)</f>
        <v/>
      </c>
      <c r="W56" s="127" t="str">
        <f>IF(ISTEXT('Incurred 2.5% cpi'!W56),"",'Incurred 2.5% cpi'!W56/'Incurred 2.5% cpi'!W$14*Incurred!W$14*BK56)</f>
        <v/>
      </c>
      <c r="X56" s="119" t="str">
        <f>IF(ISTEXT('Incurred 2.5% cpi'!X56),"",'Incurred 2.5% cpi'!X56/'Incurred 2.5% cpi'!X$14*Incurred!X$14*BL56)</f>
        <v/>
      </c>
      <c r="Y56" s="95">
        <f t="shared" si="115"/>
        <v>3822079.85</v>
      </c>
      <c r="Z56" s="95">
        <f t="shared" si="83"/>
        <v>3822079.85</v>
      </c>
      <c r="AA56" s="676">
        <f t="shared" si="84"/>
        <v>4628056.6270249179</v>
      </c>
      <c r="AB56" s="676">
        <f t="shared" si="85"/>
        <v>3932829.1405432727</v>
      </c>
      <c r="AC56" s="677">
        <f t="shared" si="86"/>
        <v>1.176775410687078</v>
      </c>
      <c r="AD56" s="678" t="str">
        <f t="shared" si="87"/>
        <v>2016</v>
      </c>
      <c r="AE56" s="679">
        <v>41457</v>
      </c>
      <c r="AF56" s="678">
        <v>2014</v>
      </c>
      <c r="AG56" s="680"/>
      <c r="AH56" s="676">
        <f t="shared" si="116"/>
        <v>4197943.2923812736</v>
      </c>
      <c r="AI56" s="95">
        <f t="shared" si="88"/>
        <v>41.02</v>
      </c>
      <c r="AJ56" s="681" t="s">
        <v>0</v>
      </c>
      <c r="AK56" s="37">
        <f t="shared" si="89"/>
        <v>0</v>
      </c>
      <c r="AL56" s="31">
        <f t="shared" si="120"/>
        <v>0</v>
      </c>
      <c r="AM56" s="31">
        <f t="shared" si="120"/>
        <v>0</v>
      </c>
      <c r="AN56" s="31">
        <f t="shared" si="120"/>
        <v>5.5000062818232809E-3</v>
      </c>
      <c r="AO56" s="31">
        <f t="shared" si="120"/>
        <v>0</v>
      </c>
      <c r="AP56" s="31">
        <f t="shared" si="120"/>
        <v>0</v>
      </c>
      <c r="AQ56" s="31">
        <f t="shared" si="120"/>
        <v>0</v>
      </c>
      <c r="AR56" s="31">
        <f t="shared" si="120"/>
        <v>0</v>
      </c>
      <c r="AS56" s="31">
        <f t="shared" si="120"/>
        <v>0</v>
      </c>
      <c r="AT56" s="31">
        <f t="shared" si="120"/>
        <v>0</v>
      </c>
      <c r="AU56" s="31">
        <f t="shared" si="120"/>
        <v>0.48860002652237311</v>
      </c>
      <c r="AV56" s="31">
        <f t="shared" si="121"/>
        <v>0</v>
      </c>
      <c r="AW56" s="31">
        <f t="shared" si="121"/>
        <v>0.42799997586353072</v>
      </c>
      <c r="AX56" s="31">
        <f t="shared" si="121"/>
        <v>0</v>
      </c>
      <c r="AY56" s="31">
        <f t="shared" si="121"/>
        <v>0</v>
      </c>
      <c r="AZ56" s="31">
        <f t="shared" si="121"/>
        <v>6.7599985918411293E-2</v>
      </c>
      <c r="BA56" s="31">
        <f t="shared" si="121"/>
        <v>1.0300005413861578E-2</v>
      </c>
      <c r="BB56" s="31">
        <f t="shared" si="121"/>
        <v>0</v>
      </c>
      <c r="BC56" s="31">
        <f t="shared" si="121"/>
        <v>0</v>
      </c>
      <c r="BD56" s="31">
        <f t="shared" si="121"/>
        <v>0</v>
      </c>
      <c r="BE56" s="30">
        <f t="shared" si="119"/>
        <v>1</v>
      </c>
      <c r="BF56" s="620">
        <f t="shared" si="114"/>
        <v>1.0034498951996242</v>
      </c>
      <c r="BG56" s="620">
        <f t="shared" si="90"/>
        <v>1.0069222147180459</v>
      </c>
      <c r="BH56" s="620">
        <f t="shared" si="91"/>
        <v>1.0109547796356901</v>
      </c>
      <c r="BI56" s="620">
        <f t="shared" si="92"/>
        <v>1.0158301506211216</v>
      </c>
      <c r="BJ56" s="620">
        <f t="shared" si="93"/>
        <v>1.0218425664619335</v>
      </c>
      <c r="BK56" s="620">
        <f t="shared" si="94"/>
        <v>1.0281974167140426</v>
      </c>
      <c r="BL56" s="620">
        <f t="shared" si="95"/>
        <v>1.0328287210586446</v>
      </c>
      <c r="BM56" s="621" t="str">
        <f t="shared" si="96"/>
        <v>Category</v>
      </c>
    </row>
    <row r="57" spans="1:65" x14ac:dyDescent="0.15">
      <c r="A57" s="12" t="s">
        <v>128</v>
      </c>
      <c r="B57" s="13" t="s">
        <v>129</v>
      </c>
      <c r="C57" s="13" t="s">
        <v>27</v>
      </c>
      <c r="D57" s="13" t="s">
        <v>44</v>
      </c>
      <c r="E57" s="13" t="s">
        <v>29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5">
        <v>16390.89</v>
      </c>
      <c r="N57" s="804">
        <v>28511.75</v>
      </c>
      <c r="O57" s="14">
        <v>3753770.75</v>
      </c>
      <c r="P57" s="15">
        <v>162824.4</v>
      </c>
      <c r="Q57" s="16">
        <f>IF(ISTEXT('Incurred 2.5% cpi'!Q57),"",'Incurred 2.5% cpi'!Q57/'Incurred 2.5% cpi'!Q$14*Incurred!Q$14)</f>
        <v>1232211.55</v>
      </c>
      <c r="R57" s="127" t="str">
        <f>IF(ISTEXT('Incurred 2.5% cpi'!R57),"",'Incurred 2.5% cpi'!R57/'Incurred 2.5% cpi'!R$14*Incurred!R$14*BF57)</f>
        <v/>
      </c>
      <c r="S57" s="119" t="str">
        <f>IF(ISTEXT('Incurred 2.5% cpi'!S57),"",'Incurred 2.5% cpi'!S57/'Incurred 2.5% cpi'!S$14*Incurred!S$14*BG57)</f>
        <v/>
      </c>
      <c r="T57" s="16" t="str">
        <f>IF(ISTEXT('Incurred 2.5% cpi'!T57),"",'Incurred 2.5% cpi'!T57/'Incurred 2.5% cpi'!T$14*Incurred!T$14*BH57)</f>
        <v/>
      </c>
      <c r="U57" s="16" t="str">
        <f>IF(ISTEXT('Incurred 2.5% cpi'!U57),"",'Incurred 2.5% cpi'!U57/'Incurred 2.5% cpi'!U$14*Incurred!U$14*BI57)</f>
        <v/>
      </c>
      <c r="V57" s="16" t="str">
        <f>IF(ISTEXT('Incurred 2.5% cpi'!V57),"",'Incurred 2.5% cpi'!V57/'Incurred 2.5% cpi'!V$14*Incurred!V$14*BJ57)</f>
        <v/>
      </c>
      <c r="W57" s="127" t="str">
        <f>IF(ISTEXT('Incurred 2.5% cpi'!W57),"",'Incurred 2.5% cpi'!W57/'Incurred 2.5% cpi'!W$14*Incurred!W$14*BK57)</f>
        <v/>
      </c>
      <c r="X57" s="119" t="str">
        <f>IF(ISTEXT('Incurred 2.5% cpi'!X57),"",'Incurred 2.5% cpi'!X57/'Incurred 2.5% cpi'!X$14*Incurred!X$14*BL57)</f>
        <v/>
      </c>
      <c r="Y57" s="95">
        <f t="shared" si="115"/>
        <v>5193709.34</v>
      </c>
      <c r="Z57" s="95">
        <f t="shared" si="83"/>
        <v>5193709.34</v>
      </c>
      <c r="AA57" s="676">
        <f t="shared" si="84"/>
        <v>5984717.8894610489</v>
      </c>
      <c r="AB57" s="676">
        <f t="shared" si="85"/>
        <v>5323645.9805398099</v>
      </c>
      <c r="AC57" s="677">
        <f t="shared" si="86"/>
        <v>1.1241765345287305</v>
      </c>
      <c r="AD57" s="678" t="str">
        <f t="shared" si="87"/>
        <v>2017</v>
      </c>
      <c r="AE57" s="679">
        <v>42863</v>
      </c>
      <c r="AF57" s="678">
        <v>2017</v>
      </c>
      <c r="AG57" s="680"/>
      <c r="AH57" s="676">
        <f t="shared" si="116"/>
        <v>5428521.806356445</v>
      </c>
      <c r="AI57" s="95">
        <f t="shared" si="88"/>
        <v>1232211.55</v>
      </c>
      <c r="AJ57" s="681" t="s">
        <v>0</v>
      </c>
      <c r="AK57" s="37">
        <f t="shared" si="89"/>
        <v>0</v>
      </c>
      <c r="AL57" s="31">
        <f t="shared" si="120"/>
        <v>0</v>
      </c>
      <c r="AM57" s="31">
        <f t="shared" si="120"/>
        <v>0</v>
      </c>
      <c r="AN57" s="31">
        <f t="shared" si="120"/>
        <v>0</v>
      </c>
      <c r="AO57" s="31">
        <f t="shared" si="120"/>
        <v>0</v>
      </c>
      <c r="AP57" s="31">
        <f t="shared" si="120"/>
        <v>1</v>
      </c>
      <c r="AQ57" s="31">
        <f t="shared" si="120"/>
        <v>0</v>
      </c>
      <c r="AR57" s="31">
        <f t="shared" si="120"/>
        <v>0</v>
      </c>
      <c r="AS57" s="31">
        <f t="shared" si="120"/>
        <v>0</v>
      </c>
      <c r="AT57" s="31">
        <f t="shared" si="120"/>
        <v>0</v>
      </c>
      <c r="AU57" s="31">
        <f t="shared" si="120"/>
        <v>0</v>
      </c>
      <c r="AV57" s="31">
        <f t="shared" si="121"/>
        <v>0</v>
      </c>
      <c r="AW57" s="31">
        <f t="shared" si="121"/>
        <v>0</v>
      </c>
      <c r="AX57" s="31">
        <f t="shared" si="121"/>
        <v>0</v>
      </c>
      <c r="AY57" s="31">
        <f t="shared" si="121"/>
        <v>0</v>
      </c>
      <c r="AZ57" s="31">
        <f t="shared" si="121"/>
        <v>0</v>
      </c>
      <c r="BA57" s="31">
        <f t="shared" si="121"/>
        <v>0</v>
      </c>
      <c r="BB57" s="31">
        <f t="shared" si="121"/>
        <v>0</v>
      </c>
      <c r="BC57" s="31">
        <f t="shared" si="121"/>
        <v>0</v>
      </c>
      <c r="BD57" s="31">
        <f t="shared" si="121"/>
        <v>0</v>
      </c>
      <c r="BE57" s="30">
        <f t="shared" si="119"/>
        <v>1</v>
      </c>
      <c r="BF57" s="620">
        <f t="shared" si="114"/>
        <v>1.0013788876313259</v>
      </c>
      <c r="BG57" s="620">
        <f t="shared" si="90"/>
        <v>1.0027667380322551</v>
      </c>
      <c r="BH57" s="620">
        <f t="shared" si="91"/>
        <v>1.0043785127574885</v>
      </c>
      <c r="BI57" s="620">
        <f t="shared" si="92"/>
        <v>1.0063271484002954</v>
      </c>
      <c r="BJ57" s="620">
        <f t="shared" si="93"/>
        <v>1.0087302491780192</v>
      </c>
      <c r="BK57" s="620">
        <f t="shared" si="94"/>
        <v>1.0112702174682198</v>
      </c>
      <c r="BL57" s="620">
        <f t="shared" si="95"/>
        <v>1.0131213021847563</v>
      </c>
      <c r="BM57" s="621" t="str">
        <f t="shared" si="96"/>
        <v>Category</v>
      </c>
    </row>
    <row r="58" spans="1:65" x14ac:dyDescent="0.15">
      <c r="A58" s="12" t="s">
        <v>130</v>
      </c>
      <c r="B58" s="13" t="s">
        <v>131</v>
      </c>
      <c r="C58" s="13" t="s">
        <v>27</v>
      </c>
      <c r="D58" s="13" t="s">
        <v>54</v>
      </c>
      <c r="E58" s="13" t="s">
        <v>45</v>
      </c>
      <c r="F58" s="14">
        <v>0</v>
      </c>
      <c r="G58" s="14">
        <v>0</v>
      </c>
      <c r="H58" s="14">
        <v>0</v>
      </c>
      <c r="I58" s="14">
        <v>0</v>
      </c>
      <c r="J58" s="14">
        <v>0</v>
      </c>
      <c r="K58" s="14">
        <v>0</v>
      </c>
      <c r="L58" s="14">
        <v>0</v>
      </c>
      <c r="M58" s="15">
        <v>151954.94</v>
      </c>
      <c r="N58" s="804">
        <v>90876.98</v>
      </c>
      <c r="O58" s="14">
        <v>209796.12</v>
      </c>
      <c r="P58" s="15">
        <v>43076.15</v>
      </c>
      <c r="Q58" s="16">
        <f>IF(ISTEXT('Incurred 2.5% cpi'!Q58),"",'Incurred 2.5% cpi'!Q58/'Incurred 2.5% cpi'!Q$14*Incurred!Q$14)</f>
        <v>60682.93</v>
      </c>
      <c r="R58" s="127" t="str">
        <f>IF(ISTEXT('Incurred 2.5% cpi'!R58),"",'Incurred 2.5% cpi'!R58/'Incurred 2.5% cpi'!R$14*Incurred!R$14*BF58)</f>
        <v/>
      </c>
      <c r="S58" s="119" t="str">
        <f>IF(ISTEXT('Incurred 2.5% cpi'!S58),"",'Incurred 2.5% cpi'!S58/'Incurred 2.5% cpi'!S$14*Incurred!S$14*BG58)</f>
        <v/>
      </c>
      <c r="T58" s="16" t="str">
        <f>IF(ISTEXT('Incurred 2.5% cpi'!T58),"",'Incurred 2.5% cpi'!T58/'Incurred 2.5% cpi'!T$14*Incurred!T$14*BH58)</f>
        <v/>
      </c>
      <c r="U58" s="16" t="str">
        <f>IF(ISTEXT('Incurred 2.5% cpi'!U58),"",'Incurred 2.5% cpi'!U58/'Incurred 2.5% cpi'!U$14*Incurred!U$14*BI58)</f>
        <v/>
      </c>
      <c r="V58" s="16" t="str">
        <f>IF(ISTEXT('Incurred 2.5% cpi'!V58),"",'Incurred 2.5% cpi'!V58/'Incurred 2.5% cpi'!V$14*Incurred!V$14*BJ58)</f>
        <v/>
      </c>
      <c r="W58" s="127" t="str">
        <f>IF(ISTEXT('Incurred 2.5% cpi'!W58),"",'Incurred 2.5% cpi'!W58/'Incurred 2.5% cpi'!W$14*Incurred!W$14*BK58)</f>
        <v/>
      </c>
      <c r="X58" s="119" t="str">
        <f>IF(ISTEXT('Incurred 2.5% cpi'!X58),"",'Incurred 2.5% cpi'!X58/'Incurred 2.5% cpi'!X$14*Incurred!X$14*BL58)</f>
        <v/>
      </c>
      <c r="Y58" s="95">
        <f t="shared" si="115"/>
        <v>556387.12</v>
      </c>
      <c r="Z58" s="95">
        <f t="shared" si="83"/>
        <v>556387.12</v>
      </c>
      <c r="AA58" s="676">
        <f t="shared" si="84"/>
        <v>652241.52864365093</v>
      </c>
      <c r="AB58" s="676">
        <f t="shared" si="85"/>
        <v>580194.93256642215</v>
      </c>
      <c r="AC58" s="677">
        <f t="shared" si="86"/>
        <v>1.1241765345287305</v>
      </c>
      <c r="AD58" s="678" t="str">
        <f t="shared" si="87"/>
        <v>2017</v>
      </c>
      <c r="AE58" s="679">
        <v>43768</v>
      </c>
      <c r="AF58" s="678">
        <v>2017</v>
      </c>
      <c r="AG58" s="680"/>
      <c r="AH58" s="676">
        <f t="shared" si="116"/>
        <v>591624.7727379807</v>
      </c>
      <c r="AI58" s="95">
        <f t="shared" si="88"/>
        <v>60682.93</v>
      </c>
      <c r="AJ58" s="681" t="s">
        <v>0</v>
      </c>
      <c r="AK58" s="37">
        <f t="shared" si="89"/>
        <v>0</v>
      </c>
      <c r="AL58" s="31">
        <f t="shared" si="120"/>
        <v>0</v>
      </c>
      <c r="AM58" s="31">
        <f t="shared" si="120"/>
        <v>0</v>
      </c>
      <c r="AN58" s="31">
        <f t="shared" si="120"/>
        <v>0</v>
      </c>
      <c r="AO58" s="443">
        <f t="shared" si="120"/>
        <v>1</v>
      </c>
      <c r="AP58" s="31">
        <f t="shared" si="120"/>
        <v>0</v>
      </c>
      <c r="AQ58" s="31">
        <f t="shared" si="120"/>
        <v>0</v>
      </c>
      <c r="AR58" s="31">
        <f t="shared" si="120"/>
        <v>0</v>
      </c>
      <c r="AS58" s="31">
        <f t="shared" si="120"/>
        <v>0</v>
      </c>
      <c r="AT58" s="31">
        <f t="shared" si="120"/>
        <v>0</v>
      </c>
      <c r="AU58" s="31">
        <f t="shared" si="120"/>
        <v>0</v>
      </c>
      <c r="AV58" s="31">
        <f t="shared" si="121"/>
        <v>0</v>
      </c>
      <c r="AW58" s="31">
        <f t="shared" si="121"/>
        <v>0</v>
      </c>
      <c r="AX58" s="31">
        <f t="shared" si="121"/>
        <v>0</v>
      </c>
      <c r="AY58" s="31">
        <f t="shared" si="121"/>
        <v>0</v>
      </c>
      <c r="AZ58" s="31">
        <f t="shared" si="121"/>
        <v>0</v>
      </c>
      <c r="BA58" s="31">
        <f t="shared" si="121"/>
        <v>0</v>
      </c>
      <c r="BB58" s="31">
        <f t="shared" si="121"/>
        <v>0</v>
      </c>
      <c r="BC58" s="31">
        <f t="shared" si="121"/>
        <v>0</v>
      </c>
      <c r="BD58" s="31">
        <f t="shared" si="121"/>
        <v>0</v>
      </c>
      <c r="BE58" s="30">
        <f t="shared" si="119"/>
        <v>1</v>
      </c>
      <c r="BF58" s="620">
        <f t="shared" si="114"/>
        <v>1.0030818160192299</v>
      </c>
      <c r="BG58" s="620">
        <f t="shared" si="90"/>
        <v>1.006183663842585</v>
      </c>
      <c r="BH58" s="620">
        <f t="shared" si="91"/>
        <v>1.0097859828820543</v>
      </c>
      <c r="BI58" s="620">
        <f t="shared" si="92"/>
        <v>1.0141411866007726</v>
      </c>
      <c r="BJ58" s="620">
        <f t="shared" si="93"/>
        <v>1.0195121206090012</v>
      </c>
      <c r="BK58" s="620">
        <f t="shared" si="94"/>
        <v>1.0251889537223347</v>
      </c>
      <c r="BL58" s="620">
        <f t="shared" si="95"/>
        <v>1.0293261309677997</v>
      </c>
      <c r="BM58" s="621" t="str">
        <f t="shared" si="96"/>
        <v>Category</v>
      </c>
    </row>
    <row r="59" spans="1:65" x14ac:dyDescent="0.15">
      <c r="A59" s="12" t="s">
        <v>132</v>
      </c>
      <c r="B59" s="13" t="s">
        <v>133</v>
      </c>
      <c r="C59" s="13" t="s">
        <v>27</v>
      </c>
      <c r="D59" s="13" t="s">
        <v>55</v>
      </c>
      <c r="E59" s="13" t="s">
        <v>32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0</v>
      </c>
      <c r="L59" s="14">
        <v>437943.42</v>
      </c>
      <c r="M59" s="15">
        <v>502383.83</v>
      </c>
      <c r="N59" s="804">
        <v>301873.52</v>
      </c>
      <c r="O59" s="14">
        <v>193602.4</v>
      </c>
      <c r="P59" s="15">
        <v>253939.57</v>
      </c>
      <c r="Q59" s="16" t="str">
        <f>IF(ISTEXT('Incurred 2.5% cpi'!Q59),"",'Incurred 2.5% cpi'!Q59/'Incurred 2.5% cpi'!Q$14*Incurred!Q$14)</f>
        <v/>
      </c>
      <c r="R59" s="127" t="str">
        <f>IF(ISTEXT('Incurred 2.5% cpi'!R59),"",'Incurred 2.5% cpi'!R59/'Incurred 2.5% cpi'!R$14*Incurred!R$14*BF59)</f>
        <v/>
      </c>
      <c r="S59" s="119" t="str">
        <f>IF(ISTEXT('Incurred 2.5% cpi'!S59),"",'Incurred 2.5% cpi'!S59/'Incurred 2.5% cpi'!S$14*Incurred!S$14*BG59)</f>
        <v/>
      </c>
      <c r="T59" s="16" t="str">
        <f>IF(ISTEXT('Incurred 2.5% cpi'!T59),"",'Incurred 2.5% cpi'!T59/'Incurred 2.5% cpi'!T$14*Incurred!T$14*BH59)</f>
        <v/>
      </c>
      <c r="U59" s="16" t="str">
        <f>IF(ISTEXT('Incurred 2.5% cpi'!U59),"",'Incurred 2.5% cpi'!U59/'Incurred 2.5% cpi'!U$14*Incurred!U$14*BI59)</f>
        <v/>
      </c>
      <c r="V59" s="16" t="str">
        <f>IF(ISTEXT('Incurred 2.5% cpi'!V59),"",'Incurred 2.5% cpi'!V59/'Incurred 2.5% cpi'!V$14*Incurred!V$14*BJ59)</f>
        <v/>
      </c>
      <c r="W59" s="127" t="str">
        <f>IF(ISTEXT('Incurred 2.5% cpi'!W59),"",'Incurred 2.5% cpi'!W59/'Incurred 2.5% cpi'!W$14*Incurred!W$14*BK59)</f>
        <v/>
      </c>
      <c r="X59" s="119" t="str">
        <f>IF(ISTEXT('Incurred 2.5% cpi'!X59),"",'Incurred 2.5% cpi'!X59/'Incurred 2.5% cpi'!X$14*Incurred!X$14*BL59)</f>
        <v/>
      </c>
      <c r="Y59" s="95">
        <f t="shared" si="115"/>
        <v>1689742.74</v>
      </c>
      <c r="Z59" s="95">
        <f t="shared" si="83"/>
        <v>1689742.74</v>
      </c>
      <c r="AA59" s="676">
        <f t="shared" si="84"/>
        <v>2023421.4332632488</v>
      </c>
      <c r="AB59" s="676">
        <f t="shared" si="85"/>
        <v>1719462.7070613615</v>
      </c>
      <c r="AC59" s="677">
        <f t="shared" si="86"/>
        <v>1.176775410687078</v>
      </c>
      <c r="AD59" s="678" t="str">
        <f t="shared" si="87"/>
        <v>2016</v>
      </c>
      <c r="AE59" s="679">
        <v>41810</v>
      </c>
      <c r="AF59" s="678">
        <v>2014</v>
      </c>
      <c r="AG59" s="680"/>
      <c r="AH59" s="676">
        <f t="shared" si="116"/>
        <v>1835372.6235386063</v>
      </c>
      <c r="AI59" s="95">
        <f t="shared" si="88"/>
        <v>253939.57</v>
      </c>
      <c r="AJ59" s="681" t="s">
        <v>0</v>
      </c>
      <c r="AK59" s="37">
        <f t="shared" si="89"/>
        <v>0</v>
      </c>
      <c r="AL59" s="31">
        <f t="shared" si="120"/>
        <v>0</v>
      </c>
      <c r="AM59" s="31">
        <f t="shared" si="120"/>
        <v>0</v>
      </c>
      <c r="AN59" s="31">
        <f t="shared" si="120"/>
        <v>0</v>
      </c>
      <c r="AO59" s="31">
        <f t="shared" si="120"/>
        <v>0</v>
      </c>
      <c r="AP59" s="31">
        <f t="shared" si="120"/>
        <v>0</v>
      </c>
      <c r="AQ59" s="31">
        <f t="shared" si="120"/>
        <v>0</v>
      </c>
      <c r="AR59" s="31">
        <f t="shared" si="120"/>
        <v>0</v>
      </c>
      <c r="AS59" s="31">
        <f t="shared" si="120"/>
        <v>1</v>
      </c>
      <c r="AT59" s="31">
        <f t="shared" si="120"/>
        <v>0</v>
      </c>
      <c r="AU59" s="31">
        <f t="shared" si="120"/>
        <v>0</v>
      </c>
      <c r="AV59" s="31">
        <f t="shared" si="121"/>
        <v>0</v>
      </c>
      <c r="AW59" s="31">
        <f t="shared" si="121"/>
        <v>0</v>
      </c>
      <c r="AX59" s="31">
        <f t="shared" si="121"/>
        <v>0</v>
      </c>
      <c r="AY59" s="31">
        <f t="shared" si="121"/>
        <v>0</v>
      </c>
      <c r="AZ59" s="31">
        <f t="shared" si="121"/>
        <v>0</v>
      </c>
      <c r="BA59" s="31">
        <f t="shared" si="121"/>
        <v>0</v>
      </c>
      <c r="BB59" s="31">
        <f t="shared" si="121"/>
        <v>0</v>
      </c>
      <c r="BC59" s="31">
        <f t="shared" si="121"/>
        <v>0</v>
      </c>
      <c r="BD59" s="31">
        <f t="shared" si="121"/>
        <v>0</v>
      </c>
      <c r="BE59" s="30">
        <f t="shared" si="119"/>
        <v>1</v>
      </c>
      <c r="BF59" s="620">
        <f t="shared" si="114"/>
        <v>1.0046190746045656</v>
      </c>
      <c r="BG59" s="620">
        <f t="shared" si="90"/>
        <v>1.0092681731940607</v>
      </c>
      <c r="BH59" s="620">
        <f t="shared" si="91"/>
        <v>1.0146673859598225</v>
      </c>
      <c r="BI59" s="620">
        <f t="shared" si="92"/>
        <v>1.0211950341936284</v>
      </c>
      <c r="BJ59" s="620">
        <f t="shared" si="93"/>
        <v>1.0292450750544078</v>
      </c>
      <c r="BK59" s="620">
        <f t="shared" si="94"/>
        <v>1.0377536023333034</v>
      </c>
      <c r="BL59" s="620">
        <f t="shared" si="95"/>
        <v>1.0439544690397748</v>
      </c>
      <c r="BM59" s="621" t="str">
        <f t="shared" si="96"/>
        <v>Category</v>
      </c>
    </row>
    <row r="60" spans="1:65" x14ac:dyDescent="0.15">
      <c r="A60" s="91" t="s">
        <v>134</v>
      </c>
      <c r="B60" s="13" t="s">
        <v>135</v>
      </c>
      <c r="C60" s="13" t="s">
        <v>27</v>
      </c>
      <c r="D60" s="13" t="s">
        <v>28</v>
      </c>
      <c r="E60" s="13" t="s">
        <v>45</v>
      </c>
      <c r="F60" s="14">
        <v>0</v>
      </c>
      <c r="G60" s="14">
        <v>0</v>
      </c>
      <c r="H60" s="14">
        <v>0</v>
      </c>
      <c r="I60" s="14">
        <v>0</v>
      </c>
      <c r="J60" s="14">
        <v>0</v>
      </c>
      <c r="K60" s="14">
        <v>0</v>
      </c>
      <c r="L60" s="14">
        <v>72170.820000000007</v>
      </c>
      <c r="M60" s="15">
        <v>445253.12</v>
      </c>
      <c r="N60" s="804">
        <v>19278.75</v>
      </c>
      <c r="O60" s="14">
        <v>-92939.59</v>
      </c>
      <c r="P60" s="15">
        <v>-445452.24</v>
      </c>
      <c r="Q60" s="16"/>
      <c r="R60" s="127"/>
      <c r="S60" s="119"/>
      <c r="T60" s="16"/>
      <c r="U60" s="16"/>
      <c r="V60" s="16"/>
      <c r="W60" s="127"/>
      <c r="X60" s="119"/>
      <c r="Y60" s="95">
        <f t="shared" si="115"/>
        <v>-1689.140000000014</v>
      </c>
      <c r="Z60" s="95">
        <f t="shared" si="83"/>
        <v>1075094.52</v>
      </c>
      <c r="AA60" s="676">
        <f t="shared" si="84"/>
        <v>33037.354688887019</v>
      </c>
      <c r="AB60" s="676">
        <f t="shared" si="85"/>
        <v>33037.354688887019</v>
      </c>
      <c r="AC60" s="677">
        <f t="shared" si="86"/>
        <v>1</v>
      </c>
      <c r="AD60" s="678" t="str">
        <f t="shared" si="87"/>
        <v>2016</v>
      </c>
      <c r="AE60" s="679">
        <v>47127</v>
      </c>
      <c r="AF60" s="678">
        <v>2029</v>
      </c>
      <c r="AG60" s="680"/>
      <c r="AH60" s="676">
        <f>IF(ROUND(Y60,0)=0,0,SUMPRODUCT($F$16:$W$16,F60:W60))*0</f>
        <v>0</v>
      </c>
      <c r="AI60" s="95">
        <f t="shared" si="88"/>
        <v>-445452.24</v>
      </c>
      <c r="AJ60" s="681" t="s">
        <v>0</v>
      </c>
      <c r="AK60" s="37">
        <f t="shared" si="89"/>
        <v>0</v>
      </c>
      <c r="AL60" s="31">
        <f t="shared" si="120"/>
        <v>0</v>
      </c>
      <c r="AM60" s="31">
        <f t="shared" si="120"/>
        <v>0</v>
      </c>
      <c r="AN60" s="31">
        <f t="shared" si="120"/>
        <v>0</v>
      </c>
      <c r="AO60" s="31">
        <f t="shared" si="120"/>
        <v>0</v>
      </c>
      <c r="AP60" s="31">
        <f t="shared" si="120"/>
        <v>0</v>
      </c>
      <c r="AQ60" s="31">
        <f t="shared" si="120"/>
        <v>0</v>
      </c>
      <c r="AR60" s="31">
        <f t="shared" si="120"/>
        <v>0</v>
      </c>
      <c r="AS60" s="31">
        <f t="shared" si="120"/>
        <v>0</v>
      </c>
      <c r="AT60" s="31">
        <f t="shared" si="120"/>
        <v>0</v>
      </c>
      <c r="AU60" s="31">
        <f t="shared" si="120"/>
        <v>0.59118170190655106</v>
      </c>
      <c r="AV60" s="31">
        <f t="shared" si="121"/>
        <v>0</v>
      </c>
      <c r="AW60" s="31">
        <f t="shared" si="121"/>
        <v>2.538071065989848E-2</v>
      </c>
      <c r="AX60" s="31">
        <f t="shared" si="121"/>
        <v>0</v>
      </c>
      <c r="AY60" s="31">
        <f t="shared" si="121"/>
        <v>0</v>
      </c>
      <c r="AZ60" s="31">
        <f t="shared" si="121"/>
        <v>0.3834375874335505</v>
      </c>
      <c r="BA60" s="31">
        <f t="shared" si="121"/>
        <v>0</v>
      </c>
      <c r="BB60" s="31">
        <f t="shared" si="121"/>
        <v>0</v>
      </c>
      <c r="BC60" s="31">
        <f t="shared" si="121"/>
        <v>0</v>
      </c>
      <c r="BD60" s="31">
        <f t="shared" si="121"/>
        <v>0</v>
      </c>
      <c r="BE60" s="30">
        <f t="shared" si="119"/>
        <v>1</v>
      </c>
      <c r="BF60" s="620">
        <f t="shared" si="114"/>
        <v>1.0030444840366091</v>
      </c>
      <c r="BG60" s="620">
        <f t="shared" si="90"/>
        <v>1.0061087572194563</v>
      </c>
      <c r="BH60" s="620">
        <f t="shared" si="91"/>
        <v>1.0096674390946898</v>
      </c>
      <c r="BI60" s="620">
        <f t="shared" si="92"/>
        <v>1.0139698854818469</v>
      </c>
      <c r="BJ60" s="620">
        <f t="shared" si="93"/>
        <v>1.0192757579764089</v>
      </c>
      <c r="BK60" s="620">
        <f t="shared" si="94"/>
        <v>1.0248838240271385</v>
      </c>
      <c r="BL60" s="620">
        <f t="shared" si="95"/>
        <v>1.0289708850333266</v>
      </c>
      <c r="BM60" s="621" t="str">
        <f t="shared" si="96"/>
        <v>Category</v>
      </c>
    </row>
    <row r="61" spans="1:65" x14ac:dyDescent="0.15">
      <c r="A61" s="91" t="s">
        <v>137</v>
      </c>
      <c r="B61" s="13" t="s">
        <v>138</v>
      </c>
      <c r="C61" s="13" t="s">
        <v>27</v>
      </c>
      <c r="D61" s="13" t="s">
        <v>55</v>
      </c>
      <c r="E61" s="13" t="s">
        <v>32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5">
        <v>168164.17</v>
      </c>
      <c r="N61" s="804">
        <v>572811.38</v>
      </c>
      <c r="O61" s="14">
        <v>294210.18</v>
      </c>
      <c r="P61" s="15">
        <v>281930.38</v>
      </c>
      <c r="Q61" s="16" t="str">
        <f>IF(ISTEXT('Incurred 2.5% cpi'!Q61),"",'Incurred 2.5% cpi'!Q61/'Incurred 2.5% cpi'!Q$14*Incurred!Q$14)</f>
        <v/>
      </c>
      <c r="R61" s="127" t="str">
        <f>IF(ISTEXT('Incurred 2.5% cpi'!R61),"",'Incurred 2.5% cpi'!R61/'Incurred 2.5% cpi'!R$14*Incurred!R$14*BF61)</f>
        <v/>
      </c>
      <c r="S61" s="119" t="str">
        <f>IF(ISTEXT('Incurred 2.5% cpi'!S61),"",'Incurred 2.5% cpi'!S61/'Incurred 2.5% cpi'!S$14*Incurred!S$14*BG61)</f>
        <v/>
      </c>
      <c r="T61" s="16" t="str">
        <f>IF(ISTEXT('Incurred 2.5% cpi'!T61),"",'Incurred 2.5% cpi'!T61/'Incurred 2.5% cpi'!T$14*Incurred!T$14*BH61)</f>
        <v/>
      </c>
      <c r="U61" s="16" t="str">
        <f>IF(ISTEXT('Incurred 2.5% cpi'!U61),"",'Incurred 2.5% cpi'!U61/'Incurred 2.5% cpi'!U$14*Incurred!U$14*BI61)</f>
        <v/>
      </c>
      <c r="V61" s="16" t="str">
        <f>IF(ISTEXT('Incurred 2.5% cpi'!V61),"",'Incurred 2.5% cpi'!V61/'Incurred 2.5% cpi'!V$14*Incurred!V$14*BJ61)</f>
        <v/>
      </c>
      <c r="W61" s="127" t="str">
        <f>IF(ISTEXT('Incurred 2.5% cpi'!W61),"",'Incurred 2.5% cpi'!W61/'Incurred 2.5% cpi'!W$14*Incurred!W$14*BK61)</f>
        <v/>
      </c>
      <c r="X61" s="119" t="str">
        <f>IF(ISTEXT('Incurred 2.5% cpi'!X61),"",'Incurred 2.5% cpi'!X61/'Incurred 2.5% cpi'!X$14*Incurred!X$14*BL61)</f>
        <v/>
      </c>
      <c r="Y61" s="95">
        <f t="shared" si="115"/>
        <v>1317116.1099999999</v>
      </c>
      <c r="Z61" s="95">
        <f t="shared" si="83"/>
        <v>1317116.1099999999</v>
      </c>
      <c r="AA61" s="676">
        <f t="shared" si="84"/>
        <v>1542623.4846802573</v>
      </c>
      <c r="AB61" s="676">
        <f t="shared" si="85"/>
        <v>1345714.7220514258</v>
      </c>
      <c r="AC61" s="677">
        <f t="shared" si="86"/>
        <v>1.1463228122589466</v>
      </c>
      <c r="AD61" s="678" t="str">
        <f t="shared" si="87"/>
        <v>2016</v>
      </c>
      <c r="AE61" s="679">
        <v>42472</v>
      </c>
      <c r="AF61" s="678">
        <v>2016</v>
      </c>
      <c r="AG61" s="680"/>
      <c r="AH61" s="676">
        <f t="shared" si="116"/>
        <v>1399258.1405267331</v>
      </c>
      <c r="AI61" s="95">
        <f t="shared" si="88"/>
        <v>281930.38</v>
      </c>
      <c r="AJ61" s="681" t="s">
        <v>0</v>
      </c>
      <c r="AK61" s="37">
        <f t="shared" si="89"/>
        <v>0</v>
      </c>
      <c r="AL61" s="31">
        <f t="shared" si="120"/>
        <v>0</v>
      </c>
      <c r="AM61" s="31">
        <f t="shared" si="120"/>
        <v>0</v>
      </c>
      <c r="AN61" s="31">
        <f t="shared" si="120"/>
        <v>0</v>
      </c>
      <c r="AO61" s="31">
        <f t="shared" si="120"/>
        <v>1</v>
      </c>
      <c r="AP61" s="31">
        <f t="shared" si="120"/>
        <v>0</v>
      </c>
      <c r="AQ61" s="31">
        <f t="shared" si="120"/>
        <v>0</v>
      </c>
      <c r="AR61" s="31">
        <f t="shared" si="120"/>
        <v>0</v>
      </c>
      <c r="AS61" s="31">
        <f t="shared" si="120"/>
        <v>0</v>
      </c>
      <c r="AT61" s="31">
        <f t="shared" si="120"/>
        <v>0</v>
      </c>
      <c r="AU61" s="31">
        <f t="shared" si="120"/>
        <v>0</v>
      </c>
      <c r="AV61" s="31">
        <f t="shared" si="121"/>
        <v>0</v>
      </c>
      <c r="AW61" s="31">
        <f t="shared" si="121"/>
        <v>0</v>
      </c>
      <c r="AX61" s="31">
        <f t="shared" si="121"/>
        <v>0</v>
      </c>
      <c r="AY61" s="31">
        <f t="shared" si="121"/>
        <v>0</v>
      </c>
      <c r="AZ61" s="31">
        <f t="shared" si="121"/>
        <v>0</v>
      </c>
      <c r="BA61" s="31">
        <f t="shared" si="121"/>
        <v>0</v>
      </c>
      <c r="BB61" s="31">
        <f t="shared" si="121"/>
        <v>0</v>
      </c>
      <c r="BC61" s="31">
        <f t="shared" si="121"/>
        <v>0</v>
      </c>
      <c r="BD61" s="31">
        <f t="shared" si="121"/>
        <v>0</v>
      </c>
      <c r="BE61" s="30">
        <f t="shared" si="119"/>
        <v>1</v>
      </c>
      <c r="BF61" s="620">
        <f t="shared" si="114"/>
        <v>1.0046190746045656</v>
      </c>
      <c r="BG61" s="620">
        <f t="shared" si="90"/>
        <v>1.0092681731940607</v>
      </c>
      <c r="BH61" s="620">
        <f t="shared" si="91"/>
        <v>1.0146673859598225</v>
      </c>
      <c r="BI61" s="620">
        <f t="shared" si="92"/>
        <v>1.0211950341936284</v>
      </c>
      <c r="BJ61" s="620">
        <f t="shared" si="93"/>
        <v>1.0292450750544078</v>
      </c>
      <c r="BK61" s="620">
        <f t="shared" si="94"/>
        <v>1.0377536023333034</v>
      </c>
      <c r="BL61" s="620">
        <f t="shared" si="95"/>
        <v>1.0439544690397748</v>
      </c>
      <c r="BM61" s="621" t="str">
        <f t="shared" si="96"/>
        <v>Category</v>
      </c>
    </row>
    <row r="62" spans="1:65" x14ac:dyDescent="0.15">
      <c r="A62" s="91" t="s">
        <v>139</v>
      </c>
      <c r="B62" s="13" t="s">
        <v>140</v>
      </c>
      <c r="C62" s="13" t="s">
        <v>27</v>
      </c>
      <c r="D62" s="13" t="s">
        <v>55</v>
      </c>
      <c r="E62" s="13" t="s">
        <v>32</v>
      </c>
      <c r="F62" s="14">
        <v>0</v>
      </c>
      <c r="G62" s="14">
        <v>0</v>
      </c>
      <c r="H62" s="14">
        <v>0</v>
      </c>
      <c r="I62" s="14">
        <v>0</v>
      </c>
      <c r="J62" s="14">
        <v>0</v>
      </c>
      <c r="K62" s="14">
        <v>0</v>
      </c>
      <c r="L62" s="14">
        <v>0</v>
      </c>
      <c r="M62" s="15">
        <v>4774.95</v>
      </c>
      <c r="N62" s="804">
        <v>5096.9799999999996</v>
      </c>
      <c r="O62" s="14">
        <v>10581.42</v>
      </c>
      <c r="P62" s="15">
        <v>31114.43</v>
      </c>
      <c r="Q62" s="16">
        <f>IF(ISTEXT('Incurred 2.5% cpi'!Q62),"",'Incurred 2.5% cpi'!Q62/'Incurred 2.5% cpi'!Q$14*Incurred!Q$14)</f>
        <v>3969.64</v>
      </c>
      <c r="R62" s="127" t="str">
        <f>IF(ISTEXT('Incurred 2.5% cpi'!R62),"",'Incurred 2.5% cpi'!R62/'Incurred 2.5% cpi'!R$14*Incurred!R$14*BF62)</f>
        <v/>
      </c>
      <c r="S62" s="119" t="str">
        <f>IF(ISTEXT('Incurred 2.5% cpi'!S62),"",'Incurred 2.5% cpi'!S62/'Incurred 2.5% cpi'!S$14*Incurred!S$14*BG62)</f>
        <v/>
      </c>
      <c r="T62" s="16" t="str">
        <f>IF(ISTEXT('Incurred 2.5% cpi'!T62),"",'Incurred 2.5% cpi'!T62/'Incurred 2.5% cpi'!T$14*Incurred!T$14*BH62)</f>
        <v/>
      </c>
      <c r="U62" s="16" t="str">
        <f>IF(ISTEXT('Incurred 2.5% cpi'!U62),"",'Incurred 2.5% cpi'!U62/'Incurred 2.5% cpi'!U$14*Incurred!U$14*BI62)</f>
        <v/>
      </c>
      <c r="V62" s="16" t="str">
        <f>IF(ISTEXT('Incurred 2.5% cpi'!V62),"",'Incurred 2.5% cpi'!V62/'Incurred 2.5% cpi'!V$14*Incurred!V$14*BJ62)</f>
        <v/>
      </c>
      <c r="W62" s="127" t="str">
        <f>IF(ISTEXT('Incurred 2.5% cpi'!W62),"",'Incurred 2.5% cpi'!W62/'Incurred 2.5% cpi'!W$14*Incurred!W$14*BK62)</f>
        <v/>
      </c>
      <c r="X62" s="119" t="str">
        <f>IF(ISTEXT('Incurred 2.5% cpi'!X62),"",'Incurred 2.5% cpi'!X62/'Incurred 2.5% cpi'!X$14*Incurred!X$14*BL62)</f>
        <v/>
      </c>
      <c r="Y62" s="95">
        <f t="shared" si="115"/>
        <v>55537.42</v>
      </c>
      <c r="Z62" s="95">
        <f t="shared" si="83"/>
        <v>55537.42</v>
      </c>
      <c r="AA62" s="676">
        <f t="shared" si="84"/>
        <v>64200.148933643046</v>
      </c>
      <c r="AB62" s="676">
        <f t="shared" si="85"/>
        <v>56005.296454957635</v>
      </c>
      <c r="AC62" s="677">
        <f t="shared" si="86"/>
        <v>1.1463228122589466</v>
      </c>
      <c r="AD62" s="678" t="str">
        <f t="shared" si="87"/>
        <v>2017</v>
      </c>
      <c r="AE62" s="679">
        <v>42524</v>
      </c>
      <c r="AF62" s="678">
        <v>2016</v>
      </c>
      <c r="AG62" s="680"/>
      <c r="AH62" s="676">
        <f t="shared" si="116"/>
        <v>58233.640230784178</v>
      </c>
      <c r="AI62" s="95">
        <f t="shared" si="88"/>
        <v>3969.64</v>
      </c>
      <c r="AJ62" s="681" t="s">
        <v>0</v>
      </c>
      <c r="AK62" s="37">
        <f t="shared" si="89"/>
        <v>0</v>
      </c>
      <c r="AL62" s="31">
        <f t="shared" si="120"/>
        <v>0</v>
      </c>
      <c r="AM62" s="31">
        <f t="shared" si="120"/>
        <v>0</v>
      </c>
      <c r="AN62" s="31">
        <f t="shared" si="120"/>
        <v>0</v>
      </c>
      <c r="AO62" s="31">
        <f t="shared" si="120"/>
        <v>1</v>
      </c>
      <c r="AP62" s="31">
        <f t="shared" si="120"/>
        <v>0</v>
      </c>
      <c r="AQ62" s="31">
        <f t="shared" si="120"/>
        <v>0</v>
      </c>
      <c r="AR62" s="31">
        <f t="shared" si="120"/>
        <v>0</v>
      </c>
      <c r="AS62" s="31">
        <f t="shared" si="120"/>
        <v>0</v>
      </c>
      <c r="AT62" s="31">
        <f t="shared" si="120"/>
        <v>0</v>
      </c>
      <c r="AU62" s="31">
        <f t="shared" si="120"/>
        <v>0</v>
      </c>
      <c r="AV62" s="31">
        <f t="shared" si="121"/>
        <v>0</v>
      </c>
      <c r="AW62" s="31">
        <f t="shared" si="121"/>
        <v>0</v>
      </c>
      <c r="AX62" s="31">
        <f t="shared" si="121"/>
        <v>0</v>
      </c>
      <c r="AY62" s="31">
        <f t="shared" si="121"/>
        <v>0</v>
      </c>
      <c r="AZ62" s="31">
        <f t="shared" si="121"/>
        <v>0</v>
      </c>
      <c r="BA62" s="31">
        <f t="shared" si="121"/>
        <v>0</v>
      </c>
      <c r="BB62" s="31">
        <f t="shared" si="121"/>
        <v>0</v>
      </c>
      <c r="BC62" s="31">
        <f t="shared" si="121"/>
        <v>0</v>
      </c>
      <c r="BD62" s="31">
        <f t="shared" si="121"/>
        <v>0</v>
      </c>
      <c r="BE62" s="30">
        <f t="shared" si="119"/>
        <v>1</v>
      </c>
      <c r="BF62" s="620">
        <f t="shared" si="114"/>
        <v>1.0046190746045656</v>
      </c>
      <c r="BG62" s="620">
        <f t="shared" si="90"/>
        <v>1.0092681731940607</v>
      </c>
      <c r="BH62" s="620">
        <f t="shared" si="91"/>
        <v>1.0146673859598225</v>
      </c>
      <c r="BI62" s="620">
        <f t="shared" si="92"/>
        <v>1.0211950341936284</v>
      </c>
      <c r="BJ62" s="620">
        <f t="shared" si="93"/>
        <v>1.0292450750544078</v>
      </c>
      <c r="BK62" s="620">
        <f t="shared" si="94"/>
        <v>1.0377536023333034</v>
      </c>
      <c r="BL62" s="620">
        <f t="shared" si="95"/>
        <v>1.0439544690397748</v>
      </c>
      <c r="BM62" s="621" t="str">
        <f t="shared" si="96"/>
        <v>Category</v>
      </c>
    </row>
    <row r="63" spans="1:65" x14ac:dyDescent="0.15">
      <c r="A63" s="12" t="s">
        <v>143</v>
      </c>
      <c r="B63" s="13" t="s">
        <v>144</v>
      </c>
      <c r="C63" s="13" t="s">
        <v>2633</v>
      </c>
      <c r="D63" s="13" t="s">
        <v>28</v>
      </c>
      <c r="E63" s="13" t="s">
        <v>29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5">
        <v>0</v>
      </c>
      <c r="N63" s="804"/>
      <c r="O63" s="14"/>
      <c r="P63" s="15"/>
      <c r="Q63" s="16">
        <f>IF(ISTEXT('Incurred 2.5% cpi'!Q63),"",'Incurred 2.5% cpi'!Q63/'Incurred 2.5% cpi'!Q$14*Incurred!Q$14)</f>
        <v>186734.53</v>
      </c>
      <c r="R63" s="127">
        <f>IF(ISTEXT('Incurred 2.5% cpi'!R63),"",'Incurred 2.5% cpi'!R63/'Incurred 2.5% cpi'!R$14*Incurred!R$14*BF63)</f>
        <v>1236515.2414060843</v>
      </c>
      <c r="S63" s="119" t="str">
        <f>IF(ISTEXT('Incurred 2.5% cpi'!S63),"",'Incurred 2.5% cpi'!S63/'Incurred 2.5% cpi'!S$14*Incurred!S$14*BG63)</f>
        <v/>
      </c>
      <c r="T63" s="16" t="str">
        <f>IF(ISTEXT('Incurred 2.5% cpi'!T63),"",'Incurred 2.5% cpi'!T63/'Incurred 2.5% cpi'!T$14*Incurred!T$14*BH63)</f>
        <v/>
      </c>
      <c r="U63" s="16" t="str">
        <f>IF(ISTEXT('Incurred 2.5% cpi'!U63),"",'Incurred 2.5% cpi'!U63/'Incurred 2.5% cpi'!U$14*Incurred!U$14*BI63)</f>
        <v/>
      </c>
      <c r="V63" s="16" t="str">
        <f>IF(ISTEXT('Incurred 2.5% cpi'!V63),"",'Incurred 2.5% cpi'!V63/'Incurred 2.5% cpi'!V$14*Incurred!V$14*BJ63)</f>
        <v/>
      </c>
      <c r="W63" s="127" t="str">
        <f>IF(ISTEXT('Incurred 2.5% cpi'!W63),"",'Incurred 2.5% cpi'!W63/'Incurred 2.5% cpi'!W$14*Incurred!W$14*BK63)</f>
        <v/>
      </c>
      <c r="X63" s="119" t="str">
        <f>IF(ISTEXT('Incurred 2.5% cpi'!X63),"",'Incurred 2.5% cpi'!X63/'Incurred 2.5% cpi'!X$14*Incurred!X$14*BL63)</f>
        <v/>
      </c>
      <c r="Y63" s="95">
        <f t="shared" si="115"/>
        <v>1423249.7714060843</v>
      </c>
      <c r="Z63" s="95">
        <f t="shared" si="83"/>
        <v>1423249.7714060843</v>
      </c>
      <c r="AA63" s="676">
        <f t="shared" si="84"/>
        <v>1573128.8325500644</v>
      </c>
      <c r="AB63" s="676">
        <f t="shared" si="85"/>
        <v>1426928.4416470842</v>
      </c>
      <c r="AC63" s="677">
        <f t="shared" si="86"/>
        <v>1.1024581097663335</v>
      </c>
      <c r="AD63" s="678" t="str">
        <f t="shared" si="87"/>
        <v>2018</v>
      </c>
      <c r="AE63" s="679">
        <v>43080</v>
      </c>
      <c r="AF63" s="678">
        <v>2018</v>
      </c>
      <c r="AG63" s="680"/>
      <c r="AH63" s="676">
        <f t="shared" ref="AH63:AH68" si="122">IF(ROUND(Y63,0)=0,0,SUMPRODUCT($F$16:$W$16,F63:W63))</f>
        <v>1426928.4416470842</v>
      </c>
      <c r="AI63" s="95">
        <f t="shared" si="88"/>
        <v>1236515.2414060843</v>
      </c>
      <c r="AJ63" s="681" t="s">
        <v>0</v>
      </c>
      <c r="AK63" s="37">
        <f t="shared" si="89"/>
        <v>613634.6140590799</v>
      </c>
      <c r="AL63" s="31">
        <f t="shared" ref="AL63:AU66" si="123">IF($AK63=0,VLOOKUP(MID($A63,4,5),ProjectSplits,AL$20,FALSE),IF(ISNA(VLOOKUP($A63,Estimates,AL$19,FALSE)),VLOOKUP(MID($A63,4,5),ProjectSplits,AL$20,FALSE),VLOOKUP($A63,Estimates,AL$19,FALSE)))</f>
        <v>0</v>
      </c>
      <c r="AM63" s="31">
        <f t="shared" si="123"/>
        <v>0</v>
      </c>
      <c r="AN63" s="31">
        <f t="shared" si="123"/>
        <v>0</v>
      </c>
      <c r="AO63" s="31">
        <f t="shared" si="123"/>
        <v>0</v>
      </c>
      <c r="AP63" s="31">
        <f t="shared" si="123"/>
        <v>0</v>
      </c>
      <c r="AQ63" s="31">
        <f t="shared" si="123"/>
        <v>0</v>
      </c>
      <c r="AR63" s="31">
        <f t="shared" si="123"/>
        <v>0</v>
      </c>
      <c r="AS63" s="31">
        <f t="shared" si="123"/>
        <v>0</v>
      </c>
      <c r="AT63" s="31">
        <f t="shared" si="123"/>
        <v>0</v>
      </c>
      <c r="AU63" s="31">
        <f t="shared" si="123"/>
        <v>5.3549782308786563E-2</v>
      </c>
      <c r="AV63" s="31">
        <f t="shared" ref="AV63:BD66" si="124">IF($AK63=0,VLOOKUP(MID($A63,4,5),ProjectSplits,AV$20,FALSE),IF(ISNA(VLOOKUP($A63,Estimates,AV$19,FALSE)),VLOOKUP(MID($A63,4,5),ProjectSplits,AV$20,FALSE),VLOOKUP($A63,Estimates,AV$19,FALSE)))</f>
        <v>0</v>
      </c>
      <c r="AW63" s="31">
        <f t="shared" si="124"/>
        <v>0</v>
      </c>
      <c r="AX63" s="31">
        <f t="shared" si="124"/>
        <v>0</v>
      </c>
      <c r="AY63" s="31">
        <f t="shared" si="124"/>
        <v>0</v>
      </c>
      <c r="AZ63" s="31">
        <f t="shared" si="124"/>
        <v>3.2592685519650985E-2</v>
      </c>
      <c r="BA63" s="31">
        <f t="shared" si="124"/>
        <v>0.73088869790500288</v>
      </c>
      <c r="BB63" s="31">
        <f t="shared" si="124"/>
        <v>0</v>
      </c>
      <c r="BC63" s="31">
        <f t="shared" si="124"/>
        <v>0</v>
      </c>
      <c r="BD63" s="31">
        <f t="shared" si="124"/>
        <v>0.18296883426655944</v>
      </c>
      <c r="BE63" s="30">
        <f t="shared" ref="BE63:BE66" si="125">SUM(AL63:BD63)</f>
        <v>0.99999999999999978</v>
      </c>
      <c r="BF63" s="620">
        <f t="shared" si="114"/>
        <v>1.0030444840366091</v>
      </c>
      <c r="BG63" s="620">
        <f t="shared" si="90"/>
        <v>1.0061087572194563</v>
      </c>
      <c r="BH63" s="620">
        <f t="shared" si="91"/>
        <v>1.0096674390946898</v>
      </c>
      <c r="BI63" s="620">
        <f t="shared" si="92"/>
        <v>1.0139698854818469</v>
      </c>
      <c r="BJ63" s="620">
        <f t="shared" si="93"/>
        <v>1.0192757579764089</v>
      </c>
      <c r="BK63" s="620">
        <f t="shared" si="94"/>
        <v>1.0248838240271385</v>
      </c>
      <c r="BL63" s="620">
        <f t="shared" si="95"/>
        <v>1.0289708850333266</v>
      </c>
      <c r="BM63" s="621" t="str">
        <f t="shared" si="96"/>
        <v>Category</v>
      </c>
    </row>
    <row r="64" spans="1:65" x14ac:dyDescent="0.15">
      <c r="A64" s="12" t="s">
        <v>145</v>
      </c>
      <c r="B64" s="13" t="s">
        <v>146</v>
      </c>
      <c r="C64" s="13" t="s">
        <v>27</v>
      </c>
      <c r="D64" s="13" t="s">
        <v>55</v>
      </c>
      <c r="E64" s="13" t="s">
        <v>29</v>
      </c>
      <c r="F64" s="14">
        <v>0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  <c r="L64" s="14">
        <v>2779.78</v>
      </c>
      <c r="M64" s="15">
        <v>92423.92</v>
      </c>
      <c r="N64" s="804">
        <v>103824.38</v>
      </c>
      <c r="O64" s="14">
        <v>270251.33</v>
      </c>
      <c r="P64" s="15">
        <v>892352.87</v>
      </c>
      <c r="Q64" s="16">
        <f>IF(ISTEXT('Incurred 2.5% cpi'!Q64),"",'Incurred 2.5% cpi'!Q64/'Incurred 2.5% cpi'!Q$14*Incurred!Q$14)</f>
        <v>935688.08</v>
      </c>
      <c r="R64" s="127">
        <f>IF(ISTEXT('Incurred 2.5% cpi'!R64),"",'Incurred 2.5% cpi'!R64/'Incurred 2.5% cpi'!R$14*Incurred!R$14*BF64)</f>
        <v>26885.887155965294</v>
      </c>
      <c r="S64" s="119" t="str">
        <f>IF(ISTEXT('Incurred 2.5% cpi'!S64),"",'Incurred 2.5% cpi'!S64/'Incurred 2.5% cpi'!S$14*Incurred!S$14*BG64)</f>
        <v/>
      </c>
      <c r="T64" s="16" t="str">
        <f>IF(ISTEXT('Incurred 2.5% cpi'!T64),"",'Incurred 2.5% cpi'!T64/'Incurred 2.5% cpi'!T$14*Incurred!T$14*BH64)</f>
        <v/>
      </c>
      <c r="U64" s="16" t="str">
        <f>IF(ISTEXT('Incurred 2.5% cpi'!U64),"",'Incurred 2.5% cpi'!U64/'Incurred 2.5% cpi'!U$14*Incurred!U$14*BI64)</f>
        <v/>
      </c>
      <c r="V64" s="16" t="str">
        <f>IF(ISTEXT('Incurred 2.5% cpi'!V64),"",'Incurred 2.5% cpi'!V64/'Incurred 2.5% cpi'!V$14*Incurred!V$14*BJ64)</f>
        <v/>
      </c>
      <c r="W64" s="127" t="str">
        <f>IF(ISTEXT('Incurred 2.5% cpi'!W64),"",'Incurred 2.5% cpi'!W64/'Incurred 2.5% cpi'!W$14*Incurred!W$14*BK64)</f>
        <v/>
      </c>
      <c r="X64" s="119" t="str">
        <f>IF(ISTEXT('Incurred 2.5% cpi'!X64),"",'Incurred 2.5% cpi'!X64/'Incurred 2.5% cpi'!X$14*Incurred!X$14*BL64)</f>
        <v/>
      </c>
      <c r="Y64" s="95">
        <f t="shared" si="115"/>
        <v>2324206.2471559653</v>
      </c>
      <c r="Z64" s="95">
        <f t="shared" si="83"/>
        <v>2324206.2471559653</v>
      </c>
      <c r="AA64" s="676">
        <f t="shared" si="84"/>
        <v>2655877.6880800533</v>
      </c>
      <c r="AB64" s="676">
        <f t="shared" si="85"/>
        <v>2362509.4515902097</v>
      </c>
      <c r="AC64" s="677">
        <f t="shared" si="86"/>
        <v>1.1241765345287305</v>
      </c>
      <c r="AD64" s="678" t="str">
        <f t="shared" si="87"/>
        <v>2018</v>
      </c>
      <c r="AE64" s="679">
        <v>42916</v>
      </c>
      <c r="AF64" s="678">
        <v>2017</v>
      </c>
      <c r="AG64" s="680"/>
      <c r="AH64" s="676">
        <f t="shared" si="122"/>
        <v>2409050.8877865369</v>
      </c>
      <c r="AI64" s="95">
        <f t="shared" si="88"/>
        <v>26885.887155965294</v>
      </c>
      <c r="AJ64" s="681" t="s">
        <v>0</v>
      </c>
      <c r="AK64" s="37">
        <f t="shared" si="89"/>
        <v>0</v>
      </c>
      <c r="AL64" s="31">
        <f t="shared" si="123"/>
        <v>0</v>
      </c>
      <c r="AM64" s="31">
        <f t="shared" si="123"/>
        <v>0</v>
      </c>
      <c r="AN64" s="31">
        <f t="shared" si="123"/>
        <v>0</v>
      </c>
      <c r="AO64" s="31">
        <f t="shared" si="123"/>
        <v>1</v>
      </c>
      <c r="AP64" s="31">
        <f t="shared" si="123"/>
        <v>0</v>
      </c>
      <c r="AQ64" s="31">
        <f t="shared" si="123"/>
        <v>0</v>
      </c>
      <c r="AR64" s="31">
        <f t="shared" si="123"/>
        <v>0</v>
      </c>
      <c r="AS64" s="31">
        <f t="shared" si="123"/>
        <v>0</v>
      </c>
      <c r="AT64" s="31">
        <f t="shared" si="123"/>
        <v>0</v>
      </c>
      <c r="AU64" s="31">
        <f t="shared" si="123"/>
        <v>0</v>
      </c>
      <c r="AV64" s="31">
        <f t="shared" si="124"/>
        <v>0</v>
      </c>
      <c r="AW64" s="31">
        <f t="shared" si="124"/>
        <v>0</v>
      </c>
      <c r="AX64" s="31">
        <f t="shared" si="124"/>
        <v>0</v>
      </c>
      <c r="AY64" s="31">
        <f t="shared" si="124"/>
        <v>0</v>
      </c>
      <c r="AZ64" s="31">
        <f t="shared" si="124"/>
        <v>0</v>
      </c>
      <c r="BA64" s="31">
        <f t="shared" si="124"/>
        <v>0</v>
      </c>
      <c r="BB64" s="31">
        <f t="shared" si="124"/>
        <v>0</v>
      </c>
      <c r="BC64" s="31">
        <f t="shared" si="124"/>
        <v>0</v>
      </c>
      <c r="BD64" s="31">
        <f t="shared" si="124"/>
        <v>0</v>
      </c>
      <c r="BE64" s="30">
        <f t="shared" si="125"/>
        <v>1</v>
      </c>
      <c r="BF64" s="620">
        <f t="shared" si="114"/>
        <v>1.0046190746045656</v>
      </c>
      <c r="BG64" s="620">
        <f t="shared" si="90"/>
        <v>1.0092681731940607</v>
      </c>
      <c r="BH64" s="620">
        <f t="shared" si="91"/>
        <v>1.0146673859598225</v>
      </c>
      <c r="BI64" s="620">
        <f t="shared" si="92"/>
        <v>1.0211950341936284</v>
      </c>
      <c r="BJ64" s="620">
        <f t="shared" si="93"/>
        <v>1.0292450750544078</v>
      </c>
      <c r="BK64" s="620">
        <f t="shared" si="94"/>
        <v>1.0377536023333034</v>
      </c>
      <c r="BL64" s="620">
        <f t="shared" si="95"/>
        <v>1.0439544690397748</v>
      </c>
      <c r="BM64" s="621" t="str">
        <f t="shared" si="96"/>
        <v>Category</v>
      </c>
    </row>
    <row r="65" spans="1:65" x14ac:dyDescent="0.15">
      <c r="A65" s="12" t="s">
        <v>147</v>
      </c>
      <c r="B65" s="13" t="s">
        <v>148</v>
      </c>
      <c r="C65" s="13" t="s">
        <v>27</v>
      </c>
      <c r="D65" s="13" t="s">
        <v>55</v>
      </c>
      <c r="E65" s="13" t="s">
        <v>29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19050.560000000001</v>
      </c>
      <c r="M65" s="15">
        <v>39889.449999999997</v>
      </c>
      <c r="N65" s="804">
        <v>210929.43</v>
      </c>
      <c r="O65" s="14">
        <v>210134.06</v>
      </c>
      <c r="P65" s="15">
        <v>37989.519999999997</v>
      </c>
      <c r="Q65" s="16">
        <f>IF(ISTEXT('Incurred 2.5% cpi'!Q65),"",'Incurred 2.5% cpi'!Q65/'Incurred 2.5% cpi'!Q$14*Incurred!Q$14)</f>
        <v>333721.12</v>
      </c>
      <c r="R65" s="127">
        <f>IF(ISTEXT('Incurred 2.5% cpi'!R65),"",'Incurred 2.5% cpi'!R65/'Incurred 2.5% cpi'!R$14*Incurred!R$14*BF65)</f>
        <v>1355772.7776914849</v>
      </c>
      <c r="S65" s="119" t="str">
        <f>IF(ISTEXT('Incurred 2.5% cpi'!S65),"",'Incurred 2.5% cpi'!S65/'Incurred 2.5% cpi'!S$14*Incurred!S$14*BG65)</f>
        <v/>
      </c>
      <c r="T65" s="16" t="str">
        <f>IF(ISTEXT('Incurred 2.5% cpi'!T65),"",'Incurred 2.5% cpi'!T65/'Incurred 2.5% cpi'!T$14*Incurred!T$14*BH65)</f>
        <v/>
      </c>
      <c r="U65" s="16" t="str">
        <f>IF(ISTEXT('Incurred 2.5% cpi'!U65),"",'Incurred 2.5% cpi'!U65/'Incurred 2.5% cpi'!U$14*Incurred!U$14*BI65)</f>
        <v/>
      </c>
      <c r="V65" s="16" t="str">
        <f>IF(ISTEXT('Incurred 2.5% cpi'!V65),"",'Incurred 2.5% cpi'!V65/'Incurred 2.5% cpi'!V$14*Incurred!V$14*BJ65)</f>
        <v/>
      </c>
      <c r="W65" s="127" t="str">
        <f>IF(ISTEXT('Incurred 2.5% cpi'!W65),"",'Incurred 2.5% cpi'!W65/'Incurred 2.5% cpi'!W$14*Incurred!W$14*BK65)</f>
        <v/>
      </c>
      <c r="X65" s="119" t="str">
        <f>IF(ISTEXT('Incurred 2.5% cpi'!X65),"",'Incurred 2.5% cpi'!X65/'Incurred 2.5% cpi'!X$14*Incurred!X$14*BL65)</f>
        <v/>
      </c>
      <c r="Y65" s="95">
        <f t="shared" si="115"/>
        <v>2207486.917691485</v>
      </c>
      <c r="Z65" s="95">
        <f t="shared" si="83"/>
        <v>2207486.917691485</v>
      </c>
      <c r="AA65" s="676">
        <f t="shared" si="84"/>
        <v>2477616.6685679909</v>
      </c>
      <c r="AB65" s="676">
        <f t="shared" si="85"/>
        <v>2247356.744550705</v>
      </c>
      <c r="AC65" s="677">
        <f t="shared" si="86"/>
        <v>1.1024581097663335</v>
      </c>
      <c r="AD65" s="678" t="str">
        <f t="shared" si="87"/>
        <v>2018</v>
      </c>
      <c r="AE65" s="679">
        <v>43217</v>
      </c>
      <c r="AF65" s="678">
        <v>2018</v>
      </c>
      <c r="AG65" s="680"/>
      <c r="AH65" s="676">
        <f t="shared" si="122"/>
        <v>2247356.744550705</v>
      </c>
      <c r="AI65" s="95">
        <f t="shared" si="88"/>
        <v>1355772.7776914849</v>
      </c>
      <c r="AJ65" s="681" t="s">
        <v>0</v>
      </c>
      <c r="AK65" s="37">
        <f t="shared" si="89"/>
        <v>0</v>
      </c>
      <c r="AL65" s="31">
        <f t="shared" si="123"/>
        <v>0</v>
      </c>
      <c r="AM65" s="31">
        <f t="shared" si="123"/>
        <v>0</v>
      </c>
      <c r="AN65" s="31">
        <f t="shared" si="123"/>
        <v>0</v>
      </c>
      <c r="AO65" s="31">
        <f t="shared" si="123"/>
        <v>1</v>
      </c>
      <c r="AP65" s="31">
        <f t="shared" si="123"/>
        <v>0</v>
      </c>
      <c r="AQ65" s="31">
        <f t="shared" si="123"/>
        <v>0</v>
      </c>
      <c r="AR65" s="31">
        <f t="shared" si="123"/>
        <v>0</v>
      </c>
      <c r="AS65" s="31">
        <f t="shared" si="123"/>
        <v>0</v>
      </c>
      <c r="AT65" s="31">
        <f t="shared" si="123"/>
        <v>0</v>
      </c>
      <c r="AU65" s="31">
        <f t="shared" si="123"/>
        <v>0</v>
      </c>
      <c r="AV65" s="31">
        <f t="shared" si="124"/>
        <v>0</v>
      </c>
      <c r="AW65" s="31">
        <f t="shared" si="124"/>
        <v>0</v>
      </c>
      <c r="AX65" s="31">
        <f t="shared" si="124"/>
        <v>0</v>
      </c>
      <c r="AY65" s="31">
        <f t="shared" si="124"/>
        <v>0</v>
      </c>
      <c r="AZ65" s="31">
        <f t="shared" si="124"/>
        <v>0</v>
      </c>
      <c r="BA65" s="31">
        <f t="shared" si="124"/>
        <v>0</v>
      </c>
      <c r="BB65" s="31">
        <f t="shared" si="124"/>
        <v>0</v>
      </c>
      <c r="BC65" s="31">
        <f t="shared" si="124"/>
        <v>0</v>
      </c>
      <c r="BD65" s="31">
        <f t="shared" si="124"/>
        <v>0</v>
      </c>
      <c r="BE65" s="30">
        <f t="shared" si="125"/>
        <v>1</v>
      </c>
      <c r="BF65" s="620">
        <f t="shared" si="114"/>
        <v>1.0046190746045656</v>
      </c>
      <c r="BG65" s="620">
        <f t="shared" si="90"/>
        <v>1.0092681731940607</v>
      </c>
      <c r="BH65" s="620">
        <f t="shared" si="91"/>
        <v>1.0146673859598225</v>
      </c>
      <c r="BI65" s="620">
        <f t="shared" si="92"/>
        <v>1.0211950341936284</v>
      </c>
      <c r="BJ65" s="620">
        <f t="shared" si="93"/>
        <v>1.0292450750544078</v>
      </c>
      <c r="BK65" s="620">
        <f t="shared" si="94"/>
        <v>1.0377536023333034</v>
      </c>
      <c r="BL65" s="620">
        <f t="shared" si="95"/>
        <v>1.0439544690397748</v>
      </c>
      <c r="BM65" s="621" t="str">
        <f t="shared" si="96"/>
        <v>Category</v>
      </c>
    </row>
    <row r="66" spans="1:65" x14ac:dyDescent="0.15">
      <c r="A66" s="12" t="s">
        <v>149</v>
      </c>
      <c r="B66" s="13" t="s">
        <v>150</v>
      </c>
      <c r="C66" s="13" t="s">
        <v>27</v>
      </c>
      <c r="D66" s="13" t="s">
        <v>40</v>
      </c>
      <c r="E66" s="13" t="s">
        <v>32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5">
        <v>0</v>
      </c>
      <c r="N66" s="804">
        <v>66382.09</v>
      </c>
      <c r="O66" s="14">
        <v>22057.79</v>
      </c>
      <c r="P66" s="15">
        <v>61400.09</v>
      </c>
      <c r="Q66" s="16" t="str">
        <f>IF(ISTEXT('Incurred 2.5% cpi'!Q66),"",'Incurred 2.5% cpi'!Q66/'Incurred 2.5% cpi'!Q$14*Incurred!Q$14)</f>
        <v/>
      </c>
      <c r="R66" s="127" t="str">
        <f>IF(ISTEXT('Incurred 2.5% cpi'!R66),"",'Incurred 2.5% cpi'!R66/'Incurred 2.5% cpi'!R$14*Incurred!R$14*BF66)</f>
        <v/>
      </c>
      <c r="S66" s="119" t="str">
        <f>IF(ISTEXT('Incurred 2.5% cpi'!S66),"",'Incurred 2.5% cpi'!S66/'Incurred 2.5% cpi'!S$14*Incurred!S$14*BG66)</f>
        <v/>
      </c>
      <c r="T66" s="16" t="str">
        <f>IF(ISTEXT('Incurred 2.5% cpi'!T66),"",'Incurred 2.5% cpi'!T66/'Incurred 2.5% cpi'!T$14*Incurred!T$14*BH66)</f>
        <v/>
      </c>
      <c r="U66" s="16" t="str">
        <f>IF(ISTEXT('Incurred 2.5% cpi'!U66),"",'Incurred 2.5% cpi'!U66/'Incurred 2.5% cpi'!U$14*Incurred!U$14*BI66)</f>
        <v/>
      </c>
      <c r="V66" s="16" t="str">
        <f>IF(ISTEXT('Incurred 2.5% cpi'!V66),"",'Incurred 2.5% cpi'!V66/'Incurred 2.5% cpi'!V$14*Incurred!V$14*BJ66)</f>
        <v/>
      </c>
      <c r="W66" s="127" t="str">
        <f>IF(ISTEXT('Incurred 2.5% cpi'!W66),"",'Incurred 2.5% cpi'!W66/'Incurred 2.5% cpi'!W$14*Incurred!W$14*BK66)</f>
        <v/>
      </c>
      <c r="X66" s="119" t="str">
        <f>IF(ISTEXT('Incurred 2.5% cpi'!X66),"",'Incurred 2.5% cpi'!X66/'Incurred 2.5% cpi'!X$14*Incurred!X$14*BL66)</f>
        <v/>
      </c>
      <c r="Y66" s="95">
        <f t="shared" si="115"/>
        <v>149839.97</v>
      </c>
      <c r="Z66" s="95">
        <f t="shared" si="83"/>
        <v>149839.97</v>
      </c>
      <c r="AA66" s="676">
        <f t="shared" si="84"/>
        <v>174117.93879967602</v>
      </c>
      <c r="AB66" s="676">
        <f t="shared" si="85"/>
        <v>151892.58814151902</v>
      </c>
      <c r="AC66" s="677">
        <f t="shared" si="86"/>
        <v>1.1463228122589466</v>
      </c>
      <c r="AD66" s="678" t="str">
        <f t="shared" si="87"/>
        <v>2016</v>
      </c>
      <c r="AE66" s="679">
        <v>42307</v>
      </c>
      <c r="AF66" s="678">
        <v>2016</v>
      </c>
      <c r="AG66" s="680"/>
      <c r="AH66" s="676">
        <f t="shared" si="122"/>
        <v>157936.10410882672</v>
      </c>
      <c r="AI66" s="95">
        <f t="shared" si="88"/>
        <v>61400.09</v>
      </c>
      <c r="AJ66" s="681" t="s">
        <v>0</v>
      </c>
      <c r="AK66" s="37">
        <f t="shared" si="89"/>
        <v>200000</v>
      </c>
      <c r="AL66" s="31">
        <f t="shared" si="123"/>
        <v>0</v>
      </c>
      <c r="AM66" s="31">
        <f t="shared" si="123"/>
        <v>0</v>
      </c>
      <c r="AN66" s="31">
        <f t="shared" si="123"/>
        <v>0</v>
      </c>
      <c r="AO66" s="31">
        <f t="shared" si="123"/>
        <v>1</v>
      </c>
      <c r="AP66" s="31">
        <f t="shared" si="123"/>
        <v>0</v>
      </c>
      <c r="AQ66" s="31">
        <f t="shared" si="123"/>
        <v>0</v>
      </c>
      <c r="AR66" s="31">
        <f t="shared" si="123"/>
        <v>0</v>
      </c>
      <c r="AS66" s="31">
        <f t="shared" si="123"/>
        <v>0</v>
      </c>
      <c r="AT66" s="31">
        <f t="shared" si="123"/>
        <v>0</v>
      </c>
      <c r="AU66" s="31">
        <f t="shared" si="123"/>
        <v>0</v>
      </c>
      <c r="AV66" s="31">
        <f t="shared" si="124"/>
        <v>0</v>
      </c>
      <c r="AW66" s="31">
        <f t="shared" si="124"/>
        <v>0</v>
      </c>
      <c r="AX66" s="31">
        <f t="shared" si="124"/>
        <v>0</v>
      </c>
      <c r="AY66" s="31">
        <f t="shared" si="124"/>
        <v>0</v>
      </c>
      <c r="AZ66" s="31">
        <f t="shared" si="124"/>
        <v>0</v>
      </c>
      <c r="BA66" s="31">
        <f t="shared" si="124"/>
        <v>0</v>
      </c>
      <c r="BB66" s="31">
        <f t="shared" si="124"/>
        <v>0</v>
      </c>
      <c r="BC66" s="31">
        <f t="shared" si="124"/>
        <v>0</v>
      </c>
      <c r="BD66" s="31">
        <f t="shared" si="124"/>
        <v>0</v>
      </c>
      <c r="BE66" s="30">
        <f t="shared" si="125"/>
        <v>1</v>
      </c>
      <c r="BF66" s="620">
        <f t="shared" si="114"/>
        <v>1.0034498951996242</v>
      </c>
      <c r="BG66" s="620">
        <f t="shared" si="90"/>
        <v>1.0069222147180459</v>
      </c>
      <c r="BH66" s="620">
        <f t="shared" si="91"/>
        <v>1.0109547796356901</v>
      </c>
      <c r="BI66" s="620">
        <f t="shared" si="92"/>
        <v>1.0158301506211216</v>
      </c>
      <c r="BJ66" s="620">
        <f t="shared" si="93"/>
        <v>1.0218425664619335</v>
      </c>
      <c r="BK66" s="620">
        <f t="shared" si="94"/>
        <v>1.0281974167140426</v>
      </c>
      <c r="BL66" s="620">
        <f t="shared" si="95"/>
        <v>1.0328287210586446</v>
      </c>
      <c r="BM66" s="621" t="str">
        <f t="shared" si="96"/>
        <v>Category</v>
      </c>
    </row>
    <row r="67" spans="1:65" x14ac:dyDescent="0.15">
      <c r="A67" s="12" t="s">
        <v>151</v>
      </c>
      <c r="B67" s="13" t="s">
        <v>152</v>
      </c>
      <c r="C67" s="13" t="s">
        <v>27</v>
      </c>
      <c r="D67" s="13" t="s">
        <v>36</v>
      </c>
      <c r="E67" s="13" t="s">
        <v>32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5">
        <v>0</v>
      </c>
      <c r="N67" s="804">
        <v>29137.83</v>
      </c>
      <c r="O67" s="14">
        <v>9379.84</v>
      </c>
      <c r="P67" s="15">
        <v>1413.72</v>
      </c>
      <c r="Q67" s="16" t="str">
        <f>IF(ISTEXT('Incurred 2.5% cpi'!Q67),"",'Incurred 2.5% cpi'!Q67/'Incurred 2.5% cpi'!Q$14*Incurred!Q$14)</f>
        <v/>
      </c>
      <c r="R67" s="127" t="str">
        <f>IF(ISTEXT('Incurred 2.5% cpi'!R67),"",'Incurred 2.5% cpi'!R67/'Incurred 2.5% cpi'!R$14*Incurred!R$14*BF67)</f>
        <v/>
      </c>
      <c r="S67" s="119" t="str">
        <f>IF(ISTEXT('Incurred 2.5% cpi'!S67),"",'Incurred 2.5% cpi'!S67/'Incurred 2.5% cpi'!S$14*Incurred!S$14*BG67)</f>
        <v/>
      </c>
      <c r="T67" s="16" t="str">
        <f>IF(ISTEXT('Incurred 2.5% cpi'!T67),"",'Incurred 2.5% cpi'!T67/'Incurred 2.5% cpi'!T$14*Incurred!T$14*BH67)</f>
        <v/>
      </c>
      <c r="U67" s="16" t="str">
        <f>IF(ISTEXT('Incurred 2.5% cpi'!U67),"",'Incurred 2.5% cpi'!U67/'Incurred 2.5% cpi'!U$14*Incurred!U$14*BI67)</f>
        <v/>
      </c>
      <c r="V67" s="16" t="str">
        <f>IF(ISTEXT('Incurred 2.5% cpi'!V67),"",'Incurred 2.5% cpi'!V67/'Incurred 2.5% cpi'!V$14*Incurred!V$14*BJ67)</f>
        <v/>
      </c>
      <c r="W67" s="127" t="str">
        <f>IF(ISTEXT('Incurred 2.5% cpi'!W67),"",'Incurred 2.5% cpi'!W67/'Incurred 2.5% cpi'!W$14*Incurred!W$14*BK67)</f>
        <v/>
      </c>
      <c r="X67" s="119" t="str">
        <f>IF(ISTEXT('Incurred 2.5% cpi'!X67),"",'Incurred 2.5% cpi'!X67/'Incurred 2.5% cpi'!X$14*Incurred!X$14*BL67)</f>
        <v/>
      </c>
      <c r="Y67" s="95">
        <f t="shared" si="115"/>
        <v>39931.39</v>
      </c>
      <c r="Z67" s="95">
        <f t="shared" ref="Z67:Z97" si="126">-SUMIFS(F67:W67,F67:W67,"&lt;0")+SUMIFS(F67:W67,F67:W67,"&gt;0")</f>
        <v>39931.39</v>
      </c>
      <c r="AA67" s="676">
        <f t="shared" ref="AA67:AA97" si="127">IF(ROUND(Y67,0)=0,0,SUMPRODUCT($F$17:$W$17,F67:W67))</f>
        <v>46802.533993118697</v>
      </c>
      <c r="AB67" s="676">
        <f t="shared" ref="AB67:AB97" si="128">IF(AC67="","",AA67/AC67)</f>
        <v>39771.849044493829</v>
      </c>
      <c r="AC67" s="677">
        <f t="shared" ref="AC67:AC75" si="129">IF(AF67="","",IF(AF67&lt;AD67,INDEX($F$17:$W$17,1,MATCH(TEXT(AF67,"000"),$F$21:$W$21)),INDEX($F$17:$W$17,1,MATCH(AD67,$F$21:$W$21))))</f>
        <v>1.176775410687078</v>
      </c>
      <c r="AD67" s="678" t="str">
        <f t="shared" ref="AD67:AD97" si="130">IF(AI67=0,"",INDEX($F$21:$W$21,1,MATCH(AI67,F67:W67,0)))</f>
        <v>2016</v>
      </c>
      <c r="AE67" s="679">
        <v>41744</v>
      </c>
      <c r="AF67" s="678">
        <v>2014</v>
      </c>
      <c r="AG67" s="680"/>
      <c r="AH67" s="676">
        <f t="shared" si="122"/>
        <v>42452.891024619981</v>
      </c>
      <c r="AI67" s="95">
        <f t="shared" ref="AI67:AI97" si="131">IF(ROUND(Z67,0)=0,0,LOOKUP(2,1/(F67:W67&lt;&gt;""),F67:W67))</f>
        <v>1413.72</v>
      </c>
      <c r="AJ67" s="681" t="s">
        <v>0</v>
      </c>
      <c r="AK67" s="37">
        <f t="shared" ref="AK67:AK97" si="132">IF(ISNA(VLOOKUP($A67,Estimates,71,FALSE)),0,VLOOKUP($A67,Estimates,71,FALSE))</f>
        <v>49999.999999999993</v>
      </c>
      <c r="AL67" s="31">
        <f t="shared" ref="AL67:BD67" si="133">IF($AK67=0,VLOOKUP(MID($A67,4,5),ProjectSplits,AL$20,FALSE),IF(ISNA(VLOOKUP($A67,Estimates,AL$19,FALSE)),VLOOKUP(MID($A67,4,5),ProjectSplits,AL$20,FALSE),VLOOKUP($A67,Estimates,AL$19,FALSE)))</f>
        <v>1</v>
      </c>
      <c r="AM67" s="31">
        <f t="shared" si="133"/>
        <v>0</v>
      </c>
      <c r="AN67" s="31">
        <f t="shared" si="133"/>
        <v>0</v>
      </c>
      <c r="AO67" s="31">
        <f t="shared" si="133"/>
        <v>0</v>
      </c>
      <c r="AP67" s="31">
        <f t="shared" si="133"/>
        <v>0</v>
      </c>
      <c r="AQ67" s="31">
        <f t="shared" si="133"/>
        <v>0</v>
      </c>
      <c r="AR67" s="31">
        <f t="shared" si="133"/>
        <v>0</v>
      </c>
      <c r="AS67" s="31">
        <f t="shared" si="133"/>
        <v>0</v>
      </c>
      <c r="AT67" s="31">
        <f t="shared" si="133"/>
        <v>0</v>
      </c>
      <c r="AU67" s="31">
        <f t="shared" si="133"/>
        <v>0</v>
      </c>
      <c r="AV67" s="31">
        <f t="shared" si="133"/>
        <v>0</v>
      </c>
      <c r="AW67" s="31">
        <f t="shared" si="133"/>
        <v>0</v>
      </c>
      <c r="AX67" s="31">
        <f t="shared" si="133"/>
        <v>0</v>
      </c>
      <c r="AY67" s="31">
        <f t="shared" si="133"/>
        <v>0</v>
      </c>
      <c r="AZ67" s="31">
        <f t="shared" si="133"/>
        <v>0</v>
      </c>
      <c r="BA67" s="31">
        <f t="shared" si="133"/>
        <v>0</v>
      </c>
      <c r="BB67" s="31">
        <f t="shared" si="133"/>
        <v>0</v>
      </c>
      <c r="BC67" s="31">
        <f t="shared" si="133"/>
        <v>0</v>
      </c>
      <c r="BD67" s="31">
        <f t="shared" si="133"/>
        <v>0</v>
      </c>
      <c r="BE67" s="30">
        <f>SUM(AL67:BD67)</f>
        <v>1</v>
      </c>
      <c r="BF67" s="620">
        <f t="shared" si="114"/>
        <v>1.0018756098697492</v>
      </c>
      <c r="BG67" s="620">
        <f t="shared" ref="BG67:BG97" si="134">1+IF(ISNA(VLOOKUP($A67,ProjLabEsc,7,FALSE)),VLOOKUP($D67,CatLabEsc,4,FALSE),VLOOKUP($A67,ProjLabEsc,7,FALSE))*LabEsc19*LabIn</f>
        <v>1.0037634112036518</v>
      </c>
      <c r="BH67" s="620">
        <f t="shared" ref="BH67:BH97" si="135">1+IF(ISNA(VLOOKUP($A67,ProjLabEsc,7,FALSE)),VLOOKUP($D67,CatLabEsc,4,FALSE),VLOOKUP($A67,ProjLabEsc,7,FALSE))*LabEsc20*LabIn</f>
        <v>1.0059558020220052</v>
      </c>
      <c r="BI67" s="620">
        <f t="shared" ref="BI67:BI97" si="136">1+IF(ISNA(VLOOKUP($A67,ProjLabEsc,7,FALSE)),VLOOKUP($D67,CatLabEsc,4,FALSE),VLOOKUP($A67,ProjLabEsc,7,FALSE))*LabEsc21*LabIn</f>
        <v>1.0086064025213943</v>
      </c>
      <c r="BJ67" s="620">
        <f t="shared" ref="BJ67:BJ97" si="137">1+IF(ISNA(VLOOKUP($A67,ProjLabEsc,7,FALSE)),VLOOKUP($D67,CatLabEsc,4,FALSE),VLOOKUP($A67,ProjLabEsc,7,FALSE))*LabEsc22*LabIn</f>
        <v>1.0118751819594745</v>
      </c>
      <c r="BK67" s="620">
        <f t="shared" ref="BK67:BK97" si="138">1+IF(ISNA(VLOOKUP($A67,ProjLabEsc,7,FALSE)),VLOOKUP($D67,CatLabEsc,4,FALSE),VLOOKUP($A67,ProjLabEsc,7,FALSE))*LabEsc23*LabIn</f>
        <v>1.0153301332446416</v>
      </c>
      <c r="BL67" s="620">
        <f t="shared" ref="BL67:BL97" si="139">1+IF(ISNA(VLOOKUP($A67,ProjLabEsc,7,FALSE)),VLOOKUP($D67,CatLabEsc,4,FALSE),VLOOKUP($A67,ProjLabEsc,7,FALSE))*LabEsc24*LabIn</f>
        <v>1.0178480416551621</v>
      </c>
      <c r="BM67" s="621" t="str">
        <f t="shared" ref="BM67:BM97" si="140">IF(ISNA(VLOOKUP($A67,ProjLabEsc,7,FALSE)),"Category","Project")</f>
        <v>Category</v>
      </c>
    </row>
    <row r="68" spans="1:65" x14ac:dyDescent="0.15">
      <c r="A68" s="12" t="s">
        <v>153</v>
      </c>
      <c r="B68" s="13" t="s">
        <v>154</v>
      </c>
      <c r="C68" s="13" t="s">
        <v>27</v>
      </c>
      <c r="D68" s="13" t="s">
        <v>41</v>
      </c>
      <c r="E68" s="13" t="s">
        <v>29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0</v>
      </c>
      <c r="L68" s="14">
        <v>0</v>
      </c>
      <c r="M68" s="15">
        <v>0</v>
      </c>
      <c r="N68" s="804">
        <v>754528.64</v>
      </c>
      <c r="O68" s="14">
        <v>2820453.82</v>
      </c>
      <c r="P68" s="15">
        <v>17958100.210000001</v>
      </c>
      <c r="Q68" s="16">
        <f>IF(ISTEXT('Incurred 2.5% cpi'!Q68),"",'Incurred 2.5% cpi'!Q68/'Incurred 2.5% cpi'!Q$14*Incurred!Q$14)</f>
        <v>22905550.649999999</v>
      </c>
      <c r="R68" s="127">
        <f>IF(ISTEXT('Incurred 2.5% cpi'!R68),"",'Incurred 2.5% cpi'!R68/'Incurred 2.5% cpi'!R$14*Incurred!R$14*BF68)</f>
        <v>10512294.153781982</v>
      </c>
      <c r="S68" s="119">
        <f>IF(ISTEXT('Incurred 2.5% cpi'!S68),"",'Incurred 2.5% cpi'!S68/'Incurred 2.5% cpi'!S$14*Incurred!S$14*BG68)</f>
        <v>23533.008947124861</v>
      </c>
      <c r="T68" s="16" t="str">
        <f>IF(ISTEXT('Incurred 2.5% cpi'!T68),"",'Incurred 2.5% cpi'!T68/'Incurred 2.5% cpi'!T$14*Incurred!T$14*BH68)</f>
        <v/>
      </c>
      <c r="U68" s="16" t="str">
        <f>IF(ISTEXT('Incurred 2.5% cpi'!U68),"",'Incurred 2.5% cpi'!U68/'Incurred 2.5% cpi'!U$14*Incurred!U$14*BI68)</f>
        <v/>
      </c>
      <c r="V68" s="16" t="str">
        <f>IF(ISTEXT('Incurred 2.5% cpi'!V68),"",'Incurred 2.5% cpi'!V68/'Incurred 2.5% cpi'!V$14*Incurred!V$14*BJ68)</f>
        <v/>
      </c>
      <c r="W68" s="127" t="str">
        <f>IF(ISTEXT('Incurred 2.5% cpi'!W68),"",'Incurred 2.5% cpi'!W68/'Incurred 2.5% cpi'!W$14*Incurred!W$14*BK68)</f>
        <v/>
      </c>
      <c r="X68" s="119" t="str">
        <f>IF(ISTEXT('Incurred 2.5% cpi'!X68),"",'Incurred 2.5% cpi'!X68/'Incurred 2.5% cpi'!X$14*Incurred!X$14*BL68)</f>
        <v/>
      </c>
      <c r="Y68" s="95">
        <f t="shared" si="115"/>
        <v>54974460.482729107</v>
      </c>
      <c r="Z68" s="95">
        <f t="shared" si="126"/>
        <v>54974460.482729107</v>
      </c>
      <c r="AA68" s="676">
        <f t="shared" si="127"/>
        <v>62113912.788031824</v>
      </c>
      <c r="AB68" s="676">
        <f t="shared" si="128"/>
        <v>56341290.646586925</v>
      </c>
      <c r="AC68" s="677">
        <f t="shared" si="129"/>
        <v>1.1024581097663335</v>
      </c>
      <c r="AD68" s="678" t="str">
        <f t="shared" si="130"/>
        <v>2019</v>
      </c>
      <c r="AE68" s="679">
        <v>43124</v>
      </c>
      <c r="AF68" s="678">
        <v>2018</v>
      </c>
      <c r="AG68" s="680"/>
      <c r="AH68" s="676">
        <f t="shared" si="122"/>
        <v>56341290.64658691</v>
      </c>
      <c r="AI68" s="95">
        <f t="shared" si="131"/>
        <v>23533.008947124861</v>
      </c>
      <c r="AJ68" s="681" t="s">
        <v>0</v>
      </c>
      <c r="AK68" s="37">
        <f t="shared" si="132"/>
        <v>0</v>
      </c>
      <c r="AL68" s="31">
        <f t="shared" ref="AL68:AU68" si="141">IF($AK68=0,VLOOKUP(MID($A68,4,5),ProjectSplits,AL$20,FALSE),IF(ISNA(VLOOKUP($A68,Estimates,AL$19,FALSE)),VLOOKUP(MID($A68,4,5),ProjectSplits,AL$20,FALSE),VLOOKUP($A68,Estimates,AL$19,FALSE)))</f>
        <v>0</v>
      </c>
      <c r="AM68" s="31">
        <f t="shared" si="141"/>
        <v>0</v>
      </c>
      <c r="AN68" s="31">
        <f t="shared" si="141"/>
        <v>0</v>
      </c>
      <c r="AO68" s="31">
        <f t="shared" si="141"/>
        <v>0</v>
      </c>
      <c r="AP68" s="31">
        <f t="shared" si="141"/>
        <v>0</v>
      </c>
      <c r="AQ68" s="31">
        <f t="shared" si="141"/>
        <v>0</v>
      </c>
      <c r="AR68" s="31">
        <f t="shared" si="141"/>
        <v>0</v>
      </c>
      <c r="AS68" s="31">
        <f t="shared" si="141"/>
        <v>0</v>
      </c>
      <c r="AT68" s="31">
        <f t="shared" si="141"/>
        <v>0</v>
      </c>
      <c r="AU68" s="31">
        <f t="shared" si="141"/>
        <v>0</v>
      </c>
      <c r="AV68" s="31">
        <f t="shared" ref="AV68:BD68" si="142">IF($AK68=0,VLOOKUP(MID($A68,4,5),ProjectSplits,AV$20,FALSE),IF(ISNA(VLOOKUP($A68,Estimates,AV$19,FALSE)),VLOOKUP(MID($A68,4,5),ProjectSplits,AV$20,FALSE),VLOOKUP($A68,Estimates,AV$19,FALSE)))</f>
        <v>0</v>
      </c>
      <c r="AW68" s="31">
        <f t="shared" si="142"/>
        <v>0</v>
      </c>
      <c r="AX68" s="31">
        <f t="shared" si="142"/>
        <v>0</v>
      </c>
      <c r="AY68" s="31">
        <f t="shared" si="142"/>
        <v>0</v>
      </c>
      <c r="AZ68" s="31">
        <f t="shared" si="142"/>
        <v>0</v>
      </c>
      <c r="BA68" s="31">
        <f t="shared" si="142"/>
        <v>0</v>
      </c>
      <c r="BB68" s="31">
        <f t="shared" si="142"/>
        <v>0</v>
      </c>
      <c r="BC68" s="31">
        <f t="shared" si="142"/>
        <v>0</v>
      </c>
      <c r="BD68" s="31">
        <f t="shared" si="142"/>
        <v>1</v>
      </c>
      <c r="BE68" s="30">
        <f t="shared" ref="BE68" si="143">SUM(AL68:BD68)</f>
        <v>1</v>
      </c>
      <c r="BF68" s="620">
        <f t="shared" si="114"/>
        <v>1.0032293803584966</v>
      </c>
      <c r="BG68" s="620">
        <f t="shared" si="134"/>
        <v>1.0064797516893236</v>
      </c>
      <c r="BH68" s="620">
        <f t="shared" si="135"/>
        <v>1.0102545579329514</v>
      </c>
      <c r="BI68" s="620">
        <f t="shared" si="136"/>
        <v>1.0148182986814971</v>
      </c>
      <c r="BJ68" s="620">
        <f t="shared" si="137"/>
        <v>1.0204464051890649</v>
      </c>
      <c r="BK68" s="620">
        <f t="shared" si="138"/>
        <v>1.0263950579445413</v>
      </c>
      <c r="BL68" s="620">
        <f t="shared" si="139"/>
        <v>1.0307303326179016</v>
      </c>
      <c r="BM68" s="621" t="str">
        <f t="shared" si="140"/>
        <v>Category</v>
      </c>
    </row>
    <row r="69" spans="1:65" x14ac:dyDescent="0.15">
      <c r="A69" s="12" t="s">
        <v>156</v>
      </c>
      <c r="B69" s="13" t="s">
        <v>157</v>
      </c>
      <c r="C69" s="13" t="s">
        <v>27</v>
      </c>
      <c r="D69" s="13" t="s">
        <v>41</v>
      </c>
      <c r="E69" s="13" t="s">
        <v>29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5">
        <v>0</v>
      </c>
      <c r="N69" s="804">
        <v>81635.7</v>
      </c>
      <c r="O69" s="14">
        <v>859178.68</v>
      </c>
      <c r="P69" s="15">
        <v>876093.75</v>
      </c>
      <c r="Q69" s="16">
        <f>IF(ISTEXT('Incurred 2.5% cpi'!Q69),"",'Incurred 2.5% cpi'!Q69/'Incurred 2.5% cpi'!Q$14*Incurred!Q$14)</f>
        <v>150849.06</v>
      </c>
      <c r="R69" s="127">
        <f>IF(ISTEXT('Incurred 2.5% cpi'!R69),"",'Incurred 2.5% cpi'!R69/'Incurred 2.5% cpi'!R$14*Incurred!R$14*BF69)</f>
        <v>8750.1531525087285</v>
      </c>
      <c r="S69" s="119" t="str">
        <f>IF(ISTEXT('Incurred 2.5% cpi'!S69),"",'Incurred 2.5% cpi'!S69/'Incurred 2.5% cpi'!S$14*Incurred!S$14*BG69)</f>
        <v/>
      </c>
      <c r="T69" s="16" t="str">
        <f>IF(ISTEXT('Incurred 2.5% cpi'!T69),"",'Incurred 2.5% cpi'!T69/'Incurred 2.5% cpi'!T$14*Incurred!T$14*BH69)</f>
        <v/>
      </c>
      <c r="U69" s="16" t="str">
        <f>IF(ISTEXT('Incurred 2.5% cpi'!U69),"",'Incurred 2.5% cpi'!U69/'Incurred 2.5% cpi'!U$14*Incurred!U$14*BI69)</f>
        <v/>
      </c>
      <c r="V69" s="16" t="str">
        <f>IF(ISTEXT('Incurred 2.5% cpi'!V69),"",'Incurred 2.5% cpi'!V69/'Incurred 2.5% cpi'!V$14*Incurred!V$14*BJ69)</f>
        <v/>
      </c>
      <c r="W69" s="127" t="str">
        <f>IF(ISTEXT('Incurred 2.5% cpi'!W69),"",'Incurred 2.5% cpi'!W69/'Incurred 2.5% cpi'!W$14*Incurred!W$14*BK69)</f>
        <v/>
      </c>
      <c r="X69" s="119" t="str">
        <f>IF(ISTEXT('Incurred 2.5% cpi'!X69),"",'Incurred 2.5% cpi'!X69/'Incurred 2.5% cpi'!X$14*Incurred!X$14*BL69)</f>
        <v/>
      </c>
      <c r="Y69" s="95">
        <f t="shared" si="115"/>
        <v>1976507.3431525086</v>
      </c>
      <c r="Z69" s="95">
        <f t="shared" si="126"/>
        <v>1976507.3431525086</v>
      </c>
      <c r="AA69" s="676">
        <f t="shared" si="127"/>
        <v>2277387.5305045727</v>
      </c>
      <c r="AB69" s="676">
        <f t="shared" si="128"/>
        <v>2025827.3149770764</v>
      </c>
      <c r="AC69" s="677">
        <f t="shared" si="129"/>
        <v>1.1241765345287305</v>
      </c>
      <c r="AD69" s="678" t="str">
        <f t="shared" si="130"/>
        <v>2018</v>
      </c>
      <c r="AE69" s="679">
        <v>42689</v>
      </c>
      <c r="AF69" s="678">
        <v>2017</v>
      </c>
      <c r="AG69" s="680"/>
      <c r="AH69" s="676">
        <f t="shared" ref="AH69:AH80" si="144">IF(ROUND(Y69,0)=0,0,SUMPRODUCT($F$16:$W$16,F69:W69))</f>
        <v>2065736.1130821246</v>
      </c>
      <c r="AI69" s="95">
        <f t="shared" si="131"/>
        <v>8750.1531525087285</v>
      </c>
      <c r="AJ69" s="681" t="s">
        <v>0</v>
      </c>
      <c r="AK69" s="37">
        <f t="shared" si="132"/>
        <v>1254957.6399999994</v>
      </c>
      <c r="AL69" s="31">
        <f t="shared" ref="AL69:AU76" si="145">IF($AK69=0,VLOOKUP(MID($A69,4,5),ProjectSplits,AL$20,FALSE),IF(ISNA(VLOOKUP($A69,Estimates,AL$19,FALSE)),VLOOKUP(MID($A69,4,5),ProjectSplits,AL$20,FALSE),VLOOKUP($A69,Estimates,AL$19,FALSE)))</f>
        <v>0</v>
      </c>
      <c r="AM69" s="31">
        <f t="shared" si="145"/>
        <v>0</v>
      </c>
      <c r="AN69" s="31">
        <f t="shared" si="145"/>
        <v>0</v>
      </c>
      <c r="AO69" s="31">
        <f t="shared" si="145"/>
        <v>0</v>
      </c>
      <c r="AP69" s="31">
        <f t="shared" si="145"/>
        <v>0</v>
      </c>
      <c r="AQ69" s="31">
        <f t="shared" si="145"/>
        <v>0</v>
      </c>
      <c r="AR69" s="31">
        <f t="shared" si="145"/>
        <v>0</v>
      </c>
      <c r="AS69" s="31">
        <f t="shared" si="145"/>
        <v>0</v>
      </c>
      <c r="AT69" s="31">
        <f t="shared" si="145"/>
        <v>0</v>
      </c>
      <c r="AU69" s="31">
        <f t="shared" si="145"/>
        <v>0</v>
      </c>
      <c r="AV69" s="31">
        <f t="shared" ref="AV69:BD76" si="146">IF($AK69=0,VLOOKUP(MID($A69,4,5),ProjectSplits,AV$20,FALSE),IF(ISNA(VLOOKUP($A69,Estimates,AV$19,FALSE)),VLOOKUP(MID($A69,4,5),ProjectSplits,AV$20,FALSE),VLOOKUP($A69,Estimates,AV$19,FALSE)))</f>
        <v>0</v>
      </c>
      <c r="AW69" s="31">
        <f t="shared" si="146"/>
        <v>0</v>
      </c>
      <c r="AX69" s="31">
        <f t="shared" si="146"/>
        <v>0</v>
      </c>
      <c r="AY69" s="31">
        <f t="shared" si="146"/>
        <v>0</v>
      </c>
      <c r="AZ69" s="31">
        <f t="shared" si="146"/>
        <v>0</v>
      </c>
      <c r="BA69" s="31">
        <f t="shared" si="146"/>
        <v>0</v>
      </c>
      <c r="BB69" s="31">
        <f t="shared" si="146"/>
        <v>0</v>
      </c>
      <c r="BC69" s="31">
        <f t="shared" si="146"/>
        <v>0</v>
      </c>
      <c r="BD69" s="31">
        <f t="shared" si="146"/>
        <v>1</v>
      </c>
      <c r="BE69" s="30">
        <f t="shared" ref="BE69:BE80" si="147">SUM(AL69:BD69)</f>
        <v>1</v>
      </c>
      <c r="BF69" s="620">
        <f t="shared" si="114"/>
        <v>1.0032293803584966</v>
      </c>
      <c r="BG69" s="620">
        <f t="shared" si="134"/>
        <v>1.0064797516893236</v>
      </c>
      <c r="BH69" s="620">
        <f t="shared" si="135"/>
        <v>1.0102545579329514</v>
      </c>
      <c r="BI69" s="620">
        <f t="shared" si="136"/>
        <v>1.0148182986814971</v>
      </c>
      <c r="BJ69" s="620">
        <f t="shared" si="137"/>
        <v>1.0204464051890649</v>
      </c>
      <c r="BK69" s="620">
        <f t="shared" si="138"/>
        <v>1.0263950579445413</v>
      </c>
      <c r="BL69" s="620">
        <f t="shared" si="139"/>
        <v>1.0307303326179016</v>
      </c>
      <c r="BM69" s="621" t="str">
        <f t="shared" si="140"/>
        <v>Category</v>
      </c>
    </row>
    <row r="70" spans="1:65" x14ac:dyDescent="0.15">
      <c r="A70" s="12" t="s">
        <v>158</v>
      </c>
      <c r="B70" s="13" t="s">
        <v>159</v>
      </c>
      <c r="C70" s="13" t="s">
        <v>27</v>
      </c>
      <c r="D70" s="13" t="s">
        <v>41</v>
      </c>
      <c r="E70" s="13" t="s">
        <v>29</v>
      </c>
      <c r="F70" s="14">
        <v>0</v>
      </c>
      <c r="G70" s="14">
        <v>0</v>
      </c>
      <c r="H70" s="14">
        <v>0</v>
      </c>
      <c r="I70" s="14">
        <v>0</v>
      </c>
      <c r="J70" s="14">
        <v>0</v>
      </c>
      <c r="K70" s="14">
        <v>0</v>
      </c>
      <c r="L70" s="14">
        <v>0</v>
      </c>
      <c r="M70" s="15">
        <v>0</v>
      </c>
      <c r="N70" s="804">
        <v>63183.77</v>
      </c>
      <c r="O70" s="14">
        <v>543156.64</v>
      </c>
      <c r="P70" s="15">
        <v>4514330.08</v>
      </c>
      <c r="Q70" s="16">
        <f>IF(ISTEXT('Incurred 2.5% cpi'!Q70),"",'Incurred 2.5% cpi'!Q70/'Incurred 2.5% cpi'!Q$14*Incurred!Q$14)</f>
        <v>86341.14</v>
      </c>
      <c r="R70" s="127">
        <f>IF(ISTEXT('Incurred 2.5% cpi'!R70),"",'Incurred 2.5% cpi'!R70/'Incurred 2.5% cpi'!R$14*Incurred!R$14*BF70)</f>
        <v>29209.534075403724</v>
      </c>
      <c r="S70" s="119" t="str">
        <f>IF(ISTEXT('Incurred 2.5% cpi'!S70),"",'Incurred 2.5% cpi'!S70/'Incurred 2.5% cpi'!S$14*Incurred!S$14*BG70)</f>
        <v/>
      </c>
      <c r="T70" s="16" t="str">
        <f>IF(ISTEXT('Incurred 2.5% cpi'!T70),"",'Incurred 2.5% cpi'!T70/'Incurred 2.5% cpi'!T$14*Incurred!T$14*BH70)</f>
        <v/>
      </c>
      <c r="U70" s="16" t="str">
        <f>IF(ISTEXT('Incurred 2.5% cpi'!U70),"",'Incurred 2.5% cpi'!U70/'Incurred 2.5% cpi'!U$14*Incurred!U$14*BI70)</f>
        <v/>
      </c>
      <c r="V70" s="16" t="str">
        <f>IF(ISTEXT('Incurred 2.5% cpi'!V70),"",'Incurred 2.5% cpi'!V70/'Incurred 2.5% cpi'!V$14*Incurred!V$14*BJ70)</f>
        <v/>
      </c>
      <c r="W70" s="127" t="str">
        <f>IF(ISTEXT('Incurred 2.5% cpi'!W70),"",'Incurred 2.5% cpi'!W70/'Incurred 2.5% cpi'!W$14*Incurred!W$14*BK70)</f>
        <v/>
      </c>
      <c r="X70" s="119" t="str">
        <f>IF(ISTEXT('Incurred 2.5% cpi'!X70),"",'Incurred 2.5% cpi'!X70/'Incurred 2.5% cpi'!X$14*Incurred!X$14*BL70)</f>
        <v/>
      </c>
      <c r="Y70" s="95">
        <f t="shared" si="115"/>
        <v>5236221.1640754035</v>
      </c>
      <c r="Z70" s="95">
        <f t="shared" si="126"/>
        <v>5236221.1640754035</v>
      </c>
      <c r="AA70" s="676">
        <f t="shared" si="127"/>
        <v>6009292.3318000054</v>
      </c>
      <c r="AB70" s="676">
        <f t="shared" si="128"/>
        <v>5345505.9300976954</v>
      </c>
      <c r="AC70" s="677">
        <f t="shared" si="129"/>
        <v>1.1241765345287305</v>
      </c>
      <c r="AD70" s="678" t="str">
        <f t="shared" si="130"/>
        <v>2018</v>
      </c>
      <c r="AE70" s="679">
        <v>42755</v>
      </c>
      <c r="AF70" s="678">
        <v>2017</v>
      </c>
      <c r="AG70" s="680"/>
      <c r="AH70" s="676">
        <f t="shared" si="144"/>
        <v>5450812.3969206195</v>
      </c>
      <c r="AI70" s="95">
        <f t="shared" si="131"/>
        <v>29209.534075403724</v>
      </c>
      <c r="AJ70" s="681" t="s">
        <v>0</v>
      </c>
      <c r="AK70" s="37">
        <f t="shared" si="132"/>
        <v>3630888.06</v>
      </c>
      <c r="AL70" s="31">
        <f t="shared" si="145"/>
        <v>0</v>
      </c>
      <c r="AM70" s="31">
        <f t="shared" si="145"/>
        <v>0</v>
      </c>
      <c r="AN70" s="31">
        <f t="shared" si="145"/>
        <v>0</v>
      </c>
      <c r="AO70" s="31">
        <f t="shared" si="145"/>
        <v>0</v>
      </c>
      <c r="AP70" s="31">
        <f t="shared" si="145"/>
        <v>0</v>
      </c>
      <c r="AQ70" s="31">
        <f t="shared" si="145"/>
        <v>0</v>
      </c>
      <c r="AR70" s="31">
        <f t="shared" si="145"/>
        <v>0</v>
      </c>
      <c r="AS70" s="31">
        <f t="shared" si="145"/>
        <v>0</v>
      </c>
      <c r="AT70" s="31">
        <f t="shared" si="145"/>
        <v>0</v>
      </c>
      <c r="AU70" s="31">
        <f t="shared" si="145"/>
        <v>0</v>
      </c>
      <c r="AV70" s="31">
        <f t="shared" si="146"/>
        <v>0</v>
      </c>
      <c r="AW70" s="31">
        <f t="shared" si="146"/>
        <v>0</v>
      </c>
      <c r="AX70" s="31">
        <f t="shared" si="146"/>
        <v>0</v>
      </c>
      <c r="AY70" s="31">
        <f t="shared" si="146"/>
        <v>0</v>
      </c>
      <c r="AZ70" s="31">
        <f t="shared" si="146"/>
        <v>0</v>
      </c>
      <c r="BA70" s="31">
        <f t="shared" si="146"/>
        <v>0</v>
      </c>
      <c r="BB70" s="31">
        <f t="shared" si="146"/>
        <v>0</v>
      </c>
      <c r="BC70" s="31">
        <f t="shared" si="146"/>
        <v>0</v>
      </c>
      <c r="BD70" s="31">
        <f t="shared" si="146"/>
        <v>1</v>
      </c>
      <c r="BE70" s="30">
        <f t="shared" si="147"/>
        <v>1</v>
      </c>
      <c r="BF70" s="620">
        <f t="shared" si="114"/>
        <v>1.0032293803584966</v>
      </c>
      <c r="BG70" s="620">
        <f t="shared" si="134"/>
        <v>1.0064797516893236</v>
      </c>
      <c r="BH70" s="620">
        <f t="shared" si="135"/>
        <v>1.0102545579329514</v>
      </c>
      <c r="BI70" s="620">
        <f t="shared" si="136"/>
        <v>1.0148182986814971</v>
      </c>
      <c r="BJ70" s="620">
        <f t="shared" si="137"/>
        <v>1.0204464051890649</v>
      </c>
      <c r="BK70" s="620">
        <f t="shared" si="138"/>
        <v>1.0263950579445413</v>
      </c>
      <c r="BL70" s="620">
        <f t="shared" si="139"/>
        <v>1.0307303326179016</v>
      </c>
      <c r="BM70" s="621" t="str">
        <f t="shared" si="140"/>
        <v>Category</v>
      </c>
    </row>
    <row r="71" spans="1:65" x14ac:dyDescent="0.15">
      <c r="A71" s="12" t="s">
        <v>160</v>
      </c>
      <c r="B71" s="13" t="s">
        <v>161</v>
      </c>
      <c r="C71" s="13" t="s">
        <v>27</v>
      </c>
      <c r="D71" s="13" t="s">
        <v>41</v>
      </c>
      <c r="E71" s="13" t="s">
        <v>29</v>
      </c>
      <c r="F71" s="14">
        <v>0</v>
      </c>
      <c r="G71" s="14">
        <v>0</v>
      </c>
      <c r="H71" s="14">
        <v>0</v>
      </c>
      <c r="I71" s="14">
        <v>0</v>
      </c>
      <c r="J71" s="14">
        <v>0</v>
      </c>
      <c r="K71" s="14">
        <v>0</v>
      </c>
      <c r="L71" s="14">
        <v>0</v>
      </c>
      <c r="M71" s="15">
        <v>0</v>
      </c>
      <c r="N71" s="804">
        <v>469016.36</v>
      </c>
      <c r="O71" s="14">
        <v>4049141.35</v>
      </c>
      <c r="P71" s="15">
        <v>1166785.49</v>
      </c>
      <c r="Q71" s="16">
        <f>IF(ISTEXT('Incurred 2.5% cpi'!Q71),"",'Incurred 2.5% cpi'!Q71/'Incurred 2.5% cpi'!Q$14*Incurred!Q$14)</f>
        <v>441483.16</v>
      </c>
      <c r="R71" s="127">
        <f>IF(ISTEXT('Incurred 2.5% cpi'!R71),"",'Incurred 2.5% cpi'!R71/'Incurred 2.5% cpi'!R$14*Incurred!R$14*BF71)</f>
        <v>12195.334082744077</v>
      </c>
      <c r="S71" s="119" t="str">
        <f>IF(ISTEXT('Incurred 2.5% cpi'!S71),"",'Incurred 2.5% cpi'!S71/'Incurred 2.5% cpi'!S$14*Incurred!S$14*BG71)</f>
        <v/>
      </c>
      <c r="T71" s="16" t="str">
        <f>IF(ISTEXT('Incurred 2.5% cpi'!T71),"",'Incurred 2.5% cpi'!T71/'Incurred 2.5% cpi'!T$14*Incurred!T$14*BH71)</f>
        <v/>
      </c>
      <c r="U71" s="16" t="str">
        <f>IF(ISTEXT('Incurred 2.5% cpi'!U71),"",'Incurred 2.5% cpi'!U71/'Incurred 2.5% cpi'!U$14*Incurred!U$14*BI71)</f>
        <v/>
      </c>
      <c r="V71" s="16" t="str">
        <f>IF(ISTEXT('Incurred 2.5% cpi'!V71),"",'Incurred 2.5% cpi'!V71/'Incurred 2.5% cpi'!V$14*Incurred!V$14*BJ71)</f>
        <v/>
      </c>
      <c r="W71" s="127" t="str">
        <f>IF(ISTEXT('Incurred 2.5% cpi'!W71),"",'Incurred 2.5% cpi'!W71/'Incurred 2.5% cpi'!W$14*Incurred!W$14*BK71)</f>
        <v/>
      </c>
      <c r="X71" s="119" t="str">
        <f>IF(ISTEXT('Incurred 2.5% cpi'!X71),"",'Incurred 2.5% cpi'!X71/'Incurred 2.5% cpi'!X$14*Incurred!X$14*BL71)</f>
        <v/>
      </c>
      <c r="Y71" s="95">
        <f t="shared" si="115"/>
        <v>6138621.6940827444</v>
      </c>
      <c r="Z71" s="95">
        <f t="shared" si="126"/>
        <v>6138621.6940827444</v>
      </c>
      <c r="AA71" s="676">
        <f t="shared" si="127"/>
        <v>7101657.943869628</v>
      </c>
      <c r="AB71" s="676">
        <f t="shared" si="128"/>
        <v>6317208.8419784857</v>
      </c>
      <c r="AC71" s="677">
        <f t="shared" si="129"/>
        <v>1.1241765345287305</v>
      </c>
      <c r="AD71" s="678" t="str">
        <f t="shared" si="130"/>
        <v>2018</v>
      </c>
      <c r="AE71" s="679">
        <v>42870</v>
      </c>
      <c r="AF71" s="678">
        <v>2017</v>
      </c>
      <c r="AG71" s="680"/>
      <c r="AH71" s="676">
        <f t="shared" si="144"/>
        <v>6441657.8561654603</v>
      </c>
      <c r="AI71" s="95">
        <f t="shared" si="131"/>
        <v>12195.334082744077</v>
      </c>
      <c r="AJ71" s="681" t="s">
        <v>0</v>
      </c>
      <c r="AK71" s="37">
        <f t="shared" si="132"/>
        <v>5895290.8999500005</v>
      </c>
      <c r="AL71" s="31">
        <f t="shared" si="145"/>
        <v>0</v>
      </c>
      <c r="AM71" s="31">
        <f t="shared" si="145"/>
        <v>0</v>
      </c>
      <c r="AN71" s="31">
        <f t="shared" si="145"/>
        <v>0</v>
      </c>
      <c r="AO71" s="31">
        <f t="shared" si="145"/>
        <v>0</v>
      </c>
      <c r="AP71" s="31">
        <f t="shared" si="145"/>
        <v>0</v>
      </c>
      <c r="AQ71" s="31">
        <f t="shared" si="145"/>
        <v>0</v>
      </c>
      <c r="AR71" s="31">
        <f t="shared" si="145"/>
        <v>0</v>
      </c>
      <c r="AS71" s="31">
        <f t="shared" si="145"/>
        <v>0</v>
      </c>
      <c r="AT71" s="31">
        <f t="shared" si="145"/>
        <v>0</v>
      </c>
      <c r="AU71" s="31">
        <f t="shared" si="145"/>
        <v>0</v>
      </c>
      <c r="AV71" s="31">
        <f t="shared" si="146"/>
        <v>0</v>
      </c>
      <c r="AW71" s="31">
        <f t="shared" si="146"/>
        <v>0</v>
      </c>
      <c r="AX71" s="31">
        <f t="shared" si="146"/>
        <v>0</v>
      </c>
      <c r="AY71" s="31">
        <f t="shared" si="146"/>
        <v>0</v>
      </c>
      <c r="AZ71" s="31">
        <f t="shared" si="146"/>
        <v>0</v>
      </c>
      <c r="BA71" s="31">
        <f t="shared" si="146"/>
        <v>0</v>
      </c>
      <c r="BB71" s="31">
        <f t="shared" si="146"/>
        <v>0</v>
      </c>
      <c r="BC71" s="31">
        <f t="shared" si="146"/>
        <v>0</v>
      </c>
      <c r="BD71" s="31">
        <f t="shared" si="146"/>
        <v>1</v>
      </c>
      <c r="BE71" s="30">
        <f t="shared" si="147"/>
        <v>1</v>
      </c>
      <c r="BF71" s="620">
        <f t="shared" si="114"/>
        <v>1.0032293803584966</v>
      </c>
      <c r="BG71" s="620">
        <f t="shared" si="134"/>
        <v>1.0064797516893236</v>
      </c>
      <c r="BH71" s="620">
        <f t="shared" si="135"/>
        <v>1.0102545579329514</v>
      </c>
      <c r="BI71" s="620">
        <f t="shared" si="136"/>
        <v>1.0148182986814971</v>
      </c>
      <c r="BJ71" s="620">
        <f t="shared" si="137"/>
        <v>1.0204464051890649</v>
      </c>
      <c r="BK71" s="620">
        <f t="shared" si="138"/>
        <v>1.0263950579445413</v>
      </c>
      <c r="BL71" s="620">
        <f t="shared" si="139"/>
        <v>1.0307303326179016</v>
      </c>
      <c r="BM71" s="621" t="str">
        <f t="shared" si="140"/>
        <v>Category</v>
      </c>
    </row>
    <row r="72" spans="1:65" x14ac:dyDescent="0.15">
      <c r="A72" s="12" t="s">
        <v>162</v>
      </c>
      <c r="B72" s="13" t="s">
        <v>163</v>
      </c>
      <c r="C72" s="13" t="s">
        <v>27</v>
      </c>
      <c r="D72" s="13" t="s">
        <v>41</v>
      </c>
      <c r="E72" s="13" t="s">
        <v>29</v>
      </c>
      <c r="F72" s="14">
        <v>0</v>
      </c>
      <c r="G72" s="14">
        <v>0</v>
      </c>
      <c r="H72" s="14">
        <v>0</v>
      </c>
      <c r="I72" s="14">
        <v>0</v>
      </c>
      <c r="J72" s="14">
        <v>0</v>
      </c>
      <c r="K72" s="14">
        <v>0</v>
      </c>
      <c r="L72" s="14">
        <v>0</v>
      </c>
      <c r="M72" s="15">
        <v>0</v>
      </c>
      <c r="N72" s="804">
        <v>673197.8</v>
      </c>
      <c r="O72" s="14">
        <v>1777892.24</v>
      </c>
      <c r="P72" s="15">
        <v>43397.88</v>
      </c>
      <c r="Q72" s="16">
        <f>IF(ISTEXT('Incurred 2.5% cpi'!Q72),"",'Incurred 2.5% cpi'!Q72/'Incurred 2.5% cpi'!Q$14*Incurred!Q$14)</f>
        <v>8506.75</v>
      </c>
      <c r="R72" s="127" t="str">
        <f>IF(ISTEXT('Incurred 2.5% cpi'!R72),"",'Incurred 2.5% cpi'!R72/'Incurred 2.5% cpi'!R$14*Incurred!R$14*BF72)</f>
        <v/>
      </c>
      <c r="S72" s="119" t="str">
        <f>IF(ISTEXT('Incurred 2.5% cpi'!S72),"",'Incurred 2.5% cpi'!S72/'Incurred 2.5% cpi'!S$14*Incurred!S$14*BG72)</f>
        <v/>
      </c>
      <c r="T72" s="16" t="str">
        <f>IF(ISTEXT('Incurred 2.5% cpi'!T72),"",'Incurred 2.5% cpi'!T72/'Incurred 2.5% cpi'!T$14*Incurred!T$14*BH72)</f>
        <v/>
      </c>
      <c r="U72" s="16" t="str">
        <f>IF(ISTEXT('Incurred 2.5% cpi'!U72),"",'Incurred 2.5% cpi'!U72/'Incurred 2.5% cpi'!U$14*Incurred!U$14*BI72)</f>
        <v/>
      </c>
      <c r="V72" s="16" t="str">
        <f>IF(ISTEXT('Incurred 2.5% cpi'!V72),"",'Incurred 2.5% cpi'!V72/'Incurred 2.5% cpi'!V$14*Incurred!V$14*BJ72)</f>
        <v/>
      </c>
      <c r="W72" s="127" t="str">
        <f>IF(ISTEXT('Incurred 2.5% cpi'!W72),"",'Incurred 2.5% cpi'!W72/'Incurred 2.5% cpi'!W$14*Incurred!W$14*BK72)</f>
        <v/>
      </c>
      <c r="X72" s="119" t="str">
        <f>IF(ISTEXT('Incurred 2.5% cpi'!X72),"",'Incurred 2.5% cpi'!X72/'Incurred 2.5% cpi'!X$14*Incurred!X$14*BL72)</f>
        <v/>
      </c>
      <c r="Y72" s="95">
        <f t="shared" si="115"/>
        <v>2502994.67</v>
      </c>
      <c r="Z72" s="95">
        <f t="shared" si="126"/>
        <v>2502994.67</v>
      </c>
      <c r="AA72" s="676">
        <f t="shared" si="127"/>
        <v>2916267.9782029805</v>
      </c>
      <c r="AB72" s="676">
        <f t="shared" si="128"/>
        <v>2511102.7632522215</v>
      </c>
      <c r="AC72" s="677">
        <f t="shared" si="129"/>
        <v>1.161349515790431</v>
      </c>
      <c r="AD72" s="678" t="str">
        <f t="shared" si="130"/>
        <v>2017</v>
      </c>
      <c r="AE72" s="679">
        <v>41978</v>
      </c>
      <c r="AF72" s="678">
        <v>2015</v>
      </c>
      <c r="AG72" s="680"/>
      <c r="AH72" s="676">
        <f t="shared" si="144"/>
        <v>2645241.5310556195</v>
      </c>
      <c r="AI72" s="95">
        <f t="shared" si="131"/>
        <v>8506.75</v>
      </c>
      <c r="AJ72" s="681" t="s">
        <v>0</v>
      </c>
      <c r="AK72" s="37">
        <f t="shared" si="132"/>
        <v>2184711.0199999996</v>
      </c>
      <c r="AL72" s="31">
        <f t="shared" si="145"/>
        <v>0</v>
      </c>
      <c r="AM72" s="31">
        <f t="shared" si="145"/>
        <v>0</v>
      </c>
      <c r="AN72" s="31">
        <f t="shared" si="145"/>
        <v>0</v>
      </c>
      <c r="AO72" s="31">
        <f t="shared" si="145"/>
        <v>0</v>
      </c>
      <c r="AP72" s="31">
        <f t="shared" si="145"/>
        <v>0</v>
      </c>
      <c r="AQ72" s="31">
        <f t="shared" si="145"/>
        <v>0</v>
      </c>
      <c r="AR72" s="31">
        <f t="shared" si="145"/>
        <v>0</v>
      </c>
      <c r="AS72" s="31">
        <f t="shared" si="145"/>
        <v>0</v>
      </c>
      <c r="AT72" s="31">
        <f t="shared" si="145"/>
        <v>0</v>
      </c>
      <c r="AU72" s="31">
        <f t="shared" si="145"/>
        <v>0</v>
      </c>
      <c r="AV72" s="31">
        <f t="shared" si="146"/>
        <v>0</v>
      </c>
      <c r="AW72" s="31">
        <f t="shared" si="146"/>
        <v>0</v>
      </c>
      <c r="AX72" s="31">
        <f t="shared" si="146"/>
        <v>0</v>
      </c>
      <c r="AY72" s="31">
        <f t="shared" si="146"/>
        <v>0</v>
      </c>
      <c r="AZ72" s="31">
        <f t="shared" si="146"/>
        <v>0</v>
      </c>
      <c r="BA72" s="31">
        <f t="shared" si="146"/>
        <v>6.3312501623212419E-2</v>
      </c>
      <c r="BB72" s="31">
        <f t="shared" si="146"/>
        <v>0</v>
      </c>
      <c r="BC72" s="31">
        <f t="shared" si="146"/>
        <v>0</v>
      </c>
      <c r="BD72" s="31">
        <f t="shared" si="146"/>
        <v>0.93668749837678766</v>
      </c>
      <c r="BE72" s="30">
        <f t="shared" si="147"/>
        <v>1</v>
      </c>
      <c r="BF72" s="620">
        <f t="shared" si="114"/>
        <v>1.0032293803584966</v>
      </c>
      <c r="BG72" s="620">
        <f t="shared" si="134"/>
        <v>1.0064797516893236</v>
      </c>
      <c r="BH72" s="620">
        <f t="shared" si="135"/>
        <v>1.0102545579329514</v>
      </c>
      <c r="BI72" s="620">
        <f t="shared" si="136"/>
        <v>1.0148182986814971</v>
      </c>
      <c r="BJ72" s="620">
        <f t="shared" si="137"/>
        <v>1.0204464051890649</v>
      </c>
      <c r="BK72" s="620">
        <f t="shared" si="138"/>
        <v>1.0263950579445413</v>
      </c>
      <c r="BL72" s="620">
        <f t="shared" si="139"/>
        <v>1.0307303326179016</v>
      </c>
      <c r="BM72" s="621" t="str">
        <f t="shared" si="140"/>
        <v>Category</v>
      </c>
    </row>
    <row r="73" spans="1:65" x14ac:dyDescent="0.15">
      <c r="A73" s="12" t="s">
        <v>164</v>
      </c>
      <c r="B73" s="13" t="s">
        <v>165</v>
      </c>
      <c r="C73" s="13" t="s">
        <v>27</v>
      </c>
      <c r="D73" s="13" t="s">
        <v>54</v>
      </c>
      <c r="E73" s="13" t="s">
        <v>32</v>
      </c>
      <c r="F73" s="14">
        <v>0</v>
      </c>
      <c r="G73" s="14">
        <v>0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5">
        <v>17934.27</v>
      </c>
      <c r="N73" s="804">
        <v>179945.41</v>
      </c>
      <c r="O73" s="14">
        <v>428936.92</v>
      </c>
      <c r="P73" s="15">
        <v>339799.41</v>
      </c>
      <c r="Q73" s="16" t="str">
        <f>IF(ISTEXT('Incurred 2.5% cpi'!Q73),"",'Incurred 2.5% cpi'!Q73/'Incurred 2.5% cpi'!Q$14*Incurred!Q$14)</f>
        <v/>
      </c>
      <c r="R73" s="127" t="str">
        <f>IF(ISTEXT('Incurred 2.5% cpi'!R73),"",'Incurred 2.5% cpi'!R73/'Incurred 2.5% cpi'!R$14*Incurred!R$14*BF73)</f>
        <v/>
      </c>
      <c r="S73" s="119" t="str">
        <f>IF(ISTEXT('Incurred 2.5% cpi'!S73),"",'Incurred 2.5% cpi'!S73/'Incurred 2.5% cpi'!S$14*Incurred!S$14*BG73)</f>
        <v/>
      </c>
      <c r="T73" s="16" t="str">
        <f>IF(ISTEXT('Incurred 2.5% cpi'!T73),"",'Incurred 2.5% cpi'!T73/'Incurred 2.5% cpi'!T$14*Incurred!T$14*BH73)</f>
        <v/>
      </c>
      <c r="U73" s="16" t="str">
        <f>IF(ISTEXT('Incurred 2.5% cpi'!U73),"",'Incurred 2.5% cpi'!U73/'Incurred 2.5% cpi'!U$14*Incurred!U$14*BI73)</f>
        <v/>
      </c>
      <c r="V73" s="16" t="str">
        <f>IF(ISTEXT('Incurred 2.5% cpi'!V73),"",'Incurred 2.5% cpi'!V73/'Incurred 2.5% cpi'!V$14*Incurred!V$14*BJ73)</f>
        <v/>
      </c>
      <c r="W73" s="127" t="str">
        <f>IF(ISTEXT('Incurred 2.5% cpi'!W73),"",'Incurred 2.5% cpi'!W73/'Incurred 2.5% cpi'!W$14*Incurred!W$14*BK73)</f>
        <v/>
      </c>
      <c r="X73" s="119" t="str">
        <f>IF(ISTEXT('Incurred 2.5% cpi'!X73),"",'Incurred 2.5% cpi'!X73/'Incurred 2.5% cpi'!X$14*Incurred!X$14*BL73)</f>
        <v/>
      </c>
      <c r="Y73" s="95">
        <f t="shared" si="115"/>
        <v>966616.01</v>
      </c>
      <c r="Z73" s="95">
        <f t="shared" si="126"/>
        <v>966616.01</v>
      </c>
      <c r="AA73" s="676">
        <f t="shared" si="127"/>
        <v>1121143.7403812748</v>
      </c>
      <c r="AB73" s="676">
        <f t="shared" si="128"/>
        <v>978034.92034843669</v>
      </c>
      <c r="AC73" s="677">
        <f t="shared" si="129"/>
        <v>1.1463228122589466</v>
      </c>
      <c r="AD73" s="678" t="str">
        <f t="shared" si="130"/>
        <v>2016</v>
      </c>
      <c r="AE73" s="679">
        <v>42310</v>
      </c>
      <c r="AF73" s="678">
        <v>2016</v>
      </c>
      <c r="AG73" s="680"/>
      <c r="AH73" s="676">
        <f t="shared" si="144"/>
        <v>1016949.0617824032</v>
      </c>
      <c r="AI73" s="95">
        <f t="shared" si="131"/>
        <v>339799.41</v>
      </c>
      <c r="AJ73" s="681" t="s">
        <v>0</v>
      </c>
      <c r="AK73" s="37">
        <f t="shared" si="132"/>
        <v>0</v>
      </c>
      <c r="AL73" s="31">
        <f t="shared" si="145"/>
        <v>0</v>
      </c>
      <c r="AM73" s="31">
        <f t="shared" si="145"/>
        <v>0</v>
      </c>
      <c r="AN73" s="31">
        <f t="shared" si="145"/>
        <v>0</v>
      </c>
      <c r="AO73" s="31">
        <f t="shared" si="145"/>
        <v>0</v>
      </c>
      <c r="AP73" s="31">
        <f t="shared" si="145"/>
        <v>0</v>
      </c>
      <c r="AQ73" s="31">
        <f t="shared" si="145"/>
        <v>0</v>
      </c>
      <c r="AR73" s="31">
        <f t="shared" si="145"/>
        <v>0</v>
      </c>
      <c r="AS73" s="31">
        <f t="shared" si="145"/>
        <v>1</v>
      </c>
      <c r="AT73" s="31">
        <f t="shared" si="145"/>
        <v>0</v>
      </c>
      <c r="AU73" s="31">
        <f t="shared" si="145"/>
        <v>0</v>
      </c>
      <c r="AV73" s="31">
        <f t="shared" si="146"/>
        <v>0</v>
      </c>
      <c r="AW73" s="31">
        <f t="shared" si="146"/>
        <v>0</v>
      </c>
      <c r="AX73" s="31">
        <f t="shared" si="146"/>
        <v>0</v>
      </c>
      <c r="AY73" s="31">
        <f t="shared" si="146"/>
        <v>0</v>
      </c>
      <c r="AZ73" s="31">
        <f t="shared" si="146"/>
        <v>0</v>
      </c>
      <c r="BA73" s="31">
        <f t="shared" si="146"/>
        <v>0</v>
      </c>
      <c r="BB73" s="31">
        <f t="shared" si="146"/>
        <v>0</v>
      </c>
      <c r="BC73" s="31">
        <f t="shared" si="146"/>
        <v>0</v>
      </c>
      <c r="BD73" s="31">
        <f t="shared" si="146"/>
        <v>0</v>
      </c>
      <c r="BE73" s="30">
        <f t="shared" si="147"/>
        <v>1</v>
      </c>
      <c r="BF73" s="620">
        <f t="shared" si="114"/>
        <v>1.0030818160192299</v>
      </c>
      <c r="BG73" s="620">
        <f t="shared" si="134"/>
        <v>1.006183663842585</v>
      </c>
      <c r="BH73" s="620">
        <f t="shared" si="135"/>
        <v>1.0097859828820543</v>
      </c>
      <c r="BI73" s="620">
        <f t="shared" si="136"/>
        <v>1.0141411866007726</v>
      </c>
      <c r="BJ73" s="620">
        <f t="shared" si="137"/>
        <v>1.0195121206090012</v>
      </c>
      <c r="BK73" s="620">
        <f t="shared" si="138"/>
        <v>1.0251889537223347</v>
      </c>
      <c r="BL73" s="620">
        <f t="shared" si="139"/>
        <v>1.0293261309677997</v>
      </c>
      <c r="BM73" s="621" t="str">
        <f t="shared" si="140"/>
        <v>Category</v>
      </c>
    </row>
    <row r="74" spans="1:65" x14ac:dyDescent="0.15">
      <c r="A74" s="12" t="s">
        <v>166</v>
      </c>
      <c r="B74" s="13" t="s">
        <v>167</v>
      </c>
      <c r="C74" s="13" t="s">
        <v>27</v>
      </c>
      <c r="D74" s="13" t="s">
        <v>36</v>
      </c>
      <c r="E74" s="13" t="s">
        <v>32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0</v>
      </c>
      <c r="L74" s="14">
        <v>0</v>
      </c>
      <c r="M74" s="15">
        <v>52860.86</v>
      </c>
      <c r="N74" s="804">
        <v>384185.78</v>
      </c>
      <c r="O74" s="14"/>
      <c r="P74" s="15">
        <v>-987.77</v>
      </c>
      <c r="Q74" s="16" t="str">
        <f>IF(ISTEXT('Incurred 2.5% cpi'!Q74),"",'Incurred 2.5% cpi'!Q74/'Incurred 2.5% cpi'!Q$14*Incurred!Q$14)</f>
        <v/>
      </c>
      <c r="R74" s="127" t="str">
        <f>IF(ISTEXT('Incurred 2.5% cpi'!R74),"",'Incurred 2.5% cpi'!R74/'Incurred 2.5% cpi'!R$14*Incurred!R$14*BF74)</f>
        <v/>
      </c>
      <c r="S74" s="119" t="str">
        <f>IF(ISTEXT('Incurred 2.5% cpi'!S74),"",'Incurred 2.5% cpi'!S74/'Incurred 2.5% cpi'!S$14*Incurred!S$14*BG74)</f>
        <v/>
      </c>
      <c r="T74" s="16" t="str">
        <f>IF(ISTEXT('Incurred 2.5% cpi'!T74),"",'Incurred 2.5% cpi'!T74/'Incurred 2.5% cpi'!T$14*Incurred!T$14*BH74)</f>
        <v/>
      </c>
      <c r="U74" s="16" t="str">
        <f>IF(ISTEXT('Incurred 2.5% cpi'!U74),"",'Incurred 2.5% cpi'!U74/'Incurred 2.5% cpi'!U$14*Incurred!U$14*BI74)</f>
        <v/>
      </c>
      <c r="V74" s="16" t="str">
        <f>IF(ISTEXT('Incurred 2.5% cpi'!V74),"",'Incurred 2.5% cpi'!V74/'Incurred 2.5% cpi'!V$14*Incurred!V$14*BJ74)</f>
        <v/>
      </c>
      <c r="W74" s="127" t="str">
        <f>IF(ISTEXT('Incurred 2.5% cpi'!W74),"",'Incurred 2.5% cpi'!W74/'Incurred 2.5% cpi'!W$14*Incurred!W$14*BK74)</f>
        <v/>
      </c>
      <c r="X74" s="119" t="str">
        <f>IF(ISTEXT('Incurred 2.5% cpi'!X74),"",'Incurred 2.5% cpi'!X74/'Incurred 2.5% cpi'!X$14*Incurred!X$14*BL74)</f>
        <v/>
      </c>
      <c r="Y74" s="95">
        <f t="shared" si="115"/>
        <v>436058.87</v>
      </c>
      <c r="Z74" s="95">
        <f t="shared" si="126"/>
        <v>438034.41000000003</v>
      </c>
      <c r="AA74" s="676">
        <f t="shared" si="127"/>
        <v>514995.85865429987</v>
      </c>
      <c r="AB74" s="676">
        <f t="shared" si="128"/>
        <v>437633.0895235241</v>
      </c>
      <c r="AC74" s="677">
        <f t="shared" si="129"/>
        <v>1.176775410687078</v>
      </c>
      <c r="AD74" s="678" t="str">
        <f t="shared" si="130"/>
        <v>2016</v>
      </c>
      <c r="AE74" s="679">
        <v>41628</v>
      </c>
      <c r="AF74" s="678">
        <v>2014</v>
      </c>
      <c r="AG74" s="680"/>
      <c r="AH74" s="676">
        <f t="shared" si="144"/>
        <v>467134.17416236643</v>
      </c>
      <c r="AI74" s="95">
        <f t="shared" si="131"/>
        <v>-987.77</v>
      </c>
      <c r="AJ74" s="681" t="s">
        <v>0</v>
      </c>
      <c r="AK74" s="37">
        <f t="shared" si="132"/>
        <v>0</v>
      </c>
      <c r="AL74" s="31">
        <f t="shared" si="145"/>
        <v>0.92678801219736062</v>
      </c>
      <c r="AM74" s="31">
        <f t="shared" si="145"/>
        <v>0</v>
      </c>
      <c r="AN74" s="31">
        <f t="shared" si="145"/>
        <v>0</v>
      </c>
      <c r="AO74" s="31">
        <f t="shared" si="145"/>
        <v>3.9026623756304384E-2</v>
      </c>
      <c r="AP74" s="31">
        <f t="shared" si="145"/>
        <v>0</v>
      </c>
      <c r="AQ74" s="31">
        <f t="shared" si="145"/>
        <v>0</v>
      </c>
      <c r="AR74" s="31">
        <f t="shared" si="145"/>
        <v>0</v>
      </c>
      <c r="AS74" s="31">
        <f t="shared" si="145"/>
        <v>3.4185364046334966E-2</v>
      </c>
      <c r="AT74" s="31">
        <f t="shared" si="145"/>
        <v>0</v>
      </c>
      <c r="AU74" s="31">
        <f t="shared" si="145"/>
        <v>0</v>
      </c>
      <c r="AV74" s="31">
        <f t="shared" si="146"/>
        <v>0</v>
      </c>
      <c r="AW74" s="31">
        <f t="shared" si="146"/>
        <v>0</v>
      </c>
      <c r="AX74" s="31">
        <f t="shared" si="146"/>
        <v>0</v>
      </c>
      <c r="AY74" s="31">
        <f t="shared" si="146"/>
        <v>0</v>
      </c>
      <c r="AZ74" s="31">
        <f t="shared" si="146"/>
        <v>0</v>
      </c>
      <c r="BA74" s="31">
        <f t="shared" si="146"/>
        <v>0</v>
      </c>
      <c r="BB74" s="31">
        <f t="shared" si="146"/>
        <v>0</v>
      </c>
      <c r="BC74" s="31">
        <f t="shared" si="146"/>
        <v>0</v>
      </c>
      <c r="BD74" s="31">
        <f t="shared" si="146"/>
        <v>0</v>
      </c>
      <c r="BE74" s="30">
        <f t="shared" si="147"/>
        <v>1</v>
      </c>
      <c r="BF74" s="620">
        <f t="shared" si="114"/>
        <v>1.0018756098697492</v>
      </c>
      <c r="BG74" s="620">
        <f t="shared" si="134"/>
        <v>1.0037634112036518</v>
      </c>
      <c r="BH74" s="620">
        <f t="shared" si="135"/>
        <v>1.0059558020220052</v>
      </c>
      <c r="BI74" s="620">
        <f t="shared" si="136"/>
        <v>1.0086064025213943</v>
      </c>
      <c r="BJ74" s="620">
        <f t="shared" si="137"/>
        <v>1.0118751819594745</v>
      </c>
      <c r="BK74" s="620">
        <f t="shared" si="138"/>
        <v>1.0153301332446416</v>
      </c>
      <c r="BL74" s="620">
        <f t="shared" si="139"/>
        <v>1.0178480416551621</v>
      </c>
      <c r="BM74" s="621" t="str">
        <f t="shared" si="140"/>
        <v>Category</v>
      </c>
    </row>
    <row r="75" spans="1:65" x14ac:dyDescent="0.15">
      <c r="A75" s="12" t="s">
        <v>168</v>
      </c>
      <c r="B75" s="13" t="s">
        <v>169</v>
      </c>
      <c r="C75" s="13" t="s">
        <v>27</v>
      </c>
      <c r="D75" s="13" t="s">
        <v>28</v>
      </c>
      <c r="E75" s="13" t="s">
        <v>29</v>
      </c>
      <c r="F75" s="14">
        <v>0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5">
        <v>0</v>
      </c>
      <c r="N75" s="804">
        <v>2977.51</v>
      </c>
      <c r="O75" s="14">
        <v>5378.36</v>
      </c>
      <c r="P75" s="15">
        <v>405032.26</v>
      </c>
      <c r="Q75" s="16">
        <f>IF(ISTEXT('Incurred 2.5% cpi'!Q75),"",'Incurred 2.5% cpi'!Q75/'Incurred 2.5% cpi'!Q$14*Incurred!Q$14)</f>
        <v>1220707.55</v>
      </c>
      <c r="R75" s="127" t="str">
        <f>IF(ISTEXT('Incurred 2.5% cpi'!R75),"",'Incurred 2.5% cpi'!R75/'Incurred 2.5% cpi'!R$14*Incurred!R$14*BF75)</f>
        <v/>
      </c>
      <c r="S75" s="119" t="str">
        <f>IF(ISTEXT('Incurred 2.5% cpi'!S75),"",'Incurred 2.5% cpi'!S75/'Incurred 2.5% cpi'!S$14*Incurred!S$14*BG75)</f>
        <v/>
      </c>
      <c r="T75" s="16" t="str">
        <f>IF(ISTEXT('Incurred 2.5% cpi'!T75),"",'Incurred 2.5% cpi'!T75/'Incurred 2.5% cpi'!T$14*Incurred!T$14*BH75)</f>
        <v/>
      </c>
      <c r="U75" s="16" t="str">
        <f>IF(ISTEXT('Incurred 2.5% cpi'!U75),"",'Incurred 2.5% cpi'!U75/'Incurred 2.5% cpi'!U$14*Incurred!U$14*BI75)</f>
        <v/>
      </c>
      <c r="V75" s="16" t="str">
        <f>IF(ISTEXT('Incurred 2.5% cpi'!V75),"",'Incurred 2.5% cpi'!V75/'Incurred 2.5% cpi'!V$14*Incurred!V$14*BJ75)</f>
        <v/>
      </c>
      <c r="W75" s="127" t="str">
        <f>IF(ISTEXT('Incurred 2.5% cpi'!W75),"",'Incurred 2.5% cpi'!W75/'Incurred 2.5% cpi'!W$14*Incurred!W$14*BK75)</f>
        <v/>
      </c>
      <c r="X75" s="119" t="str">
        <f>IF(ISTEXT('Incurred 2.5% cpi'!X75),"",'Incurred 2.5% cpi'!X75/'Incurred 2.5% cpi'!X$14*Incurred!X$14*BL75)</f>
        <v/>
      </c>
      <c r="Y75" s="95">
        <f t="shared" si="115"/>
        <v>1634095.6800000002</v>
      </c>
      <c r="Z75" s="95">
        <f t="shared" si="126"/>
        <v>1634095.6800000002</v>
      </c>
      <c r="AA75" s="676">
        <f t="shared" si="127"/>
        <v>1846338.5189056755</v>
      </c>
      <c r="AB75" s="676">
        <f t="shared" si="128"/>
        <v>1642391.975099965</v>
      </c>
      <c r="AC75" s="677">
        <f t="shared" si="129"/>
        <v>1.1241765345287305</v>
      </c>
      <c r="AD75" s="678" t="str">
        <f t="shared" si="130"/>
        <v>2017</v>
      </c>
      <c r="AE75" s="679">
        <v>42744</v>
      </c>
      <c r="AF75" s="678">
        <v>2017</v>
      </c>
      <c r="AG75" s="680"/>
      <c r="AH75" s="676">
        <f t="shared" si="144"/>
        <v>1674747.0970094341</v>
      </c>
      <c r="AI75" s="95">
        <f t="shared" si="131"/>
        <v>1220707.55</v>
      </c>
      <c r="AJ75" s="681" t="s">
        <v>0</v>
      </c>
      <c r="AK75" s="37">
        <f t="shared" si="132"/>
        <v>0</v>
      </c>
      <c r="AL75" s="31">
        <f t="shared" si="145"/>
        <v>0</v>
      </c>
      <c r="AM75" s="31">
        <f t="shared" si="145"/>
        <v>0</v>
      </c>
      <c r="AN75" s="31">
        <f t="shared" si="145"/>
        <v>0</v>
      </c>
      <c r="AO75" s="443">
        <f t="shared" si="145"/>
        <v>0.5</v>
      </c>
      <c r="AP75" s="31">
        <f t="shared" si="145"/>
        <v>0</v>
      </c>
      <c r="AQ75" s="31">
        <f t="shared" si="145"/>
        <v>0</v>
      </c>
      <c r="AR75" s="31">
        <f t="shared" si="145"/>
        <v>0</v>
      </c>
      <c r="AS75" s="31">
        <f t="shared" si="145"/>
        <v>0.5</v>
      </c>
      <c r="AT75" s="31">
        <f t="shared" si="145"/>
        <v>0</v>
      </c>
      <c r="AU75" s="31">
        <f t="shared" si="145"/>
        <v>0</v>
      </c>
      <c r="AV75" s="31">
        <f t="shared" si="146"/>
        <v>0</v>
      </c>
      <c r="AW75" s="31">
        <f t="shared" si="146"/>
        <v>0</v>
      </c>
      <c r="AX75" s="31">
        <f t="shared" si="146"/>
        <v>0</v>
      </c>
      <c r="AY75" s="31">
        <f t="shared" si="146"/>
        <v>0</v>
      </c>
      <c r="AZ75" s="31">
        <f t="shared" si="146"/>
        <v>0</v>
      </c>
      <c r="BA75" s="31">
        <f t="shared" si="146"/>
        <v>0</v>
      </c>
      <c r="BB75" s="31">
        <f t="shared" si="146"/>
        <v>0</v>
      </c>
      <c r="BC75" s="31">
        <f t="shared" si="146"/>
        <v>0</v>
      </c>
      <c r="BD75" s="31">
        <f t="shared" si="146"/>
        <v>0</v>
      </c>
      <c r="BE75" s="30">
        <f t="shared" si="147"/>
        <v>1</v>
      </c>
      <c r="BF75" s="620">
        <f t="shared" si="114"/>
        <v>1.0030444840366091</v>
      </c>
      <c r="BG75" s="620">
        <f t="shared" si="134"/>
        <v>1.0061087572194563</v>
      </c>
      <c r="BH75" s="620">
        <f t="shared" si="135"/>
        <v>1.0096674390946898</v>
      </c>
      <c r="BI75" s="620">
        <f t="shared" si="136"/>
        <v>1.0139698854818469</v>
      </c>
      <c r="BJ75" s="620">
        <f t="shared" si="137"/>
        <v>1.0192757579764089</v>
      </c>
      <c r="BK75" s="620">
        <f t="shared" si="138"/>
        <v>1.0248838240271385</v>
      </c>
      <c r="BL75" s="620">
        <f t="shared" si="139"/>
        <v>1.0289708850333266</v>
      </c>
      <c r="BM75" s="621" t="str">
        <f t="shared" si="140"/>
        <v>Category</v>
      </c>
    </row>
    <row r="76" spans="1:65" x14ac:dyDescent="0.15">
      <c r="A76" s="12" t="s">
        <v>171</v>
      </c>
      <c r="B76" s="13" t="s">
        <v>172</v>
      </c>
      <c r="C76" s="13" t="s">
        <v>27</v>
      </c>
      <c r="D76" s="13" t="s">
        <v>54</v>
      </c>
      <c r="E76" s="13" t="s">
        <v>32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  <c r="M76" s="15">
        <v>0</v>
      </c>
      <c r="N76" s="804">
        <v>89188.45</v>
      </c>
      <c r="O76" s="14"/>
      <c r="P76" s="15"/>
      <c r="Q76" s="16" t="str">
        <f>IF(ISTEXT('Incurred 2.5% cpi'!Q76),"",'Incurred 2.5% cpi'!Q76/'Incurred 2.5% cpi'!Q$14*Incurred!Q$14)</f>
        <v/>
      </c>
      <c r="R76" s="127" t="str">
        <f>IF(ISTEXT('Incurred 2.5% cpi'!R76),"",'Incurred 2.5% cpi'!R76/'Incurred 2.5% cpi'!R$14*Incurred!R$14*BF76)</f>
        <v/>
      </c>
      <c r="S76" s="119" t="str">
        <f>IF(ISTEXT('Incurred 2.5% cpi'!S76),"",'Incurred 2.5% cpi'!S76/'Incurred 2.5% cpi'!S$14*Incurred!S$14*BG76)</f>
        <v/>
      </c>
      <c r="T76" s="16" t="str">
        <f>IF(ISTEXT('Incurred 2.5% cpi'!T76),"",'Incurred 2.5% cpi'!T76/'Incurred 2.5% cpi'!T$14*Incurred!T$14*BH76)</f>
        <v/>
      </c>
      <c r="U76" s="16" t="str">
        <f>IF(ISTEXT('Incurred 2.5% cpi'!U76),"",'Incurred 2.5% cpi'!U76/'Incurred 2.5% cpi'!U$14*Incurred!U$14*BI76)</f>
        <v/>
      </c>
      <c r="V76" s="16" t="str">
        <f>IF(ISTEXT('Incurred 2.5% cpi'!V76),"",'Incurred 2.5% cpi'!V76/'Incurred 2.5% cpi'!V$14*Incurred!V$14*BJ76)</f>
        <v/>
      </c>
      <c r="W76" s="127" t="str">
        <f>IF(ISTEXT('Incurred 2.5% cpi'!W76),"",'Incurred 2.5% cpi'!W76/'Incurred 2.5% cpi'!W$14*Incurred!W$14*BK76)</f>
        <v/>
      </c>
      <c r="X76" s="119" t="str">
        <f>IF(ISTEXT('Incurred 2.5% cpi'!X76),"",'Incurred 2.5% cpi'!X76/'Incurred 2.5% cpi'!X$14*Incurred!X$14*BL76)</f>
        <v/>
      </c>
      <c r="Y76" s="95">
        <f t="shared" si="115"/>
        <v>89188.45</v>
      </c>
      <c r="Z76" s="95">
        <f t="shared" si="126"/>
        <v>89188.45</v>
      </c>
      <c r="AA76" s="676">
        <f t="shared" si="127"/>
        <v>104954.77487729392</v>
      </c>
      <c r="AB76" s="676">
        <f t="shared" si="128"/>
        <v>93361.470955531317</v>
      </c>
      <c r="AC76" s="677">
        <f t="shared" ref="AC76:AC107" si="148">IF(AF76="","",IF(AF76&lt;AD76,INDEX($F$17:$W$17,1,MATCH(TEXT(AF76,"000"),$F$21:$W$21)),INDEX($F$17:$W$17,1,MATCH(AD76,$F$21:$W$21))))</f>
        <v>1.1241765345287305</v>
      </c>
      <c r="AD76" s="678" t="str">
        <f t="shared" si="130"/>
        <v>2014</v>
      </c>
      <c r="AE76" s="679">
        <v>41578</v>
      </c>
      <c r="AF76" s="678">
        <v>2017</v>
      </c>
      <c r="AG76" s="680"/>
      <c r="AH76" s="676">
        <f t="shared" si="144"/>
        <v>95200.69193335528</v>
      </c>
      <c r="AI76" s="95">
        <f t="shared" si="131"/>
        <v>89188.45</v>
      </c>
      <c r="AJ76" s="681" t="s">
        <v>0</v>
      </c>
      <c r="AK76" s="37">
        <f t="shared" si="132"/>
        <v>0</v>
      </c>
      <c r="AL76" s="31">
        <f t="shared" si="145"/>
        <v>0</v>
      </c>
      <c r="AM76" s="31">
        <f t="shared" si="145"/>
        <v>0</v>
      </c>
      <c r="AN76" s="31">
        <f t="shared" si="145"/>
        <v>0</v>
      </c>
      <c r="AO76" s="31">
        <f t="shared" si="145"/>
        <v>0</v>
      </c>
      <c r="AP76" s="31">
        <f t="shared" si="145"/>
        <v>0</v>
      </c>
      <c r="AQ76" s="31">
        <f t="shared" si="145"/>
        <v>0</v>
      </c>
      <c r="AR76" s="31">
        <f t="shared" si="145"/>
        <v>0</v>
      </c>
      <c r="AS76" s="31">
        <f t="shared" si="145"/>
        <v>1</v>
      </c>
      <c r="AT76" s="31">
        <f t="shared" si="145"/>
        <v>0</v>
      </c>
      <c r="AU76" s="31">
        <f t="shared" si="145"/>
        <v>0</v>
      </c>
      <c r="AV76" s="31">
        <f t="shared" si="146"/>
        <v>0</v>
      </c>
      <c r="AW76" s="31">
        <f t="shared" si="146"/>
        <v>0</v>
      </c>
      <c r="AX76" s="31">
        <f t="shared" si="146"/>
        <v>0</v>
      </c>
      <c r="AY76" s="31">
        <f t="shared" si="146"/>
        <v>0</v>
      </c>
      <c r="AZ76" s="31">
        <f t="shared" si="146"/>
        <v>0</v>
      </c>
      <c r="BA76" s="31">
        <f t="shared" si="146"/>
        <v>0</v>
      </c>
      <c r="BB76" s="31">
        <f t="shared" si="146"/>
        <v>0</v>
      </c>
      <c r="BC76" s="31">
        <f t="shared" si="146"/>
        <v>0</v>
      </c>
      <c r="BD76" s="31">
        <f t="shared" si="146"/>
        <v>0</v>
      </c>
      <c r="BE76" s="30">
        <f t="shared" si="147"/>
        <v>1</v>
      </c>
      <c r="BF76" s="620">
        <f t="shared" si="114"/>
        <v>1.0030818160192299</v>
      </c>
      <c r="BG76" s="620">
        <f t="shared" si="134"/>
        <v>1.006183663842585</v>
      </c>
      <c r="BH76" s="620">
        <f t="shared" si="135"/>
        <v>1.0097859828820543</v>
      </c>
      <c r="BI76" s="620">
        <f t="shared" si="136"/>
        <v>1.0141411866007726</v>
      </c>
      <c r="BJ76" s="620">
        <f t="shared" si="137"/>
        <v>1.0195121206090012</v>
      </c>
      <c r="BK76" s="620">
        <f t="shared" si="138"/>
        <v>1.0251889537223347</v>
      </c>
      <c r="BL76" s="620">
        <f t="shared" si="139"/>
        <v>1.0293261309677997</v>
      </c>
      <c r="BM76" s="621" t="str">
        <f t="shared" si="140"/>
        <v>Category</v>
      </c>
    </row>
    <row r="77" spans="1:65" x14ac:dyDescent="0.15">
      <c r="A77" s="12" t="s">
        <v>175</v>
      </c>
      <c r="B77" s="13" t="s">
        <v>176</v>
      </c>
      <c r="C77" s="13" t="s">
        <v>27</v>
      </c>
      <c r="D77" s="13" t="s">
        <v>44</v>
      </c>
      <c r="E77" s="13" t="s">
        <v>29</v>
      </c>
      <c r="F77" s="14">
        <v>0</v>
      </c>
      <c r="G77" s="14">
        <v>0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5">
        <v>134351.37</v>
      </c>
      <c r="N77" s="804">
        <v>188691.28</v>
      </c>
      <c r="O77" s="14">
        <v>163346.25</v>
      </c>
      <c r="P77" s="15">
        <v>275845.46999999997</v>
      </c>
      <c r="Q77" s="16">
        <f>IF(ISTEXT('Incurred 2.5% cpi'!Q77),"",'Incurred 2.5% cpi'!Q77/'Incurred 2.5% cpi'!Q$14*Incurred!Q$14)</f>
        <v>16227.24</v>
      </c>
      <c r="R77" s="127" t="str">
        <f>IF(ISTEXT('Incurred 2.5% cpi'!R77),"",'Incurred 2.5% cpi'!R77/'Incurred 2.5% cpi'!R$14*Incurred!R$14*BF77)</f>
        <v/>
      </c>
      <c r="S77" s="119" t="str">
        <f>IF(ISTEXT('Incurred 2.5% cpi'!S77),"",'Incurred 2.5% cpi'!S77/'Incurred 2.5% cpi'!S$14*Incurred!S$14*BG77)</f>
        <v/>
      </c>
      <c r="T77" s="16" t="str">
        <f>IF(ISTEXT('Incurred 2.5% cpi'!T77),"",'Incurred 2.5% cpi'!T77/'Incurred 2.5% cpi'!T$14*Incurred!T$14*BH77)</f>
        <v/>
      </c>
      <c r="U77" s="16" t="str">
        <f>IF(ISTEXT('Incurred 2.5% cpi'!U77),"",'Incurred 2.5% cpi'!U77/'Incurred 2.5% cpi'!U$14*Incurred!U$14*BI77)</f>
        <v/>
      </c>
      <c r="V77" s="16" t="str">
        <f>IF(ISTEXT('Incurred 2.5% cpi'!V77),"",'Incurred 2.5% cpi'!V77/'Incurred 2.5% cpi'!V$14*Incurred!V$14*BJ77)</f>
        <v/>
      </c>
      <c r="W77" s="127" t="str">
        <f>IF(ISTEXT('Incurred 2.5% cpi'!W77),"",'Incurred 2.5% cpi'!W77/'Incurred 2.5% cpi'!W$14*Incurred!W$14*BK77)</f>
        <v/>
      </c>
      <c r="X77" s="119" t="str">
        <f>IF(ISTEXT('Incurred 2.5% cpi'!X77),"",'Incurred 2.5% cpi'!X77/'Incurred 2.5% cpi'!X$14*Incurred!X$14*BL77)</f>
        <v/>
      </c>
      <c r="Y77" s="95">
        <f t="shared" si="115"/>
        <v>778461.61</v>
      </c>
      <c r="Z77" s="95">
        <f t="shared" si="126"/>
        <v>778461.61</v>
      </c>
      <c r="AA77" s="676">
        <f t="shared" si="127"/>
        <v>908932.8494337101</v>
      </c>
      <c r="AB77" s="676">
        <f t="shared" si="128"/>
        <v>808532.13131222909</v>
      </c>
      <c r="AC77" s="677">
        <f t="shared" si="148"/>
        <v>1.1241765345287305</v>
      </c>
      <c r="AD77" s="678" t="str">
        <f t="shared" si="130"/>
        <v>2017</v>
      </c>
      <c r="AE77" s="679">
        <v>42489</v>
      </c>
      <c r="AF77" s="678">
        <v>2017</v>
      </c>
      <c r="AG77" s="680"/>
      <c r="AH77" s="676">
        <f t="shared" si="144"/>
        <v>824460.21429907985</v>
      </c>
      <c r="AI77" s="95">
        <f t="shared" si="131"/>
        <v>16227.24</v>
      </c>
      <c r="AJ77" s="681" t="s">
        <v>0</v>
      </c>
      <c r="AK77" s="37">
        <f t="shared" si="132"/>
        <v>0</v>
      </c>
      <c r="AL77" s="31">
        <f t="shared" ref="AL77:AU80" si="149">IF($AK77=0,VLOOKUP(MID($A77,4,5),ProjectSplits,AL$20,FALSE),IF(ISNA(VLOOKUP($A77,Estimates,AL$19,FALSE)),VLOOKUP(MID($A77,4,5),ProjectSplits,AL$20,FALSE),VLOOKUP($A77,Estimates,AL$19,FALSE)))</f>
        <v>0</v>
      </c>
      <c r="AM77" s="31">
        <f t="shared" si="149"/>
        <v>0</v>
      </c>
      <c r="AN77" s="31">
        <f t="shared" si="149"/>
        <v>0</v>
      </c>
      <c r="AO77" s="31">
        <f t="shared" si="149"/>
        <v>0</v>
      </c>
      <c r="AP77" s="31">
        <f t="shared" si="149"/>
        <v>1</v>
      </c>
      <c r="AQ77" s="31">
        <f t="shared" si="149"/>
        <v>0</v>
      </c>
      <c r="AR77" s="31">
        <f t="shared" si="149"/>
        <v>0</v>
      </c>
      <c r="AS77" s="31">
        <f t="shared" si="149"/>
        <v>0</v>
      </c>
      <c r="AT77" s="31">
        <f t="shared" si="149"/>
        <v>0</v>
      </c>
      <c r="AU77" s="31">
        <f t="shared" si="149"/>
        <v>0</v>
      </c>
      <c r="AV77" s="31">
        <f t="shared" ref="AV77:BD80" si="150">IF($AK77=0,VLOOKUP(MID($A77,4,5),ProjectSplits,AV$20,FALSE),IF(ISNA(VLOOKUP($A77,Estimates,AV$19,FALSE)),VLOOKUP(MID($A77,4,5),ProjectSplits,AV$20,FALSE),VLOOKUP($A77,Estimates,AV$19,FALSE)))</f>
        <v>0</v>
      </c>
      <c r="AW77" s="31">
        <f t="shared" si="150"/>
        <v>0</v>
      </c>
      <c r="AX77" s="31">
        <f t="shared" si="150"/>
        <v>0</v>
      </c>
      <c r="AY77" s="31">
        <f t="shared" si="150"/>
        <v>0</v>
      </c>
      <c r="AZ77" s="31">
        <f t="shared" si="150"/>
        <v>0</v>
      </c>
      <c r="BA77" s="31">
        <f t="shared" si="150"/>
        <v>0</v>
      </c>
      <c r="BB77" s="31">
        <f t="shared" si="150"/>
        <v>0</v>
      </c>
      <c r="BC77" s="31">
        <f t="shared" si="150"/>
        <v>0</v>
      </c>
      <c r="BD77" s="31">
        <f t="shared" si="150"/>
        <v>0</v>
      </c>
      <c r="BE77" s="30">
        <f t="shared" si="147"/>
        <v>1</v>
      </c>
      <c r="BF77" s="620">
        <f t="shared" si="114"/>
        <v>1.0013788876313259</v>
      </c>
      <c r="BG77" s="620">
        <f t="shared" si="134"/>
        <v>1.0027667380322551</v>
      </c>
      <c r="BH77" s="620">
        <f t="shared" si="135"/>
        <v>1.0043785127574885</v>
      </c>
      <c r="BI77" s="620">
        <f t="shared" si="136"/>
        <v>1.0063271484002954</v>
      </c>
      <c r="BJ77" s="620">
        <f t="shared" si="137"/>
        <v>1.0087302491780192</v>
      </c>
      <c r="BK77" s="620">
        <f t="shared" si="138"/>
        <v>1.0112702174682198</v>
      </c>
      <c r="BL77" s="620">
        <f t="shared" si="139"/>
        <v>1.0131213021847563</v>
      </c>
      <c r="BM77" s="621" t="str">
        <f t="shared" si="140"/>
        <v>Category</v>
      </c>
    </row>
    <row r="78" spans="1:65" x14ac:dyDescent="0.15">
      <c r="A78" s="12" t="s">
        <v>177</v>
      </c>
      <c r="B78" s="13" t="s">
        <v>178</v>
      </c>
      <c r="C78" s="13" t="s">
        <v>27</v>
      </c>
      <c r="D78" s="13" t="s">
        <v>40</v>
      </c>
      <c r="E78" s="13" t="s">
        <v>29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5">
        <v>0</v>
      </c>
      <c r="N78" s="804">
        <v>277734.34000000003</v>
      </c>
      <c r="O78" s="14">
        <v>220787.11</v>
      </c>
      <c r="P78" s="15">
        <v>827665.65</v>
      </c>
      <c r="Q78" s="16">
        <f>IF(ISTEXT('Incurred 2.5% cpi'!Q78),"",'Incurred 2.5% cpi'!Q78/'Incurred 2.5% cpi'!Q$14*Incurred!Q$14)</f>
        <v>207131.21</v>
      </c>
      <c r="R78" s="127">
        <f>IF(ISTEXT('Incurred 2.5% cpi'!R78),"",'Incurred 2.5% cpi'!R78/'Incurred 2.5% cpi'!R$14*Incurred!R$14*BF78)</f>
        <v>170888.81240072587</v>
      </c>
      <c r="S78" s="119">
        <f>IF(ISTEXT('Incurred 2.5% cpi'!S78),"",'Incurred 2.5% cpi'!S78/'Incurred 2.5% cpi'!S$14*Incurred!S$14*BG78)</f>
        <v>21463.852648731405</v>
      </c>
      <c r="T78" s="16" t="str">
        <f>IF(ISTEXT('Incurred 2.5% cpi'!T78),"",'Incurred 2.5% cpi'!T78/'Incurred 2.5% cpi'!T$14*Incurred!T$14*BH78)</f>
        <v/>
      </c>
      <c r="U78" s="16" t="str">
        <f>IF(ISTEXT('Incurred 2.5% cpi'!U78),"",'Incurred 2.5% cpi'!U78/'Incurred 2.5% cpi'!U$14*Incurred!U$14*BI78)</f>
        <v/>
      </c>
      <c r="V78" s="16" t="str">
        <f>IF(ISTEXT('Incurred 2.5% cpi'!V78),"",'Incurred 2.5% cpi'!V78/'Incurred 2.5% cpi'!V$14*Incurred!V$14*BJ78)</f>
        <v/>
      </c>
      <c r="W78" s="127" t="str">
        <f>IF(ISTEXT('Incurred 2.5% cpi'!W78),"",'Incurred 2.5% cpi'!W78/'Incurred 2.5% cpi'!W$14*Incurred!W$14*BK78)</f>
        <v/>
      </c>
      <c r="X78" s="119" t="str">
        <f>IF(ISTEXT('Incurred 2.5% cpi'!X78),"",'Incurred 2.5% cpi'!X78/'Incurred 2.5% cpi'!X$14*Incurred!X$14*BL78)</f>
        <v/>
      </c>
      <c r="Y78" s="95">
        <f t="shared" si="115"/>
        <v>1725670.9750494573</v>
      </c>
      <c r="Z78" s="95">
        <f t="shared" si="126"/>
        <v>1725670.9750494573</v>
      </c>
      <c r="AA78" s="676">
        <f t="shared" si="127"/>
        <v>1976469.6070811523</v>
      </c>
      <c r="AB78" s="676">
        <f t="shared" si="128"/>
        <v>1792784.3149523984</v>
      </c>
      <c r="AC78" s="677">
        <f t="shared" si="148"/>
        <v>1.1024581097663335</v>
      </c>
      <c r="AD78" s="678" t="str">
        <f t="shared" si="130"/>
        <v>2019</v>
      </c>
      <c r="AE78" s="679">
        <v>43271</v>
      </c>
      <c r="AF78" s="678">
        <v>2018</v>
      </c>
      <c r="AG78" s="680"/>
      <c r="AH78" s="676">
        <f t="shared" si="144"/>
        <v>1792784.3149523982</v>
      </c>
      <c r="AI78" s="95">
        <f t="shared" si="131"/>
        <v>21463.852648731405</v>
      </c>
      <c r="AJ78" s="681" t="s">
        <v>0</v>
      </c>
      <c r="AK78" s="37">
        <f t="shared" si="132"/>
        <v>0</v>
      </c>
      <c r="AL78" s="31">
        <f t="shared" si="149"/>
        <v>0</v>
      </c>
      <c r="AM78" s="31">
        <f t="shared" si="149"/>
        <v>0</v>
      </c>
      <c r="AN78" s="31">
        <f t="shared" si="149"/>
        <v>0</v>
      </c>
      <c r="AO78" s="31">
        <f t="shared" si="149"/>
        <v>0</v>
      </c>
      <c r="AP78" s="31">
        <f t="shared" si="149"/>
        <v>0</v>
      </c>
      <c r="AQ78" s="31">
        <f t="shared" si="149"/>
        <v>0</v>
      </c>
      <c r="AR78" s="31">
        <f t="shared" si="149"/>
        <v>0</v>
      </c>
      <c r="AS78" s="31">
        <f t="shared" si="149"/>
        <v>0</v>
      </c>
      <c r="AT78" s="31">
        <f t="shared" si="149"/>
        <v>0</v>
      </c>
      <c r="AU78" s="31">
        <f t="shared" si="149"/>
        <v>0.93416923832074183</v>
      </c>
      <c r="AV78" s="31">
        <f t="shared" si="150"/>
        <v>0</v>
      </c>
      <c r="AW78" s="31">
        <f t="shared" si="150"/>
        <v>3.9926470866991783E-2</v>
      </c>
      <c r="AX78" s="31">
        <f t="shared" si="150"/>
        <v>0</v>
      </c>
      <c r="AY78" s="31">
        <f t="shared" si="150"/>
        <v>0</v>
      </c>
      <c r="AZ78" s="31">
        <f t="shared" si="150"/>
        <v>0</v>
      </c>
      <c r="BA78" s="31">
        <f t="shared" si="150"/>
        <v>2.5904290812266445E-2</v>
      </c>
      <c r="BB78" s="31">
        <f t="shared" si="150"/>
        <v>0</v>
      </c>
      <c r="BC78" s="31">
        <f t="shared" si="150"/>
        <v>0</v>
      </c>
      <c r="BD78" s="31">
        <f t="shared" si="150"/>
        <v>0</v>
      </c>
      <c r="BE78" s="30">
        <f t="shared" si="147"/>
        <v>1</v>
      </c>
      <c r="BF78" s="620">
        <f t="shared" si="114"/>
        <v>1.0034498951996242</v>
      </c>
      <c r="BG78" s="620">
        <f t="shared" si="134"/>
        <v>1.0069222147180459</v>
      </c>
      <c r="BH78" s="620">
        <f t="shared" si="135"/>
        <v>1.0109547796356901</v>
      </c>
      <c r="BI78" s="620">
        <f t="shared" si="136"/>
        <v>1.0158301506211216</v>
      </c>
      <c r="BJ78" s="620">
        <f t="shared" si="137"/>
        <v>1.0218425664619335</v>
      </c>
      <c r="BK78" s="620">
        <f t="shared" si="138"/>
        <v>1.0281974167140426</v>
      </c>
      <c r="BL78" s="620">
        <f t="shared" si="139"/>
        <v>1.0328287210586446</v>
      </c>
      <c r="BM78" s="621" t="str">
        <f t="shared" si="140"/>
        <v>Category</v>
      </c>
    </row>
    <row r="79" spans="1:65" x14ac:dyDescent="0.15">
      <c r="A79" s="12" t="s">
        <v>179</v>
      </c>
      <c r="B79" s="13" t="s">
        <v>180</v>
      </c>
      <c r="C79" s="13" t="s">
        <v>27</v>
      </c>
      <c r="D79" s="13" t="s">
        <v>55</v>
      </c>
      <c r="E79" s="13" t="s">
        <v>32</v>
      </c>
      <c r="F79" s="14">
        <v>0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5">
        <v>607819.53</v>
      </c>
      <c r="N79" s="804">
        <v>265317.2</v>
      </c>
      <c r="O79" s="14">
        <v>140277.35</v>
      </c>
      <c r="P79" s="15">
        <v>6212.29</v>
      </c>
      <c r="Q79" s="16" t="str">
        <f>IF(ISTEXT('Incurred 2.5% cpi'!Q79),"",'Incurred 2.5% cpi'!Q79/'Incurred 2.5% cpi'!Q$14*Incurred!Q$14)</f>
        <v/>
      </c>
      <c r="R79" s="127" t="str">
        <f>IF(ISTEXT('Incurred 2.5% cpi'!R79),"",'Incurred 2.5% cpi'!R79/'Incurred 2.5% cpi'!R$14*Incurred!R$14*BF79)</f>
        <v/>
      </c>
      <c r="S79" s="119" t="str">
        <f>IF(ISTEXT('Incurred 2.5% cpi'!S79),"",'Incurred 2.5% cpi'!S79/'Incurred 2.5% cpi'!S$14*Incurred!S$14*BG79)</f>
        <v/>
      </c>
      <c r="T79" s="16" t="str">
        <f>IF(ISTEXT('Incurred 2.5% cpi'!T79),"",'Incurred 2.5% cpi'!T79/'Incurred 2.5% cpi'!T$14*Incurred!T$14*BH79)</f>
        <v/>
      </c>
      <c r="U79" s="16" t="str">
        <f>IF(ISTEXT('Incurred 2.5% cpi'!U79),"",'Incurred 2.5% cpi'!U79/'Incurred 2.5% cpi'!U$14*Incurred!U$14*BI79)</f>
        <v/>
      </c>
      <c r="V79" s="16" t="str">
        <f>IF(ISTEXT('Incurred 2.5% cpi'!V79),"",'Incurred 2.5% cpi'!V79/'Incurred 2.5% cpi'!V$14*Incurred!V$14*BJ79)</f>
        <v/>
      </c>
      <c r="W79" s="127" t="str">
        <f>IF(ISTEXT('Incurred 2.5% cpi'!W79),"",'Incurred 2.5% cpi'!W79/'Incurred 2.5% cpi'!W$14*Incurred!W$14*BK79)</f>
        <v/>
      </c>
      <c r="X79" s="119" t="str">
        <f>IF(ISTEXT('Incurred 2.5% cpi'!X79),"",'Incurred 2.5% cpi'!X79/'Incurred 2.5% cpi'!X$14*Incurred!X$14*BL79)</f>
        <v/>
      </c>
      <c r="Y79" s="95">
        <f t="shared" si="115"/>
        <v>1019626.37</v>
      </c>
      <c r="Z79" s="95">
        <f t="shared" si="126"/>
        <v>1019626.37</v>
      </c>
      <c r="AA79" s="676">
        <f t="shared" si="127"/>
        <v>1218473.2464215932</v>
      </c>
      <c r="AB79" s="676">
        <f t="shared" si="128"/>
        <v>1035433.9794627161</v>
      </c>
      <c r="AC79" s="677">
        <f t="shared" si="148"/>
        <v>1.176775410687078</v>
      </c>
      <c r="AD79" s="678" t="str">
        <f t="shared" si="130"/>
        <v>2016</v>
      </c>
      <c r="AE79" s="679">
        <v>41793</v>
      </c>
      <c r="AF79" s="678">
        <v>2014</v>
      </c>
      <c r="AG79" s="680"/>
      <c r="AH79" s="676">
        <f t="shared" si="144"/>
        <v>1105233.1472983123</v>
      </c>
      <c r="AI79" s="95">
        <f t="shared" si="131"/>
        <v>6212.29</v>
      </c>
      <c r="AJ79" s="681" t="s">
        <v>0</v>
      </c>
      <c r="AK79" s="37">
        <f t="shared" si="132"/>
        <v>0</v>
      </c>
      <c r="AL79" s="31">
        <f t="shared" si="149"/>
        <v>0</v>
      </c>
      <c r="AM79" s="31">
        <f t="shared" si="149"/>
        <v>0</v>
      </c>
      <c r="AN79" s="31">
        <f t="shared" si="149"/>
        <v>0</v>
      </c>
      <c r="AO79" s="31">
        <f t="shared" si="149"/>
        <v>1</v>
      </c>
      <c r="AP79" s="31">
        <f t="shared" si="149"/>
        <v>0</v>
      </c>
      <c r="AQ79" s="31">
        <f t="shared" si="149"/>
        <v>0</v>
      </c>
      <c r="AR79" s="31">
        <f t="shared" si="149"/>
        <v>0</v>
      </c>
      <c r="AS79" s="31">
        <f t="shared" si="149"/>
        <v>0</v>
      </c>
      <c r="AT79" s="31">
        <f t="shared" si="149"/>
        <v>0</v>
      </c>
      <c r="AU79" s="31">
        <f t="shared" si="149"/>
        <v>0</v>
      </c>
      <c r="AV79" s="31">
        <f t="shared" si="150"/>
        <v>0</v>
      </c>
      <c r="AW79" s="31">
        <f t="shared" si="150"/>
        <v>0</v>
      </c>
      <c r="AX79" s="31">
        <f t="shared" si="150"/>
        <v>0</v>
      </c>
      <c r="AY79" s="31">
        <f t="shared" si="150"/>
        <v>0</v>
      </c>
      <c r="AZ79" s="31">
        <f t="shared" si="150"/>
        <v>0</v>
      </c>
      <c r="BA79" s="31">
        <f t="shared" si="150"/>
        <v>0</v>
      </c>
      <c r="BB79" s="31">
        <f t="shared" si="150"/>
        <v>0</v>
      </c>
      <c r="BC79" s="31">
        <f t="shared" si="150"/>
        <v>0</v>
      </c>
      <c r="BD79" s="31">
        <f t="shared" si="150"/>
        <v>0</v>
      </c>
      <c r="BE79" s="30">
        <f t="shared" si="147"/>
        <v>1</v>
      </c>
      <c r="BF79" s="620">
        <f t="shared" si="114"/>
        <v>1.0046190746045656</v>
      </c>
      <c r="BG79" s="620">
        <f t="shared" si="134"/>
        <v>1.0092681731940607</v>
      </c>
      <c r="BH79" s="620">
        <f t="shared" si="135"/>
        <v>1.0146673859598225</v>
      </c>
      <c r="BI79" s="620">
        <f t="shared" si="136"/>
        <v>1.0211950341936284</v>
      </c>
      <c r="BJ79" s="620">
        <f t="shared" si="137"/>
        <v>1.0292450750544078</v>
      </c>
      <c r="BK79" s="620">
        <f t="shared" si="138"/>
        <v>1.0377536023333034</v>
      </c>
      <c r="BL79" s="620">
        <f t="shared" si="139"/>
        <v>1.0439544690397748</v>
      </c>
      <c r="BM79" s="621" t="str">
        <f t="shared" si="140"/>
        <v>Category</v>
      </c>
    </row>
    <row r="80" spans="1:65" x14ac:dyDescent="0.15">
      <c r="A80" s="12" t="s">
        <v>181</v>
      </c>
      <c r="B80" s="13" t="s">
        <v>182</v>
      </c>
      <c r="C80" s="13" t="s">
        <v>27</v>
      </c>
      <c r="D80" s="13" t="s">
        <v>55</v>
      </c>
      <c r="E80" s="13" t="s">
        <v>32</v>
      </c>
      <c r="F80" s="14">
        <v>0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5">
        <v>1444350.77</v>
      </c>
      <c r="N80" s="804">
        <v>1072130.25</v>
      </c>
      <c r="O80" s="14">
        <v>98304.17</v>
      </c>
      <c r="P80" s="15">
        <v>51373.36</v>
      </c>
      <c r="Q80" s="16" t="str">
        <f>IF(ISTEXT('Incurred 2.5% cpi'!Q80),"",'Incurred 2.5% cpi'!Q80/'Incurred 2.5% cpi'!Q$14*Incurred!Q$14)</f>
        <v/>
      </c>
      <c r="R80" s="127" t="str">
        <f>IF(ISTEXT('Incurred 2.5% cpi'!R80),"",'Incurred 2.5% cpi'!R80/'Incurred 2.5% cpi'!R$14*Incurred!R$14*BF80)</f>
        <v/>
      </c>
      <c r="S80" s="119" t="str">
        <f>IF(ISTEXT('Incurred 2.5% cpi'!S80),"",'Incurred 2.5% cpi'!S80/'Incurred 2.5% cpi'!S$14*Incurred!S$14*BG80)</f>
        <v/>
      </c>
      <c r="T80" s="16" t="str">
        <f>IF(ISTEXT('Incurred 2.5% cpi'!T80),"",'Incurred 2.5% cpi'!T80/'Incurred 2.5% cpi'!T$14*Incurred!T$14*BH80)</f>
        <v/>
      </c>
      <c r="U80" s="16" t="str">
        <f>IF(ISTEXT('Incurred 2.5% cpi'!U80),"",'Incurred 2.5% cpi'!U80/'Incurred 2.5% cpi'!U$14*Incurred!U$14*BI80)</f>
        <v/>
      </c>
      <c r="V80" s="16" t="str">
        <f>IF(ISTEXT('Incurred 2.5% cpi'!V80),"",'Incurred 2.5% cpi'!V80/'Incurred 2.5% cpi'!V$14*Incurred!V$14*BJ80)</f>
        <v/>
      </c>
      <c r="W80" s="127" t="str">
        <f>IF(ISTEXT('Incurred 2.5% cpi'!W80),"",'Incurred 2.5% cpi'!W80/'Incurred 2.5% cpi'!W$14*Incurred!W$14*BK80)</f>
        <v/>
      </c>
      <c r="X80" s="119" t="str">
        <f>IF(ISTEXT('Incurred 2.5% cpi'!X80),"",'Incurred 2.5% cpi'!X80/'Incurred 2.5% cpi'!X$14*Incurred!X$14*BL80)</f>
        <v/>
      </c>
      <c r="Y80" s="95">
        <f t="shared" si="115"/>
        <v>2666158.5499999998</v>
      </c>
      <c r="Z80" s="95">
        <f t="shared" si="126"/>
        <v>2666158.5499999998</v>
      </c>
      <c r="AA80" s="676">
        <f t="shared" si="127"/>
        <v>3184184.1496347464</v>
      </c>
      <c r="AB80" s="676">
        <f t="shared" si="128"/>
        <v>2741796.5964083993</v>
      </c>
      <c r="AC80" s="677">
        <f t="shared" si="148"/>
        <v>1.161349515790431</v>
      </c>
      <c r="AD80" s="678" t="str">
        <f t="shared" si="130"/>
        <v>2016</v>
      </c>
      <c r="AE80" s="679">
        <v>41828</v>
      </c>
      <c r="AF80" s="678">
        <v>2015</v>
      </c>
      <c r="AG80" s="680"/>
      <c r="AH80" s="676">
        <f t="shared" si="144"/>
        <v>2888258.6298989938</v>
      </c>
      <c r="AI80" s="95">
        <f t="shared" si="131"/>
        <v>51373.36</v>
      </c>
      <c r="AJ80" s="681" t="s">
        <v>0</v>
      </c>
      <c r="AK80" s="37">
        <f t="shared" si="132"/>
        <v>0</v>
      </c>
      <c r="AL80" s="31">
        <f t="shared" si="149"/>
        <v>0</v>
      </c>
      <c r="AM80" s="31">
        <f t="shared" si="149"/>
        <v>0</v>
      </c>
      <c r="AN80" s="31">
        <f t="shared" si="149"/>
        <v>0</v>
      </c>
      <c r="AO80" s="31">
        <f t="shared" si="149"/>
        <v>1</v>
      </c>
      <c r="AP80" s="31">
        <f t="shared" si="149"/>
        <v>0</v>
      </c>
      <c r="AQ80" s="31">
        <f t="shared" si="149"/>
        <v>0</v>
      </c>
      <c r="AR80" s="31">
        <f t="shared" si="149"/>
        <v>0</v>
      </c>
      <c r="AS80" s="31">
        <f t="shared" si="149"/>
        <v>0</v>
      </c>
      <c r="AT80" s="31">
        <f t="shared" si="149"/>
        <v>0</v>
      </c>
      <c r="AU80" s="31">
        <f t="shared" si="149"/>
        <v>0</v>
      </c>
      <c r="AV80" s="31">
        <f t="shared" si="150"/>
        <v>0</v>
      </c>
      <c r="AW80" s="31">
        <f t="shared" si="150"/>
        <v>0</v>
      </c>
      <c r="AX80" s="31">
        <f t="shared" si="150"/>
        <v>0</v>
      </c>
      <c r="AY80" s="31">
        <f t="shared" si="150"/>
        <v>0</v>
      </c>
      <c r="AZ80" s="31">
        <f t="shared" si="150"/>
        <v>0</v>
      </c>
      <c r="BA80" s="31">
        <f t="shared" si="150"/>
        <v>0</v>
      </c>
      <c r="BB80" s="31">
        <f t="shared" si="150"/>
        <v>0</v>
      </c>
      <c r="BC80" s="31">
        <f t="shared" si="150"/>
        <v>0</v>
      </c>
      <c r="BD80" s="31">
        <f t="shared" si="150"/>
        <v>0</v>
      </c>
      <c r="BE80" s="30">
        <f t="shared" si="147"/>
        <v>1</v>
      </c>
      <c r="BF80" s="620">
        <f t="shared" si="114"/>
        <v>1.0046190746045656</v>
      </c>
      <c r="BG80" s="620">
        <f t="shared" si="134"/>
        <v>1.0092681731940607</v>
      </c>
      <c r="BH80" s="620">
        <f t="shared" si="135"/>
        <v>1.0146673859598225</v>
      </c>
      <c r="BI80" s="620">
        <f t="shared" si="136"/>
        <v>1.0211950341936284</v>
      </c>
      <c r="BJ80" s="620">
        <f t="shared" si="137"/>
        <v>1.0292450750544078</v>
      </c>
      <c r="BK80" s="620">
        <f t="shared" si="138"/>
        <v>1.0377536023333034</v>
      </c>
      <c r="BL80" s="620">
        <f t="shared" si="139"/>
        <v>1.0439544690397748</v>
      </c>
      <c r="BM80" s="621" t="str">
        <f t="shared" si="140"/>
        <v>Category</v>
      </c>
    </row>
    <row r="81" spans="1:65" x14ac:dyDescent="0.15">
      <c r="A81" s="12" t="s">
        <v>186</v>
      </c>
      <c r="B81" s="13" t="s">
        <v>2361</v>
      </c>
      <c r="C81" s="13" t="s">
        <v>27</v>
      </c>
      <c r="D81" s="13" t="s">
        <v>40</v>
      </c>
      <c r="E81" s="13" t="s">
        <v>32</v>
      </c>
      <c r="F81" s="14">
        <v>0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9558.66</v>
      </c>
      <c r="M81" s="15">
        <v>393759.8</v>
      </c>
      <c r="N81" s="804">
        <v>643443.42000000004</v>
      </c>
      <c r="O81" s="14">
        <v>5618545.5199999996</v>
      </c>
      <c r="P81" s="15">
        <v>984885.6</v>
      </c>
      <c r="Q81" s="16" t="str">
        <f>IF(ISTEXT('Incurred 2.5% cpi'!Q81),"",'Incurred 2.5% cpi'!Q81/'Incurred 2.5% cpi'!Q$14*Incurred!Q$14)</f>
        <v/>
      </c>
      <c r="R81" s="127" t="str">
        <f>IF(ISTEXT('Incurred 2.5% cpi'!R81),"",'Incurred 2.5% cpi'!R81/'Incurred 2.5% cpi'!R$14*Incurred!R$14*BF81)</f>
        <v/>
      </c>
      <c r="S81" s="119" t="str">
        <f>IF(ISTEXT('Incurred 2.5% cpi'!S81),"",'Incurred 2.5% cpi'!S81/'Incurred 2.5% cpi'!S$14*Incurred!S$14*BG81)</f>
        <v/>
      </c>
      <c r="T81" s="16" t="str">
        <f>IF(ISTEXT('Incurred 2.5% cpi'!T81),"",'Incurred 2.5% cpi'!T81/'Incurred 2.5% cpi'!T$14*Incurred!T$14*BH81)</f>
        <v/>
      </c>
      <c r="U81" s="16" t="str">
        <f>IF(ISTEXT('Incurred 2.5% cpi'!U81),"",'Incurred 2.5% cpi'!U81/'Incurred 2.5% cpi'!U$14*Incurred!U$14*BI81)</f>
        <v/>
      </c>
      <c r="V81" s="16" t="str">
        <f>IF(ISTEXT('Incurred 2.5% cpi'!V81),"",'Incurred 2.5% cpi'!V81/'Incurred 2.5% cpi'!V$14*Incurred!V$14*BJ81)</f>
        <v/>
      </c>
      <c r="W81" s="127" t="str">
        <f>IF(ISTEXT('Incurred 2.5% cpi'!W81),"",'Incurred 2.5% cpi'!W81/'Incurred 2.5% cpi'!W$14*Incurred!W$14*BK81)</f>
        <v/>
      </c>
      <c r="X81" s="119" t="str">
        <f>IF(ISTEXT('Incurred 2.5% cpi'!X81),"",'Incurred 2.5% cpi'!X81/'Incurred 2.5% cpi'!X$14*Incurred!X$14*BL81)</f>
        <v/>
      </c>
      <c r="Y81" s="95">
        <f t="shared" si="115"/>
        <v>7650192.9999999991</v>
      </c>
      <c r="Z81" s="95">
        <f t="shared" si="126"/>
        <v>7650192.9999999991</v>
      </c>
      <c r="AA81" s="676">
        <f t="shared" si="127"/>
        <v>8900090.072830122</v>
      </c>
      <c r="AB81" s="676">
        <f t="shared" si="128"/>
        <v>7764034.6834689453</v>
      </c>
      <c r="AC81" s="677">
        <f t="shared" si="148"/>
        <v>1.1463228122589466</v>
      </c>
      <c r="AD81" s="678" t="str">
        <f t="shared" si="130"/>
        <v>2016</v>
      </c>
      <c r="AE81" s="679">
        <v>42202</v>
      </c>
      <c r="AF81" s="678">
        <v>2016</v>
      </c>
      <c r="AG81" s="680"/>
      <c r="AH81" s="676">
        <f>IF(ROUND(Y81,0)=0,0,SUMPRODUCT($F$16:$W$16,F81:W81))</f>
        <v>8072950.7942179302</v>
      </c>
      <c r="AI81" s="95">
        <f t="shared" si="131"/>
        <v>984885.6</v>
      </c>
      <c r="AJ81" s="681" t="s">
        <v>0</v>
      </c>
      <c r="AK81" s="37">
        <f t="shared" si="132"/>
        <v>0</v>
      </c>
      <c r="AL81" s="31">
        <f t="shared" ref="AL81:AU83" si="151">IF($AK81=0,VLOOKUP(MID($A81,4,5),ProjectSplits,AL$20,FALSE),IF(ISNA(VLOOKUP($A81,Estimates,AL$19,FALSE)),VLOOKUP(MID($A81,4,5),ProjectSplits,AL$20,FALSE),VLOOKUP($A81,Estimates,AL$19,FALSE)))</f>
        <v>0</v>
      </c>
      <c r="AM81" s="31">
        <f t="shared" si="151"/>
        <v>0.11010069401149368</v>
      </c>
      <c r="AN81" s="31">
        <f t="shared" si="151"/>
        <v>8.799416012524533E-2</v>
      </c>
      <c r="AO81" s="31">
        <f t="shared" si="151"/>
        <v>0</v>
      </c>
      <c r="AP81" s="31">
        <f t="shared" si="151"/>
        <v>0</v>
      </c>
      <c r="AQ81" s="31">
        <f t="shared" si="151"/>
        <v>0</v>
      </c>
      <c r="AR81" s="31">
        <f t="shared" si="151"/>
        <v>0</v>
      </c>
      <c r="AS81" s="31">
        <f t="shared" si="151"/>
        <v>0</v>
      </c>
      <c r="AT81" s="31">
        <f t="shared" si="151"/>
        <v>0</v>
      </c>
      <c r="AU81" s="31">
        <f t="shared" si="151"/>
        <v>0.27760663198910435</v>
      </c>
      <c r="AV81" s="31">
        <f t="shared" ref="AV81:BD83" si="152">IF($AK81=0,VLOOKUP(MID($A81,4,5),ProjectSplits,AV$20,FALSE),IF(ISNA(VLOOKUP($A81,Estimates,AV$19,FALSE)),VLOOKUP(MID($A81,4,5),ProjectSplits,AV$20,FALSE),VLOOKUP($A81,Estimates,AV$19,FALSE)))</f>
        <v>0</v>
      </c>
      <c r="AW81" s="31">
        <f t="shared" si="152"/>
        <v>0.35649687827932458</v>
      </c>
      <c r="AX81" s="31">
        <f t="shared" si="152"/>
        <v>0</v>
      </c>
      <c r="AY81" s="31">
        <f t="shared" si="152"/>
        <v>0</v>
      </c>
      <c r="AZ81" s="31">
        <f t="shared" si="152"/>
        <v>0.15050164214928188</v>
      </c>
      <c r="BA81" s="31">
        <f t="shared" si="152"/>
        <v>1.7299993445550034E-2</v>
      </c>
      <c r="BB81" s="31">
        <f t="shared" si="152"/>
        <v>0</v>
      </c>
      <c r="BC81" s="31">
        <f t="shared" si="152"/>
        <v>0</v>
      </c>
      <c r="BD81" s="31">
        <f t="shared" si="152"/>
        <v>0</v>
      </c>
      <c r="BE81" s="30">
        <f t="shared" ref="BE81:BE83" si="153">SUM(AL81:BD81)</f>
        <v>0.99999999999999978</v>
      </c>
      <c r="BF81" s="620">
        <f t="shared" si="114"/>
        <v>1.0034498951996242</v>
      </c>
      <c r="BG81" s="620">
        <f t="shared" si="134"/>
        <v>1.0069222147180459</v>
      </c>
      <c r="BH81" s="620">
        <f t="shared" si="135"/>
        <v>1.0109547796356901</v>
      </c>
      <c r="BI81" s="620">
        <f t="shared" si="136"/>
        <v>1.0158301506211216</v>
      </c>
      <c r="BJ81" s="620">
        <f t="shared" si="137"/>
        <v>1.0218425664619335</v>
      </c>
      <c r="BK81" s="620">
        <f t="shared" si="138"/>
        <v>1.0281974167140426</v>
      </c>
      <c r="BL81" s="620">
        <f t="shared" si="139"/>
        <v>1.0328287210586446</v>
      </c>
      <c r="BM81" s="621" t="str">
        <f t="shared" si="140"/>
        <v>Category</v>
      </c>
    </row>
    <row r="82" spans="1:65" x14ac:dyDescent="0.15">
      <c r="A82" s="12" t="s">
        <v>187</v>
      </c>
      <c r="B82" s="13" t="s">
        <v>2362</v>
      </c>
      <c r="C82" s="13" t="s">
        <v>27</v>
      </c>
      <c r="D82" s="13" t="s">
        <v>40</v>
      </c>
      <c r="E82" s="13" t="s">
        <v>32</v>
      </c>
      <c r="F82" s="14">
        <v>0</v>
      </c>
      <c r="G82" s="14">
        <v>0</v>
      </c>
      <c r="H82" s="14">
        <v>0</v>
      </c>
      <c r="I82" s="14">
        <v>0</v>
      </c>
      <c r="J82" s="14">
        <v>0</v>
      </c>
      <c r="K82" s="14">
        <v>0</v>
      </c>
      <c r="L82" s="14">
        <v>10681.96</v>
      </c>
      <c r="M82" s="15">
        <v>297096.37</v>
      </c>
      <c r="N82" s="804">
        <v>617142.07999999996</v>
      </c>
      <c r="O82" s="14">
        <v>5327208.32</v>
      </c>
      <c r="P82" s="15">
        <v>582613.27</v>
      </c>
      <c r="Q82" s="16" t="str">
        <f>IF(ISTEXT('Incurred 2.5% cpi'!Q82),"",'Incurred 2.5% cpi'!Q82/'Incurred 2.5% cpi'!Q$14*Incurred!Q$14)</f>
        <v/>
      </c>
      <c r="R82" s="127" t="str">
        <f>IF(ISTEXT('Incurred 2.5% cpi'!R82),"",'Incurred 2.5% cpi'!R82/'Incurred 2.5% cpi'!R$14*Incurred!R$14*BF82)</f>
        <v/>
      </c>
      <c r="S82" s="119" t="str">
        <f>IF(ISTEXT('Incurred 2.5% cpi'!S82),"",'Incurred 2.5% cpi'!S82/'Incurred 2.5% cpi'!S$14*Incurred!S$14*BG82)</f>
        <v/>
      </c>
      <c r="T82" s="16" t="str">
        <f>IF(ISTEXT('Incurred 2.5% cpi'!T82),"",'Incurred 2.5% cpi'!T82/'Incurred 2.5% cpi'!T$14*Incurred!T$14*BH82)</f>
        <v/>
      </c>
      <c r="U82" s="16" t="str">
        <f>IF(ISTEXT('Incurred 2.5% cpi'!U82),"",'Incurred 2.5% cpi'!U82/'Incurred 2.5% cpi'!U$14*Incurred!U$14*BI82)</f>
        <v/>
      </c>
      <c r="V82" s="16" t="str">
        <f>IF(ISTEXT('Incurred 2.5% cpi'!V82),"",'Incurred 2.5% cpi'!V82/'Incurred 2.5% cpi'!V$14*Incurred!V$14*BJ82)</f>
        <v/>
      </c>
      <c r="W82" s="127" t="str">
        <f>IF(ISTEXT('Incurred 2.5% cpi'!W82),"",'Incurred 2.5% cpi'!W82/'Incurred 2.5% cpi'!W$14*Incurred!W$14*BK82)</f>
        <v/>
      </c>
      <c r="X82" s="119" t="str">
        <f>IF(ISTEXT('Incurred 2.5% cpi'!X82),"",'Incurred 2.5% cpi'!X82/'Incurred 2.5% cpi'!X$14*Incurred!X$14*BL82)</f>
        <v/>
      </c>
      <c r="Y82" s="95">
        <f t="shared" si="115"/>
        <v>6834742</v>
      </c>
      <c r="Z82" s="95">
        <f t="shared" si="126"/>
        <v>6834742</v>
      </c>
      <c r="AA82" s="676">
        <f t="shared" si="127"/>
        <v>7953971.9847361296</v>
      </c>
      <c r="AB82" s="676">
        <f t="shared" si="128"/>
        <v>6848904.5516349515</v>
      </c>
      <c r="AC82" s="677">
        <f t="shared" si="148"/>
        <v>1.161349515790431</v>
      </c>
      <c r="AD82" s="678" t="str">
        <f t="shared" si="130"/>
        <v>2016</v>
      </c>
      <c r="AE82" s="679">
        <v>42184</v>
      </c>
      <c r="AF82" s="678">
        <v>2015</v>
      </c>
      <c r="AG82" s="680"/>
      <c r="AH82" s="676">
        <f>IF(ROUND(Y82,0)=0,0,SUMPRODUCT($F$16:$W$16,F82:W82))</f>
        <v>7214761.1907195058</v>
      </c>
      <c r="AI82" s="95">
        <f t="shared" si="131"/>
        <v>582613.27</v>
      </c>
      <c r="AJ82" s="681" t="s">
        <v>0</v>
      </c>
      <c r="AK82" s="37">
        <f t="shared" si="132"/>
        <v>0</v>
      </c>
      <c r="AL82" s="31">
        <f t="shared" si="151"/>
        <v>0</v>
      </c>
      <c r="AM82" s="31">
        <f t="shared" si="151"/>
        <v>0</v>
      </c>
      <c r="AN82" s="31">
        <f t="shared" si="151"/>
        <v>0.10779900758652504</v>
      </c>
      <c r="AO82" s="31">
        <f t="shared" si="151"/>
        <v>0</v>
      </c>
      <c r="AP82" s="31">
        <f t="shared" si="151"/>
        <v>0</v>
      </c>
      <c r="AQ82" s="31">
        <f t="shared" si="151"/>
        <v>0</v>
      </c>
      <c r="AR82" s="31">
        <f t="shared" si="151"/>
        <v>0</v>
      </c>
      <c r="AS82" s="31">
        <f t="shared" si="151"/>
        <v>0</v>
      </c>
      <c r="AT82" s="31">
        <f t="shared" si="151"/>
        <v>0</v>
      </c>
      <c r="AU82" s="31">
        <f t="shared" si="151"/>
        <v>0.39139992961582287</v>
      </c>
      <c r="AV82" s="31">
        <f t="shared" si="152"/>
        <v>0</v>
      </c>
      <c r="AW82" s="31">
        <f t="shared" si="152"/>
        <v>0.30939983500572144</v>
      </c>
      <c r="AX82" s="31">
        <f t="shared" si="152"/>
        <v>0</v>
      </c>
      <c r="AY82" s="31">
        <f t="shared" si="152"/>
        <v>0</v>
      </c>
      <c r="AZ82" s="31">
        <f t="shared" si="152"/>
        <v>0.19140122779193078</v>
      </c>
      <c r="BA82" s="31">
        <f t="shared" si="152"/>
        <v>0</v>
      </c>
      <c r="BB82" s="31">
        <f t="shared" si="152"/>
        <v>0</v>
      </c>
      <c r="BC82" s="31">
        <f t="shared" si="152"/>
        <v>0</v>
      </c>
      <c r="BD82" s="31">
        <f t="shared" si="152"/>
        <v>0</v>
      </c>
      <c r="BE82" s="30">
        <f t="shared" si="153"/>
        <v>1.0000000000000002</v>
      </c>
      <c r="BF82" s="620">
        <f t="shared" si="114"/>
        <v>1.0034498951996242</v>
      </c>
      <c r="BG82" s="620">
        <f t="shared" si="134"/>
        <v>1.0069222147180459</v>
      </c>
      <c r="BH82" s="620">
        <f t="shared" si="135"/>
        <v>1.0109547796356901</v>
      </c>
      <c r="BI82" s="620">
        <f t="shared" si="136"/>
        <v>1.0158301506211216</v>
      </c>
      <c r="BJ82" s="620">
        <f t="shared" si="137"/>
        <v>1.0218425664619335</v>
      </c>
      <c r="BK82" s="620">
        <f t="shared" si="138"/>
        <v>1.0281974167140426</v>
      </c>
      <c r="BL82" s="620">
        <f t="shared" si="139"/>
        <v>1.0328287210586446</v>
      </c>
      <c r="BM82" s="621" t="str">
        <f t="shared" si="140"/>
        <v>Category</v>
      </c>
    </row>
    <row r="83" spans="1:65" x14ac:dyDescent="0.15">
      <c r="A83" s="91" t="s">
        <v>188</v>
      </c>
      <c r="B83" s="13" t="s">
        <v>189</v>
      </c>
      <c r="C83" s="13" t="s">
        <v>27</v>
      </c>
      <c r="D83" s="13" t="s">
        <v>28</v>
      </c>
      <c r="E83" s="13" t="s">
        <v>45</v>
      </c>
      <c r="F83" s="14">
        <v>0</v>
      </c>
      <c r="G83" s="14">
        <v>0</v>
      </c>
      <c r="H83" s="14">
        <v>0</v>
      </c>
      <c r="I83" s="14">
        <v>0</v>
      </c>
      <c r="J83" s="14">
        <v>0</v>
      </c>
      <c r="K83" s="14">
        <v>0</v>
      </c>
      <c r="L83" s="14">
        <v>203825.27</v>
      </c>
      <c r="M83" s="15">
        <v>133765.42000000001</v>
      </c>
      <c r="N83" s="804"/>
      <c r="O83" s="14"/>
      <c r="P83" s="15"/>
      <c r="Q83" s="16" t="str">
        <f>IF(ISTEXT('Incurred 2.5% cpi'!Q83),"",'Incurred 2.5% cpi'!Q83/'Incurred 2.5% cpi'!Q$14*Incurred!Q$14)</f>
        <v/>
      </c>
      <c r="R83" s="127">
        <f>IF(ISTEXT('Incurred 2.5% cpi'!R83),"",'Incurred 2.5% cpi'!R83/'Incurred 2.5% cpi'!R$14*Incurred!R$14*BF83)</f>
        <v>-336867.57415815134</v>
      </c>
      <c r="S83" s="119" t="str">
        <f>IF(ISTEXT('Incurred 2.5% cpi'!S83),"",'Incurred 2.5% cpi'!S83/'Incurred 2.5% cpi'!S$14*Incurred!S$14*BG83)</f>
        <v/>
      </c>
      <c r="T83" s="16" t="str">
        <f>IF(ISTEXT('Incurred 2.5% cpi'!T83),"",'Incurred 2.5% cpi'!T83/'Incurred 2.5% cpi'!T$14*Incurred!T$14*BH83)</f>
        <v/>
      </c>
      <c r="U83" s="16" t="str">
        <f>IF(ISTEXT('Incurred 2.5% cpi'!U83),"",'Incurred 2.5% cpi'!U83/'Incurred 2.5% cpi'!U$14*Incurred!U$14*BI83)</f>
        <v/>
      </c>
      <c r="V83" s="16" t="str">
        <f>IF(ISTEXT('Incurred 2.5% cpi'!V83),"",'Incurred 2.5% cpi'!V83/'Incurred 2.5% cpi'!V$14*Incurred!V$14*BJ83)</f>
        <v/>
      </c>
      <c r="W83" s="127" t="str">
        <f>IF(ISTEXT('Incurred 2.5% cpi'!W83),"",'Incurred 2.5% cpi'!W83/'Incurred 2.5% cpi'!W$14*Incurred!W$14*BK83)</f>
        <v/>
      </c>
      <c r="X83" s="119" t="str">
        <f>IF(ISTEXT('Incurred 2.5% cpi'!X83),"",'Incurred 2.5% cpi'!X83/'Incurred 2.5% cpi'!X$14*Incurred!X$14*BL83)</f>
        <v/>
      </c>
      <c r="Y83" s="95">
        <f t="shared" si="115"/>
        <v>723.11584184865933</v>
      </c>
      <c r="Z83" s="95">
        <f t="shared" si="126"/>
        <v>674458.26415815135</v>
      </c>
      <c r="AA83" s="682">
        <f>IF(ROUND(Y83,0)=0,0,SUMPRODUCT($F$17:$W$17,F83:W83))*0</f>
        <v>0</v>
      </c>
      <c r="AB83" s="676">
        <f t="shared" si="128"/>
        <v>0</v>
      </c>
      <c r="AC83" s="677">
        <f t="shared" si="148"/>
        <v>1</v>
      </c>
      <c r="AD83" s="678" t="str">
        <f t="shared" si="130"/>
        <v>2018</v>
      </c>
      <c r="AE83" s="679">
        <v>47423</v>
      </c>
      <c r="AF83" s="678">
        <v>2030</v>
      </c>
      <c r="AG83" s="680"/>
      <c r="AH83" s="682">
        <f>IF(ROUND(Y83,0)=0,0,SUMPRODUCT($F$16:$W$16,F83:W83))*0</f>
        <v>0</v>
      </c>
      <c r="AI83" s="95">
        <f t="shared" si="131"/>
        <v>-336867.57415815134</v>
      </c>
      <c r="AJ83" s="681" t="s">
        <v>0</v>
      </c>
      <c r="AK83" s="37">
        <f t="shared" si="132"/>
        <v>0</v>
      </c>
      <c r="AL83" s="31">
        <f t="shared" si="151"/>
        <v>0</v>
      </c>
      <c r="AM83" s="31">
        <f t="shared" si="151"/>
        <v>0</v>
      </c>
      <c r="AN83" s="31">
        <f t="shared" si="151"/>
        <v>0</v>
      </c>
      <c r="AO83" s="31">
        <f t="shared" si="151"/>
        <v>0</v>
      </c>
      <c r="AP83" s="31">
        <f t="shared" si="151"/>
        <v>0</v>
      </c>
      <c r="AQ83" s="31">
        <f t="shared" si="151"/>
        <v>0</v>
      </c>
      <c r="AR83" s="31">
        <f t="shared" si="151"/>
        <v>0</v>
      </c>
      <c r="AS83" s="31">
        <f t="shared" si="151"/>
        <v>0</v>
      </c>
      <c r="AT83" s="31">
        <f t="shared" si="151"/>
        <v>0</v>
      </c>
      <c r="AU83" s="31">
        <f t="shared" si="151"/>
        <v>0.81187441134059291</v>
      </c>
      <c r="AV83" s="31">
        <f t="shared" si="152"/>
        <v>0</v>
      </c>
      <c r="AW83" s="31">
        <f t="shared" si="152"/>
        <v>7.8209767094487168E-2</v>
      </c>
      <c r="AX83" s="31">
        <f t="shared" si="152"/>
        <v>0</v>
      </c>
      <c r="AY83" s="31">
        <f t="shared" si="152"/>
        <v>0</v>
      </c>
      <c r="AZ83" s="31">
        <f t="shared" si="152"/>
        <v>0.10545422800705585</v>
      </c>
      <c r="BA83" s="31">
        <f t="shared" si="152"/>
        <v>4.4615935578642381E-3</v>
      </c>
      <c r="BB83" s="31">
        <f t="shared" si="152"/>
        <v>0</v>
      </c>
      <c r="BC83" s="31">
        <f t="shared" si="152"/>
        <v>0</v>
      </c>
      <c r="BD83" s="31">
        <f t="shared" si="152"/>
        <v>0</v>
      </c>
      <c r="BE83" s="30">
        <f t="shared" si="153"/>
        <v>1</v>
      </c>
      <c r="BF83" s="620">
        <f t="shared" si="114"/>
        <v>1.0030444840366091</v>
      </c>
      <c r="BG83" s="620">
        <f t="shared" si="134"/>
        <v>1.0061087572194563</v>
      </c>
      <c r="BH83" s="620">
        <f t="shared" si="135"/>
        <v>1.0096674390946898</v>
      </c>
      <c r="BI83" s="620">
        <f t="shared" si="136"/>
        <v>1.0139698854818469</v>
      </c>
      <c r="BJ83" s="620">
        <f t="shared" si="137"/>
        <v>1.0192757579764089</v>
      </c>
      <c r="BK83" s="620">
        <f t="shared" si="138"/>
        <v>1.0248838240271385</v>
      </c>
      <c r="BL83" s="620">
        <f t="shared" si="139"/>
        <v>1.0289708850333266</v>
      </c>
      <c r="BM83" s="621" t="str">
        <f t="shared" si="140"/>
        <v>Category</v>
      </c>
    </row>
    <row r="84" spans="1:65" x14ac:dyDescent="0.15">
      <c r="A84" s="91" t="s">
        <v>190</v>
      </c>
      <c r="B84" s="13" t="s">
        <v>191</v>
      </c>
      <c r="C84" s="13" t="s">
        <v>27</v>
      </c>
      <c r="D84" s="13" t="s">
        <v>55</v>
      </c>
      <c r="E84" s="13" t="s">
        <v>32</v>
      </c>
      <c r="F84" s="14">
        <v>0</v>
      </c>
      <c r="G84" s="14">
        <v>0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5">
        <v>124347.76</v>
      </c>
      <c r="N84" s="804">
        <v>154643.18</v>
      </c>
      <c r="O84" s="14">
        <v>482919.11</v>
      </c>
      <c r="P84" s="15">
        <v>18252.330000000002</v>
      </c>
      <c r="Q84" s="16"/>
      <c r="R84" s="127" t="str">
        <f>IF(ISTEXT('Incurred 2.5% cpi'!R84),"",'Incurred 2.5% cpi'!R84/'Incurred 2.5% cpi'!R$14*Incurred!R$14*BF84)</f>
        <v/>
      </c>
      <c r="S84" s="119" t="str">
        <f>IF(ISTEXT('Incurred 2.5% cpi'!S84),"",'Incurred 2.5% cpi'!S84/'Incurred 2.5% cpi'!S$14*Incurred!S$14*BG84)</f>
        <v/>
      </c>
      <c r="T84" s="16" t="str">
        <f>IF(ISTEXT('Incurred 2.5% cpi'!T84),"",'Incurred 2.5% cpi'!T84/'Incurred 2.5% cpi'!T$14*Incurred!T$14*BH84)</f>
        <v/>
      </c>
      <c r="U84" s="16" t="str">
        <f>IF(ISTEXT('Incurred 2.5% cpi'!U84),"",'Incurred 2.5% cpi'!U84/'Incurred 2.5% cpi'!U$14*Incurred!U$14*BI84)</f>
        <v/>
      </c>
      <c r="V84" s="16" t="str">
        <f>IF(ISTEXT('Incurred 2.5% cpi'!V84),"",'Incurred 2.5% cpi'!V84/'Incurred 2.5% cpi'!V$14*Incurred!V$14*BJ84)</f>
        <v/>
      </c>
      <c r="W84" s="127" t="str">
        <f>IF(ISTEXT('Incurred 2.5% cpi'!W84),"",'Incurred 2.5% cpi'!W84/'Incurred 2.5% cpi'!W$14*Incurred!W$14*BK84)</f>
        <v/>
      </c>
      <c r="X84" s="433" t="str">
        <f>IF(ISTEXT('Incurred 2.5% cpi'!X84),"",'Incurred 2.5% cpi'!X84/'Incurred 2.5% cpi'!X$14*Incurred!X$14*BL84)</f>
        <v/>
      </c>
      <c r="Y84" s="95">
        <f t="shared" si="115"/>
        <v>780162.38</v>
      </c>
      <c r="Z84" s="95">
        <f t="shared" si="126"/>
        <v>780162.38</v>
      </c>
      <c r="AA84" s="676">
        <f t="shared" si="127"/>
        <v>914357.60855728691</v>
      </c>
      <c r="AB84" s="676">
        <f t="shared" si="128"/>
        <v>797644.0831317415</v>
      </c>
      <c r="AC84" s="677">
        <f t="shared" si="148"/>
        <v>1.1463228122589466</v>
      </c>
      <c r="AD84" s="678" t="str">
        <f t="shared" si="130"/>
        <v>2016</v>
      </c>
      <c r="AE84" s="679">
        <v>42215</v>
      </c>
      <c r="AF84" s="678">
        <v>2016</v>
      </c>
      <c r="AG84" s="680"/>
      <c r="AH84" s="676">
        <f t="shared" ref="AH84:AH88" si="154">IF(ROUND(Y84,0)=0,0,SUMPRODUCT($F$16:$W$16,F84:W84))</f>
        <v>829380.81769935484</v>
      </c>
      <c r="AI84" s="95">
        <f t="shared" si="131"/>
        <v>18252.330000000002</v>
      </c>
      <c r="AJ84" s="681" t="s">
        <v>0</v>
      </c>
      <c r="AK84" s="37">
        <f t="shared" si="132"/>
        <v>0</v>
      </c>
      <c r="AL84" s="31">
        <f t="shared" ref="AL84:AU88" si="155">IF($AK84=0,VLOOKUP(MID($A84,4,5),ProjectSplits,AL$20,FALSE),IF(ISNA(VLOOKUP($A84,Estimates,AL$19,FALSE)),VLOOKUP(MID($A84,4,5),ProjectSplits,AL$20,FALSE),VLOOKUP($A84,Estimates,AL$19,FALSE)))</f>
        <v>0</v>
      </c>
      <c r="AM84" s="31">
        <f t="shared" si="155"/>
        <v>0</v>
      </c>
      <c r="AN84" s="31">
        <f t="shared" si="155"/>
        <v>0</v>
      </c>
      <c r="AO84" s="31">
        <f t="shared" si="155"/>
        <v>1</v>
      </c>
      <c r="AP84" s="31">
        <f t="shared" si="155"/>
        <v>0</v>
      </c>
      <c r="AQ84" s="31">
        <f t="shared" si="155"/>
        <v>0</v>
      </c>
      <c r="AR84" s="31">
        <f t="shared" si="155"/>
        <v>0</v>
      </c>
      <c r="AS84" s="31">
        <f t="shared" si="155"/>
        <v>0</v>
      </c>
      <c r="AT84" s="31">
        <f t="shared" si="155"/>
        <v>0</v>
      </c>
      <c r="AU84" s="31">
        <f t="shared" si="155"/>
        <v>0</v>
      </c>
      <c r="AV84" s="31">
        <f t="shared" ref="AV84:BD88" si="156">IF($AK84=0,VLOOKUP(MID($A84,4,5),ProjectSplits,AV$20,FALSE),IF(ISNA(VLOOKUP($A84,Estimates,AV$19,FALSE)),VLOOKUP(MID($A84,4,5),ProjectSplits,AV$20,FALSE),VLOOKUP($A84,Estimates,AV$19,FALSE)))</f>
        <v>0</v>
      </c>
      <c r="AW84" s="31">
        <f t="shared" si="156"/>
        <v>0</v>
      </c>
      <c r="AX84" s="31">
        <f t="shared" si="156"/>
        <v>0</v>
      </c>
      <c r="AY84" s="31">
        <f t="shared" si="156"/>
        <v>0</v>
      </c>
      <c r="AZ84" s="31">
        <f t="shared" si="156"/>
        <v>0</v>
      </c>
      <c r="BA84" s="31">
        <f t="shared" si="156"/>
        <v>0</v>
      </c>
      <c r="BB84" s="31">
        <f t="shared" si="156"/>
        <v>0</v>
      </c>
      <c r="BC84" s="31">
        <f t="shared" si="156"/>
        <v>0</v>
      </c>
      <c r="BD84" s="31">
        <f t="shared" si="156"/>
        <v>0</v>
      </c>
      <c r="BE84" s="30">
        <f t="shared" ref="BE84:BE88" si="157">SUM(AL84:BD84)</f>
        <v>1</v>
      </c>
      <c r="BF84" s="620">
        <f t="shared" si="114"/>
        <v>1.0046190746045656</v>
      </c>
      <c r="BG84" s="620">
        <f t="shared" si="134"/>
        <v>1.0092681731940607</v>
      </c>
      <c r="BH84" s="620">
        <f t="shared" si="135"/>
        <v>1.0146673859598225</v>
      </c>
      <c r="BI84" s="620">
        <f t="shared" si="136"/>
        <v>1.0211950341936284</v>
      </c>
      <c r="BJ84" s="620">
        <f t="shared" si="137"/>
        <v>1.0292450750544078</v>
      </c>
      <c r="BK84" s="620">
        <f t="shared" si="138"/>
        <v>1.0377536023333034</v>
      </c>
      <c r="BL84" s="620">
        <f t="shared" si="139"/>
        <v>1.0439544690397748</v>
      </c>
      <c r="BM84" s="621" t="str">
        <f t="shared" si="140"/>
        <v>Category</v>
      </c>
    </row>
    <row r="85" spans="1:65" x14ac:dyDescent="0.15">
      <c r="A85" s="91" t="s">
        <v>192</v>
      </c>
      <c r="B85" s="13" t="s">
        <v>2374</v>
      </c>
      <c r="C85" s="13" t="s">
        <v>27</v>
      </c>
      <c r="D85" s="13" t="s">
        <v>55</v>
      </c>
      <c r="E85" s="13" t="s">
        <v>29</v>
      </c>
      <c r="F85" s="14">
        <v>0</v>
      </c>
      <c r="G85" s="14">
        <v>0</v>
      </c>
      <c r="H85" s="14">
        <v>0</v>
      </c>
      <c r="I85" s="14">
        <v>0</v>
      </c>
      <c r="J85" s="14">
        <v>0</v>
      </c>
      <c r="K85" s="14">
        <v>0</v>
      </c>
      <c r="L85" s="14">
        <v>0</v>
      </c>
      <c r="M85" s="15">
        <v>0</v>
      </c>
      <c r="N85" s="804"/>
      <c r="O85" s="14"/>
      <c r="P85" s="15"/>
      <c r="Q85" s="16">
        <f>IF(ISTEXT('Incurred 2.5% cpi'!Q85),"",'Incurred 2.5% cpi'!Q85/'Incurred 2.5% cpi'!Q$14*Incurred!Q$14)</f>
        <v>609311.65</v>
      </c>
      <c r="R85" s="127">
        <f>IF(ISTEXT('Incurred 2.5% cpi'!R85),"",'Incurred 2.5% cpi'!R85/'Incurred 2.5% cpi'!R$14*Incurred!R$14*BF85)</f>
        <v>946211.3728565725</v>
      </c>
      <c r="S85" s="119">
        <f>IF(ISTEXT('Incurred 2.5% cpi'!S85),"",'Incurred 2.5% cpi'!S85/'Incurred 2.5% cpi'!S$14*Incurred!S$14*BG85)</f>
        <v>2815113.1151663093</v>
      </c>
      <c r="T85" s="16" t="str">
        <f>IF(ISTEXT('Incurred 2.5% cpi'!T85),"",'Incurred 2.5% cpi'!T85/'Incurred 2.5% cpi'!T$14*Incurred!T$14*BH85)</f>
        <v/>
      </c>
      <c r="U85" s="16" t="str">
        <f>IF(ISTEXT('Incurred 2.5% cpi'!U85),"",'Incurred 2.5% cpi'!U85/'Incurred 2.5% cpi'!U$14*Incurred!U$14*BI85)</f>
        <v/>
      </c>
      <c r="V85" s="16" t="str">
        <f>IF(ISTEXT('Incurred 2.5% cpi'!V85),"",'Incurred 2.5% cpi'!V85/'Incurred 2.5% cpi'!V$14*Incurred!V$14*BJ85)</f>
        <v/>
      </c>
      <c r="W85" s="127" t="str">
        <f>IF(ISTEXT('Incurred 2.5% cpi'!W85),"",'Incurred 2.5% cpi'!W85/'Incurred 2.5% cpi'!W$14*Incurred!W$14*BK85)</f>
        <v/>
      </c>
      <c r="X85" s="119" t="str">
        <f>IF(ISTEXT('Incurred 2.5% cpi'!X85),"",'Incurred 2.5% cpi'!X85/'Incurred 2.5% cpi'!X$14*Incurred!X$14*BL85)</f>
        <v/>
      </c>
      <c r="Y85" s="95">
        <f t="shared" si="115"/>
        <v>4370636.1380228819</v>
      </c>
      <c r="Z85" s="95">
        <f t="shared" si="126"/>
        <v>4370636.1380228819</v>
      </c>
      <c r="AA85" s="676">
        <f t="shared" si="127"/>
        <v>4771717.907192681</v>
      </c>
      <c r="AB85" s="676">
        <f t="shared" si="128"/>
        <v>4413519.8488364052</v>
      </c>
      <c r="AC85" s="677">
        <f t="shared" si="148"/>
        <v>1.0811592721058483</v>
      </c>
      <c r="AD85" s="678" t="str">
        <f t="shared" si="130"/>
        <v>2019</v>
      </c>
      <c r="AE85" s="679">
        <v>43570</v>
      </c>
      <c r="AF85" s="678">
        <v>2019</v>
      </c>
      <c r="AG85" s="680"/>
      <c r="AH85" s="676">
        <f t="shared" si="154"/>
        <v>4328253.2596218539</v>
      </c>
      <c r="AI85" s="95">
        <f t="shared" si="131"/>
        <v>2815113.1151663093</v>
      </c>
      <c r="AJ85" s="681" t="s">
        <v>3058</v>
      </c>
      <c r="AK85" s="37">
        <f t="shared" si="132"/>
        <v>599999.99999999988</v>
      </c>
      <c r="AL85" s="31">
        <f t="shared" si="155"/>
        <v>0</v>
      </c>
      <c r="AM85" s="31">
        <f t="shared" si="155"/>
        <v>0</v>
      </c>
      <c r="AN85" s="31">
        <f t="shared" si="155"/>
        <v>0</v>
      </c>
      <c r="AO85" s="31">
        <f t="shared" si="155"/>
        <v>1</v>
      </c>
      <c r="AP85" s="31">
        <f t="shared" si="155"/>
        <v>0</v>
      </c>
      <c r="AQ85" s="31">
        <f t="shared" si="155"/>
        <v>0</v>
      </c>
      <c r="AR85" s="31">
        <f t="shared" si="155"/>
        <v>0</v>
      </c>
      <c r="AS85" s="31">
        <f t="shared" si="155"/>
        <v>0</v>
      </c>
      <c r="AT85" s="31">
        <f t="shared" si="155"/>
        <v>0</v>
      </c>
      <c r="AU85" s="31">
        <f t="shared" si="155"/>
        <v>0</v>
      </c>
      <c r="AV85" s="31">
        <f t="shared" si="156"/>
        <v>0</v>
      </c>
      <c r="AW85" s="31">
        <f t="shared" si="156"/>
        <v>0</v>
      </c>
      <c r="AX85" s="31">
        <f t="shared" si="156"/>
        <v>0</v>
      </c>
      <c r="AY85" s="31">
        <f t="shared" si="156"/>
        <v>0</v>
      </c>
      <c r="AZ85" s="31">
        <f t="shared" si="156"/>
        <v>0</v>
      </c>
      <c r="BA85" s="31">
        <f t="shared" si="156"/>
        <v>0</v>
      </c>
      <c r="BB85" s="31">
        <f t="shared" si="156"/>
        <v>0</v>
      </c>
      <c r="BC85" s="31">
        <f t="shared" si="156"/>
        <v>0</v>
      </c>
      <c r="BD85" s="31">
        <f t="shared" si="156"/>
        <v>0</v>
      </c>
      <c r="BE85" s="30">
        <f t="shared" si="157"/>
        <v>1</v>
      </c>
      <c r="BF85" s="620">
        <f t="shared" si="114"/>
        <v>1.0046190746045656</v>
      </c>
      <c r="BG85" s="620">
        <f t="shared" si="134"/>
        <v>1.0092681731940607</v>
      </c>
      <c r="BH85" s="620">
        <f t="shared" si="135"/>
        <v>1.0146673859598225</v>
      </c>
      <c r="BI85" s="620">
        <f t="shared" si="136"/>
        <v>1.0211950341936284</v>
      </c>
      <c r="BJ85" s="620">
        <f t="shared" si="137"/>
        <v>1.0292450750544078</v>
      </c>
      <c r="BK85" s="620">
        <f t="shared" si="138"/>
        <v>1.0377536023333034</v>
      </c>
      <c r="BL85" s="620">
        <f t="shared" si="139"/>
        <v>1.0439544690397748</v>
      </c>
      <c r="BM85" s="621" t="str">
        <f t="shared" si="140"/>
        <v>Category</v>
      </c>
    </row>
    <row r="86" spans="1:65" x14ac:dyDescent="0.15">
      <c r="A86" s="12" t="s">
        <v>193</v>
      </c>
      <c r="B86" s="13" t="s">
        <v>194</v>
      </c>
      <c r="C86" s="13" t="s">
        <v>27</v>
      </c>
      <c r="D86" s="13" t="s">
        <v>55</v>
      </c>
      <c r="E86" s="13" t="s">
        <v>32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5">
        <v>0</v>
      </c>
      <c r="N86" s="804"/>
      <c r="O86" s="14">
        <v>13918.48</v>
      </c>
      <c r="P86" s="15">
        <v>356943.46</v>
      </c>
      <c r="Q86" s="16">
        <f>IF(ISTEXT('Incurred 2.5% cpi'!Q86),"",'Incurred 2.5% cpi'!Q86/'Incurred 2.5% cpi'!Q$14*Incurred!Q$14)</f>
        <v>65736.39</v>
      </c>
      <c r="R86" s="127" t="str">
        <f>IF(ISTEXT('Incurred 2.5% cpi'!R86),"",'Incurred 2.5% cpi'!R86/'Incurred 2.5% cpi'!R$14*Incurred!R$14*BF86)</f>
        <v/>
      </c>
      <c r="S86" s="119" t="str">
        <f>IF(ISTEXT('Incurred 2.5% cpi'!S86),"",'Incurred 2.5% cpi'!S86/'Incurred 2.5% cpi'!S$14*Incurred!S$14*BG86)</f>
        <v/>
      </c>
      <c r="T86" s="16" t="str">
        <f>IF(ISTEXT('Incurred 2.5% cpi'!T86),"",'Incurred 2.5% cpi'!T86/'Incurred 2.5% cpi'!T$14*Incurred!T$14*BH86)</f>
        <v/>
      </c>
      <c r="U86" s="16" t="str">
        <f>IF(ISTEXT('Incurred 2.5% cpi'!U86),"",'Incurred 2.5% cpi'!U86/'Incurred 2.5% cpi'!U$14*Incurred!U$14*BI86)</f>
        <v/>
      </c>
      <c r="V86" s="16" t="str">
        <f>IF(ISTEXT('Incurred 2.5% cpi'!V86),"",'Incurred 2.5% cpi'!V86/'Incurred 2.5% cpi'!V$14*Incurred!V$14*BJ86)</f>
        <v/>
      </c>
      <c r="W86" s="127" t="str">
        <f>IF(ISTEXT('Incurred 2.5% cpi'!W86),"",'Incurred 2.5% cpi'!W86/'Incurred 2.5% cpi'!W$14*Incurred!W$14*BK86)</f>
        <v/>
      </c>
      <c r="X86" s="119" t="str">
        <f>IF(ISTEXT('Incurred 2.5% cpi'!X86),"",'Incurred 2.5% cpi'!X86/'Incurred 2.5% cpi'!X$14*Incurred!X$14*BL86)</f>
        <v/>
      </c>
      <c r="Y86" s="95">
        <f t="shared" ref="Y86:Y140" si="158">SUM(F86:W86)</f>
        <v>436598.33</v>
      </c>
      <c r="Z86" s="95">
        <f t="shared" si="126"/>
        <v>436598.33</v>
      </c>
      <c r="AA86" s="676">
        <f t="shared" si="127"/>
        <v>499235.95799580676</v>
      </c>
      <c r="AB86" s="676">
        <f t="shared" si="128"/>
        <v>444090.35650712368</v>
      </c>
      <c r="AC86" s="677">
        <f t="shared" si="148"/>
        <v>1.1241765345287305</v>
      </c>
      <c r="AD86" s="678" t="str">
        <f t="shared" si="130"/>
        <v>2017</v>
      </c>
      <c r="AE86" s="679">
        <v>42625</v>
      </c>
      <c r="AF86" s="678">
        <v>2017</v>
      </c>
      <c r="AG86" s="680"/>
      <c r="AH86" s="676">
        <f t="shared" si="154"/>
        <v>452838.93653031404</v>
      </c>
      <c r="AI86" s="95">
        <f t="shared" si="131"/>
        <v>65736.39</v>
      </c>
      <c r="AJ86" s="681" t="s">
        <v>0</v>
      </c>
      <c r="AK86" s="37">
        <f t="shared" si="132"/>
        <v>499001</v>
      </c>
      <c r="AL86" s="31">
        <f t="shared" si="155"/>
        <v>0</v>
      </c>
      <c r="AM86" s="31">
        <f t="shared" si="155"/>
        <v>0</v>
      </c>
      <c r="AN86" s="31">
        <f t="shared" si="155"/>
        <v>0</v>
      </c>
      <c r="AO86" s="31">
        <f t="shared" si="155"/>
        <v>1</v>
      </c>
      <c r="AP86" s="31">
        <f t="shared" si="155"/>
        <v>0</v>
      </c>
      <c r="AQ86" s="31">
        <f t="shared" si="155"/>
        <v>0</v>
      </c>
      <c r="AR86" s="31">
        <f t="shared" si="155"/>
        <v>0</v>
      </c>
      <c r="AS86" s="31">
        <f t="shared" si="155"/>
        <v>0</v>
      </c>
      <c r="AT86" s="31">
        <f t="shared" si="155"/>
        <v>0</v>
      </c>
      <c r="AU86" s="31">
        <f t="shared" si="155"/>
        <v>0</v>
      </c>
      <c r="AV86" s="31">
        <f t="shared" si="156"/>
        <v>0</v>
      </c>
      <c r="AW86" s="31">
        <f t="shared" si="156"/>
        <v>0</v>
      </c>
      <c r="AX86" s="31">
        <f t="shared" si="156"/>
        <v>0</v>
      </c>
      <c r="AY86" s="31">
        <f t="shared" si="156"/>
        <v>0</v>
      </c>
      <c r="AZ86" s="31">
        <f t="shared" si="156"/>
        <v>0</v>
      </c>
      <c r="BA86" s="31">
        <f t="shared" si="156"/>
        <v>0</v>
      </c>
      <c r="BB86" s="31">
        <f t="shared" si="156"/>
        <v>0</v>
      </c>
      <c r="BC86" s="31">
        <f t="shared" si="156"/>
        <v>0</v>
      </c>
      <c r="BD86" s="31">
        <f t="shared" si="156"/>
        <v>0</v>
      </c>
      <c r="BE86" s="30">
        <f t="shared" si="157"/>
        <v>1</v>
      </c>
      <c r="BF86" s="620">
        <f t="shared" ref="BF86:BF137" si="159">1+IF(ISNA(VLOOKUP($A86,ProjLabEsc,7,FALSE)),VLOOKUP(D86,CatLabEsc,4,FALSE),VLOOKUP(A86,ProjLabEsc,7,FALSE))*Labesc18*LabIn</f>
        <v>1.0046190746045656</v>
      </c>
      <c r="BG86" s="620">
        <f t="shared" si="134"/>
        <v>1.0092681731940607</v>
      </c>
      <c r="BH86" s="620">
        <f t="shared" si="135"/>
        <v>1.0146673859598225</v>
      </c>
      <c r="BI86" s="620">
        <f t="shared" si="136"/>
        <v>1.0211950341936284</v>
      </c>
      <c r="BJ86" s="620">
        <f t="shared" si="137"/>
        <v>1.0292450750544078</v>
      </c>
      <c r="BK86" s="620">
        <f t="shared" si="138"/>
        <v>1.0377536023333034</v>
      </c>
      <c r="BL86" s="620">
        <f t="shared" si="139"/>
        <v>1.0439544690397748</v>
      </c>
      <c r="BM86" s="621" t="str">
        <f t="shared" si="140"/>
        <v>Category</v>
      </c>
    </row>
    <row r="87" spans="1:65" x14ac:dyDescent="0.15">
      <c r="A87" s="91" t="s">
        <v>196</v>
      </c>
      <c r="B87" s="13" t="s">
        <v>197</v>
      </c>
      <c r="C87" s="13" t="s">
        <v>27</v>
      </c>
      <c r="D87" s="13" t="s">
        <v>40</v>
      </c>
      <c r="E87" s="13" t="s">
        <v>29</v>
      </c>
      <c r="F87" s="14">
        <v>0</v>
      </c>
      <c r="G87" s="14">
        <v>0</v>
      </c>
      <c r="H87" s="14">
        <v>0</v>
      </c>
      <c r="I87" s="14">
        <v>0</v>
      </c>
      <c r="J87" s="14">
        <v>0</v>
      </c>
      <c r="K87" s="14">
        <v>0</v>
      </c>
      <c r="L87" s="14">
        <v>0</v>
      </c>
      <c r="M87" s="15">
        <v>0</v>
      </c>
      <c r="N87" s="804"/>
      <c r="O87" s="14">
        <v>111136.3</v>
      </c>
      <c r="P87" s="15">
        <v>245766.33</v>
      </c>
      <c r="Q87" s="16">
        <f>IF(ISTEXT('Incurred 2.5% cpi'!Q87),"",'Incurred 2.5% cpi'!Q87/'Incurred 2.5% cpi'!Q$14*Incurred!Q$14)</f>
        <v>663476.67000000004</v>
      </c>
      <c r="R87" s="127">
        <f>IF(ISTEXT('Incurred 2.5% cpi'!R87),"",'Incurred 2.5% cpi'!R87/'Incurred 2.5% cpi'!R$14*Incurred!R$14*BF87)</f>
        <v>331231.7625639434</v>
      </c>
      <c r="S87" s="119" t="str">
        <f>IF(ISTEXT('Incurred 2.5% cpi'!S87),"",'Incurred 2.5% cpi'!S87/'Incurred 2.5% cpi'!S$14*Incurred!S$14*BG87)</f>
        <v/>
      </c>
      <c r="T87" s="16" t="str">
        <f>IF(ISTEXT('Incurred 2.5% cpi'!T87),"",'Incurred 2.5% cpi'!T87/'Incurred 2.5% cpi'!T$14*Incurred!T$14*BH87)</f>
        <v/>
      </c>
      <c r="U87" s="16" t="str">
        <f>IF(ISTEXT('Incurred 2.5% cpi'!U87),"",'Incurred 2.5% cpi'!U87/'Incurred 2.5% cpi'!U$14*Incurred!U$14*BI87)</f>
        <v/>
      </c>
      <c r="V87" s="16" t="str">
        <f>IF(ISTEXT('Incurred 2.5% cpi'!V87),"",'Incurred 2.5% cpi'!V87/'Incurred 2.5% cpi'!V$14*Incurred!V$14*BJ87)</f>
        <v/>
      </c>
      <c r="W87" s="127" t="str">
        <f>IF(ISTEXT('Incurred 2.5% cpi'!W87),"",'Incurred 2.5% cpi'!W87/'Incurred 2.5% cpi'!W$14*Incurred!W$14*BK87)</f>
        <v/>
      </c>
      <c r="X87" s="119" t="str">
        <f>IF(ISTEXT('Incurred 2.5% cpi'!X87),"",'Incurred 2.5% cpi'!X87/'Incurred 2.5% cpi'!X$14*Incurred!X$14*BL87)</f>
        <v/>
      </c>
      <c r="Y87" s="95">
        <f t="shared" si="158"/>
        <v>1351611.0625639434</v>
      </c>
      <c r="Z87" s="95">
        <f t="shared" si="126"/>
        <v>1351611.0625639434</v>
      </c>
      <c r="AA87" s="676">
        <f t="shared" si="127"/>
        <v>1521829.6852279785</v>
      </c>
      <c r="AB87" s="676">
        <f t="shared" si="128"/>
        <v>1380396.8348062958</v>
      </c>
      <c r="AC87" s="677">
        <f t="shared" si="148"/>
        <v>1.1024581097663335</v>
      </c>
      <c r="AD87" s="678" t="str">
        <f t="shared" si="130"/>
        <v>2018</v>
      </c>
      <c r="AE87" s="679">
        <v>42948</v>
      </c>
      <c r="AF87" s="678">
        <v>2018</v>
      </c>
      <c r="AG87" s="680"/>
      <c r="AH87" s="676">
        <f t="shared" si="154"/>
        <v>1380396.8348062956</v>
      </c>
      <c r="AI87" s="95">
        <f t="shared" si="131"/>
        <v>331231.7625639434</v>
      </c>
      <c r="AJ87" s="681" t="s">
        <v>0</v>
      </c>
      <c r="AK87" s="37">
        <f t="shared" si="132"/>
        <v>0</v>
      </c>
      <c r="AL87" s="31">
        <f t="shared" si="155"/>
        <v>0</v>
      </c>
      <c r="AM87" s="31">
        <f t="shared" si="155"/>
        <v>0</v>
      </c>
      <c r="AN87" s="31">
        <f t="shared" si="155"/>
        <v>0</v>
      </c>
      <c r="AO87" s="443">
        <f t="shared" si="155"/>
        <v>1</v>
      </c>
      <c r="AP87" s="31">
        <f t="shared" si="155"/>
        <v>0</v>
      </c>
      <c r="AQ87" s="31">
        <f t="shared" si="155"/>
        <v>0</v>
      </c>
      <c r="AR87" s="31">
        <f t="shared" si="155"/>
        <v>0</v>
      </c>
      <c r="AS87" s="31">
        <f t="shared" si="155"/>
        <v>0</v>
      </c>
      <c r="AT87" s="31">
        <f t="shared" si="155"/>
        <v>0</v>
      </c>
      <c r="AU87" s="31">
        <f t="shared" si="155"/>
        <v>0</v>
      </c>
      <c r="AV87" s="31">
        <f t="shared" si="156"/>
        <v>0</v>
      </c>
      <c r="AW87" s="31">
        <f t="shared" si="156"/>
        <v>0</v>
      </c>
      <c r="AX87" s="31">
        <f t="shared" si="156"/>
        <v>0</v>
      </c>
      <c r="AY87" s="31">
        <f t="shared" si="156"/>
        <v>0</v>
      </c>
      <c r="AZ87" s="31">
        <f t="shared" si="156"/>
        <v>0</v>
      </c>
      <c r="BA87" s="31">
        <f t="shared" si="156"/>
        <v>0</v>
      </c>
      <c r="BB87" s="31">
        <f t="shared" si="156"/>
        <v>0</v>
      </c>
      <c r="BC87" s="31">
        <f t="shared" si="156"/>
        <v>0</v>
      </c>
      <c r="BD87" s="31">
        <f t="shared" si="156"/>
        <v>0</v>
      </c>
      <c r="BE87" s="30">
        <f t="shared" si="157"/>
        <v>1</v>
      </c>
      <c r="BF87" s="620">
        <f t="shared" si="159"/>
        <v>1.0034498951996242</v>
      </c>
      <c r="BG87" s="620">
        <f t="shared" si="134"/>
        <v>1.0069222147180459</v>
      </c>
      <c r="BH87" s="620">
        <f t="shared" si="135"/>
        <v>1.0109547796356901</v>
      </c>
      <c r="BI87" s="620">
        <f t="shared" si="136"/>
        <v>1.0158301506211216</v>
      </c>
      <c r="BJ87" s="620">
        <f t="shared" si="137"/>
        <v>1.0218425664619335</v>
      </c>
      <c r="BK87" s="620">
        <f t="shared" si="138"/>
        <v>1.0281974167140426</v>
      </c>
      <c r="BL87" s="620">
        <f t="shared" si="139"/>
        <v>1.0328287210586446</v>
      </c>
      <c r="BM87" s="621" t="str">
        <f t="shared" si="140"/>
        <v>Category</v>
      </c>
    </row>
    <row r="88" spans="1:65" x14ac:dyDescent="0.15">
      <c r="A88" s="91" t="s">
        <v>198</v>
      </c>
      <c r="B88" s="13" t="s">
        <v>199</v>
      </c>
      <c r="C88" s="13" t="s">
        <v>27</v>
      </c>
      <c r="D88" s="13" t="s">
        <v>28</v>
      </c>
      <c r="E88" s="13" t="s">
        <v>29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481337.1</v>
      </c>
      <c r="M88" s="15">
        <v>7208668.1500000004</v>
      </c>
      <c r="N88" s="804">
        <v>2012389.33</v>
      </c>
      <c r="O88" s="14">
        <v>-27559.39</v>
      </c>
      <c r="P88" s="15">
        <v>52963.79</v>
      </c>
      <c r="Q88" s="16" t="str">
        <f>IF(ISTEXT('Incurred 2.5% cpi'!Q88),"",'Incurred 2.5% cpi'!Q88/'Incurred 2.5% cpi'!Q$14*Incurred!Q$14)</f>
        <v/>
      </c>
      <c r="R88" s="127" t="str">
        <f>IF(ISTEXT('Incurred 2.5% cpi'!R88),"",'Incurred 2.5% cpi'!R88/'Incurred 2.5% cpi'!R$14*Incurred!R$14*BF88)</f>
        <v/>
      </c>
      <c r="S88" s="119" t="str">
        <f>IF(ISTEXT('Incurred 2.5% cpi'!S88),"",'Incurred 2.5% cpi'!S88/'Incurred 2.5% cpi'!S$14*Incurred!S$14*BG88)</f>
        <v/>
      </c>
      <c r="T88" s="16" t="str">
        <f>IF(ISTEXT('Incurred 2.5% cpi'!T88),"",'Incurred 2.5% cpi'!T88/'Incurred 2.5% cpi'!T$14*Incurred!T$14*BH88)</f>
        <v/>
      </c>
      <c r="U88" s="16" t="str">
        <f>IF(ISTEXT('Incurred 2.5% cpi'!U88),"",'Incurred 2.5% cpi'!U88/'Incurred 2.5% cpi'!U$14*Incurred!U$14*BI88)</f>
        <v/>
      </c>
      <c r="V88" s="16" t="str">
        <f>IF(ISTEXT('Incurred 2.5% cpi'!V88),"",'Incurred 2.5% cpi'!V88/'Incurred 2.5% cpi'!V$14*Incurred!V$14*BJ88)</f>
        <v/>
      </c>
      <c r="W88" s="127" t="str">
        <f>IF(ISTEXT('Incurred 2.5% cpi'!W88),"",'Incurred 2.5% cpi'!W88/'Incurred 2.5% cpi'!W$14*Incurred!W$14*BK88)</f>
        <v/>
      </c>
      <c r="X88" s="119" t="str">
        <f>IF(ISTEXT('Incurred 2.5% cpi'!X88),"",'Incurred 2.5% cpi'!X88/'Incurred 2.5% cpi'!X$14*Incurred!X$14*BL88)</f>
        <v/>
      </c>
      <c r="Y88" s="95">
        <f t="shared" si="158"/>
        <v>9727798.9799999986</v>
      </c>
      <c r="Z88" s="95">
        <f t="shared" si="126"/>
        <v>9782917.7599999998</v>
      </c>
      <c r="AA88" s="676">
        <f t="shared" si="127"/>
        <v>11725956.384049203</v>
      </c>
      <c r="AB88" s="676">
        <f t="shared" si="128"/>
        <v>9964481.1385061387</v>
      </c>
      <c r="AC88" s="677">
        <f t="shared" si="148"/>
        <v>1.176775410687078</v>
      </c>
      <c r="AD88" s="678" t="str">
        <f t="shared" si="130"/>
        <v>2016</v>
      </c>
      <c r="AE88" s="679">
        <v>41800</v>
      </c>
      <c r="AF88" s="678">
        <v>2014</v>
      </c>
      <c r="AG88" s="680"/>
      <c r="AH88" s="676">
        <f t="shared" si="154"/>
        <v>10636192.23276839</v>
      </c>
      <c r="AI88" s="95">
        <f t="shared" si="131"/>
        <v>52963.79</v>
      </c>
      <c r="AJ88" s="681" t="s">
        <v>0</v>
      </c>
      <c r="AK88" s="37">
        <f t="shared" si="132"/>
        <v>0</v>
      </c>
      <c r="AL88" s="31">
        <f t="shared" si="155"/>
        <v>0</v>
      </c>
      <c r="AM88" s="31">
        <f t="shared" si="155"/>
        <v>0</v>
      </c>
      <c r="AN88" s="31">
        <f t="shared" si="155"/>
        <v>0.28832653381698931</v>
      </c>
      <c r="AO88" s="31">
        <f t="shared" si="155"/>
        <v>0</v>
      </c>
      <c r="AP88" s="31">
        <f t="shared" si="155"/>
        <v>0</v>
      </c>
      <c r="AQ88" s="31">
        <f t="shared" si="155"/>
        <v>0</v>
      </c>
      <c r="AR88" s="31">
        <f t="shared" si="155"/>
        <v>0</v>
      </c>
      <c r="AS88" s="31">
        <f t="shared" si="155"/>
        <v>0</v>
      </c>
      <c r="AT88" s="31">
        <f t="shared" si="155"/>
        <v>0</v>
      </c>
      <c r="AU88" s="31">
        <f t="shared" si="155"/>
        <v>0</v>
      </c>
      <c r="AV88" s="31">
        <f t="shared" si="156"/>
        <v>0</v>
      </c>
      <c r="AW88" s="31">
        <f t="shared" si="156"/>
        <v>4.1544842630808661E-2</v>
      </c>
      <c r="AX88" s="31">
        <f t="shared" si="156"/>
        <v>0</v>
      </c>
      <c r="AY88" s="31">
        <f t="shared" si="156"/>
        <v>0</v>
      </c>
      <c r="AZ88" s="31">
        <f t="shared" si="156"/>
        <v>0</v>
      </c>
      <c r="BA88" s="31">
        <f t="shared" si="156"/>
        <v>0.67012862355220204</v>
      </c>
      <c r="BB88" s="31">
        <f t="shared" si="156"/>
        <v>0</v>
      </c>
      <c r="BC88" s="31">
        <f t="shared" si="156"/>
        <v>0</v>
      </c>
      <c r="BD88" s="31">
        <f t="shared" si="156"/>
        <v>0</v>
      </c>
      <c r="BE88" s="30">
        <f t="shared" si="157"/>
        <v>1</v>
      </c>
      <c r="BF88" s="620">
        <f t="shared" si="159"/>
        <v>1.0030444840366091</v>
      </c>
      <c r="BG88" s="620">
        <f t="shared" si="134"/>
        <v>1.0061087572194563</v>
      </c>
      <c r="BH88" s="620">
        <f t="shared" si="135"/>
        <v>1.0096674390946898</v>
      </c>
      <c r="BI88" s="620">
        <f t="shared" si="136"/>
        <v>1.0139698854818469</v>
      </c>
      <c r="BJ88" s="620">
        <f t="shared" si="137"/>
        <v>1.0192757579764089</v>
      </c>
      <c r="BK88" s="620">
        <f t="shared" si="138"/>
        <v>1.0248838240271385</v>
      </c>
      <c r="BL88" s="620">
        <f t="shared" si="139"/>
        <v>1.0289708850333266</v>
      </c>
      <c r="BM88" s="621" t="str">
        <f t="shared" si="140"/>
        <v>Category</v>
      </c>
    </row>
    <row r="89" spans="1:65" x14ac:dyDescent="0.15">
      <c r="A89" s="91" t="s">
        <v>200</v>
      </c>
      <c r="B89" s="13" t="s">
        <v>201</v>
      </c>
      <c r="C89" s="13" t="s">
        <v>27</v>
      </c>
      <c r="D89" s="13" t="s">
        <v>55</v>
      </c>
      <c r="E89" s="13" t="s">
        <v>29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5">
        <v>0</v>
      </c>
      <c r="N89" s="804"/>
      <c r="O89" s="14">
        <v>43121.87</v>
      </c>
      <c r="P89" s="15">
        <v>139423.98000000001</v>
      </c>
      <c r="Q89" s="16">
        <f>IF(ISTEXT('Incurred 2.5% cpi'!Q89),"",'Incurred 2.5% cpi'!Q89/'Incurred 2.5% cpi'!Q$14*Incurred!Q$14)</f>
        <v>420320.86</v>
      </c>
      <c r="R89" s="127">
        <f>IF(ISTEXT('Incurred 2.5% cpi'!R89),"",'Incurred 2.5% cpi'!R89/'Incurred 2.5% cpi'!R$14*Incurred!R$14*BF89)</f>
        <v>4877.0914169945636</v>
      </c>
      <c r="S89" s="119" t="str">
        <f>IF(ISTEXT('Incurred 2.5% cpi'!S89),"",'Incurred 2.5% cpi'!S89/'Incurred 2.5% cpi'!S$14*Incurred!S$14*BG89)</f>
        <v/>
      </c>
      <c r="T89" s="16" t="str">
        <f>IF(ISTEXT('Incurred 2.5% cpi'!T89),"",'Incurred 2.5% cpi'!T89/'Incurred 2.5% cpi'!T$14*Incurred!T$14*BH89)</f>
        <v/>
      </c>
      <c r="U89" s="16" t="str">
        <f>IF(ISTEXT('Incurred 2.5% cpi'!U89),"",'Incurred 2.5% cpi'!U89/'Incurred 2.5% cpi'!U$14*Incurred!U$14*BI89)</f>
        <v/>
      </c>
      <c r="V89" s="16" t="str">
        <f>IF(ISTEXT('Incurred 2.5% cpi'!V89),"",'Incurred 2.5% cpi'!V89/'Incurred 2.5% cpi'!V$14*Incurred!V$14*BJ89)</f>
        <v/>
      </c>
      <c r="W89" s="127" t="str">
        <f>IF(ISTEXT('Incurred 2.5% cpi'!W89),"",'Incurred 2.5% cpi'!W89/'Incurred 2.5% cpi'!W$14*Incurred!W$14*BK89)</f>
        <v/>
      </c>
      <c r="X89" s="119" t="str">
        <f>IF(ISTEXT('Incurred 2.5% cpi'!X89),"",'Incurred 2.5% cpi'!X89/'Incurred 2.5% cpi'!X$14*Incurred!X$14*BL89)</f>
        <v/>
      </c>
      <c r="Y89" s="95">
        <f t="shared" si="158"/>
        <v>607743.80141699454</v>
      </c>
      <c r="Z89" s="95">
        <f t="shared" si="126"/>
        <v>607743.80141699454</v>
      </c>
      <c r="AA89" s="676">
        <f t="shared" si="127"/>
        <v>687796.08846408618</v>
      </c>
      <c r="AB89" s="676">
        <f t="shared" si="128"/>
        <v>611822.13588226098</v>
      </c>
      <c r="AC89" s="677">
        <f t="shared" si="148"/>
        <v>1.1241765345287305</v>
      </c>
      <c r="AD89" s="678" t="str">
        <f t="shared" si="130"/>
        <v>2018</v>
      </c>
      <c r="AE89" s="679">
        <v>42887</v>
      </c>
      <c r="AF89" s="678">
        <v>2017</v>
      </c>
      <c r="AG89" s="680"/>
      <c r="AH89" s="676">
        <f t="shared" ref="AH89:AH91" si="160">IF(ROUND(Y89,0)=0,0,SUMPRODUCT($F$16:$W$16,F89:W89))</f>
        <v>623875.03195914149</v>
      </c>
      <c r="AI89" s="95">
        <f t="shared" si="131"/>
        <v>4877.0914169945636</v>
      </c>
      <c r="AJ89" s="681" t="s">
        <v>0</v>
      </c>
      <c r="AK89" s="37">
        <f t="shared" si="132"/>
        <v>1949999.9999999974</v>
      </c>
      <c r="AL89" s="31">
        <f t="shared" ref="AL89:AU91" si="161">IF($AK89=0,VLOOKUP(MID($A89,4,5),ProjectSplits,AL$20,FALSE),IF(ISNA(VLOOKUP($A89,Estimates,AL$19,FALSE)),VLOOKUP(MID($A89,4,5),ProjectSplits,AL$20,FALSE),VLOOKUP($A89,Estimates,AL$19,FALSE)))</f>
        <v>0</v>
      </c>
      <c r="AM89" s="31">
        <f t="shared" si="161"/>
        <v>0</v>
      </c>
      <c r="AN89" s="31">
        <f t="shared" si="161"/>
        <v>0</v>
      </c>
      <c r="AO89" s="31">
        <f t="shared" si="161"/>
        <v>1</v>
      </c>
      <c r="AP89" s="31">
        <f t="shared" si="161"/>
        <v>0</v>
      </c>
      <c r="AQ89" s="31">
        <f t="shared" si="161"/>
        <v>0</v>
      </c>
      <c r="AR89" s="31">
        <f t="shared" si="161"/>
        <v>0</v>
      </c>
      <c r="AS89" s="31">
        <f t="shared" si="161"/>
        <v>0</v>
      </c>
      <c r="AT89" s="31">
        <f t="shared" si="161"/>
        <v>0</v>
      </c>
      <c r="AU89" s="31">
        <f t="shared" si="161"/>
        <v>0</v>
      </c>
      <c r="AV89" s="31">
        <f t="shared" ref="AV89:BD91" si="162">IF($AK89=0,VLOOKUP(MID($A89,4,5),ProjectSplits,AV$20,FALSE),IF(ISNA(VLOOKUP($A89,Estimates,AV$19,FALSE)),VLOOKUP(MID($A89,4,5),ProjectSplits,AV$20,FALSE),VLOOKUP($A89,Estimates,AV$19,FALSE)))</f>
        <v>0</v>
      </c>
      <c r="AW89" s="31">
        <f t="shared" si="162"/>
        <v>0</v>
      </c>
      <c r="AX89" s="31">
        <f t="shared" si="162"/>
        <v>0</v>
      </c>
      <c r="AY89" s="31">
        <f t="shared" si="162"/>
        <v>0</v>
      </c>
      <c r="AZ89" s="31">
        <f t="shared" si="162"/>
        <v>0</v>
      </c>
      <c r="BA89" s="31">
        <f t="shared" si="162"/>
        <v>0</v>
      </c>
      <c r="BB89" s="31">
        <f t="shared" si="162"/>
        <v>0</v>
      </c>
      <c r="BC89" s="31">
        <f t="shared" si="162"/>
        <v>0</v>
      </c>
      <c r="BD89" s="31">
        <f t="shared" si="162"/>
        <v>0</v>
      </c>
      <c r="BE89" s="30">
        <f t="shared" ref="BE89:BE91" si="163">SUM(AL89:BD89)</f>
        <v>1</v>
      </c>
      <c r="BF89" s="620">
        <f t="shared" si="159"/>
        <v>1.0046190746045656</v>
      </c>
      <c r="BG89" s="620">
        <f t="shared" si="134"/>
        <v>1.0092681731940607</v>
      </c>
      <c r="BH89" s="620">
        <f t="shared" si="135"/>
        <v>1.0146673859598225</v>
      </c>
      <c r="BI89" s="620">
        <f t="shared" si="136"/>
        <v>1.0211950341936284</v>
      </c>
      <c r="BJ89" s="620">
        <f t="shared" si="137"/>
        <v>1.0292450750544078</v>
      </c>
      <c r="BK89" s="620">
        <f t="shared" si="138"/>
        <v>1.0377536023333034</v>
      </c>
      <c r="BL89" s="620">
        <f t="shared" si="139"/>
        <v>1.0439544690397748</v>
      </c>
      <c r="BM89" s="621" t="str">
        <f t="shared" si="140"/>
        <v>Category</v>
      </c>
    </row>
    <row r="90" spans="1:65" x14ac:dyDescent="0.15">
      <c r="A90" s="91" t="s">
        <v>203</v>
      </c>
      <c r="B90" s="13" t="s">
        <v>204</v>
      </c>
      <c r="C90" s="13" t="s">
        <v>27</v>
      </c>
      <c r="D90" s="13" t="s">
        <v>28</v>
      </c>
      <c r="E90" s="13" t="s">
        <v>29</v>
      </c>
      <c r="F90" s="14">
        <v>0</v>
      </c>
      <c r="G90" s="14">
        <v>0</v>
      </c>
      <c r="H90" s="14">
        <v>0</v>
      </c>
      <c r="I90" s="14">
        <v>0</v>
      </c>
      <c r="J90" s="14">
        <v>0</v>
      </c>
      <c r="K90" s="14">
        <v>0</v>
      </c>
      <c r="L90" s="14">
        <v>15705.17</v>
      </c>
      <c r="M90" s="15">
        <v>3381662.43</v>
      </c>
      <c r="N90" s="804">
        <v>7363569.1200000001</v>
      </c>
      <c r="O90" s="14">
        <v>612351.55000000005</v>
      </c>
      <c r="P90" s="15">
        <v>83757.440000000002</v>
      </c>
      <c r="Q90" s="16">
        <f>IF(ISTEXT('Incurred 2.5% cpi'!Q90),"",'Incurred 2.5% cpi'!Q90/'Incurred 2.5% cpi'!Q$14*Incurred!Q$14)</f>
        <v>271.25</v>
      </c>
      <c r="R90" s="127" t="str">
        <f>IF(ISTEXT('Incurred 2.5% cpi'!R90),"",'Incurred 2.5% cpi'!R90/'Incurred 2.5% cpi'!R$14*Incurred!R$14*BF90)</f>
        <v/>
      </c>
      <c r="S90" s="119" t="str">
        <f>IF(ISTEXT('Incurred 2.5% cpi'!S90),"",'Incurred 2.5% cpi'!S90/'Incurred 2.5% cpi'!S$14*Incurred!S$14*BG90)</f>
        <v/>
      </c>
      <c r="T90" s="16" t="str">
        <f>IF(ISTEXT('Incurred 2.5% cpi'!T90),"",'Incurred 2.5% cpi'!T90/'Incurred 2.5% cpi'!T$14*Incurred!T$14*BH90)</f>
        <v/>
      </c>
      <c r="U90" s="16" t="str">
        <f>IF(ISTEXT('Incurred 2.5% cpi'!U90),"",'Incurred 2.5% cpi'!U90/'Incurred 2.5% cpi'!U$14*Incurred!U$14*BI90)</f>
        <v/>
      </c>
      <c r="V90" s="16" t="str">
        <f>IF(ISTEXT('Incurred 2.5% cpi'!V90),"",'Incurred 2.5% cpi'!V90/'Incurred 2.5% cpi'!V$14*Incurred!V$14*BJ90)</f>
        <v/>
      </c>
      <c r="W90" s="127" t="str">
        <f>IF(ISTEXT('Incurred 2.5% cpi'!W90),"",'Incurred 2.5% cpi'!W90/'Incurred 2.5% cpi'!W$14*Incurred!W$14*BK90)</f>
        <v/>
      </c>
      <c r="X90" s="119" t="str">
        <f>IF(ISTEXT('Incurred 2.5% cpi'!X90),"",'Incurred 2.5% cpi'!X90/'Incurred 2.5% cpi'!X$14*Incurred!X$14*BL90)</f>
        <v/>
      </c>
      <c r="Y90" s="95">
        <f t="shared" si="158"/>
        <v>11457316.960000001</v>
      </c>
      <c r="Z90" s="95">
        <f t="shared" si="126"/>
        <v>11457316.960000001</v>
      </c>
      <c r="AA90" s="676">
        <f t="shared" si="127"/>
        <v>13588281.058881884</v>
      </c>
      <c r="AB90" s="676">
        <f t="shared" si="128"/>
        <v>11700423.407533353</v>
      </c>
      <c r="AC90" s="677">
        <f t="shared" si="148"/>
        <v>1.161349515790431</v>
      </c>
      <c r="AD90" s="678" t="str">
        <f t="shared" si="130"/>
        <v>2017</v>
      </c>
      <c r="AE90" s="679">
        <v>41981</v>
      </c>
      <c r="AF90" s="678">
        <v>2015</v>
      </c>
      <c r="AG90" s="680"/>
      <c r="AH90" s="676">
        <f t="shared" si="160"/>
        <v>12325439.795405852</v>
      </c>
      <c r="AI90" s="95">
        <f t="shared" si="131"/>
        <v>271.25</v>
      </c>
      <c r="AJ90" s="681" t="s">
        <v>0</v>
      </c>
      <c r="AK90" s="37">
        <f t="shared" si="132"/>
        <v>0</v>
      </c>
      <c r="AL90" s="31">
        <f t="shared" si="161"/>
        <v>0</v>
      </c>
      <c r="AM90" s="31">
        <f t="shared" si="161"/>
        <v>5.4113247421954639E-4</v>
      </c>
      <c r="AN90" s="31">
        <f t="shared" si="161"/>
        <v>0.24782136750391559</v>
      </c>
      <c r="AO90" s="31">
        <f t="shared" si="161"/>
        <v>0</v>
      </c>
      <c r="AP90" s="31">
        <f t="shared" si="161"/>
        <v>0</v>
      </c>
      <c r="AQ90" s="31">
        <f t="shared" si="161"/>
        <v>0</v>
      </c>
      <c r="AR90" s="31">
        <f t="shared" si="161"/>
        <v>0</v>
      </c>
      <c r="AS90" s="31">
        <f t="shared" si="161"/>
        <v>0</v>
      </c>
      <c r="AT90" s="31">
        <f t="shared" si="161"/>
        <v>0</v>
      </c>
      <c r="AU90" s="31">
        <f t="shared" si="161"/>
        <v>0</v>
      </c>
      <c r="AV90" s="31">
        <f t="shared" si="162"/>
        <v>0</v>
      </c>
      <c r="AW90" s="31">
        <f t="shared" si="162"/>
        <v>8.7997881025152803E-3</v>
      </c>
      <c r="AX90" s="31">
        <f t="shared" si="162"/>
        <v>0</v>
      </c>
      <c r="AY90" s="31">
        <f t="shared" si="162"/>
        <v>0</v>
      </c>
      <c r="AZ90" s="31">
        <f t="shared" si="162"/>
        <v>0</v>
      </c>
      <c r="BA90" s="31">
        <f t="shared" si="162"/>
        <v>0.74283771191934955</v>
      </c>
      <c r="BB90" s="31">
        <f t="shared" si="162"/>
        <v>0</v>
      </c>
      <c r="BC90" s="31">
        <f t="shared" si="162"/>
        <v>0</v>
      </c>
      <c r="BD90" s="31">
        <f t="shared" si="162"/>
        <v>0</v>
      </c>
      <c r="BE90" s="30">
        <f t="shared" si="163"/>
        <v>1</v>
      </c>
      <c r="BF90" s="620">
        <f t="shared" si="159"/>
        <v>1.0030444840366091</v>
      </c>
      <c r="BG90" s="620">
        <f t="shared" si="134"/>
        <v>1.0061087572194563</v>
      </c>
      <c r="BH90" s="620">
        <f t="shared" si="135"/>
        <v>1.0096674390946898</v>
      </c>
      <c r="BI90" s="620">
        <f t="shared" si="136"/>
        <v>1.0139698854818469</v>
      </c>
      <c r="BJ90" s="620">
        <f t="shared" si="137"/>
        <v>1.0192757579764089</v>
      </c>
      <c r="BK90" s="620">
        <f t="shared" si="138"/>
        <v>1.0248838240271385</v>
      </c>
      <c r="BL90" s="620">
        <f t="shared" si="139"/>
        <v>1.0289708850333266</v>
      </c>
      <c r="BM90" s="621" t="str">
        <f t="shared" si="140"/>
        <v>Category</v>
      </c>
    </row>
    <row r="91" spans="1:65" x14ac:dyDescent="0.15">
      <c r="A91" s="12" t="s">
        <v>205</v>
      </c>
      <c r="B91" s="13" t="s">
        <v>206</v>
      </c>
      <c r="C91" s="13" t="s">
        <v>27</v>
      </c>
      <c r="D91" s="13" t="s">
        <v>40</v>
      </c>
      <c r="E91" s="13" t="s">
        <v>32</v>
      </c>
      <c r="F91" s="14">
        <v>0</v>
      </c>
      <c r="G91" s="14">
        <v>0</v>
      </c>
      <c r="H91" s="14">
        <v>0</v>
      </c>
      <c r="I91" s="14">
        <v>0</v>
      </c>
      <c r="J91" s="14">
        <v>0</v>
      </c>
      <c r="K91" s="14">
        <v>0</v>
      </c>
      <c r="L91" s="14">
        <v>0</v>
      </c>
      <c r="M91" s="15">
        <v>0</v>
      </c>
      <c r="N91" s="804">
        <v>129826.86</v>
      </c>
      <c r="O91" s="14">
        <v>70181.259999999995</v>
      </c>
      <c r="P91" s="15">
        <v>-50000</v>
      </c>
      <c r="Q91" s="16" t="str">
        <f>IF(ISTEXT('Incurred 2.5% cpi'!Q91),"",'Incurred 2.5% cpi'!Q91/'Incurred 2.5% cpi'!Q$14*Incurred!Q$14)</f>
        <v/>
      </c>
      <c r="R91" s="127" t="str">
        <f>IF(ISTEXT('Incurred 2.5% cpi'!R91),"",'Incurred 2.5% cpi'!R91/'Incurred 2.5% cpi'!R$14*Incurred!R$14*BF91)</f>
        <v/>
      </c>
      <c r="S91" s="119" t="str">
        <f>IF(ISTEXT('Incurred 2.5% cpi'!S91),"",'Incurred 2.5% cpi'!S91/'Incurred 2.5% cpi'!S$14*Incurred!S$14*BG91)</f>
        <v/>
      </c>
      <c r="T91" s="16" t="str">
        <f>IF(ISTEXT('Incurred 2.5% cpi'!T91),"",'Incurred 2.5% cpi'!T91/'Incurred 2.5% cpi'!T$14*Incurred!T$14*BH91)</f>
        <v/>
      </c>
      <c r="U91" s="16" t="str">
        <f>IF(ISTEXT('Incurred 2.5% cpi'!U91),"",'Incurred 2.5% cpi'!U91/'Incurred 2.5% cpi'!U$14*Incurred!U$14*BI91)</f>
        <v/>
      </c>
      <c r="V91" s="16" t="str">
        <f>IF(ISTEXT('Incurred 2.5% cpi'!V91),"",'Incurred 2.5% cpi'!V91/'Incurred 2.5% cpi'!V$14*Incurred!V$14*BJ91)</f>
        <v/>
      </c>
      <c r="W91" s="127" t="str">
        <f>IF(ISTEXT('Incurred 2.5% cpi'!W91),"",'Incurred 2.5% cpi'!W91/'Incurred 2.5% cpi'!W$14*Incurred!W$14*BK91)</f>
        <v/>
      </c>
      <c r="X91" s="119" t="str">
        <f>IF(ISTEXT('Incurred 2.5% cpi'!X91),"",'Incurred 2.5% cpi'!X91/'Incurred 2.5% cpi'!X$14*Incurred!X$14*BL91)</f>
        <v/>
      </c>
      <c r="Y91" s="95">
        <f t="shared" si="158"/>
        <v>150008.12</v>
      </c>
      <c r="Z91" s="95">
        <f t="shared" si="126"/>
        <v>250008.12</v>
      </c>
      <c r="AA91" s="676">
        <f t="shared" si="127"/>
        <v>176965.8882003288</v>
      </c>
      <c r="AB91" s="676">
        <f t="shared" si="128"/>
        <v>163681.60803508642</v>
      </c>
      <c r="AC91" s="677">
        <f t="shared" si="148"/>
        <v>1.0811592721058483</v>
      </c>
      <c r="AD91" s="678" t="str">
        <f t="shared" si="130"/>
        <v>2016</v>
      </c>
      <c r="AE91" s="679">
        <v>43364</v>
      </c>
      <c r="AF91" s="678">
        <v>2019</v>
      </c>
      <c r="AG91" s="680"/>
      <c r="AH91" s="676">
        <f t="shared" si="160"/>
        <v>160519.3763215518</v>
      </c>
      <c r="AI91" s="95">
        <f t="shared" si="131"/>
        <v>-50000</v>
      </c>
      <c r="AJ91" s="681" t="s">
        <v>0</v>
      </c>
      <c r="AK91" s="37">
        <f t="shared" si="132"/>
        <v>0</v>
      </c>
      <c r="AL91" s="31">
        <f t="shared" si="161"/>
        <v>0</v>
      </c>
      <c r="AM91" s="31">
        <f t="shared" si="161"/>
        <v>0</v>
      </c>
      <c r="AN91" s="31">
        <f t="shared" si="161"/>
        <v>0</v>
      </c>
      <c r="AO91" s="31">
        <f t="shared" si="161"/>
        <v>1</v>
      </c>
      <c r="AP91" s="31">
        <f t="shared" si="161"/>
        <v>0</v>
      </c>
      <c r="AQ91" s="31">
        <f t="shared" si="161"/>
        <v>0</v>
      </c>
      <c r="AR91" s="31">
        <f t="shared" si="161"/>
        <v>0</v>
      </c>
      <c r="AS91" s="31">
        <f t="shared" si="161"/>
        <v>0</v>
      </c>
      <c r="AT91" s="31">
        <f t="shared" si="161"/>
        <v>0</v>
      </c>
      <c r="AU91" s="31">
        <f t="shared" si="161"/>
        <v>0</v>
      </c>
      <c r="AV91" s="31">
        <f t="shared" si="162"/>
        <v>0</v>
      </c>
      <c r="AW91" s="31">
        <f t="shared" si="162"/>
        <v>0</v>
      </c>
      <c r="AX91" s="31">
        <f t="shared" si="162"/>
        <v>0</v>
      </c>
      <c r="AY91" s="31">
        <f t="shared" si="162"/>
        <v>0</v>
      </c>
      <c r="AZ91" s="31">
        <f t="shared" si="162"/>
        <v>0</v>
      </c>
      <c r="BA91" s="31">
        <f t="shared" si="162"/>
        <v>0</v>
      </c>
      <c r="BB91" s="31">
        <f t="shared" si="162"/>
        <v>0</v>
      </c>
      <c r="BC91" s="31">
        <f t="shared" si="162"/>
        <v>0</v>
      </c>
      <c r="BD91" s="31">
        <f t="shared" si="162"/>
        <v>0</v>
      </c>
      <c r="BE91" s="30">
        <f t="shared" si="163"/>
        <v>1</v>
      </c>
      <c r="BF91" s="620">
        <f t="shared" si="159"/>
        <v>1.0034498951996242</v>
      </c>
      <c r="BG91" s="620">
        <f t="shared" si="134"/>
        <v>1.0069222147180459</v>
      </c>
      <c r="BH91" s="620">
        <f t="shared" si="135"/>
        <v>1.0109547796356901</v>
      </c>
      <c r="BI91" s="620">
        <f t="shared" si="136"/>
        <v>1.0158301506211216</v>
      </c>
      <c r="BJ91" s="620">
        <f t="shared" si="137"/>
        <v>1.0218425664619335</v>
      </c>
      <c r="BK91" s="620">
        <f t="shared" si="138"/>
        <v>1.0281974167140426</v>
      </c>
      <c r="BL91" s="620">
        <f t="shared" si="139"/>
        <v>1.0328287210586446</v>
      </c>
      <c r="BM91" s="621" t="str">
        <f t="shared" si="140"/>
        <v>Category</v>
      </c>
    </row>
    <row r="92" spans="1:65" x14ac:dyDescent="0.15">
      <c r="A92" s="91" t="s">
        <v>207</v>
      </c>
      <c r="B92" s="13" t="s">
        <v>208</v>
      </c>
      <c r="C92" s="13" t="s">
        <v>27</v>
      </c>
      <c r="D92" s="13" t="s">
        <v>40</v>
      </c>
      <c r="E92" s="13" t="s">
        <v>112</v>
      </c>
      <c r="F92" s="14">
        <v>0</v>
      </c>
      <c r="G92" s="14">
        <v>0</v>
      </c>
      <c r="H92" s="14">
        <v>0</v>
      </c>
      <c r="I92" s="14">
        <v>0</v>
      </c>
      <c r="J92" s="14">
        <v>0</v>
      </c>
      <c r="K92" s="14">
        <v>0</v>
      </c>
      <c r="L92" s="14">
        <v>0</v>
      </c>
      <c r="M92" s="15">
        <v>0</v>
      </c>
      <c r="N92" s="804"/>
      <c r="O92" s="14"/>
      <c r="P92" s="15"/>
      <c r="Q92" s="16" t="str">
        <f>IF(ISTEXT('Incurred 2.5% cpi'!Q92),"",'Incurred 2.5% cpi'!Q92/'Incurred 2.5% cpi'!Q$14*Incurred!Q$14)</f>
        <v/>
      </c>
      <c r="R92" s="127" t="str">
        <f>IF(ISTEXT('Incurred 2.5% cpi'!R92),"",'Incurred 2.5% cpi'!R92/'Incurred 2.5% cpi'!R$14*Incurred!R$14*BF92)</f>
        <v/>
      </c>
      <c r="S92" s="119">
        <f>IF(ISTEXT('Incurred 2.5% cpi'!S92),"",'Incurred 2.5% cpi'!S92/'Incurred 2.5% cpi'!S$14*Incurred!S$14*BG92)</f>
        <v>153083.9772311605</v>
      </c>
      <c r="T92" s="16">
        <f>IF(ISTEXT('Incurred 2.5% cpi'!T92),"",'Incurred 2.5% cpi'!T92/'Incurred 2.5% cpi'!T$14*Incurred!T$14*BH92)</f>
        <v>245289.94454550167</v>
      </c>
      <c r="U92" s="16" t="str">
        <f>IF(ISTEXT('Incurred 2.5% cpi'!U92),"",'Incurred 2.5% cpi'!U92/'Incurred 2.5% cpi'!U$14*Incurred!U$14*BI92)</f>
        <v/>
      </c>
      <c r="V92" s="16" t="str">
        <f>IF(ISTEXT('Incurred 2.5% cpi'!V92),"",'Incurred 2.5% cpi'!V92/'Incurred 2.5% cpi'!V$14*Incurred!V$14*BJ92)</f>
        <v/>
      </c>
      <c r="W92" s="127" t="str">
        <f>IF(ISTEXT('Incurred 2.5% cpi'!W92),"",'Incurred 2.5% cpi'!W92/'Incurred 2.5% cpi'!W$14*Incurred!W$14*BK92)</f>
        <v/>
      </c>
      <c r="X92" s="119" t="str">
        <f>IF(ISTEXT('Incurred 2.5% cpi'!X92),"",'Incurred 2.5% cpi'!X92/'Incurred 2.5% cpi'!X$14*Incurred!X$14*BL92)</f>
        <v/>
      </c>
      <c r="Y92" s="95">
        <f t="shared" si="158"/>
        <v>398373.92177666217</v>
      </c>
      <c r="Z92" s="95">
        <f t="shared" si="126"/>
        <v>398373.92177666217</v>
      </c>
      <c r="AA92" s="676">
        <f t="shared" si="127"/>
        <v>425582.20071930578</v>
      </c>
      <c r="AB92" s="676">
        <f t="shared" si="128"/>
        <v>401389.67612811609</v>
      </c>
      <c r="AC92" s="677">
        <f t="shared" si="148"/>
        <v>1.060271915373</v>
      </c>
      <c r="AD92" s="678" t="str">
        <f t="shared" si="130"/>
        <v>2020</v>
      </c>
      <c r="AE92" s="679">
        <v>43775</v>
      </c>
      <c r="AF92" s="678">
        <v>2020</v>
      </c>
      <c r="AG92" s="680"/>
      <c r="AH92" s="676">
        <f t="shared" ref="AH92:AH109" si="164">IF(ROUND(Y92,0)=0,0,SUMPRODUCT($F$16:$W$16,F92:W92))</f>
        <v>386030.26904079656</v>
      </c>
      <c r="AI92" s="95">
        <f t="shared" si="131"/>
        <v>245289.94454550167</v>
      </c>
      <c r="AJ92" s="681" t="s">
        <v>3058</v>
      </c>
      <c r="AK92" s="37">
        <f t="shared" si="132"/>
        <v>68400</v>
      </c>
      <c r="AL92" s="31">
        <f t="shared" ref="AL92:BD92" si="165">IF($AK92=0,VLOOKUP(MID($A92,4,5),ProjectSplits,AL$20,FALSE),IF(ISNA(VLOOKUP($A92,Estimates,AL$19,FALSE)),VLOOKUP(MID($A92,4,5),ProjectSplits,AL$20,FALSE),VLOOKUP($A92,Estimates,AL$19,FALSE)))</f>
        <v>0</v>
      </c>
      <c r="AM92" s="31">
        <f t="shared" si="165"/>
        <v>0</v>
      </c>
      <c r="AN92" s="31">
        <f t="shared" si="165"/>
        <v>0</v>
      </c>
      <c r="AO92" s="31">
        <f t="shared" si="165"/>
        <v>1</v>
      </c>
      <c r="AP92" s="31">
        <f t="shared" si="165"/>
        <v>0</v>
      </c>
      <c r="AQ92" s="31">
        <f t="shared" si="165"/>
        <v>0</v>
      </c>
      <c r="AR92" s="31">
        <f t="shared" si="165"/>
        <v>0</v>
      </c>
      <c r="AS92" s="31">
        <f t="shared" si="165"/>
        <v>0</v>
      </c>
      <c r="AT92" s="31">
        <f t="shared" si="165"/>
        <v>0</v>
      </c>
      <c r="AU92" s="31">
        <f t="shared" si="165"/>
        <v>0</v>
      </c>
      <c r="AV92" s="31">
        <f t="shared" si="165"/>
        <v>0</v>
      </c>
      <c r="AW92" s="31">
        <f t="shared" si="165"/>
        <v>0</v>
      </c>
      <c r="AX92" s="31">
        <f t="shared" si="165"/>
        <v>0</v>
      </c>
      <c r="AY92" s="31">
        <f t="shared" si="165"/>
        <v>0</v>
      </c>
      <c r="AZ92" s="31">
        <f t="shared" si="165"/>
        <v>0</v>
      </c>
      <c r="BA92" s="31">
        <f t="shared" si="165"/>
        <v>0</v>
      </c>
      <c r="BB92" s="31">
        <f t="shared" si="165"/>
        <v>0</v>
      </c>
      <c r="BC92" s="31">
        <f t="shared" si="165"/>
        <v>0</v>
      </c>
      <c r="BD92" s="31">
        <f t="shared" si="165"/>
        <v>0</v>
      </c>
      <c r="BE92" s="30">
        <f>SUM(AL92:BD92)</f>
        <v>1</v>
      </c>
      <c r="BF92" s="620">
        <f t="shared" si="159"/>
        <v>1.0034498951996242</v>
      </c>
      <c r="BG92" s="620">
        <f t="shared" si="134"/>
        <v>1.0069222147180459</v>
      </c>
      <c r="BH92" s="620">
        <f t="shared" si="135"/>
        <v>1.0109547796356901</v>
      </c>
      <c r="BI92" s="620">
        <f t="shared" si="136"/>
        <v>1.0158301506211216</v>
      </c>
      <c r="BJ92" s="620">
        <f t="shared" si="137"/>
        <v>1.0218425664619335</v>
      </c>
      <c r="BK92" s="620">
        <f t="shared" si="138"/>
        <v>1.0281974167140426</v>
      </c>
      <c r="BL92" s="620">
        <f t="shared" si="139"/>
        <v>1.0328287210586446</v>
      </c>
      <c r="BM92" s="621" t="str">
        <f t="shared" si="140"/>
        <v>Category</v>
      </c>
    </row>
    <row r="93" spans="1:65" x14ac:dyDescent="0.15">
      <c r="A93" s="91" t="s">
        <v>209</v>
      </c>
      <c r="B93" s="13" t="s">
        <v>210</v>
      </c>
      <c r="C93" s="13" t="s">
        <v>27</v>
      </c>
      <c r="D93" s="13" t="s">
        <v>40</v>
      </c>
      <c r="E93" s="13" t="s">
        <v>29</v>
      </c>
      <c r="F93" s="14">
        <v>0</v>
      </c>
      <c r="G93" s="14">
        <v>0</v>
      </c>
      <c r="H93" s="14">
        <v>0</v>
      </c>
      <c r="I93" s="14">
        <v>0</v>
      </c>
      <c r="J93" s="14">
        <v>0</v>
      </c>
      <c r="K93" s="14">
        <v>0</v>
      </c>
      <c r="L93" s="14">
        <v>22293.77</v>
      </c>
      <c r="M93" s="15">
        <v>2206.4499999999998</v>
      </c>
      <c r="N93" s="804"/>
      <c r="O93" s="14">
        <v>24922.94</v>
      </c>
      <c r="P93" s="15">
        <v>1557029.81</v>
      </c>
      <c r="Q93" s="16">
        <f>IF(ISTEXT('Incurred 2.5% cpi'!Q93),"",'Incurred 2.5% cpi'!Q93/'Incurred 2.5% cpi'!Q$14*Incurred!Q$14)</f>
        <v>1907150.18</v>
      </c>
      <c r="R93" s="127" t="str">
        <f>IF(ISTEXT('Incurred 2.5% cpi'!R93),"",'Incurred 2.5% cpi'!R93/'Incurred 2.5% cpi'!R$14*Incurred!R$14*BF93)</f>
        <v/>
      </c>
      <c r="S93" s="119" t="str">
        <f>IF(ISTEXT('Incurred 2.5% cpi'!S93),"",'Incurred 2.5% cpi'!S93/'Incurred 2.5% cpi'!S$14*Incurred!S$14*BG93)</f>
        <v/>
      </c>
      <c r="T93" s="16" t="str">
        <f>IF(ISTEXT('Incurred 2.5% cpi'!T93),"",'Incurred 2.5% cpi'!T93/'Incurred 2.5% cpi'!T$14*Incurred!T$14*BH93)</f>
        <v/>
      </c>
      <c r="U93" s="16" t="str">
        <f>IF(ISTEXT('Incurred 2.5% cpi'!U93),"",'Incurred 2.5% cpi'!U93/'Incurred 2.5% cpi'!U$14*Incurred!U$14*BI93)</f>
        <v/>
      </c>
      <c r="V93" s="16" t="str">
        <f>IF(ISTEXT('Incurred 2.5% cpi'!V93),"",'Incurred 2.5% cpi'!V93/'Incurred 2.5% cpi'!V$14*Incurred!V$14*BJ93)</f>
        <v/>
      </c>
      <c r="W93" s="127" t="str">
        <f>IF(ISTEXT('Incurred 2.5% cpi'!W93),"",'Incurred 2.5% cpi'!W93/'Incurred 2.5% cpi'!W$14*Incurred!W$14*BK93)</f>
        <v/>
      </c>
      <c r="X93" s="119" t="str">
        <f>IF(ISTEXT('Incurred 2.5% cpi'!X93),"",'Incurred 2.5% cpi'!X93/'Incurred 2.5% cpi'!X$14*Incurred!X$14*BL93)</f>
        <v/>
      </c>
      <c r="Y93" s="95">
        <f t="shared" si="158"/>
        <v>3513603.15</v>
      </c>
      <c r="Z93" s="95">
        <f t="shared" si="126"/>
        <v>3513603.15</v>
      </c>
      <c r="AA93" s="676">
        <f t="shared" si="127"/>
        <v>3988128.1968990676</v>
      </c>
      <c r="AB93" s="676">
        <f t="shared" si="128"/>
        <v>3547599.575693815</v>
      </c>
      <c r="AC93" s="677">
        <f t="shared" si="148"/>
        <v>1.1241765345287305</v>
      </c>
      <c r="AD93" s="678" t="str">
        <f t="shared" si="130"/>
        <v>2017</v>
      </c>
      <c r="AE93" s="679">
        <v>42675</v>
      </c>
      <c r="AF93" s="678">
        <v>2017</v>
      </c>
      <c r="AG93" s="680"/>
      <c r="AH93" s="676">
        <f t="shared" si="164"/>
        <v>3617487.2873349832</v>
      </c>
      <c r="AI93" s="95">
        <f t="shared" si="131"/>
        <v>1907150.18</v>
      </c>
      <c r="AJ93" s="681" t="s">
        <v>0</v>
      </c>
      <c r="AK93" s="37">
        <f t="shared" si="132"/>
        <v>5531473.0311388988</v>
      </c>
      <c r="AL93" s="31">
        <f t="shared" ref="AL93:AU93" si="166">IF($AK93=0,VLOOKUP(MID($A93,4,5),ProjectSplits,AL$20,FALSE),IF(ISNA(VLOOKUP($A93,Estimates,AL$19,FALSE)),VLOOKUP(MID($A93,4,5),ProjectSplits,AL$20,FALSE),VLOOKUP($A93,Estimates,AL$19,FALSE)))</f>
        <v>0</v>
      </c>
      <c r="AM93" s="31">
        <f t="shared" si="166"/>
        <v>0.52860569289324932</v>
      </c>
      <c r="AN93" s="31">
        <f t="shared" si="166"/>
        <v>0.37731345441698327</v>
      </c>
      <c r="AO93" s="31">
        <f t="shared" si="166"/>
        <v>0</v>
      </c>
      <c r="AP93" s="31">
        <f t="shared" si="166"/>
        <v>0</v>
      </c>
      <c r="AQ93" s="31">
        <f t="shared" si="166"/>
        <v>0</v>
      </c>
      <c r="AR93" s="31">
        <f t="shared" si="166"/>
        <v>0</v>
      </c>
      <c r="AS93" s="31">
        <f t="shared" si="166"/>
        <v>0</v>
      </c>
      <c r="AT93" s="31">
        <f t="shared" si="166"/>
        <v>0</v>
      </c>
      <c r="AU93" s="31">
        <f t="shared" si="166"/>
        <v>0</v>
      </c>
      <c r="AV93" s="31">
        <f t="shared" ref="AV93:BD93" si="167">IF($AK93=0,VLOOKUP(MID($A93,4,5),ProjectSplits,AV$20,FALSE),IF(ISNA(VLOOKUP($A93,Estimates,AV$19,FALSE)),VLOOKUP(MID($A93,4,5),ProjectSplits,AV$20,FALSE),VLOOKUP($A93,Estimates,AV$19,FALSE)))</f>
        <v>9.4080852689767416E-2</v>
      </c>
      <c r="AW93" s="31">
        <f t="shared" si="167"/>
        <v>0</v>
      </c>
      <c r="AX93" s="31">
        <f t="shared" si="167"/>
        <v>0</v>
      </c>
      <c r="AY93" s="31">
        <f t="shared" si="167"/>
        <v>0</v>
      </c>
      <c r="AZ93" s="31">
        <f t="shared" si="167"/>
        <v>0</v>
      </c>
      <c r="BA93" s="31">
        <f t="shared" si="167"/>
        <v>0</v>
      </c>
      <c r="BB93" s="31">
        <f t="shared" si="167"/>
        <v>0</v>
      </c>
      <c r="BC93" s="31">
        <f t="shared" si="167"/>
        <v>0</v>
      </c>
      <c r="BD93" s="31">
        <f t="shared" si="167"/>
        <v>0</v>
      </c>
      <c r="BE93" s="30">
        <f t="shared" ref="BE93" si="168">SUM(AL93:BD93)</f>
        <v>1</v>
      </c>
      <c r="BF93" s="620">
        <f t="shared" si="159"/>
        <v>1.0034498951996242</v>
      </c>
      <c r="BG93" s="620">
        <f t="shared" si="134"/>
        <v>1.0069222147180459</v>
      </c>
      <c r="BH93" s="620">
        <f t="shared" si="135"/>
        <v>1.0109547796356901</v>
      </c>
      <c r="BI93" s="620">
        <f t="shared" si="136"/>
        <v>1.0158301506211216</v>
      </c>
      <c r="BJ93" s="620">
        <f t="shared" si="137"/>
        <v>1.0218425664619335</v>
      </c>
      <c r="BK93" s="620">
        <f t="shared" si="138"/>
        <v>1.0281974167140426</v>
      </c>
      <c r="BL93" s="620">
        <f t="shared" si="139"/>
        <v>1.0328287210586446</v>
      </c>
      <c r="BM93" s="621" t="str">
        <f t="shared" si="140"/>
        <v>Category</v>
      </c>
    </row>
    <row r="94" spans="1:65" x14ac:dyDescent="0.15">
      <c r="A94" s="12" t="s">
        <v>212</v>
      </c>
      <c r="B94" s="13" t="s">
        <v>213</v>
      </c>
      <c r="C94" s="13" t="s">
        <v>27</v>
      </c>
      <c r="D94" s="13" t="s">
        <v>36</v>
      </c>
      <c r="E94" s="13" t="s">
        <v>32</v>
      </c>
      <c r="F94" s="14">
        <v>0</v>
      </c>
      <c r="G94" s="14">
        <v>0</v>
      </c>
      <c r="H94" s="14">
        <v>0</v>
      </c>
      <c r="I94" s="14">
        <v>0</v>
      </c>
      <c r="J94" s="14">
        <v>0</v>
      </c>
      <c r="K94" s="14">
        <v>0</v>
      </c>
      <c r="L94" s="14">
        <v>0</v>
      </c>
      <c r="M94" s="15">
        <v>0</v>
      </c>
      <c r="N94" s="804"/>
      <c r="O94" s="14">
        <v>15748.67</v>
      </c>
      <c r="P94" s="15">
        <v>-2762.64</v>
      </c>
      <c r="Q94" s="16" t="str">
        <f>IF(ISTEXT('Incurred 2.5% cpi'!Q94),"",'Incurred 2.5% cpi'!Q94/'Incurred 2.5% cpi'!Q$14*Incurred!Q$14)</f>
        <v/>
      </c>
      <c r="R94" s="127" t="str">
        <f>IF(ISTEXT('Incurred 2.5% cpi'!R94),"",'Incurred 2.5% cpi'!R94/'Incurred 2.5% cpi'!R$14*Incurred!R$14*BF94)</f>
        <v/>
      </c>
      <c r="S94" s="119" t="str">
        <f>IF(ISTEXT('Incurred 2.5% cpi'!S94),"",'Incurred 2.5% cpi'!S94/'Incurred 2.5% cpi'!S$14*Incurred!S$14*BG94)</f>
        <v/>
      </c>
      <c r="T94" s="16" t="str">
        <f>IF(ISTEXT('Incurred 2.5% cpi'!T94),"",'Incurred 2.5% cpi'!T94/'Incurred 2.5% cpi'!T$14*Incurred!T$14*BH94)</f>
        <v/>
      </c>
      <c r="U94" s="16" t="str">
        <f>IF(ISTEXT('Incurred 2.5% cpi'!U94),"",'Incurred 2.5% cpi'!U94/'Incurred 2.5% cpi'!U$14*Incurred!U$14*BI94)</f>
        <v/>
      </c>
      <c r="V94" s="16" t="str">
        <f>IF(ISTEXT('Incurred 2.5% cpi'!V94),"",'Incurred 2.5% cpi'!V94/'Incurred 2.5% cpi'!V$14*Incurred!V$14*BJ94)</f>
        <v/>
      </c>
      <c r="W94" s="127" t="str">
        <f>IF(ISTEXT('Incurred 2.5% cpi'!W94),"",'Incurred 2.5% cpi'!W94/'Incurred 2.5% cpi'!W$14*Incurred!W$14*BK94)</f>
        <v/>
      </c>
      <c r="X94" s="119" t="str">
        <f>IF(ISTEXT('Incurred 2.5% cpi'!X94),"",'Incurred 2.5% cpi'!X94/'Incurred 2.5% cpi'!X$14*Incurred!X$14*BL94)</f>
        <v/>
      </c>
      <c r="Y94" s="95">
        <f t="shared" si="158"/>
        <v>12986.03</v>
      </c>
      <c r="Z94" s="95">
        <f t="shared" si="126"/>
        <v>18511.310000000001</v>
      </c>
      <c r="AA94" s="676">
        <f t="shared" si="127"/>
        <v>15122.83302478423</v>
      </c>
      <c r="AB94" s="676">
        <f t="shared" si="128"/>
        <v>13452.364962522473</v>
      </c>
      <c r="AC94" s="677">
        <f t="shared" si="148"/>
        <v>1.1241765345287305</v>
      </c>
      <c r="AD94" s="678" t="str">
        <f t="shared" si="130"/>
        <v>2016</v>
      </c>
      <c r="AE94" s="679">
        <v>42710</v>
      </c>
      <c r="AF94" s="678">
        <v>2017</v>
      </c>
      <c r="AG94" s="680"/>
      <c r="AH94" s="676">
        <f t="shared" si="164"/>
        <v>13717.376552284168</v>
      </c>
      <c r="AI94" s="95">
        <f t="shared" si="131"/>
        <v>-2762.64</v>
      </c>
      <c r="AJ94" s="681" t="s">
        <v>0</v>
      </c>
      <c r="AK94" s="37">
        <f t="shared" si="132"/>
        <v>14999.999999999996</v>
      </c>
      <c r="AL94" s="31">
        <f t="shared" ref="AL94:AU96" si="169">IF($AK94=0,VLOOKUP(MID($A94,4,5),ProjectSplits,AL$20,FALSE),IF(ISNA(VLOOKUP($A94,Estimates,AL$19,FALSE)),VLOOKUP(MID($A94,4,5),ProjectSplits,AL$20,FALSE),VLOOKUP($A94,Estimates,AL$19,FALSE)))</f>
        <v>0.3</v>
      </c>
      <c r="AM94" s="31">
        <f t="shared" si="169"/>
        <v>0</v>
      </c>
      <c r="AN94" s="31">
        <f t="shared" si="169"/>
        <v>0</v>
      </c>
      <c r="AO94" s="31">
        <f t="shared" si="169"/>
        <v>0</v>
      </c>
      <c r="AP94" s="31">
        <f t="shared" si="169"/>
        <v>0</v>
      </c>
      <c r="AQ94" s="31">
        <f t="shared" si="169"/>
        <v>0</v>
      </c>
      <c r="AR94" s="31">
        <f t="shared" si="169"/>
        <v>0</v>
      </c>
      <c r="AS94" s="31">
        <f t="shared" si="169"/>
        <v>0.7</v>
      </c>
      <c r="AT94" s="31">
        <f t="shared" si="169"/>
        <v>0</v>
      </c>
      <c r="AU94" s="31">
        <f t="shared" si="169"/>
        <v>0</v>
      </c>
      <c r="AV94" s="31">
        <f t="shared" ref="AV94:BD96" si="170">IF($AK94=0,VLOOKUP(MID($A94,4,5),ProjectSplits,AV$20,FALSE),IF(ISNA(VLOOKUP($A94,Estimates,AV$19,FALSE)),VLOOKUP(MID($A94,4,5),ProjectSplits,AV$20,FALSE),VLOOKUP($A94,Estimates,AV$19,FALSE)))</f>
        <v>0</v>
      </c>
      <c r="AW94" s="31">
        <f t="shared" si="170"/>
        <v>0</v>
      </c>
      <c r="AX94" s="31">
        <f t="shared" si="170"/>
        <v>0</v>
      </c>
      <c r="AY94" s="31">
        <f t="shared" si="170"/>
        <v>0</v>
      </c>
      <c r="AZ94" s="31">
        <f t="shared" si="170"/>
        <v>0</v>
      </c>
      <c r="BA94" s="31">
        <f t="shared" si="170"/>
        <v>0</v>
      </c>
      <c r="BB94" s="31">
        <f t="shared" si="170"/>
        <v>0</v>
      </c>
      <c r="BC94" s="31">
        <f t="shared" si="170"/>
        <v>0</v>
      </c>
      <c r="BD94" s="31">
        <f t="shared" si="170"/>
        <v>0</v>
      </c>
      <c r="BE94" s="30">
        <f t="shared" ref="BE94:BE96" si="171">SUM(AL94:BD94)</f>
        <v>1</v>
      </c>
      <c r="BF94" s="620">
        <f t="shared" si="159"/>
        <v>1.0018756098697492</v>
      </c>
      <c r="BG94" s="620">
        <f t="shared" si="134"/>
        <v>1.0037634112036518</v>
      </c>
      <c r="BH94" s="620">
        <f t="shared" si="135"/>
        <v>1.0059558020220052</v>
      </c>
      <c r="BI94" s="620">
        <f t="shared" si="136"/>
        <v>1.0086064025213943</v>
      </c>
      <c r="BJ94" s="620">
        <f t="shared" si="137"/>
        <v>1.0118751819594745</v>
      </c>
      <c r="BK94" s="620">
        <f t="shared" si="138"/>
        <v>1.0153301332446416</v>
      </c>
      <c r="BL94" s="620">
        <f t="shared" si="139"/>
        <v>1.0178480416551621</v>
      </c>
      <c r="BM94" s="621" t="str">
        <f t="shared" si="140"/>
        <v>Category</v>
      </c>
    </row>
    <row r="95" spans="1:65" x14ac:dyDescent="0.15">
      <c r="A95" s="12" t="s">
        <v>214</v>
      </c>
      <c r="B95" s="13" t="s">
        <v>215</v>
      </c>
      <c r="C95" s="13" t="s">
        <v>27</v>
      </c>
      <c r="D95" s="13" t="s">
        <v>36</v>
      </c>
      <c r="E95" s="13" t="s">
        <v>32</v>
      </c>
      <c r="F95" s="14">
        <v>0</v>
      </c>
      <c r="G95" s="14">
        <v>0</v>
      </c>
      <c r="H95" s="14">
        <v>0</v>
      </c>
      <c r="I95" s="14">
        <v>0</v>
      </c>
      <c r="J95" s="14">
        <v>0</v>
      </c>
      <c r="K95" s="14">
        <v>0</v>
      </c>
      <c r="L95" s="14">
        <v>0</v>
      </c>
      <c r="M95" s="15">
        <v>0</v>
      </c>
      <c r="N95" s="804"/>
      <c r="O95" s="14">
        <v>118677.6</v>
      </c>
      <c r="P95" s="15">
        <v>36888.410000000003</v>
      </c>
      <c r="Q95" s="16">
        <f>IF(ISTEXT('Incurred 2.5% cpi'!Q95),"",'Incurred 2.5% cpi'!Q95/'Incurred 2.5% cpi'!Q$14*Incurred!Q$14)</f>
        <v>9499.4</v>
      </c>
      <c r="R95" s="127" t="str">
        <f>IF(ISTEXT('Incurred 2.5% cpi'!R95),"",'Incurred 2.5% cpi'!R95/'Incurred 2.5% cpi'!R$14*Incurred!R$14*BF95)</f>
        <v/>
      </c>
      <c r="S95" s="119" t="str">
        <f>IF(ISTEXT('Incurred 2.5% cpi'!S95),"",'Incurred 2.5% cpi'!S95/'Incurred 2.5% cpi'!S$14*Incurred!S$14*BG95)</f>
        <v/>
      </c>
      <c r="T95" s="16" t="str">
        <f>IF(ISTEXT('Incurred 2.5% cpi'!T95),"",'Incurred 2.5% cpi'!T95/'Incurred 2.5% cpi'!T$14*Incurred!T$14*BH95)</f>
        <v/>
      </c>
      <c r="U95" s="16" t="str">
        <f>IF(ISTEXT('Incurred 2.5% cpi'!U95),"",'Incurred 2.5% cpi'!U95/'Incurred 2.5% cpi'!U$14*Incurred!U$14*BI95)</f>
        <v/>
      </c>
      <c r="V95" s="16" t="str">
        <f>IF(ISTEXT('Incurred 2.5% cpi'!V95),"",'Incurred 2.5% cpi'!V95/'Incurred 2.5% cpi'!V$14*Incurred!V$14*BJ95)</f>
        <v/>
      </c>
      <c r="W95" s="127" t="str">
        <f>IF(ISTEXT('Incurred 2.5% cpi'!W95),"",'Incurred 2.5% cpi'!W95/'Incurred 2.5% cpi'!W$14*Incurred!W$14*BK95)</f>
        <v/>
      </c>
      <c r="X95" s="119" t="str">
        <f>IF(ISTEXT('Incurred 2.5% cpi'!X95),"",'Incurred 2.5% cpi'!X95/'Incurred 2.5% cpi'!X$14*Incurred!X$14*BL95)</f>
        <v/>
      </c>
      <c r="Y95" s="95">
        <f t="shared" si="158"/>
        <v>165065.41</v>
      </c>
      <c r="Z95" s="95">
        <f t="shared" si="126"/>
        <v>165065.41</v>
      </c>
      <c r="AA95" s="676">
        <f t="shared" si="127"/>
        <v>190791.20175823371</v>
      </c>
      <c r="AB95" s="676">
        <f t="shared" si="128"/>
        <v>164284.04986106057</v>
      </c>
      <c r="AC95" s="677">
        <f t="shared" si="148"/>
        <v>1.161349515790431</v>
      </c>
      <c r="AD95" s="678" t="str">
        <f t="shared" si="130"/>
        <v>2017</v>
      </c>
      <c r="AE95" s="679">
        <v>42121</v>
      </c>
      <c r="AF95" s="678">
        <v>2015</v>
      </c>
      <c r="AG95" s="680"/>
      <c r="AH95" s="676">
        <f t="shared" si="164"/>
        <v>173059.81975013271</v>
      </c>
      <c r="AI95" s="95">
        <f t="shared" si="131"/>
        <v>9499.4</v>
      </c>
      <c r="AJ95" s="681" t="s">
        <v>0</v>
      </c>
      <c r="AK95" s="37">
        <f t="shared" si="132"/>
        <v>169999.99999999997</v>
      </c>
      <c r="AL95" s="31">
        <f t="shared" si="169"/>
        <v>0</v>
      </c>
      <c r="AM95" s="31">
        <f t="shared" si="169"/>
        <v>0</v>
      </c>
      <c r="AN95" s="31">
        <f t="shared" si="169"/>
        <v>0</v>
      </c>
      <c r="AO95" s="31">
        <f t="shared" si="169"/>
        <v>0</v>
      </c>
      <c r="AP95" s="31">
        <f t="shared" si="169"/>
        <v>0</v>
      </c>
      <c r="AQ95" s="31">
        <f t="shared" si="169"/>
        <v>0</v>
      </c>
      <c r="AR95" s="31">
        <f t="shared" si="169"/>
        <v>0</v>
      </c>
      <c r="AS95" s="31">
        <f t="shared" si="169"/>
        <v>1</v>
      </c>
      <c r="AT95" s="31">
        <f t="shared" si="169"/>
        <v>0</v>
      </c>
      <c r="AU95" s="31">
        <f t="shared" si="169"/>
        <v>0</v>
      </c>
      <c r="AV95" s="31">
        <f t="shared" si="170"/>
        <v>0</v>
      </c>
      <c r="AW95" s="31">
        <f t="shared" si="170"/>
        <v>0</v>
      </c>
      <c r="AX95" s="31">
        <f t="shared" si="170"/>
        <v>0</v>
      </c>
      <c r="AY95" s="31">
        <f t="shared" si="170"/>
        <v>0</v>
      </c>
      <c r="AZ95" s="31">
        <f t="shared" si="170"/>
        <v>0</v>
      </c>
      <c r="BA95" s="31">
        <f t="shared" si="170"/>
        <v>0</v>
      </c>
      <c r="BB95" s="31">
        <f t="shared" si="170"/>
        <v>0</v>
      </c>
      <c r="BC95" s="31">
        <f t="shared" si="170"/>
        <v>0</v>
      </c>
      <c r="BD95" s="31">
        <f t="shared" si="170"/>
        <v>0</v>
      </c>
      <c r="BE95" s="30">
        <f t="shared" si="171"/>
        <v>1</v>
      </c>
      <c r="BF95" s="620">
        <f t="shared" si="159"/>
        <v>1.0018756098697492</v>
      </c>
      <c r="BG95" s="620">
        <f t="shared" si="134"/>
        <v>1.0037634112036518</v>
      </c>
      <c r="BH95" s="620">
        <f t="shared" si="135"/>
        <v>1.0059558020220052</v>
      </c>
      <c r="BI95" s="620">
        <f t="shared" si="136"/>
        <v>1.0086064025213943</v>
      </c>
      <c r="BJ95" s="620">
        <f t="shared" si="137"/>
        <v>1.0118751819594745</v>
      </c>
      <c r="BK95" s="620">
        <f t="shared" si="138"/>
        <v>1.0153301332446416</v>
      </c>
      <c r="BL95" s="620">
        <f t="shared" si="139"/>
        <v>1.0178480416551621</v>
      </c>
      <c r="BM95" s="621" t="str">
        <f t="shared" si="140"/>
        <v>Category</v>
      </c>
    </row>
    <row r="96" spans="1:65" x14ac:dyDescent="0.15">
      <c r="A96" s="12" t="s">
        <v>216</v>
      </c>
      <c r="B96" s="13" t="s">
        <v>217</v>
      </c>
      <c r="C96" s="13" t="s">
        <v>27</v>
      </c>
      <c r="D96" s="13" t="s">
        <v>40</v>
      </c>
      <c r="E96" s="13" t="s">
        <v>29</v>
      </c>
      <c r="F96" s="14">
        <v>0</v>
      </c>
      <c r="G96" s="14">
        <v>0</v>
      </c>
      <c r="H96" s="14">
        <v>0</v>
      </c>
      <c r="I96" s="14">
        <v>0</v>
      </c>
      <c r="J96" s="14">
        <v>0</v>
      </c>
      <c r="K96" s="14">
        <v>0</v>
      </c>
      <c r="L96" s="14">
        <v>0</v>
      </c>
      <c r="M96" s="15">
        <v>0</v>
      </c>
      <c r="N96" s="804"/>
      <c r="O96" s="14">
        <v>329673.95</v>
      </c>
      <c r="P96" s="15">
        <v>170681.92</v>
      </c>
      <c r="Q96" s="16">
        <f>IF(ISTEXT('Incurred 2.5% cpi'!Q96),"",'Incurred 2.5% cpi'!Q96/'Incurred 2.5% cpi'!Q$14*Incurred!Q$14)</f>
        <v>871177.31</v>
      </c>
      <c r="R96" s="127">
        <f>IF(ISTEXT('Incurred 2.5% cpi'!R96),"",'Incurred 2.5% cpi'!R96/'Incurred 2.5% cpi'!R$14*Incurred!R$14*BF96)</f>
        <v>1225198.4379036324</v>
      </c>
      <c r="S96" s="119">
        <f>IF(ISTEXT('Incurred 2.5% cpi'!S96),"",'Incurred 2.5% cpi'!S96/'Incurred 2.5% cpi'!S$14*Incurred!S$14*BG96)</f>
        <v>27184.458090880758</v>
      </c>
      <c r="T96" s="16" t="str">
        <f>IF(ISTEXT('Incurred 2.5% cpi'!T96),"",'Incurred 2.5% cpi'!T96/'Incurred 2.5% cpi'!T$14*Incurred!T$14*BH96)</f>
        <v/>
      </c>
      <c r="U96" s="16" t="str">
        <f>IF(ISTEXT('Incurred 2.5% cpi'!U96),"",'Incurred 2.5% cpi'!U96/'Incurred 2.5% cpi'!U$14*Incurred!U$14*BI96)</f>
        <v/>
      </c>
      <c r="V96" s="16" t="str">
        <f>IF(ISTEXT('Incurred 2.5% cpi'!V96),"",'Incurred 2.5% cpi'!V96/'Incurred 2.5% cpi'!V$14*Incurred!V$14*BJ96)</f>
        <v/>
      </c>
      <c r="W96" s="127" t="str">
        <f>IF(ISTEXT('Incurred 2.5% cpi'!W96),"",'Incurred 2.5% cpi'!W96/'Incurred 2.5% cpi'!W$14*Incurred!W$14*BK96)</f>
        <v/>
      </c>
      <c r="X96" s="119" t="str">
        <f>IF(ISTEXT('Incurred 2.5% cpi'!X96),"",'Incurred 2.5% cpi'!X96/'Incurred 2.5% cpi'!X$14*Incurred!X$14*BL96)</f>
        <v/>
      </c>
      <c r="Y96" s="95">
        <f t="shared" si="158"/>
        <v>2623916.0759945135</v>
      </c>
      <c r="Z96" s="95">
        <f t="shared" si="126"/>
        <v>2623916.0759945135</v>
      </c>
      <c r="AA96" s="676">
        <f t="shared" si="127"/>
        <v>2938001.0329152686</v>
      </c>
      <c r="AB96" s="676">
        <f t="shared" si="128"/>
        <v>2664954.8013556534</v>
      </c>
      <c r="AC96" s="677">
        <f t="shared" si="148"/>
        <v>1.1024581097663335</v>
      </c>
      <c r="AD96" s="678" t="str">
        <f t="shared" si="130"/>
        <v>2019</v>
      </c>
      <c r="AE96" s="679">
        <v>42957</v>
      </c>
      <c r="AF96" s="678">
        <v>2018</v>
      </c>
      <c r="AG96" s="680"/>
      <c r="AH96" s="676">
        <f t="shared" si="164"/>
        <v>2664954.8013556534</v>
      </c>
      <c r="AI96" s="95">
        <f t="shared" si="131"/>
        <v>27184.458090880758</v>
      </c>
      <c r="AJ96" s="681" t="s">
        <v>0</v>
      </c>
      <c r="AK96" s="37">
        <f t="shared" si="132"/>
        <v>743217.99999871629</v>
      </c>
      <c r="AL96" s="31">
        <f t="shared" si="169"/>
        <v>0</v>
      </c>
      <c r="AM96" s="31">
        <f t="shared" si="169"/>
        <v>0</v>
      </c>
      <c r="AN96" s="31">
        <f t="shared" si="169"/>
        <v>0</v>
      </c>
      <c r="AO96" s="31">
        <f t="shared" si="169"/>
        <v>0</v>
      </c>
      <c r="AP96" s="31">
        <f t="shared" si="169"/>
        <v>0</v>
      </c>
      <c r="AQ96" s="31">
        <f t="shared" si="169"/>
        <v>0</v>
      </c>
      <c r="AR96" s="31">
        <f t="shared" si="169"/>
        <v>0</v>
      </c>
      <c r="AS96" s="31">
        <f t="shared" si="169"/>
        <v>0</v>
      </c>
      <c r="AT96" s="31">
        <f t="shared" si="169"/>
        <v>0</v>
      </c>
      <c r="AU96" s="31">
        <f t="shared" si="169"/>
        <v>0</v>
      </c>
      <c r="AV96" s="31">
        <f t="shared" si="170"/>
        <v>0</v>
      </c>
      <c r="AW96" s="31">
        <f t="shared" si="170"/>
        <v>0</v>
      </c>
      <c r="AX96" s="31">
        <f t="shared" si="170"/>
        <v>0</v>
      </c>
      <c r="AY96" s="31">
        <f t="shared" si="170"/>
        <v>0</v>
      </c>
      <c r="AZ96" s="31">
        <f t="shared" si="170"/>
        <v>0</v>
      </c>
      <c r="BA96" s="31">
        <f t="shared" si="170"/>
        <v>0</v>
      </c>
      <c r="BB96" s="31">
        <f t="shared" si="170"/>
        <v>1</v>
      </c>
      <c r="BC96" s="31">
        <f t="shared" si="170"/>
        <v>0</v>
      </c>
      <c r="BD96" s="31">
        <f t="shared" si="170"/>
        <v>0</v>
      </c>
      <c r="BE96" s="30">
        <f t="shared" si="171"/>
        <v>1</v>
      </c>
      <c r="BF96" s="620">
        <f t="shared" si="159"/>
        <v>1.0034498951996242</v>
      </c>
      <c r="BG96" s="620">
        <f t="shared" si="134"/>
        <v>1.0069222147180459</v>
      </c>
      <c r="BH96" s="620">
        <f t="shared" si="135"/>
        <v>1.0109547796356901</v>
      </c>
      <c r="BI96" s="620">
        <f t="shared" si="136"/>
        <v>1.0158301506211216</v>
      </c>
      <c r="BJ96" s="620">
        <f t="shared" si="137"/>
        <v>1.0218425664619335</v>
      </c>
      <c r="BK96" s="620">
        <f t="shared" si="138"/>
        <v>1.0281974167140426</v>
      </c>
      <c r="BL96" s="620">
        <f t="shared" si="139"/>
        <v>1.0328287210586446</v>
      </c>
      <c r="BM96" s="621" t="str">
        <f t="shared" si="140"/>
        <v>Category</v>
      </c>
    </row>
    <row r="97" spans="1:65" x14ac:dyDescent="0.15">
      <c r="A97" s="12" t="s">
        <v>218</v>
      </c>
      <c r="B97" s="13" t="s">
        <v>219</v>
      </c>
      <c r="C97" s="13" t="s">
        <v>27</v>
      </c>
      <c r="D97" s="13" t="s">
        <v>55</v>
      </c>
      <c r="E97" s="13" t="s">
        <v>112</v>
      </c>
      <c r="F97" s="14">
        <v>0</v>
      </c>
      <c r="G97" s="14">
        <v>0</v>
      </c>
      <c r="H97" s="14">
        <v>0</v>
      </c>
      <c r="I97" s="14">
        <v>0</v>
      </c>
      <c r="J97" s="14">
        <v>0</v>
      </c>
      <c r="K97" s="14">
        <v>0</v>
      </c>
      <c r="L97" s="14">
        <v>0</v>
      </c>
      <c r="M97" s="15">
        <v>0</v>
      </c>
      <c r="N97" s="804"/>
      <c r="O97" s="14"/>
      <c r="P97" s="15"/>
      <c r="Q97" s="16" t="str">
        <f>IF(ISTEXT('Incurred 2.5% cpi'!Q97),"",'Incurred 2.5% cpi'!Q97/'Incurred 2.5% cpi'!Q$14*Incurred!Q$14)</f>
        <v/>
      </c>
      <c r="R97" s="127">
        <f>IF(ISTEXT('Incurred 2.5% cpi'!R97),"",'Incurred 2.5% cpi'!R97/'Incurred 2.5% cpi'!R$14*Incurred!R$14*BF97)</f>
        <v>270280.28300783673</v>
      </c>
      <c r="S97" s="119">
        <f>IF(ISTEXT('Incurred 2.5% cpi'!S97),"",'Incurred 2.5% cpi'!S97/'Incurred 2.5% cpi'!S$14*Incurred!S$14*BG97)</f>
        <v>603843.93955460587</v>
      </c>
      <c r="T97" s="16">
        <f>IF(ISTEXT('Incurred 2.5% cpi'!T97),"",'Incurred 2.5% cpi'!T97/'Incurred 2.5% cpi'!T$14*Incurred!T$14*BH97)</f>
        <v>612893.77637549676</v>
      </c>
      <c r="U97" s="16" t="str">
        <f>IF(ISTEXT('Incurred 2.5% cpi'!U97),"",'Incurred 2.5% cpi'!U97/'Incurred 2.5% cpi'!U$14*Incurred!U$14*BI97)</f>
        <v/>
      </c>
      <c r="V97" s="16" t="str">
        <f>IF(ISTEXT('Incurred 2.5% cpi'!V97),"",'Incurred 2.5% cpi'!V97/'Incurred 2.5% cpi'!V$14*Incurred!V$14*BJ97)</f>
        <v/>
      </c>
      <c r="W97" s="127" t="str">
        <f>IF(ISTEXT('Incurred 2.5% cpi'!W97),"",'Incurred 2.5% cpi'!W97/'Incurred 2.5% cpi'!W$14*Incurred!W$14*BK97)</f>
        <v/>
      </c>
      <c r="X97" s="119" t="str">
        <f>IF(ISTEXT('Incurred 2.5% cpi'!X97),"",'Incurred 2.5% cpi'!X97/'Incurred 2.5% cpi'!X$14*Incurred!X$14*BL97)</f>
        <v/>
      </c>
      <c r="Y97" s="95">
        <f t="shared" si="158"/>
        <v>1487017.9989379393</v>
      </c>
      <c r="Z97" s="95">
        <f t="shared" si="126"/>
        <v>1487017.9989379393</v>
      </c>
      <c r="AA97" s="676">
        <f t="shared" si="127"/>
        <v>1600658.2222641539</v>
      </c>
      <c r="AB97" s="676">
        <f t="shared" si="128"/>
        <v>1509667.6607727064</v>
      </c>
      <c r="AC97" s="677">
        <f t="shared" si="148"/>
        <v>1.060271915373</v>
      </c>
      <c r="AD97" s="678" t="str">
        <f t="shared" si="130"/>
        <v>2020</v>
      </c>
      <c r="AE97" s="679">
        <v>43882</v>
      </c>
      <c r="AF97" s="678">
        <v>2020</v>
      </c>
      <c r="AG97" s="680"/>
      <c r="AH97" s="676">
        <f t="shared" si="164"/>
        <v>1451899.3584286068</v>
      </c>
      <c r="AI97" s="95">
        <f t="shared" si="131"/>
        <v>612893.77637549676</v>
      </c>
      <c r="AJ97" s="681" t="s">
        <v>3058</v>
      </c>
      <c r="AK97" s="37">
        <f t="shared" si="132"/>
        <v>343869.99999999948</v>
      </c>
      <c r="AL97" s="31">
        <f t="shared" ref="AL97:BD97" si="172">IF($AK97=0,VLOOKUP(MID($A97,4,5),ProjectSplits,AL$20,FALSE),IF(ISNA(VLOOKUP($A97,Estimates,AL$19,FALSE)),VLOOKUP(MID($A97,4,5),ProjectSplits,AL$20,FALSE),VLOOKUP($A97,Estimates,AL$19,FALSE)))</f>
        <v>0</v>
      </c>
      <c r="AM97" s="31">
        <f t="shared" si="172"/>
        <v>0</v>
      </c>
      <c r="AN97" s="31">
        <f t="shared" si="172"/>
        <v>0</v>
      </c>
      <c r="AO97" s="31">
        <f t="shared" si="172"/>
        <v>1</v>
      </c>
      <c r="AP97" s="31">
        <f t="shared" si="172"/>
        <v>0</v>
      </c>
      <c r="AQ97" s="31">
        <f t="shared" si="172"/>
        <v>0</v>
      </c>
      <c r="AR97" s="31">
        <f t="shared" si="172"/>
        <v>0</v>
      </c>
      <c r="AS97" s="31">
        <f t="shared" si="172"/>
        <v>0</v>
      </c>
      <c r="AT97" s="31">
        <f t="shared" si="172"/>
        <v>0</v>
      </c>
      <c r="AU97" s="31">
        <f t="shared" si="172"/>
        <v>0</v>
      </c>
      <c r="AV97" s="31">
        <f t="shared" si="172"/>
        <v>0</v>
      </c>
      <c r="AW97" s="31">
        <f t="shared" si="172"/>
        <v>0</v>
      </c>
      <c r="AX97" s="31">
        <f t="shared" si="172"/>
        <v>0</v>
      </c>
      <c r="AY97" s="31">
        <f t="shared" si="172"/>
        <v>0</v>
      </c>
      <c r="AZ97" s="31">
        <f t="shared" si="172"/>
        <v>0</v>
      </c>
      <c r="BA97" s="31">
        <f t="shared" si="172"/>
        <v>0</v>
      </c>
      <c r="BB97" s="31">
        <f t="shared" si="172"/>
        <v>0</v>
      </c>
      <c r="BC97" s="31">
        <f t="shared" si="172"/>
        <v>0</v>
      </c>
      <c r="BD97" s="31">
        <f t="shared" si="172"/>
        <v>0</v>
      </c>
      <c r="BE97" s="30">
        <f>SUM(AL97:BD97)</f>
        <v>1</v>
      </c>
      <c r="BF97" s="620">
        <f t="shared" si="159"/>
        <v>1.0046190746045656</v>
      </c>
      <c r="BG97" s="620">
        <f t="shared" si="134"/>
        <v>1.0092681731940607</v>
      </c>
      <c r="BH97" s="620">
        <f t="shared" si="135"/>
        <v>1.0146673859598225</v>
      </c>
      <c r="BI97" s="620">
        <f t="shared" si="136"/>
        <v>1.0211950341936284</v>
      </c>
      <c r="BJ97" s="620">
        <f t="shared" si="137"/>
        <v>1.0292450750544078</v>
      </c>
      <c r="BK97" s="620">
        <f t="shared" si="138"/>
        <v>1.0377536023333034</v>
      </c>
      <c r="BL97" s="620">
        <f t="shared" si="139"/>
        <v>1.0439544690397748</v>
      </c>
      <c r="BM97" s="621" t="str">
        <f t="shared" si="140"/>
        <v>Category</v>
      </c>
    </row>
    <row r="98" spans="1:65" x14ac:dyDescent="0.15">
      <c r="A98" s="91" t="s">
        <v>220</v>
      </c>
      <c r="B98" s="91" t="s">
        <v>2375</v>
      </c>
      <c r="C98" s="13" t="s">
        <v>27</v>
      </c>
      <c r="D98" s="13" t="s">
        <v>55</v>
      </c>
      <c r="E98" s="13" t="s">
        <v>29</v>
      </c>
      <c r="F98" s="14">
        <v>0</v>
      </c>
      <c r="G98" s="14">
        <v>0</v>
      </c>
      <c r="H98" s="14">
        <v>0</v>
      </c>
      <c r="I98" s="14">
        <v>0</v>
      </c>
      <c r="J98" s="14">
        <v>0</v>
      </c>
      <c r="K98" s="14">
        <v>0</v>
      </c>
      <c r="L98" s="14">
        <v>0</v>
      </c>
      <c r="M98" s="15">
        <v>0</v>
      </c>
      <c r="N98" s="804"/>
      <c r="O98" s="14">
        <v>25072.28</v>
      </c>
      <c r="P98" s="15">
        <v>355103.46</v>
      </c>
      <c r="Q98" s="16">
        <f>IF(ISTEXT('Incurred 2.5% cpi'!Q98),"",'Incurred 2.5% cpi'!Q98/'Incurred 2.5% cpi'!Q$14*Incurred!Q$14)</f>
        <v>109140.32</v>
      </c>
      <c r="R98" s="127" t="str">
        <f>IF(ISTEXT('Incurred 2.5% cpi'!R98),"",'Incurred 2.5% cpi'!R98/'Incurred 2.5% cpi'!R$14*Incurred!R$14*BF98)</f>
        <v/>
      </c>
      <c r="S98" s="119" t="str">
        <f>IF(ISTEXT('Incurred 2.5% cpi'!S98),"",'Incurred 2.5% cpi'!S98/'Incurred 2.5% cpi'!S$14*Incurred!S$14*BG98)</f>
        <v/>
      </c>
      <c r="T98" s="16" t="str">
        <f>IF(ISTEXT('Incurred 2.5% cpi'!T98),"",'Incurred 2.5% cpi'!T98/'Incurred 2.5% cpi'!T$14*Incurred!T$14*BH98)</f>
        <v/>
      </c>
      <c r="U98" s="16" t="str">
        <f>IF(ISTEXT('Incurred 2.5% cpi'!U98),"",'Incurred 2.5% cpi'!U98/'Incurred 2.5% cpi'!U$14*Incurred!U$14*BI98)</f>
        <v/>
      </c>
      <c r="V98" s="16" t="str">
        <f>IF(ISTEXT('Incurred 2.5% cpi'!V98),"",'Incurred 2.5% cpi'!V98/'Incurred 2.5% cpi'!V$14*Incurred!V$14*BJ98)</f>
        <v/>
      </c>
      <c r="W98" s="127" t="str">
        <f>IF(ISTEXT('Incurred 2.5% cpi'!W98),"",'Incurred 2.5% cpi'!W98/'Incurred 2.5% cpi'!W$14*Incurred!W$14*BK98)</f>
        <v/>
      </c>
      <c r="X98" s="119" t="str">
        <f>IF(ISTEXT('Incurred 2.5% cpi'!X98),"",'Incurred 2.5% cpi'!X98/'Incurred 2.5% cpi'!X$14*Incurred!X$14*BL98)</f>
        <v/>
      </c>
      <c r="Y98" s="95">
        <f t="shared" si="158"/>
        <v>489316.06</v>
      </c>
      <c r="Z98" s="95">
        <f t="shared" ref="Z98:Z132" si="173">-SUMIFS(F98:W98,F98:W98,"&lt;0")+SUMIFS(F98:W98,F98:W98,"&gt;0")</f>
        <v>489316.06</v>
      </c>
      <c r="AA98" s="676">
        <f t="shared" ref="AA98:AA132" si="174">IF(ROUND(Y98,0)=0,0,SUMPRODUCT($F$17:$W$17,F98:W98))</f>
        <v>558873.86386280111</v>
      </c>
      <c r="AB98" s="676">
        <f t="shared" ref="AB98:AB132" si="175">IF(AC98="","",AA98/AC98)</f>
        <v>497140.65958251688</v>
      </c>
      <c r="AC98" s="677">
        <f t="shared" si="148"/>
        <v>1.1241765345287305</v>
      </c>
      <c r="AD98" s="678" t="str">
        <f t="shared" ref="AD98:AD132" si="176">IF(AI98=0,"",INDEX($F$21:$W$21,1,MATCH(AI98,F98:W98,0)))</f>
        <v>2017</v>
      </c>
      <c r="AE98" s="679">
        <v>42754</v>
      </c>
      <c r="AF98" s="678">
        <v>2017</v>
      </c>
      <c r="AG98" s="680"/>
      <c r="AH98" s="676">
        <f t="shared" si="164"/>
        <v>506934.33057629247</v>
      </c>
      <c r="AI98" s="95">
        <f t="shared" ref="AI98:AI132" si="177">IF(ROUND(Z98,0)=0,0,LOOKUP(2,1/(F98:W98&lt;&gt;""),F98:W98))</f>
        <v>109140.32</v>
      </c>
      <c r="AJ98" s="681" t="s">
        <v>0</v>
      </c>
      <c r="AK98" s="37">
        <f t="shared" ref="AK98:AK132" si="178">IF(ISNA(VLOOKUP($A98,Estimates,71,FALSE)),0,VLOOKUP($A98,Estimates,71,FALSE))</f>
        <v>0</v>
      </c>
      <c r="AL98" s="31">
        <f t="shared" ref="AL98:AU99" si="179">IF($AK98=0,VLOOKUP(MID($A98,4,5),ProjectSplits,AL$20,FALSE),IF(ISNA(VLOOKUP($A98,Estimates,AL$19,FALSE)),VLOOKUP(MID($A98,4,5),ProjectSplits,AL$20,FALSE),VLOOKUP($A98,Estimates,AL$19,FALSE)))</f>
        <v>0</v>
      </c>
      <c r="AM98" s="31">
        <f t="shared" si="179"/>
        <v>0</v>
      </c>
      <c r="AN98" s="31">
        <f t="shared" si="179"/>
        <v>0</v>
      </c>
      <c r="AO98" s="31">
        <f t="shared" si="179"/>
        <v>1</v>
      </c>
      <c r="AP98" s="31">
        <f t="shared" si="179"/>
        <v>0</v>
      </c>
      <c r="AQ98" s="31">
        <f t="shared" si="179"/>
        <v>0</v>
      </c>
      <c r="AR98" s="31">
        <f t="shared" si="179"/>
        <v>0</v>
      </c>
      <c r="AS98" s="31">
        <f t="shared" si="179"/>
        <v>0</v>
      </c>
      <c r="AT98" s="31">
        <f t="shared" si="179"/>
        <v>0</v>
      </c>
      <c r="AU98" s="31">
        <f t="shared" si="179"/>
        <v>0</v>
      </c>
      <c r="AV98" s="31">
        <f t="shared" ref="AV98:BD99" si="180">IF($AK98=0,VLOOKUP(MID($A98,4,5),ProjectSplits,AV$20,FALSE),IF(ISNA(VLOOKUP($A98,Estimates,AV$19,FALSE)),VLOOKUP(MID($A98,4,5),ProjectSplits,AV$20,FALSE),VLOOKUP($A98,Estimates,AV$19,FALSE)))</f>
        <v>0</v>
      </c>
      <c r="AW98" s="31">
        <f t="shared" si="180"/>
        <v>0</v>
      </c>
      <c r="AX98" s="31">
        <f t="shared" si="180"/>
        <v>0</v>
      </c>
      <c r="AY98" s="31">
        <f t="shared" si="180"/>
        <v>0</v>
      </c>
      <c r="AZ98" s="31">
        <f t="shared" si="180"/>
        <v>0</v>
      </c>
      <c r="BA98" s="31">
        <f t="shared" si="180"/>
        <v>0</v>
      </c>
      <c r="BB98" s="31">
        <f t="shared" si="180"/>
        <v>0</v>
      </c>
      <c r="BC98" s="31">
        <f t="shared" si="180"/>
        <v>0</v>
      </c>
      <c r="BD98" s="31">
        <f t="shared" si="180"/>
        <v>0</v>
      </c>
      <c r="BE98" s="30">
        <f t="shared" ref="BE98:BE99" si="181">SUM(AL98:BD98)</f>
        <v>1</v>
      </c>
      <c r="BF98" s="620">
        <f t="shared" si="159"/>
        <v>1.0046190746045656</v>
      </c>
      <c r="BG98" s="620">
        <f t="shared" ref="BG98:BG132" si="182">1+IF(ISNA(VLOOKUP($A98,ProjLabEsc,7,FALSE)),VLOOKUP($D98,CatLabEsc,4,FALSE),VLOOKUP($A98,ProjLabEsc,7,FALSE))*LabEsc19*LabIn</f>
        <v>1.0092681731940607</v>
      </c>
      <c r="BH98" s="620">
        <f t="shared" ref="BH98:BH132" si="183">1+IF(ISNA(VLOOKUP($A98,ProjLabEsc,7,FALSE)),VLOOKUP($D98,CatLabEsc,4,FALSE),VLOOKUP($A98,ProjLabEsc,7,FALSE))*LabEsc20*LabIn</f>
        <v>1.0146673859598225</v>
      </c>
      <c r="BI98" s="620">
        <f t="shared" ref="BI98:BI132" si="184">1+IF(ISNA(VLOOKUP($A98,ProjLabEsc,7,FALSE)),VLOOKUP($D98,CatLabEsc,4,FALSE),VLOOKUP($A98,ProjLabEsc,7,FALSE))*LabEsc21*LabIn</f>
        <v>1.0211950341936284</v>
      </c>
      <c r="BJ98" s="620">
        <f t="shared" ref="BJ98:BJ132" si="185">1+IF(ISNA(VLOOKUP($A98,ProjLabEsc,7,FALSE)),VLOOKUP($D98,CatLabEsc,4,FALSE),VLOOKUP($A98,ProjLabEsc,7,FALSE))*LabEsc22*LabIn</f>
        <v>1.0292450750544078</v>
      </c>
      <c r="BK98" s="620">
        <f t="shared" ref="BK98:BK132" si="186">1+IF(ISNA(VLOOKUP($A98,ProjLabEsc,7,FALSE)),VLOOKUP($D98,CatLabEsc,4,FALSE),VLOOKUP($A98,ProjLabEsc,7,FALSE))*LabEsc23*LabIn</f>
        <v>1.0377536023333034</v>
      </c>
      <c r="BL98" s="620">
        <f t="shared" ref="BL98:BL132" si="187">1+IF(ISNA(VLOOKUP($A98,ProjLabEsc,7,FALSE)),VLOOKUP($D98,CatLabEsc,4,FALSE),VLOOKUP($A98,ProjLabEsc,7,FALSE))*LabEsc24*LabIn</f>
        <v>1.0439544690397748</v>
      </c>
      <c r="BM98" s="621" t="str">
        <f t="shared" ref="BM98:BM132" si="188">IF(ISNA(VLOOKUP($A98,ProjLabEsc,7,FALSE)),"Category","Project")</f>
        <v>Category</v>
      </c>
    </row>
    <row r="99" spans="1:65" x14ac:dyDescent="0.15">
      <c r="A99" s="91" t="s">
        <v>221</v>
      </c>
      <c r="B99" s="91" t="s">
        <v>222</v>
      </c>
      <c r="C99" s="13" t="s">
        <v>27</v>
      </c>
      <c r="D99" s="13" t="s">
        <v>55</v>
      </c>
      <c r="E99" s="13" t="s">
        <v>32</v>
      </c>
      <c r="F99" s="14">
        <v>0</v>
      </c>
      <c r="G99" s="14">
        <v>0</v>
      </c>
      <c r="H99" s="14">
        <v>0</v>
      </c>
      <c r="I99" s="14">
        <v>0</v>
      </c>
      <c r="J99" s="14">
        <v>0</v>
      </c>
      <c r="K99" s="14">
        <v>0</v>
      </c>
      <c r="L99" s="14">
        <v>0</v>
      </c>
      <c r="M99" s="15">
        <v>0</v>
      </c>
      <c r="N99" s="804"/>
      <c r="O99" s="14">
        <v>168079.52</v>
      </c>
      <c r="P99" s="15">
        <v>507544.2</v>
      </c>
      <c r="Q99" s="16">
        <f>IF(ISTEXT('Incurred 2.5% cpi'!Q99),"",'Incurred 2.5% cpi'!Q99/'Incurred 2.5% cpi'!Q$14*Incurred!Q$14)</f>
        <v>145338.79999999999</v>
      </c>
      <c r="R99" s="127" t="str">
        <f>IF(ISTEXT('Incurred 2.5% cpi'!R99),"",'Incurred 2.5% cpi'!R99/'Incurred 2.5% cpi'!R$14*Incurred!R$14*BF99)</f>
        <v/>
      </c>
      <c r="S99" s="119" t="str">
        <f>IF(ISTEXT('Incurred 2.5% cpi'!S99),"",'Incurred 2.5% cpi'!S99/'Incurred 2.5% cpi'!S$14*Incurred!S$14*BG99)</f>
        <v/>
      </c>
      <c r="T99" s="16" t="str">
        <f>IF(ISTEXT('Incurred 2.5% cpi'!T99),"",'Incurred 2.5% cpi'!T99/'Incurred 2.5% cpi'!T$14*Incurred!T$14*BH99)</f>
        <v/>
      </c>
      <c r="U99" s="16" t="str">
        <f>IF(ISTEXT('Incurred 2.5% cpi'!U99),"",'Incurred 2.5% cpi'!U99/'Incurred 2.5% cpi'!U$14*Incurred!U$14*BI99)</f>
        <v/>
      </c>
      <c r="V99" s="16" t="str">
        <f>IF(ISTEXT('Incurred 2.5% cpi'!V99),"",'Incurred 2.5% cpi'!V99/'Incurred 2.5% cpi'!V$14*Incurred!V$14*BJ99)</f>
        <v/>
      </c>
      <c r="W99" s="127" t="str">
        <f>IF(ISTEXT('Incurred 2.5% cpi'!W99),"",'Incurred 2.5% cpi'!W99/'Incurred 2.5% cpi'!W$14*Incurred!W$14*BK99)</f>
        <v/>
      </c>
      <c r="X99" s="119" t="str">
        <f>IF(ISTEXT('Incurred 2.5% cpi'!X99),"",'Incurred 2.5% cpi'!X99/'Incurred 2.5% cpi'!X$14*Incurred!X$14*BL99)</f>
        <v/>
      </c>
      <c r="Y99" s="95">
        <f t="shared" si="158"/>
        <v>820962.52</v>
      </c>
      <c r="Z99" s="95">
        <f t="shared" si="173"/>
        <v>820962.52</v>
      </c>
      <c r="AA99" s="676">
        <f t="shared" si="174"/>
        <v>940395.03237256955</v>
      </c>
      <c r="AB99" s="676">
        <f t="shared" si="175"/>
        <v>809743.33702849422</v>
      </c>
      <c r="AC99" s="677">
        <f t="shared" si="148"/>
        <v>1.161349515790431</v>
      </c>
      <c r="AD99" s="678" t="str">
        <f t="shared" si="176"/>
        <v>2017</v>
      </c>
      <c r="AE99" s="679">
        <v>42251</v>
      </c>
      <c r="AF99" s="678">
        <v>2015</v>
      </c>
      <c r="AG99" s="680"/>
      <c r="AH99" s="676">
        <f t="shared" si="164"/>
        <v>852998.42600993381</v>
      </c>
      <c r="AI99" s="95">
        <f t="shared" si="177"/>
        <v>145338.79999999999</v>
      </c>
      <c r="AJ99" s="681" t="s">
        <v>0</v>
      </c>
      <c r="AK99" s="37">
        <f t="shared" si="178"/>
        <v>0</v>
      </c>
      <c r="AL99" s="31">
        <f t="shared" si="179"/>
        <v>0</v>
      </c>
      <c r="AM99" s="31">
        <f t="shared" si="179"/>
        <v>0</v>
      </c>
      <c r="AN99" s="31">
        <f t="shared" si="179"/>
        <v>0</v>
      </c>
      <c r="AO99" s="31">
        <f t="shared" si="179"/>
        <v>1</v>
      </c>
      <c r="AP99" s="31">
        <f t="shared" si="179"/>
        <v>0</v>
      </c>
      <c r="AQ99" s="31">
        <f t="shared" si="179"/>
        <v>0</v>
      </c>
      <c r="AR99" s="31">
        <f t="shared" si="179"/>
        <v>0</v>
      </c>
      <c r="AS99" s="31">
        <f t="shared" si="179"/>
        <v>0</v>
      </c>
      <c r="AT99" s="31">
        <f t="shared" si="179"/>
        <v>0</v>
      </c>
      <c r="AU99" s="31">
        <f t="shared" si="179"/>
        <v>0</v>
      </c>
      <c r="AV99" s="31">
        <f t="shared" si="180"/>
        <v>0</v>
      </c>
      <c r="AW99" s="31">
        <f t="shared" si="180"/>
        <v>0</v>
      </c>
      <c r="AX99" s="31">
        <f t="shared" si="180"/>
        <v>0</v>
      </c>
      <c r="AY99" s="31">
        <f t="shared" si="180"/>
        <v>0</v>
      </c>
      <c r="AZ99" s="31">
        <f t="shared" si="180"/>
        <v>0</v>
      </c>
      <c r="BA99" s="31">
        <f t="shared" si="180"/>
        <v>0</v>
      </c>
      <c r="BB99" s="31">
        <f t="shared" si="180"/>
        <v>0</v>
      </c>
      <c r="BC99" s="31">
        <f t="shared" si="180"/>
        <v>0</v>
      </c>
      <c r="BD99" s="31">
        <f t="shared" si="180"/>
        <v>0</v>
      </c>
      <c r="BE99" s="30">
        <f t="shared" si="181"/>
        <v>1</v>
      </c>
      <c r="BF99" s="620">
        <f t="shared" si="159"/>
        <v>1.0046190746045656</v>
      </c>
      <c r="BG99" s="620">
        <f t="shared" si="182"/>
        <v>1.0092681731940607</v>
      </c>
      <c r="BH99" s="620">
        <f t="shared" si="183"/>
        <v>1.0146673859598225</v>
      </c>
      <c r="BI99" s="620">
        <f t="shared" si="184"/>
        <v>1.0211950341936284</v>
      </c>
      <c r="BJ99" s="620">
        <f t="shared" si="185"/>
        <v>1.0292450750544078</v>
      </c>
      <c r="BK99" s="620">
        <f t="shared" si="186"/>
        <v>1.0377536023333034</v>
      </c>
      <c r="BL99" s="620">
        <f t="shared" si="187"/>
        <v>1.0439544690397748</v>
      </c>
      <c r="BM99" s="621" t="str">
        <f t="shared" si="188"/>
        <v>Category</v>
      </c>
    </row>
    <row r="100" spans="1:65" x14ac:dyDescent="0.15">
      <c r="A100" s="91" t="s">
        <v>223</v>
      </c>
      <c r="B100" s="91" t="s">
        <v>224</v>
      </c>
      <c r="C100" s="13" t="s">
        <v>27</v>
      </c>
      <c r="D100" s="13" t="s">
        <v>40</v>
      </c>
      <c r="E100" s="13" t="s">
        <v>29</v>
      </c>
      <c r="F100" s="14">
        <v>0</v>
      </c>
      <c r="G100" s="14">
        <v>0</v>
      </c>
      <c r="H100" s="14">
        <v>0</v>
      </c>
      <c r="I100" s="14">
        <v>0</v>
      </c>
      <c r="J100" s="14">
        <v>0</v>
      </c>
      <c r="K100" s="14">
        <v>0</v>
      </c>
      <c r="L100" s="14">
        <v>0</v>
      </c>
      <c r="M100" s="15">
        <v>0</v>
      </c>
      <c r="N100" s="804"/>
      <c r="O100" s="14"/>
      <c r="P100" s="15">
        <v>28007.03</v>
      </c>
      <c r="Q100" s="16">
        <f>IF(ISTEXT('Incurred 2.5% cpi'!Q100),"",'Incurred 2.5% cpi'!Q100/'Incurred 2.5% cpi'!Q$14*Incurred!Q$14)</f>
        <v>554446.61</v>
      </c>
      <c r="R100" s="127">
        <f>IF(ISTEXT('Incurred 2.5% cpi'!R100),"",'Incurred 2.5% cpi'!R100/'Incurred 2.5% cpi'!R$14*Incurred!R$14*BF100)</f>
        <v>3090833.3854595073</v>
      </c>
      <c r="S100" s="119">
        <f>IF(ISTEXT('Incurred 2.5% cpi'!S100),"",'Incurred 2.5% cpi'!S100/'Incurred 2.5% cpi'!S$14*Incurred!S$14*BG100)</f>
        <v>908883.63285982807</v>
      </c>
      <c r="T100" s="16" t="str">
        <f>IF(ISTEXT('Incurred 2.5% cpi'!T100),"",'Incurred 2.5% cpi'!T100/'Incurred 2.5% cpi'!T$14*Incurred!T$14*BH100)</f>
        <v/>
      </c>
      <c r="U100" s="16" t="str">
        <f>IF(ISTEXT('Incurred 2.5% cpi'!U100),"",'Incurred 2.5% cpi'!U100/'Incurred 2.5% cpi'!U$14*Incurred!U$14*BI100)</f>
        <v/>
      </c>
      <c r="V100" s="16" t="str">
        <f>IF(ISTEXT('Incurred 2.5% cpi'!V100),"",'Incurred 2.5% cpi'!V100/'Incurred 2.5% cpi'!V$14*Incurred!V$14*BJ100)</f>
        <v/>
      </c>
      <c r="W100" s="127" t="str">
        <f>IF(ISTEXT('Incurred 2.5% cpi'!W100),"",'Incurred 2.5% cpi'!W100/'Incurred 2.5% cpi'!W$14*Incurred!W$14*BK100)</f>
        <v/>
      </c>
      <c r="X100" s="119" t="str">
        <f>IF(ISTEXT('Incurred 2.5% cpi'!X100),"",'Incurred 2.5% cpi'!X100/'Incurred 2.5% cpi'!X$14*Incurred!X$14*BL100)</f>
        <v/>
      </c>
      <c r="Y100" s="95">
        <f t="shared" si="158"/>
        <v>4582170.6583193354</v>
      </c>
      <c r="Z100" s="95">
        <f t="shared" si="173"/>
        <v>4582170.6583193354</v>
      </c>
      <c r="AA100" s="676">
        <f t="shared" si="174"/>
        <v>5045563.2646716395</v>
      </c>
      <c r="AB100" s="676">
        <f t="shared" si="175"/>
        <v>4666808.4849737715</v>
      </c>
      <c r="AC100" s="677">
        <f t="shared" si="148"/>
        <v>1.0811592721058483</v>
      </c>
      <c r="AD100" s="678" t="str">
        <f t="shared" si="176"/>
        <v>2019</v>
      </c>
      <c r="AE100" s="679">
        <v>43266</v>
      </c>
      <c r="AF100" s="678">
        <v>2019</v>
      </c>
      <c r="AG100" s="680"/>
      <c r="AH100" s="676">
        <f t="shared" si="164"/>
        <v>4576648.5093397778</v>
      </c>
      <c r="AI100" s="95">
        <f t="shared" si="177"/>
        <v>908883.63285982807</v>
      </c>
      <c r="AJ100" s="681" t="s">
        <v>3058</v>
      </c>
      <c r="AK100" s="37">
        <f t="shared" si="178"/>
        <v>0</v>
      </c>
      <c r="AL100" s="31">
        <f t="shared" ref="AL100:AU104" si="189">IF($AK100=0,VLOOKUP(MID($A100,4,5),ProjectSplits,AL$20,FALSE),IF(ISNA(VLOOKUP($A100,Estimates,AL$19,FALSE)),VLOOKUP(MID($A100,4,5),ProjectSplits,AL$20,FALSE),VLOOKUP($A100,Estimates,AL$19,FALSE)))</f>
        <v>0</v>
      </c>
      <c r="AM100" s="31">
        <f t="shared" si="189"/>
        <v>0</v>
      </c>
      <c r="AN100" s="31">
        <f t="shared" si="189"/>
        <v>1</v>
      </c>
      <c r="AO100" s="31">
        <f t="shared" si="189"/>
        <v>0</v>
      </c>
      <c r="AP100" s="31">
        <f t="shared" si="189"/>
        <v>0</v>
      </c>
      <c r="AQ100" s="31">
        <f t="shared" si="189"/>
        <v>0</v>
      </c>
      <c r="AR100" s="31">
        <f t="shared" si="189"/>
        <v>0</v>
      </c>
      <c r="AS100" s="31">
        <f t="shared" si="189"/>
        <v>0</v>
      </c>
      <c r="AT100" s="31">
        <f t="shared" si="189"/>
        <v>0</v>
      </c>
      <c r="AU100" s="31">
        <f t="shared" si="189"/>
        <v>0</v>
      </c>
      <c r="AV100" s="31">
        <f t="shared" ref="AV100:BD104" si="190">IF($AK100=0,VLOOKUP(MID($A100,4,5),ProjectSplits,AV$20,FALSE),IF(ISNA(VLOOKUP($A100,Estimates,AV$19,FALSE)),VLOOKUP(MID($A100,4,5),ProjectSplits,AV$20,FALSE),VLOOKUP($A100,Estimates,AV$19,FALSE)))</f>
        <v>0</v>
      </c>
      <c r="AW100" s="31">
        <f t="shared" si="190"/>
        <v>0</v>
      </c>
      <c r="AX100" s="31">
        <f t="shared" si="190"/>
        <v>0</v>
      </c>
      <c r="AY100" s="31">
        <f t="shared" si="190"/>
        <v>0</v>
      </c>
      <c r="AZ100" s="31">
        <f t="shared" si="190"/>
        <v>0</v>
      </c>
      <c r="BA100" s="31">
        <f t="shared" si="190"/>
        <v>0</v>
      </c>
      <c r="BB100" s="31">
        <f t="shared" si="190"/>
        <v>0</v>
      </c>
      <c r="BC100" s="31">
        <f t="shared" si="190"/>
        <v>0</v>
      </c>
      <c r="BD100" s="31">
        <f t="shared" si="190"/>
        <v>0</v>
      </c>
      <c r="BE100" s="30">
        <f t="shared" ref="BE100:BE104" si="191">SUM(AL100:BD100)</f>
        <v>1</v>
      </c>
      <c r="BF100" s="620">
        <f t="shared" si="159"/>
        <v>1.0034498951996242</v>
      </c>
      <c r="BG100" s="620">
        <f t="shared" si="182"/>
        <v>1.0069222147180459</v>
      </c>
      <c r="BH100" s="620">
        <f t="shared" si="183"/>
        <v>1.0109547796356901</v>
      </c>
      <c r="BI100" s="620">
        <f t="shared" si="184"/>
        <v>1.0158301506211216</v>
      </c>
      <c r="BJ100" s="620">
        <f t="shared" si="185"/>
        <v>1.0218425664619335</v>
      </c>
      <c r="BK100" s="620">
        <f t="shared" si="186"/>
        <v>1.0281974167140426</v>
      </c>
      <c r="BL100" s="620">
        <f t="shared" si="187"/>
        <v>1.0328287210586446</v>
      </c>
      <c r="BM100" s="621" t="str">
        <f t="shared" si="188"/>
        <v>Category</v>
      </c>
    </row>
    <row r="101" spans="1:65" x14ac:dyDescent="0.15">
      <c r="A101" s="91" t="s">
        <v>225</v>
      </c>
      <c r="B101" s="91" t="s">
        <v>226</v>
      </c>
      <c r="C101" s="13" t="s">
        <v>27</v>
      </c>
      <c r="D101" s="13" t="s">
        <v>55</v>
      </c>
      <c r="E101" s="13" t="s">
        <v>32</v>
      </c>
      <c r="F101" s="14">
        <v>0</v>
      </c>
      <c r="G101" s="14">
        <v>0</v>
      </c>
      <c r="H101" s="14">
        <v>0</v>
      </c>
      <c r="I101" s="14">
        <v>0</v>
      </c>
      <c r="J101" s="14">
        <v>0</v>
      </c>
      <c r="K101" s="14">
        <v>0</v>
      </c>
      <c r="L101" s="14">
        <v>0</v>
      </c>
      <c r="M101" s="15">
        <v>0</v>
      </c>
      <c r="N101" s="804"/>
      <c r="O101" s="14">
        <v>5520.76</v>
      </c>
      <c r="P101" s="15">
        <v>41285.660000000003</v>
      </c>
      <c r="Q101" s="16" t="str">
        <f>IF(ISTEXT('Incurred 2.5% cpi'!Q101),"",'Incurred 2.5% cpi'!Q101/'Incurred 2.5% cpi'!Q$14*Incurred!Q$14)</f>
        <v/>
      </c>
      <c r="R101" s="127" t="str">
        <f>IF(ISTEXT('Incurred 2.5% cpi'!R101),"",'Incurred 2.5% cpi'!R101/'Incurred 2.5% cpi'!R$14*Incurred!R$14*BF101)</f>
        <v/>
      </c>
      <c r="S101" s="119" t="str">
        <f>IF(ISTEXT('Incurred 2.5% cpi'!S101),"",'Incurred 2.5% cpi'!S101/'Incurred 2.5% cpi'!S$14*Incurred!S$14*BG101)</f>
        <v/>
      </c>
      <c r="T101" s="16" t="str">
        <f>IF(ISTEXT('Incurred 2.5% cpi'!T101),"",'Incurred 2.5% cpi'!T101/'Incurred 2.5% cpi'!T$14*Incurred!T$14*BH101)</f>
        <v/>
      </c>
      <c r="U101" s="16" t="str">
        <f>IF(ISTEXT('Incurred 2.5% cpi'!U101),"",'Incurred 2.5% cpi'!U101/'Incurred 2.5% cpi'!U$14*Incurred!U$14*BI101)</f>
        <v/>
      </c>
      <c r="V101" s="16" t="str">
        <f>IF(ISTEXT('Incurred 2.5% cpi'!V101),"",'Incurred 2.5% cpi'!V101/'Incurred 2.5% cpi'!V$14*Incurred!V$14*BJ101)</f>
        <v/>
      </c>
      <c r="W101" s="127" t="str">
        <f>IF(ISTEXT('Incurred 2.5% cpi'!W101),"",'Incurred 2.5% cpi'!W101/'Incurred 2.5% cpi'!W$14*Incurred!W$14*BK101)</f>
        <v/>
      </c>
      <c r="X101" s="119" t="str">
        <f>IF(ISTEXT('Incurred 2.5% cpi'!X101),"",'Incurred 2.5% cpi'!X101/'Incurred 2.5% cpi'!X$14*Incurred!X$14*BL101)</f>
        <v/>
      </c>
      <c r="Y101" s="95">
        <f t="shared" si="158"/>
        <v>46806.420000000006</v>
      </c>
      <c r="Z101" s="95">
        <f t="shared" si="173"/>
        <v>46806.420000000006</v>
      </c>
      <c r="AA101" s="676">
        <f t="shared" si="174"/>
        <v>53738.225829961884</v>
      </c>
      <c r="AB101" s="676">
        <f t="shared" si="175"/>
        <v>46878.789513108619</v>
      </c>
      <c r="AC101" s="677">
        <f t="shared" si="148"/>
        <v>1.1463228122589466</v>
      </c>
      <c r="AD101" s="678" t="str">
        <f t="shared" si="176"/>
        <v>2016</v>
      </c>
      <c r="AE101" s="679">
        <v>42251</v>
      </c>
      <c r="AF101" s="678">
        <v>2016</v>
      </c>
      <c r="AG101" s="680"/>
      <c r="AH101" s="676">
        <f t="shared" si="164"/>
        <v>48744.007009347239</v>
      </c>
      <c r="AI101" s="95">
        <f t="shared" si="177"/>
        <v>41285.660000000003</v>
      </c>
      <c r="AJ101" s="681" t="s">
        <v>0</v>
      </c>
      <c r="AK101" s="37">
        <f t="shared" si="178"/>
        <v>0</v>
      </c>
      <c r="AL101" s="31">
        <f t="shared" si="189"/>
        <v>0</v>
      </c>
      <c r="AM101" s="31">
        <f t="shared" si="189"/>
        <v>0</v>
      </c>
      <c r="AN101" s="31">
        <f t="shared" si="189"/>
        <v>0</v>
      </c>
      <c r="AO101" s="31">
        <f t="shared" si="189"/>
        <v>1</v>
      </c>
      <c r="AP101" s="31">
        <f t="shared" si="189"/>
        <v>0</v>
      </c>
      <c r="AQ101" s="31">
        <f t="shared" si="189"/>
        <v>0</v>
      </c>
      <c r="AR101" s="31">
        <f t="shared" si="189"/>
        <v>0</v>
      </c>
      <c r="AS101" s="31">
        <f t="shared" si="189"/>
        <v>0</v>
      </c>
      <c r="AT101" s="31">
        <f t="shared" si="189"/>
        <v>0</v>
      </c>
      <c r="AU101" s="31">
        <f t="shared" si="189"/>
        <v>0</v>
      </c>
      <c r="AV101" s="31">
        <f t="shared" si="190"/>
        <v>0</v>
      </c>
      <c r="AW101" s="31">
        <f t="shared" si="190"/>
        <v>0</v>
      </c>
      <c r="AX101" s="31">
        <f t="shared" si="190"/>
        <v>0</v>
      </c>
      <c r="AY101" s="31">
        <f t="shared" si="190"/>
        <v>0</v>
      </c>
      <c r="AZ101" s="31">
        <f t="shared" si="190"/>
        <v>0</v>
      </c>
      <c r="BA101" s="31">
        <f t="shared" si="190"/>
        <v>0</v>
      </c>
      <c r="BB101" s="31">
        <f t="shared" si="190"/>
        <v>0</v>
      </c>
      <c r="BC101" s="31">
        <f t="shared" si="190"/>
        <v>0</v>
      </c>
      <c r="BD101" s="31">
        <f t="shared" si="190"/>
        <v>0</v>
      </c>
      <c r="BE101" s="30">
        <f t="shared" si="191"/>
        <v>1</v>
      </c>
      <c r="BF101" s="620">
        <f t="shared" si="159"/>
        <v>1.0046190746045656</v>
      </c>
      <c r="BG101" s="620">
        <f t="shared" si="182"/>
        <v>1.0092681731940607</v>
      </c>
      <c r="BH101" s="620">
        <f t="shared" si="183"/>
        <v>1.0146673859598225</v>
      </c>
      <c r="BI101" s="620">
        <f t="shared" si="184"/>
        <v>1.0211950341936284</v>
      </c>
      <c r="BJ101" s="620">
        <f t="shared" si="185"/>
        <v>1.0292450750544078</v>
      </c>
      <c r="BK101" s="620">
        <f t="shared" si="186"/>
        <v>1.0377536023333034</v>
      </c>
      <c r="BL101" s="620">
        <f t="shared" si="187"/>
        <v>1.0439544690397748</v>
      </c>
      <c r="BM101" s="621" t="str">
        <f t="shared" si="188"/>
        <v>Category</v>
      </c>
    </row>
    <row r="102" spans="1:65" x14ac:dyDescent="0.15">
      <c r="A102" s="91" t="s">
        <v>227</v>
      </c>
      <c r="B102" s="91" t="s">
        <v>228</v>
      </c>
      <c r="C102" s="13" t="s">
        <v>27</v>
      </c>
      <c r="D102" s="13" t="s">
        <v>36</v>
      </c>
      <c r="E102" s="13" t="s">
        <v>32</v>
      </c>
      <c r="F102" s="14">
        <v>0</v>
      </c>
      <c r="G102" s="14">
        <v>0</v>
      </c>
      <c r="H102" s="14">
        <v>0</v>
      </c>
      <c r="I102" s="14">
        <v>0</v>
      </c>
      <c r="J102" s="14">
        <v>0</v>
      </c>
      <c r="K102" s="14">
        <v>0</v>
      </c>
      <c r="L102" s="14">
        <v>0</v>
      </c>
      <c r="M102" s="15">
        <v>0</v>
      </c>
      <c r="N102" s="804"/>
      <c r="O102" s="14">
        <v>180219.19</v>
      </c>
      <c r="P102" s="15">
        <v>-15569.69</v>
      </c>
      <c r="Q102" s="16" t="str">
        <f>IF(ISTEXT('Incurred 2.5% cpi'!Q102),"",'Incurred 2.5% cpi'!Q102/'Incurred 2.5% cpi'!Q$14*Incurred!Q$14)</f>
        <v/>
      </c>
      <c r="R102" s="127" t="str">
        <f>IF(ISTEXT('Incurred 2.5% cpi'!R102),"",'Incurred 2.5% cpi'!R102/'Incurred 2.5% cpi'!R$14*Incurred!R$14*BF102)</f>
        <v/>
      </c>
      <c r="S102" s="119" t="str">
        <f>IF(ISTEXT('Incurred 2.5% cpi'!S102),"",'Incurred 2.5% cpi'!S102/'Incurred 2.5% cpi'!S$14*Incurred!S$14*BG102)</f>
        <v/>
      </c>
      <c r="T102" s="16" t="str">
        <f>IF(ISTEXT('Incurred 2.5% cpi'!T102),"",'Incurred 2.5% cpi'!T102/'Incurred 2.5% cpi'!T$14*Incurred!T$14*BH102)</f>
        <v/>
      </c>
      <c r="U102" s="16" t="str">
        <f>IF(ISTEXT('Incurred 2.5% cpi'!U102),"",'Incurred 2.5% cpi'!U102/'Incurred 2.5% cpi'!U$14*Incurred!U$14*BI102)</f>
        <v/>
      </c>
      <c r="V102" s="16" t="str">
        <f>IF(ISTEXT('Incurred 2.5% cpi'!V102),"",'Incurred 2.5% cpi'!V102/'Incurred 2.5% cpi'!V$14*Incurred!V$14*BJ102)</f>
        <v/>
      </c>
      <c r="W102" s="127" t="str">
        <f>IF(ISTEXT('Incurred 2.5% cpi'!W102),"",'Incurred 2.5% cpi'!W102/'Incurred 2.5% cpi'!W$14*Incurred!W$14*BK102)</f>
        <v/>
      </c>
      <c r="X102" s="119" t="str">
        <f>IF(ISTEXT('Incurred 2.5% cpi'!X102),"",'Incurred 2.5% cpi'!X102/'Incurred 2.5% cpi'!X$14*Incurred!X$14*BL102)</f>
        <v/>
      </c>
      <c r="Y102" s="95">
        <f t="shared" si="158"/>
        <v>164649.5</v>
      </c>
      <c r="Z102" s="95">
        <f t="shared" si="173"/>
        <v>195788.88</v>
      </c>
      <c r="AA102" s="676">
        <f t="shared" si="174"/>
        <v>191449.57821584371</v>
      </c>
      <c r="AB102" s="676">
        <f t="shared" si="175"/>
        <v>167011.92383895133</v>
      </c>
      <c r="AC102" s="677">
        <f t="shared" si="148"/>
        <v>1.1463228122589466</v>
      </c>
      <c r="AD102" s="678" t="str">
        <f t="shared" si="176"/>
        <v>2016</v>
      </c>
      <c r="AE102" s="679">
        <v>42495</v>
      </c>
      <c r="AF102" s="678">
        <v>2016</v>
      </c>
      <c r="AG102" s="680"/>
      <c r="AH102" s="676">
        <f t="shared" si="164"/>
        <v>173657.00929572867</v>
      </c>
      <c r="AI102" s="95">
        <f t="shared" si="177"/>
        <v>-15569.69</v>
      </c>
      <c r="AJ102" s="681" t="s">
        <v>0</v>
      </c>
      <c r="AK102" s="37">
        <f t="shared" si="178"/>
        <v>195999.99999999994</v>
      </c>
      <c r="AL102" s="31">
        <f t="shared" si="189"/>
        <v>0.39999999999999997</v>
      </c>
      <c r="AM102" s="31">
        <f t="shared" si="189"/>
        <v>0</v>
      </c>
      <c r="AN102" s="31">
        <f t="shared" si="189"/>
        <v>0</v>
      </c>
      <c r="AO102" s="31">
        <f t="shared" si="189"/>
        <v>0</v>
      </c>
      <c r="AP102" s="31">
        <f t="shared" si="189"/>
        <v>0</v>
      </c>
      <c r="AQ102" s="31">
        <f t="shared" si="189"/>
        <v>0</v>
      </c>
      <c r="AR102" s="31">
        <f t="shared" si="189"/>
        <v>0</v>
      </c>
      <c r="AS102" s="31">
        <f t="shared" si="189"/>
        <v>0.6</v>
      </c>
      <c r="AT102" s="31">
        <f t="shared" si="189"/>
        <v>0</v>
      </c>
      <c r="AU102" s="31">
        <f t="shared" si="189"/>
        <v>0</v>
      </c>
      <c r="AV102" s="31">
        <f t="shared" si="190"/>
        <v>0</v>
      </c>
      <c r="AW102" s="31">
        <f t="shared" si="190"/>
        <v>0</v>
      </c>
      <c r="AX102" s="31">
        <f t="shared" si="190"/>
        <v>0</v>
      </c>
      <c r="AY102" s="31">
        <f t="shared" si="190"/>
        <v>0</v>
      </c>
      <c r="AZ102" s="31">
        <f t="shared" si="190"/>
        <v>0</v>
      </c>
      <c r="BA102" s="31">
        <f t="shared" si="190"/>
        <v>0</v>
      </c>
      <c r="BB102" s="31">
        <f t="shared" si="190"/>
        <v>0</v>
      </c>
      <c r="BC102" s="31">
        <f t="shared" si="190"/>
        <v>0</v>
      </c>
      <c r="BD102" s="31">
        <f t="shared" si="190"/>
        <v>0</v>
      </c>
      <c r="BE102" s="30">
        <f t="shared" si="191"/>
        <v>1</v>
      </c>
      <c r="BF102" s="620">
        <f t="shared" si="159"/>
        <v>1.0018756098697492</v>
      </c>
      <c r="BG102" s="620">
        <f t="shared" si="182"/>
        <v>1.0037634112036518</v>
      </c>
      <c r="BH102" s="620">
        <f t="shared" si="183"/>
        <v>1.0059558020220052</v>
      </c>
      <c r="BI102" s="620">
        <f t="shared" si="184"/>
        <v>1.0086064025213943</v>
      </c>
      <c r="BJ102" s="620">
        <f t="shared" si="185"/>
        <v>1.0118751819594745</v>
      </c>
      <c r="BK102" s="620">
        <f t="shared" si="186"/>
        <v>1.0153301332446416</v>
      </c>
      <c r="BL102" s="620">
        <f t="shared" si="187"/>
        <v>1.0178480416551621</v>
      </c>
      <c r="BM102" s="621" t="str">
        <f t="shared" si="188"/>
        <v>Category</v>
      </c>
    </row>
    <row r="103" spans="1:65" x14ac:dyDescent="0.15">
      <c r="A103" s="12" t="s">
        <v>229</v>
      </c>
      <c r="B103" s="91" t="s">
        <v>230</v>
      </c>
      <c r="C103" s="13" t="s">
        <v>27</v>
      </c>
      <c r="D103" s="13" t="s">
        <v>60</v>
      </c>
      <c r="E103" s="13" t="s">
        <v>32</v>
      </c>
      <c r="F103" s="14">
        <v>0</v>
      </c>
      <c r="G103" s="14">
        <v>0</v>
      </c>
      <c r="H103" s="14">
        <v>0</v>
      </c>
      <c r="I103" s="14">
        <v>0</v>
      </c>
      <c r="J103" s="14">
        <v>0</v>
      </c>
      <c r="K103" s="14">
        <v>0</v>
      </c>
      <c r="L103" s="14">
        <v>0</v>
      </c>
      <c r="M103" s="15">
        <v>0</v>
      </c>
      <c r="N103" s="804"/>
      <c r="O103" s="14">
        <v>1991085.2</v>
      </c>
      <c r="P103" s="15"/>
      <c r="Q103" s="16" t="str">
        <f>IF(ISTEXT('Incurred 2.5% cpi'!Q103),"",'Incurred 2.5% cpi'!Q103/'Incurred 2.5% cpi'!Q$14*Incurred!Q$14)</f>
        <v/>
      </c>
      <c r="R103" s="127" t="str">
        <f>IF(ISTEXT('Incurred 2.5% cpi'!R103),"",'Incurred 2.5% cpi'!R103/'Incurred 2.5% cpi'!R$14*Incurred!R$14*BF103)</f>
        <v/>
      </c>
      <c r="S103" s="119" t="str">
        <f>IF(ISTEXT('Incurred 2.5% cpi'!S103),"",'Incurred 2.5% cpi'!S103/'Incurred 2.5% cpi'!S$14*Incurred!S$14*BG103)</f>
        <v/>
      </c>
      <c r="T103" s="16" t="str">
        <f>IF(ISTEXT('Incurred 2.5% cpi'!T103),"",'Incurred 2.5% cpi'!T103/'Incurred 2.5% cpi'!T$14*Incurred!T$14*BH103)</f>
        <v/>
      </c>
      <c r="U103" s="16" t="str">
        <f>IF(ISTEXT('Incurred 2.5% cpi'!U103),"",'Incurred 2.5% cpi'!U103/'Incurred 2.5% cpi'!U$14*Incurred!U$14*BI103)</f>
        <v/>
      </c>
      <c r="V103" s="16" t="str">
        <f>IF(ISTEXT('Incurred 2.5% cpi'!V103),"",'Incurred 2.5% cpi'!V103/'Incurred 2.5% cpi'!V$14*Incurred!V$14*BJ103)</f>
        <v/>
      </c>
      <c r="W103" s="127" t="str">
        <f>IF(ISTEXT('Incurred 2.5% cpi'!W103),"",'Incurred 2.5% cpi'!W103/'Incurred 2.5% cpi'!W$14*Incurred!W$14*BK103)</f>
        <v/>
      </c>
      <c r="X103" s="119" t="str">
        <f>IF(ISTEXT('Incurred 2.5% cpi'!X103),"",'Incurred 2.5% cpi'!X103/'Incurred 2.5% cpi'!X$14*Incurred!X$14*BL103)</f>
        <v/>
      </c>
      <c r="Y103" s="95">
        <f t="shared" si="158"/>
        <v>1991085.2</v>
      </c>
      <c r="Z103" s="95">
        <f t="shared" si="173"/>
        <v>1991085.2</v>
      </c>
      <c r="AA103" s="676">
        <f t="shared" si="174"/>
        <v>2312345.8329174933</v>
      </c>
      <c r="AB103" s="676">
        <f t="shared" si="175"/>
        <v>1991085.2</v>
      </c>
      <c r="AC103" s="677">
        <f t="shared" si="148"/>
        <v>1.161349515790431</v>
      </c>
      <c r="AD103" s="678" t="str">
        <f t="shared" si="176"/>
        <v>2015</v>
      </c>
      <c r="AE103" s="679">
        <v>41821</v>
      </c>
      <c r="AF103" s="678">
        <v>2015</v>
      </c>
      <c r="AG103" s="680"/>
      <c r="AH103" s="676">
        <f t="shared" si="164"/>
        <v>2097445.5287082023</v>
      </c>
      <c r="AI103" s="95">
        <f t="shared" si="177"/>
        <v>1991085.2</v>
      </c>
      <c r="AJ103" s="681" t="s">
        <v>0</v>
      </c>
      <c r="AK103" s="37">
        <f t="shared" si="178"/>
        <v>2000000.0000000005</v>
      </c>
      <c r="AL103" s="31">
        <f t="shared" si="189"/>
        <v>0</v>
      </c>
      <c r="AM103" s="31">
        <f t="shared" si="189"/>
        <v>0</v>
      </c>
      <c r="AN103" s="31">
        <f t="shared" si="189"/>
        <v>0</v>
      </c>
      <c r="AO103" s="31">
        <f t="shared" si="189"/>
        <v>0</v>
      </c>
      <c r="AP103" s="31">
        <f t="shared" si="189"/>
        <v>0</v>
      </c>
      <c r="AQ103" s="31">
        <f t="shared" si="189"/>
        <v>0</v>
      </c>
      <c r="AR103" s="31">
        <f t="shared" si="189"/>
        <v>0</v>
      </c>
      <c r="AS103" s="31">
        <f t="shared" si="189"/>
        <v>0</v>
      </c>
      <c r="AT103" s="31">
        <f t="shared" si="189"/>
        <v>0</v>
      </c>
      <c r="AU103" s="31">
        <f t="shared" si="189"/>
        <v>1</v>
      </c>
      <c r="AV103" s="31">
        <f t="shared" si="190"/>
        <v>0</v>
      </c>
      <c r="AW103" s="31">
        <f t="shared" si="190"/>
        <v>0</v>
      </c>
      <c r="AX103" s="31">
        <f t="shared" si="190"/>
        <v>0</v>
      </c>
      <c r="AY103" s="31">
        <f t="shared" si="190"/>
        <v>0</v>
      </c>
      <c r="AZ103" s="31">
        <f t="shared" si="190"/>
        <v>0</v>
      </c>
      <c r="BA103" s="31">
        <f t="shared" si="190"/>
        <v>0</v>
      </c>
      <c r="BB103" s="31">
        <f t="shared" si="190"/>
        <v>0</v>
      </c>
      <c r="BC103" s="31">
        <f t="shared" si="190"/>
        <v>0</v>
      </c>
      <c r="BD103" s="31">
        <f t="shared" si="190"/>
        <v>0</v>
      </c>
      <c r="BE103" s="30">
        <f t="shared" si="191"/>
        <v>1</v>
      </c>
      <c r="BF103" s="620">
        <f t="shared" si="159"/>
        <v>1.0002847743844534</v>
      </c>
      <c r="BG103" s="620">
        <f t="shared" si="182"/>
        <v>1.0005713998024055</v>
      </c>
      <c r="BH103" s="620">
        <f t="shared" si="183"/>
        <v>1.0009042711291389</v>
      </c>
      <c r="BI103" s="620">
        <f t="shared" si="184"/>
        <v>1.0013067125631596</v>
      </c>
      <c r="BJ103" s="620">
        <f t="shared" si="185"/>
        <v>1.001803012282737</v>
      </c>
      <c r="BK103" s="620">
        <f t="shared" si="186"/>
        <v>1.0023275785272521</v>
      </c>
      <c r="BL103" s="620">
        <f t="shared" si="187"/>
        <v>1.0027098732833635</v>
      </c>
      <c r="BM103" s="621" t="str">
        <f t="shared" si="188"/>
        <v>Category</v>
      </c>
    </row>
    <row r="104" spans="1:65" x14ac:dyDescent="0.15">
      <c r="A104" s="91" t="s">
        <v>231</v>
      </c>
      <c r="B104" s="91" t="s">
        <v>232</v>
      </c>
      <c r="C104" s="13" t="s">
        <v>27</v>
      </c>
      <c r="D104" s="13" t="s">
        <v>54</v>
      </c>
      <c r="E104" s="13" t="s">
        <v>29</v>
      </c>
      <c r="F104" s="14">
        <v>0</v>
      </c>
      <c r="G104" s="14">
        <v>0</v>
      </c>
      <c r="H104" s="14">
        <v>0</v>
      </c>
      <c r="I104" s="14">
        <v>0</v>
      </c>
      <c r="J104" s="14">
        <v>0</v>
      </c>
      <c r="K104" s="14">
        <v>0</v>
      </c>
      <c r="L104" s="14">
        <v>0</v>
      </c>
      <c r="M104" s="15">
        <v>0</v>
      </c>
      <c r="N104" s="804">
        <v>73819.259999999995</v>
      </c>
      <c r="O104" s="14">
        <v>1176181.29</v>
      </c>
      <c r="P104" s="15">
        <v>5432407.5999999996</v>
      </c>
      <c r="Q104" s="16">
        <f>IF(ISTEXT('Incurred 2.5% cpi'!Q104),"",'Incurred 2.5% cpi'!Q104/'Incurred 2.5% cpi'!Q$14*Incurred!Q$14)</f>
        <v>1056122.5900000001</v>
      </c>
      <c r="R104" s="127">
        <f>IF(ISTEXT('Incurred 2.5% cpi'!R104),"",'Incurred 2.5% cpi'!R104/'Incurred 2.5% cpi'!R$14*Incurred!R$14*BF104)</f>
        <v>1201033.8006048226</v>
      </c>
      <c r="S104" s="119">
        <f>IF(ISTEXT('Incurred 2.5% cpi'!S104),"",'Incurred 2.5% cpi'!S104/'Incurred 2.5% cpi'!S$14*Incurred!S$14*BG104)</f>
        <v>75074.487462679026</v>
      </c>
      <c r="T104" s="16" t="str">
        <f>IF(ISTEXT('Incurred 2.5% cpi'!T104),"",'Incurred 2.5% cpi'!T104/'Incurred 2.5% cpi'!T$14*Incurred!T$14*BH104)</f>
        <v/>
      </c>
      <c r="U104" s="16" t="str">
        <f>IF(ISTEXT('Incurred 2.5% cpi'!U104),"",'Incurred 2.5% cpi'!U104/'Incurred 2.5% cpi'!U$14*Incurred!U$14*BI104)</f>
        <v/>
      </c>
      <c r="V104" s="16" t="str">
        <f>IF(ISTEXT('Incurred 2.5% cpi'!V104),"",'Incurred 2.5% cpi'!V104/'Incurred 2.5% cpi'!V$14*Incurred!V$14*BJ104)</f>
        <v/>
      </c>
      <c r="W104" s="127" t="str">
        <f>IF(ISTEXT('Incurred 2.5% cpi'!W104),"",'Incurred 2.5% cpi'!W104/'Incurred 2.5% cpi'!W$14*Incurred!W$14*BK104)</f>
        <v/>
      </c>
      <c r="X104" s="119" t="str">
        <f>IF(ISTEXT('Incurred 2.5% cpi'!X104),"",'Incurred 2.5% cpi'!X104/'Incurred 2.5% cpi'!X$14*Incurred!X$14*BL104)</f>
        <v/>
      </c>
      <c r="Y104" s="95">
        <f t="shared" si="158"/>
        <v>9014639.0280675013</v>
      </c>
      <c r="Z104" s="95">
        <f t="shared" si="173"/>
        <v>9014639.0280675013</v>
      </c>
      <c r="AA104" s="676">
        <f t="shared" si="174"/>
        <v>10272644.1840581</v>
      </c>
      <c r="AB104" s="676">
        <f t="shared" si="175"/>
        <v>9317945.1382832061</v>
      </c>
      <c r="AC104" s="677">
        <f t="shared" si="148"/>
        <v>1.1024581097663335</v>
      </c>
      <c r="AD104" s="678" t="str">
        <f t="shared" si="176"/>
        <v>2019</v>
      </c>
      <c r="AE104" s="679">
        <v>43059</v>
      </c>
      <c r="AF104" s="678">
        <v>2018</v>
      </c>
      <c r="AG104" s="680"/>
      <c r="AH104" s="676">
        <f t="shared" si="164"/>
        <v>9317945.1382832043</v>
      </c>
      <c r="AI104" s="95">
        <f t="shared" si="177"/>
        <v>75074.487462679026</v>
      </c>
      <c r="AJ104" s="681" t="s">
        <v>0</v>
      </c>
      <c r="AK104" s="37">
        <f t="shared" si="178"/>
        <v>0</v>
      </c>
      <c r="AL104" s="31">
        <f t="shared" si="189"/>
        <v>0</v>
      </c>
      <c r="AM104" s="31">
        <f t="shared" si="189"/>
        <v>0</v>
      </c>
      <c r="AN104" s="31">
        <f t="shared" si="189"/>
        <v>0</v>
      </c>
      <c r="AO104" s="31">
        <f t="shared" si="189"/>
        <v>0</v>
      </c>
      <c r="AP104" s="31">
        <f t="shared" si="189"/>
        <v>0</v>
      </c>
      <c r="AQ104" s="31">
        <f t="shared" si="189"/>
        <v>0</v>
      </c>
      <c r="AR104" s="31">
        <f t="shared" si="189"/>
        <v>0</v>
      </c>
      <c r="AS104" s="31">
        <f t="shared" si="189"/>
        <v>0</v>
      </c>
      <c r="AT104" s="31">
        <f t="shared" si="189"/>
        <v>0</v>
      </c>
      <c r="AU104" s="31">
        <f t="shared" si="189"/>
        <v>1</v>
      </c>
      <c r="AV104" s="31">
        <f t="shared" si="190"/>
        <v>0</v>
      </c>
      <c r="AW104" s="31">
        <f t="shared" si="190"/>
        <v>0</v>
      </c>
      <c r="AX104" s="31">
        <f t="shared" si="190"/>
        <v>0</v>
      </c>
      <c r="AY104" s="31">
        <f t="shared" si="190"/>
        <v>0</v>
      </c>
      <c r="AZ104" s="31">
        <f t="shared" si="190"/>
        <v>0</v>
      </c>
      <c r="BA104" s="31">
        <f t="shared" si="190"/>
        <v>0</v>
      </c>
      <c r="BB104" s="31">
        <f t="shared" si="190"/>
        <v>0</v>
      </c>
      <c r="BC104" s="31">
        <f t="shared" si="190"/>
        <v>0</v>
      </c>
      <c r="BD104" s="31">
        <f t="shared" si="190"/>
        <v>0</v>
      </c>
      <c r="BE104" s="30">
        <f t="shared" si="191"/>
        <v>1</v>
      </c>
      <c r="BF104" s="620">
        <f t="shared" si="159"/>
        <v>1.0030818160192299</v>
      </c>
      <c r="BG104" s="620">
        <f t="shared" si="182"/>
        <v>1.006183663842585</v>
      </c>
      <c r="BH104" s="620">
        <f t="shared" si="183"/>
        <v>1.0097859828820543</v>
      </c>
      <c r="BI104" s="620">
        <f t="shared" si="184"/>
        <v>1.0141411866007726</v>
      </c>
      <c r="BJ104" s="620">
        <f t="shared" si="185"/>
        <v>1.0195121206090012</v>
      </c>
      <c r="BK104" s="620">
        <f t="shared" si="186"/>
        <v>1.0251889537223347</v>
      </c>
      <c r="BL104" s="620">
        <f t="shared" si="187"/>
        <v>1.0293261309677997</v>
      </c>
      <c r="BM104" s="621" t="str">
        <f t="shared" si="188"/>
        <v>Category</v>
      </c>
    </row>
    <row r="105" spans="1:65" x14ac:dyDescent="0.15">
      <c r="A105" s="91" t="s">
        <v>233</v>
      </c>
      <c r="B105" s="91" t="s">
        <v>2301</v>
      </c>
      <c r="C105" s="13" t="s">
        <v>27</v>
      </c>
      <c r="D105" s="13" t="s">
        <v>55</v>
      </c>
      <c r="E105" s="13" t="s">
        <v>112</v>
      </c>
      <c r="F105" s="14">
        <v>0</v>
      </c>
      <c r="G105" s="14">
        <v>0</v>
      </c>
      <c r="H105" s="14">
        <v>0</v>
      </c>
      <c r="I105" s="14">
        <v>0</v>
      </c>
      <c r="J105" s="14">
        <v>0</v>
      </c>
      <c r="K105" s="14">
        <v>0</v>
      </c>
      <c r="L105" s="14">
        <v>0</v>
      </c>
      <c r="M105" s="15">
        <v>0</v>
      </c>
      <c r="N105" s="804"/>
      <c r="O105" s="14"/>
      <c r="P105" s="15"/>
      <c r="Q105" s="16" t="str">
        <f>IF(ISTEXT('Incurred 2.5% cpi'!Q105),"",'Incurred 2.5% cpi'!Q105/'Incurred 2.5% cpi'!Q$14*Incurred!Q$14)</f>
        <v/>
      </c>
      <c r="R105" s="127" t="str">
        <f>IF(ISTEXT('Incurred 2.5% cpi'!R105),"",'Incurred 2.5% cpi'!R105/'Incurred 2.5% cpi'!R$14*Incurred!R$14*BF105)</f>
        <v/>
      </c>
      <c r="S105" s="119">
        <f>IF(ISTEXT('Incurred 2.5% cpi'!S105),"",'Incurred 2.5% cpi'!S105/'Incurred 2.5% cpi'!S$14*Incurred!S$14*BG105)</f>
        <v>743401.69922517054</v>
      </c>
      <c r="T105" s="16">
        <f>IF(ISTEXT('Incurred 2.5% cpi'!T105),"",'Incurred 2.5% cpi'!T105/'Incurred 2.5% cpi'!T$14*Incurred!T$14*BH105)</f>
        <v>955546.05344754271</v>
      </c>
      <c r="U105" s="16" t="str">
        <f>IF(ISTEXT('Incurred 2.5% cpi'!U105),"",'Incurred 2.5% cpi'!U105/'Incurred 2.5% cpi'!U$14*Incurred!U$14*BI105)</f>
        <v/>
      </c>
      <c r="V105" s="16" t="str">
        <f>IF(ISTEXT('Incurred 2.5% cpi'!V105),"",'Incurred 2.5% cpi'!V105/'Incurred 2.5% cpi'!V$14*Incurred!V$14*BJ105)</f>
        <v/>
      </c>
      <c r="W105" s="127" t="str">
        <f>IF(ISTEXT('Incurred 2.5% cpi'!W105),"",'Incurred 2.5% cpi'!W105/'Incurred 2.5% cpi'!W$14*Incurred!W$14*BK105)</f>
        <v/>
      </c>
      <c r="X105" s="119" t="str">
        <f>IF(ISTEXT('Incurred 2.5% cpi'!X105),"",'Incurred 2.5% cpi'!X105/'Incurred 2.5% cpi'!X$14*Incurred!X$14*BL105)</f>
        <v/>
      </c>
      <c r="Y105" s="95">
        <f t="shared" si="158"/>
        <v>1698947.7526727132</v>
      </c>
      <c r="Z105" s="95">
        <f t="shared" si="173"/>
        <v>1698947.7526727132</v>
      </c>
      <c r="AA105" s="676">
        <f t="shared" si="174"/>
        <v>1816874.2843324733</v>
      </c>
      <c r="AB105" s="676">
        <f t="shared" si="175"/>
        <v>1713592.7661474491</v>
      </c>
      <c r="AC105" s="677">
        <f t="shared" si="148"/>
        <v>1.060271915373</v>
      </c>
      <c r="AD105" s="678" t="str">
        <f t="shared" si="176"/>
        <v>2020</v>
      </c>
      <c r="AE105" s="679">
        <v>43787</v>
      </c>
      <c r="AF105" s="678">
        <v>2020</v>
      </c>
      <c r="AG105" s="680"/>
      <c r="AH105" s="676">
        <f t="shared" si="164"/>
        <v>1648021.152220977</v>
      </c>
      <c r="AI105" s="95">
        <f t="shared" si="177"/>
        <v>955546.05344754271</v>
      </c>
      <c r="AJ105" s="681" t="s">
        <v>3058</v>
      </c>
      <c r="AK105" s="37">
        <f t="shared" si="178"/>
        <v>310308.99999999988</v>
      </c>
      <c r="AL105" s="31">
        <f t="shared" ref="AL105:BD105" si="192">IF($AK105=0,VLOOKUP(MID($A105,4,5),ProjectSplits,AL$20,FALSE),IF(ISNA(VLOOKUP($A105,Estimates,AL$19,FALSE)),VLOOKUP(MID($A105,4,5),ProjectSplits,AL$20,FALSE),VLOOKUP($A105,Estimates,AL$19,FALSE)))</f>
        <v>0</v>
      </c>
      <c r="AM105" s="31">
        <f t="shared" si="192"/>
        <v>0</v>
      </c>
      <c r="AN105" s="31">
        <f t="shared" si="192"/>
        <v>0</v>
      </c>
      <c r="AO105" s="31">
        <f t="shared" si="192"/>
        <v>1</v>
      </c>
      <c r="AP105" s="31">
        <f t="shared" si="192"/>
        <v>0</v>
      </c>
      <c r="AQ105" s="31">
        <f t="shared" si="192"/>
        <v>0</v>
      </c>
      <c r="AR105" s="31">
        <f t="shared" si="192"/>
        <v>0</v>
      </c>
      <c r="AS105" s="31">
        <f t="shared" si="192"/>
        <v>0</v>
      </c>
      <c r="AT105" s="31">
        <f t="shared" si="192"/>
        <v>0</v>
      </c>
      <c r="AU105" s="31">
        <f t="shared" si="192"/>
        <v>0</v>
      </c>
      <c r="AV105" s="31">
        <f t="shared" si="192"/>
        <v>0</v>
      </c>
      <c r="AW105" s="31">
        <f t="shared" si="192"/>
        <v>0</v>
      </c>
      <c r="AX105" s="31">
        <f t="shared" si="192"/>
        <v>0</v>
      </c>
      <c r="AY105" s="31">
        <f t="shared" si="192"/>
        <v>0</v>
      </c>
      <c r="AZ105" s="31">
        <f t="shared" si="192"/>
        <v>0</v>
      </c>
      <c r="BA105" s="31">
        <f t="shared" si="192"/>
        <v>0</v>
      </c>
      <c r="BB105" s="31">
        <f t="shared" si="192"/>
        <v>0</v>
      </c>
      <c r="BC105" s="31">
        <f t="shared" si="192"/>
        <v>0</v>
      </c>
      <c r="BD105" s="31">
        <f t="shared" si="192"/>
        <v>0</v>
      </c>
      <c r="BE105" s="30">
        <f>SUM(AL105:BD105)</f>
        <v>1</v>
      </c>
      <c r="BF105" s="620">
        <f t="shared" si="159"/>
        <v>1.0047443590460903</v>
      </c>
      <c r="BG105" s="620">
        <f t="shared" si="182"/>
        <v>1.00951955642598</v>
      </c>
      <c r="BH105" s="620">
        <f t="shared" si="183"/>
        <v>1.0150652135369715</v>
      </c>
      <c r="BI105" s="620">
        <f t="shared" si="184"/>
        <v>1.0217699129841598</v>
      </c>
      <c r="BJ105" s="620">
        <f t="shared" si="185"/>
        <v>1.0300382973357538</v>
      </c>
      <c r="BK105" s="620">
        <f t="shared" si="186"/>
        <v>1.0387776037597363</v>
      </c>
      <c r="BL105" s="620">
        <f t="shared" si="187"/>
        <v>1.0451466582935969</v>
      </c>
      <c r="BM105" s="621" t="str">
        <f t="shared" si="188"/>
        <v>Project</v>
      </c>
    </row>
    <row r="106" spans="1:65" x14ac:dyDescent="0.15">
      <c r="A106" s="91" t="s">
        <v>234</v>
      </c>
      <c r="B106" s="91" t="s">
        <v>2376</v>
      </c>
      <c r="C106" s="13" t="s">
        <v>27</v>
      </c>
      <c r="D106" s="13" t="s">
        <v>55</v>
      </c>
      <c r="E106" s="13" t="s">
        <v>29</v>
      </c>
      <c r="F106" s="14">
        <v>0</v>
      </c>
      <c r="G106" s="14">
        <v>0</v>
      </c>
      <c r="H106" s="14">
        <v>0</v>
      </c>
      <c r="I106" s="14">
        <v>0</v>
      </c>
      <c r="J106" s="14">
        <v>0</v>
      </c>
      <c r="K106" s="14">
        <v>0</v>
      </c>
      <c r="L106" s="14">
        <v>0</v>
      </c>
      <c r="M106" s="15">
        <v>0</v>
      </c>
      <c r="N106" s="804">
        <v>58928.5</v>
      </c>
      <c r="O106" s="14">
        <v>11460.27</v>
      </c>
      <c r="P106" s="15">
        <v>-37171.56</v>
      </c>
      <c r="Q106" s="16">
        <f>IF(ISTEXT('Incurred 2.5% cpi'!Q106),"",'Incurred 2.5% cpi'!Q106/'Incurred 2.5% cpi'!Q$14*Incurred!Q$14)</f>
        <v>708767.64</v>
      </c>
      <c r="R106" s="127">
        <f>IF(ISTEXT('Incurred 2.5% cpi'!R106),"",'Incurred 2.5% cpi'!R106/'Incurred 2.5% cpi'!R$14*Incurred!R$14*BF106)</f>
        <v>260114.26733706801</v>
      </c>
      <c r="S106" s="119" t="str">
        <f>IF(ISTEXT('Incurred 2.5% cpi'!S106),"",'Incurred 2.5% cpi'!S106/'Incurred 2.5% cpi'!S$14*Incurred!S$14*BG106)</f>
        <v/>
      </c>
      <c r="T106" s="16" t="str">
        <f>IF(ISTEXT('Incurred 2.5% cpi'!T106),"",'Incurred 2.5% cpi'!T106/'Incurred 2.5% cpi'!T$14*Incurred!T$14*BH106)</f>
        <v/>
      </c>
      <c r="U106" s="16" t="str">
        <f>IF(ISTEXT('Incurred 2.5% cpi'!U106),"",'Incurred 2.5% cpi'!U106/'Incurred 2.5% cpi'!U$14*Incurred!U$14*BI106)</f>
        <v/>
      </c>
      <c r="V106" s="16" t="str">
        <f>IF(ISTEXT('Incurred 2.5% cpi'!V106),"",'Incurred 2.5% cpi'!V106/'Incurred 2.5% cpi'!V$14*Incurred!V$14*BJ106)</f>
        <v/>
      </c>
      <c r="W106" s="127" t="str">
        <f>IF(ISTEXT('Incurred 2.5% cpi'!W106),"",'Incurred 2.5% cpi'!W106/'Incurred 2.5% cpi'!W$14*Incurred!W$14*BK106)</f>
        <v/>
      </c>
      <c r="X106" s="119" t="str">
        <f>IF(ISTEXT('Incurred 2.5% cpi'!X106),"",'Incurred 2.5% cpi'!X106/'Incurred 2.5% cpi'!X$14*Incurred!X$14*BL106)</f>
        <v/>
      </c>
      <c r="Y106" s="95">
        <f t="shared" si="158"/>
        <v>1002099.117337068</v>
      </c>
      <c r="Z106" s="95">
        <f t="shared" si="173"/>
        <v>1076442.237337068</v>
      </c>
      <c r="AA106" s="676">
        <f t="shared" si="174"/>
        <v>1123589.4144217344</v>
      </c>
      <c r="AB106" s="676">
        <f t="shared" si="175"/>
        <v>1019167.4445207535</v>
      </c>
      <c r="AC106" s="677">
        <f t="shared" si="148"/>
        <v>1.1024581097663335</v>
      </c>
      <c r="AD106" s="678" t="str">
        <f t="shared" si="176"/>
        <v>2018</v>
      </c>
      <c r="AE106" s="679">
        <v>42975</v>
      </c>
      <c r="AF106" s="678">
        <v>2018</v>
      </c>
      <c r="AG106" s="680"/>
      <c r="AH106" s="676">
        <f t="shared" si="164"/>
        <v>1019167.4445207535</v>
      </c>
      <c r="AI106" s="95">
        <f t="shared" si="177"/>
        <v>260114.26733706801</v>
      </c>
      <c r="AJ106" s="681" t="s">
        <v>0</v>
      </c>
      <c r="AK106" s="37">
        <f t="shared" si="178"/>
        <v>1100000.0000000005</v>
      </c>
      <c r="AL106" s="31">
        <f t="shared" ref="AL106:BD106" si="193">IF($AK106=0,VLOOKUP(MID($A106,4,5),ProjectSplits,AL$20,FALSE),IF(ISNA(VLOOKUP($A106,Estimates,AL$19,FALSE)),VLOOKUP(MID($A106,4,5),ProjectSplits,AL$20,FALSE),VLOOKUP($A106,Estimates,AL$19,FALSE)))</f>
        <v>0</v>
      </c>
      <c r="AM106" s="31">
        <f t="shared" si="193"/>
        <v>0</v>
      </c>
      <c r="AN106" s="31">
        <f t="shared" si="193"/>
        <v>0</v>
      </c>
      <c r="AO106" s="31">
        <f t="shared" si="193"/>
        <v>1</v>
      </c>
      <c r="AP106" s="31">
        <f t="shared" si="193"/>
        <v>0</v>
      </c>
      <c r="AQ106" s="31">
        <f t="shared" si="193"/>
        <v>0</v>
      </c>
      <c r="AR106" s="31">
        <f t="shared" si="193"/>
        <v>0</v>
      </c>
      <c r="AS106" s="31">
        <f t="shared" si="193"/>
        <v>0</v>
      </c>
      <c r="AT106" s="31">
        <f t="shared" si="193"/>
        <v>0</v>
      </c>
      <c r="AU106" s="31">
        <f t="shared" si="193"/>
        <v>0</v>
      </c>
      <c r="AV106" s="31">
        <f t="shared" si="193"/>
        <v>0</v>
      </c>
      <c r="AW106" s="31">
        <f t="shared" si="193"/>
        <v>0</v>
      </c>
      <c r="AX106" s="31">
        <f t="shared" si="193"/>
        <v>0</v>
      </c>
      <c r="AY106" s="31">
        <f t="shared" si="193"/>
        <v>0</v>
      </c>
      <c r="AZ106" s="31">
        <f t="shared" si="193"/>
        <v>0</v>
      </c>
      <c r="BA106" s="31">
        <f t="shared" si="193"/>
        <v>0</v>
      </c>
      <c r="BB106" s="31">
        <f t="shared" si="193"/>
        <v>0</v>
      </c>
      <c r="BC106" s="31">
        <f t="shared" si="193"/>
        <v>0</v>
      </c>
      <c r="BD106" s="31">
        <f t="shared" si="193"/>
        <v>0</v>
      </c>
      <c r="BE106" s="30">
        <f>SUM(AL106:BD106)</f>
        <v>1</v>
      </c>
      <c r="BF106" s="620">
        <f t="shared" si="159"/>
        <v>1.0046190746045656</v>
      </c>
      <c r="BG106" s="620">
        <f t="shared" si="182"/>
        <v>1.0092681731940607</v>
      </c>
      <c r="BH106" s="620">
        <f t="shared" si="183"/>
        <v>1.0146673859598225</v>
      </c>
      <c r="BI106" s="620">
        <f t="shared" si="184"/>
        <v>1.0211950341936284</v>
      </c>
      <c r="BJ106" s="620">
        <f t="shared" si="185"/>
        <v>1.0292450750544078</v>
      </c>
      <c r="BK106" s="620">
        <f t="shared" si="186"/>
        <v>1.0377536023333034</v>
      </c>
      <c r="BL106" s="620">
        <f t="shared" si="187"/>
        <v>1.0439544690397748</v>
      </c>
      <c r="BM106" s="621" t="str">
        <f t="shared" si="188"/>
        <v>Category</v>
      </c>
    </row>
    <row r="107" spans="1:65" x14ac:dyDescent="0.15">
      <c r="A107" s="91" t="s">
        <v>235</v>
      </c>
      <c r="B107" s="91" t="s">
        <v>236</v>
      </c>
      <c r="C107" s="13" t="s">
        <v>27</v>
      </c>
      <c r="D107" s="13" t="s">
        <v>28</v>
      </c>
      <c r="E107" s="13" t="s">
        <v>29</v>
      </c>
      <c r="F107" s="14">
        <v>0</v>
      </c>
      <c r="G107" s="14">
        <v>0</v>
      </c>
      <c r="H107" s="14">
        <v>0</v>
      </c>
      <c r="I107" s="14">
        <v>0</v>
      </c>
      <c r="J107" s="14">
        <v>0</v>
      </c>
      <c r="K107" s="14">
        <v>0</v>
      </c>
      <c r="L107" s="14">
        <v>0</v>
      </c>
      <c r="M107" s="15">
        <v>0</v>
      </c>
      <c r="N107" s="804"/>
      <c r="O107" s="14">
        <v>9013.5</v>
      </c>
      <c r="P107" s="15">
        <v>404991.72</v>
      </c>
      <c r="Q107" s="16">
        <f>IF(ISTEXT('Incurred 2.5% cpi'!Q107),"",'Incurred 2.5% cpi'!Q107/'Incurred 2.5% cpi'!Q$14*Incurred!Q$14)</f>
        <v>1466815.47</v>
      </c>
      <c r="R107" s="127">
        <f>IF(ISTEXT('Incurred 2.5% cpi'!R107),"",'Incurred 2.5% cpi'!R107/'Incurred 2.5% cpi'!R$14*Incurred!R$14*BF107)</f>
        <v>685471.23577355698</v>
      </c>
      <c r="S107" s="119">
        <f>IF(ISTEXT('Incurred 2.5% cpi'!S107),"",'Incurred 2.5% cpi'!S107/'Incurred 2.5% cpi'!S$14*Incurred!S$14*BG107)</f>
        <v>12932.425044136578</v>
      </c>
      <c r="T107" s="16" t="str">
        <f>IF(ISTEXT('Incurred 2.5% cpi'!T107),"",'Incurred 2.5% cpi'!T107/'Incurred 2.5% cpi'!T$14*Incurred!T$14*BH107)</f>
        <v/>
      </c>
      <c r="U107" s="16" t="str">
        <f>IF(ISTEXT('Incurred 2.5% cpi'!U107),"",'Incurred 2.5% cpi'!U107/'Incurred 2.5% cpi'!U$14*Incurred!U$14*BI107)</f>
        <v/>
      </c>
      <c r="V107" s="16" t="str">
        <f>IF(ISTEXT('Incurred 2.5% cpi'!V107),"",'Incurred 2.5% cpi'!V107/'Incurred 2.5% cpi'!V$14*Incurred!V$14*BJ107)</f>
        <v/>
      </c>
      <c r="W107" s="127" t="str">
        <f>IF(ISTEXT('Incurred 2.5% cpi'!W107),"",'Incurred 2.5% cpi'!W107/'Incurred 2.5% cpi'!W$14*Incurred!W$14*BK107)</f>
        <v/>
      </c>
      <c r="X107" s="119" t="str">
        <f>IF(ISTEXT('Incurred 2.5% cpi'!X107),"",'Incurred 2.5% cpi'!X107/'Incurred 2.5% cpi'!X$14*Incurred!X$14*BL107)</f>
        <v/>
      </c>
      <c r="Y107" s="95">
        <f t="shared" si="158"/>
        <v>2579224.3508176934</v>
      </c>
      <c r="Z107" s="95">
        <f t="shared" si="173"/>
        <v>2579224.3508176934</v>
      </c>
      <c r="AA107" s="676">
        <f t="shared" si="174"/>
        <v>2893363.9372676862</v>
      </c>
      <c r="AB107" s="676">
        <f t="shared" si="175"/>
        <v>2624466.1013749866</v>
      </c>
      <c r="AC107" s="677">
        <f t="shared" si="148"/>
        <v>1.1024581097663335</v>
      </c>
      <c r="AD107" s="678" t="str">
        <f t="shared" si="176"/>
        <v>2019</v>
      </c>
      <c r="AE107" s="679">
        <v>43194</v>
      </c>
      <c r="AF107" s="678">
        <v>2018</v>
      </c>
      <c r="AG107" s="680"/>
      <c r="AH107" s="676">
        <f t="shared" si="164"/>
        <v>2624466.1013749861</v>
      </c>
      <c r="AI107" s="95">
        <f t="shared" si="177"/>
        <v>12932.425044136578</v>
      </c>
      <c r="AJ107" s="681" t="s">
        <v>0</v>
      </c>
      <c r="AK107" s="37">
        <f t="shared" si="178"/>
        <v>0</v>
      </c>
      <c r="AL107" s="31">
        <f t="shared" ref="AL107:BD107" si="194">IF($AK107=0,VLOOKUP(MID($A107,4,5),ProjectSplits,AL$20,FALSE),IF(ISNA(VLOOKUP($A107,Estimates,AL$19,FALSE)),VLOOKUP(MID($A107,4,5),ProjectSplits,AL$20,FALSE),VLOOKUP($A107,Estimates,AL$19,FALSE)))</f>
        <v>0</v>
      </c>
      <c r="AM107" s="31">
        <f t="shared" si="194"/>
        <v>0</v>
      </c>
      <c r="AN107" s="31">
        <f t="shared" si="194"/>
        <v>0</v>
      </c>
      <c r="AO107" s="31">
        <f t="shared" si="194"/>
        <v>0</v>
      </c>
      <c r="AP107" s="31">
        <f t="shared" si="194"/>
        <v>0</v>
      </c>
      <c r="AQ107" s="31">
        <f t="shared" si="194"/>
        <v>0</v>
      </c>
      <c r="AR107" s="31">
        <f t="shared" si="194"/>
        <v>0</v>
      </c>
      <c r="AS107" s="31">
        <f t="shared" si="194"/>
        <v>1</v>
      </c>
      <c r="AT107" s="31">
        <f t="shared" si="194"/>
        <v>0</v>
      </c>
      <c r="AU107" s="31">
        <f t="shared" si="194"/>
        <v>0</v>
      </c>
      <c r="AV107" s="31">
        <f t="shared" si="194"/>
        <v>0</v>
      </c>
      <c r="AW107" s="31">
        <f t="shared" si="194"/>
        <v>0</v>
      </c>
      <c r="AX107" s="31">
        <f t="shared" si="194"/>
        <v>0</v>
      </c>
      <c r="AY107" s="31">
        <f t="shared" si="194"/>
        <v>0</v>
      </c>
      <c r="AZ107" s="31">
        <f t="shared" si="194"/>
        <v>0</v>
      </c>
      <c r="BA107" s="31">
        <f t="shared" si="194"/>
        <v>0</v>
      </c>
      <c r="BB107" s="31">
        <f t="shared" si="194"/>
        <v>0</v>
      </c>
      <c r="BC107" s="31">
        <f t="shared" si="194"/>
        <v>0</v>
      </c>
      <c r="BD107" s="31">
        <f t="shared" si="194"/>
        <v>0</v>
      </c>
      <c r="BE107" s="30">
        <f>SUM(AL107:BD107)</f>
        <v>1</v>
      </c>
      <c r="BF107" s="620">
        <f t="shared" si="159"/>
        <v>1.0030444840366091</v>
      </c>
      <c r="BG107" s="620">
        <f t="shared" si="182"/>
        <v>1.0061087572194563</v>
      </c>
      <c r="BH107" s="620">
        <f t="shared" si="183"/>
        <v>1.0096674390946898</v>
      </c>
      <c r="BI107" s="620">
        <f t="shared" si="184"/>
        <v>1.0139698854818469</v>
      </c>
      <c r="BJ107" s="620">
        <f t="shared" si="185"/>
        <v>1.0192757579764089</v>
      </c>
      <c r="BK107" s="620">
        <f t="shared" si="186"/>
        <v>1.0248838240271385</v>
      </c>
      <c r="BL107" s="620">
        <f t="shared" si="187"/>
        <v>1.0289708850333266</v>
      </c>
      <c r="BM107" s="621" t="str">
        <f t="shared" si="188"/>
        <v>Category</v>
      </c>
    </row>
    <row r="108" spans="1:65" x14ac:dyDescent="0.15">
      <c r="A108" s="91" t="s">
        <v>237</v>
      </c>
      <c r="B108" s="91" t="s">
        <v>238</v>
      </c>
      <c r="C108" s="13" t="s">
        <v>27</v>
      </c>
      <c r="D108" s="13" t="s">
        <v>36</v>
      </c>
      <c r="E108" s="13" t="s">
        <v>32</v>
      </c>
      <c r="F108" s="14">
        <v>0</v>
      </c>
      <c r="G108" s="14">
        <v>0</v>
      </c>
      <c r="H108" s="14">
        <v>0</v>
      </c>
      <c r="I108" s="14">
        <v>0</v>
      </c>
      <c r="J108" s="14">
        <v>0</v>
      </c>
      <c r="K108" s="14">
        <v>0</v>
      </c>
      <c r="L108" s="14">
        <v>0</v>
      </c>
      <c r="M108" s="15">
        <v>0</v>
      </c>
      <c r="N108" s="804"/>
      <c r="O108" s="14">
        <v>188173.23</v>
      </c>
      <c r="P108" s="15">
        <v>12484.04</v>
      </c>
      <c r="Q108" s="16" t="str">
        <f>IF(ISTEXT('Incurred 2.5% cpi'!Q108),"",'Incurred 2.5% cpi'!Q108/'Incurred 2.5% cpi'!Q$14*Incurred!Q$14)</f>
        <v/>
      </c>
      <c r="R108" s="127" t="str">
        <f>IF(ISTEXT('Incurred 2.5% cpi'!R108),"",'Incurred 2.5% cpi'!R108/'Incurred 2.5% cpi'!R$14*Incurred!R$14*BF108)</f>
        <v/>
      </c>
      <c r="S108" s="119" t="str">
        <f>IF(ISTEXT('Incurred 2.5% cpi'!S108),"",'Incurred 2.5% cpi'!S108/'Incurred 2.5% cpi'!S$14*Incurred!S$14*BG108)</f>
        <v/>
      </c>
      <c r="T108" s="16" t="str">
        <f>IF(ISTEXT('Incurred 2.5% cpi'!T108),"",'Incurred 2.5% cpi'!T108/'Incurred 2.5% cpi'!T$14*Incurred!T$14*BH108)</f>
        <v/>
      </c>
      <c r="U108" s="16" t="str">
        <f>IF(ISTEXT('Incurred 2.5% cpi'!U108),"",'Incurred 2.5% cpi'!U108/'Incurred 2.5% cpi'!U$14*Incurred!U$14*BI108)</f>
        <v/>
      </c>
      <c r="V108" s="16" t="str">
        <f>IF(ISTEXT('Incurred 2.5% cpi'!V108),"",'Incurred 2.5% cpi'!V108/'Incurred 2.5% cpi'!V$14*Incurred!V$14*BJ108)</f>
        <v/>
      </c>
      <c r="W108" s="127" t="str">
        <f>IF(ISTEXT('Incurred 2.5% cpi'!W108),"",'Incurred 2.5% cpi'!W108/'Incurred 2.5% cpi'!W$14*Incurred!W$14*BK108)</f>
        <v/>
      </c>
      <c r="X108" s="119" t="str">
        <f>IF(ISTEXT('Incurred 2.5% cpi'!X108),"",'Incurred 2.5% cpi'!X108/'Incurred 2.5% cpi'!X$14*Incurred!X$14*BL108)</f>
        <v/>
      </c>
      <c r="Y108" s="95">
        <f t="shared" si="158"/>
        <v>200657.27000000002</v>
      </c>
      <c r="Z108" s="95">
        <f t="shared" si="173"/>
        <v>200657.27000000002</v>
      </c>
      <c r="AA108" s="676">
        <f t="shared" si="174"/>
        <v>232845.62938637458</v>
      </c>
      <c r="AB108" s="676">
        <f t="shared" si="175"/>
        <v>200495.73898336414</v>
      </c>
      <c r="AC108" s="677">
        <f t="shared" ref="AC108:AC137" si="195">IF(AF108="","",IF(AF108&lt;AD108,INDEX($F$17:$W$17,1,MATCH(TEXT(AF108,"000"),$F$21:$W$21)),INDEX($F$17:$W$17,1,MATCH(AD108,$F$21:$W$21))))</f>
        <v>1.161349515790431</v>
      </c>
      <c r="AD108" s="678" t="str">
        <f t="shared" si="176"/>
        <v>2016</v>
      </c>
      <c r="AE108" s="679">
        <v>42114</v>
      </c>
      <c r="AF108" s="678">
        <v>2015</v>
      </c>
      <c r="AG108" s="680"/>
      <c r="AH108" s="676">
        <f t="shared" si="164"/>
        <v>211205.87469371175</v>
      </c>
      <c r="AI108" s="95">
        <f t="shared" si="177"/>
        <v>12484.04</v>
      </c>
      <c r="AJ108" s="681" t="s">
        <v>0</v>
      </c>
      <c r="AK108" s="37">
        <f t="shared" si="178"/>
        <v>209999.99999999994</v>
      </c>
      <c r="AL108" s="31">
        <f t="shared" ref="AL108:AU109" si="196">IF($AK108=0,VLOOKUP(MID($A108,4,5),ProjectSplits,AL$20,FALSE),IF(ISNA(VLOOKUP($A108,Estimates,AL$19,FALSE)),VLOOKUP(MID($A108,4,5),ProjectSplits,AL$20,FALSE),VLOOKUP($A108,Estimates,AL$19,FALSE)))</f>
        <v>0.22</v>
      </c>
      <c r="AM108" s="31">
        <f t="shared" si="196"/>
        <v>0</v>
      </c>
      <c r="AN108" s="31">
        <f t="shared" si="196"/>
        <v>0</v>
      </c>
      <c r="AO108" s="31">
        <f t="shared" si="196"/>
        <v>0</v>
      </c>
      <c r="AP108" s="31">
        <f t="shared" si="196"/>
        <v>0</v>
      </c>
      <c r="AQ108" s="31">
        <f t="shared" si="196"/>
        <v>0</v>
      </c>
      <c r="AR108" s="31">
        <f t="shared" si="196"/>
        <v>0</v>
      </c>
      <c r="AS108" s="31">
        <f t="shared" si="196"/>
        <v>0.77999999999999992</v>
      </c>
      <c r="AT108" s="31">
        <f t="shared" si="196"/>
        <v>0</v>
      </c>
      <c r="AU108" s="31">
        <f t="shared" si="196"/>
        <v>0</v>
      </c>
      <c r="AV108" s="31">
        <f t="shared" ref="AV108:BD109" si="197">IF($AK108=0,VLOOKUP(MID($A108,4,5),ProjectSplits,AV$20,FALSE),IF(ISNA(VLOOKUP($A108,Estimates,AV$19,FALSE)),VLOOKUP(MID($A108,4,5),ProjectSplits,AV$20,FALSE),VLOOKUP($A108,Estimates,AV$19,FALSE)))</f>
        <v>0</v>
      </c>
      <c r="AW108" s="31">
        <f t="shared" si="197"/>
        <v>0</v>
      </c>
      <c r="AX108" s="31">
        <f t="shared" si="197"/>
        <v>0</v>
      </c>
      <c r="AY108" s="31">
        <f t="shared" si="197"/>
        <v>0</v>
      </c>
      <c r="AZ108" s="31">
        <f t="shared" si="197"/>
        <v>0</v>
      </c>
      <c r="BA108" s="31">
        <f t="shared" si="197"/>
        <v>0</v>
      </c>
      <c r="BB108" s="31">
        <f t="shared" si="197"/>
        <v>0</v>
      </c>
      <c r="BC108" s="31">
        <f t="shared" si="197"/>
        <v>0</v>
      </c>
      <c r="BD108" s="31">
        <f t="shared" si="197"/>
        <v>0</v>
      </c>
      <c r="BE108" s="30">
        <f t="shared" ref="BE108:BE109" si="198">SUM(AL108:BD108)</f>
        <v>0.99999999999999989</v>
      </c>
      <c r="BF108" s="620">
        <f t="shared" si="159"/>
        <v>1.0018756098697492</v>
      </c>
      <c r="BG108" s="620">
        <f t="shared" si="182"/>
        <v>1.0037634112036518</v>
      </c>
      <c r="BH108" s="620">
        <f t="shared" si="183"/>
        <v>1.0059558020220052</v>
      </c>
      <c r="BI108" s="620">
        <f t="shared" si="184"/>
        <v>1.0086064025213943</v>
      </c>
      <c r="BJ108" s="620">
        <f t="shared" si="185"/>
        <v>1.0118751819594745</v>
      </c>
      <c r="BK108" s="620">
        <f t="shared" si="186"/>
        <v>1.0153301332446416</v>
      </c>
      <c r="BL108" s="620">
        <f t="shared" si="187"/>
        <v>1.0178480416551621</v>
      </c>
      <c r="BM108" s="621" t="str">
        <f t="shared" si="188"/>
        <v>Category</v>
      </c>
    </row>
    <row r="109" spans="1:65" x14ac:dyDescent="0.15">
      <c r="A109" s="91" t="s">
        <v>239</v>
      </c>
      <c r="B109" s="91" t="s">
        <v>240</v>
      </c>
      <c r="C109" s="13" t="s">
        <v>27</v>
      </c>
      <c r="D109" s="13" t="s">
        <v>36</v>
      </c>
      <c r="E109" s="13" t="s">
        <v>29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5">
        <v>0</v>
      </c>
      <c r="N109" s="804"/>
      <c r="O109" s="14"/>
      <c r="P109" s="15">
        <v>5363.33</v>
      </c>
      <c r="Q109" s="16">
        <f>IF(ISTEXT('Incurred 2.5% cpi'!Q109),"",'Incurred 2.5% cpi'!Q109/'Incurred 2.5% cpi'!Q$14*Incurred!Q$14)</f>
        <v>19344.89</v>
      </c>
      <c r="R109" s="127" t="str">
        <f>IF(ISTEXT('Incurred 2.5% cpi'!R109),"",'Incurred 2.5% cpi'!R109/'Incurred 2.5% cpi'!R$14*Incurred!R$14*BF109)</f>
        <v/>
      </c>
      <c r="S109" s="119" t="str">
        <f>IF(ISTEXT('Incurred 2.5% cpi'!S109),"",'Incurred 2.5% cpi'!S109/'Incurred 2.5% cpi'!S$14*Incurred!S$14*BG109)</f>
        <v/>
      </c>
      <c r="T109" s="16" t="str">
        <f>IF(ISTEXT('Incurred 2.5% cpi'!T109),"",'Incurred 2.5% cpi'!T109/'Incurred 2.5% cpi'!T$14*Incurred!T$14*BH109)</f>
        <v/>
      </c>
      <c r="U109" s="16" t="str">
        <f>IF(ISTEXT('Incurred 2.5% cpi'!U109),"",'Incurred 2.5% cpi'!U109/'Incurred 2.5% cpi'!U$14*Incurred!U$14*BI109)</f>
        <v/>
      </c>
      <c r="V109" s="16" t="str">
        <f>IF(ISTEXT('Incurred 2.5% cpi'!V109),"",'Incurred 2.5% cpi'!V109/'Incurred 2.5% cpi'!V$14*Incurred!V$14*BJ109)</f>
        <v/>
      </c>
      <c r="W109" s="127" t="str">
        <f>IF(ISTEXT('Incurred 2.5% cpi'!W109),"",'Incurred 2.5% cpi'!W109/'Incurred 2.5% cpi'!W$14*Incurred!W$14*BK109)</f>
        <v/>
      </c>
      <c r="X109" s="119" t="str">
        <f>IF(ISTEXT('Incurred 2.5% cpi'!X109),"",'Incurred 2.5% cpi'!X109/'Incurred 2.5% cpi'!X$14*Incurred!X$14*BL109)</f>
        <v/>
      </c>
      <c r="Y109" s="95">
        <f t="shared" si="158"/>
        <v>24708.22</v>
      </c>
      <c r="Z109" s="95">
        <f t="shared" si="173"/>
        <v>24708.22</v>
      </c>
      <c r="AA109" s="676">
        <f t="shared" si="174"/>
        <v>27895.178929712267</v>
      </c>
      <c r="AB109" s="676">
        <f t="shared" si="175"/>
        <v>24813.877601</v>
      </c>
      <c r="AC109" s="677">
        <f t="shared" si="195"/>
        <v>1.1241765345287305</v>
      </c>
      <c r="AD109" s="678" t="str">
        <f t="shared" si="176"/>
        <v>2017</v>
      </c>
      <c r="AE109" s="679">
        <v>42578</v>
      </c>
      <c r="AF109" s="678">
        <v>2017</v>
      </c>
      <c r="AG109" s="680"/>
      <c r="AH109" s="676">
        <f t="shared" si="164"/>
        <v>25302.710989739702</v>
      </c>
      <c r="AI109" s="95">
        <f t="shared" si="177"/>
        <v>19344.89</v>
      </c>
      <c r="AJ109" s="681" t="s">
        <v>0</v>
      </c>
      <c r="AK109" s="37">
        <f t="shared" si="178"/>
        <v>33479.999999999985</v>
      </c>
      <c r="AL109" s="31">
        <f t="shared" si="196"/>
        <v>1</v>
      </c>
      <c r="AM109" s="31">
        <f t="shared" si="196"/>
        <v>0</v>
      </c>
      <c r="AN109" s="31">
        <f t="shared" si="196"/>
        <v>0</v>
      </c>
      <c r="AO109" s="31">
        <f t="shared" si="196"/>
        <v>0</v>
      </c>
      <c r="AP109" s="31">
        <f t="shared" si="196"/>
        <v>0</v>
      </c>
      <c r="AQ109" s="31">
        <f t="shared" si="196"/>
        <v>0</v>
      </c>
      <c r="AR109" s="31">
        <f t="shared" si="196"/>
        <v>0</v>
      </c>
      <c r="AS109" s="31">
        <f t="shared" si="196"/>
        <v>0</v>
      </c>
      <c r="AT109" s="31">
        <f t="shared" si="196"/>
        <v>0</v>
      </c>
      <c r="AU109" s="31">
        <f t="shared" si="196"/>
        <v>0</v>
      </c>
      <c r="AV109" s="31">
        <f t="shared" si="197"/>
        <v>0</v>
      </c>
      <c r="AW109" s="31">
        <f t="shared" si="197"/>
        <v>0</v>
      </c>
      <c r="AX109" s="31">
        <f t="shared" si="197"/>
        <v>0</v>
      </c>
      <c r="AY109" s="31">
        <f t="shared" si="197"/>
        <v>0</v>
      </c>
      <c r="AZ109" s="31">
        <f t="shared" si="197"/>
        <v>0</v>
      </c>
      <c r="BA109" s="31">
        <f t="shared" si="197"/>
        <v>0</v>
      </c>
      <c r="BB109" s="31">
        <f t="shared" si="197"/>
        <v>0</v>
      </c>
      <c r="BC109" s="31">
        <f t="shared" si="197"/>
        <v>0</v>
      </c>
      <c r="BD109" s="31">
        <f t="shared" si="197"/>
        <v>0</v>
      </c>
      <c r="BE109" s="30">
        <f t="shared" si="198"/>
        <v>1</v>
      </c>
      <c r="BF109" s="620">
        <f t="shared" si="159"/>
        <v>1.0018756098697492</v>
      </c>
      <c r="BG109" s="620">
        <f t="shared" si="182"/>
        <v>1.0037634112036518</v>
      </c>
      <c r="BH109" s="620">
        <f t="shared" si="183"/>
        <v>1.0059558020220052</v>
      </c>
      <c r="BI109" s="620">
        <f t="shared" si="184"/>
        <v>1.0086064025213943</v>
      </c>
      <c r="BJ109" s="620">
        <f t="shared" si="185"/>
        <v>1.0118751819594745</v>
      </c>
      <c r="BK109" s="620">
        <f t="shared" si="186"/>
        <v>1.0153301332446416</v>
      </c>
      <c r="BL109" s="620">
        <f t="shared" si="187"/>
        <v>1.0178480416551621</v>
      </c>
      <c r="BM109" s="621" t="str">
        <f t="shared" si="188"/>
        <v>Category</v>
      </c>
    </row>
    <row r="110" spans="1:65" x14ac:dyDescent="0.15">
      <c r="A110" s="91" t="s">
        <v>241</v>
      </c>
      <c r="B110" s="91" t="s">
        <v>242</v>
      </c>
      <c r="C110" s="13" t="s">
        <v>27</v>
      </c>
      <c r="D110" s="13" t="s">
        <v>40</v>
      </c>
      <c r="E110" s="13" t="s">
        <v>29</v>
      </c>
      <c r="F110" s="14">
        <v>0</v>
      </c>
      <c r="G110" s="14">
        <v>0</v>
      </c>
      <c r="H110" s="14">
        <v>0</v>
      </c>
      <c r="I110" s="14">
        <v>0</v>
      </c>
      <c r="J110" s="14">
        <v>0</v>
      </c>
      <c r="K110" s="14">
        <v>0</v>
      </c>
      <c r="L110" s="14">
        <v>0</v>
      </c>
      <c r="M110" s="15">
        <v>0</v>
      </c>
      <c r="N110" s="804"/>
      <c r="O110" s="14">
        <v>185599.88</v>
      </c>
      <c r="P110" s="15">
        <v>57958.92</v>
      </c>
      <c r="Q110" s="16">
        <f>IF(ISTEXT('Incurred 2.5% cpi'!Q110),"",'Incurred 2.5% cpi'!Q110/'Incurred 2.5% cpi'!Q$14*Incurred!Q$14)</f>
        <v>405224.84</v>
      </c>
      <c r="R110" s="127">
        <f>IF(ISTEXT('Incurred 2.5% cpi'!R110),"",'Incurred 2.5% cpi'!R110/'Incurred 2.5% cpi'!R$14*Incurred!R$14*BF110)</f>
        <v>4917695.6435345076</v>
      </c>
      <c r="S110" s="119">
        <f>IF(ISTEXT('Incurred 2.5% cpi'!S110),"",'Incurred 2.5% cpi'!S110/'Incurred 2.5% cpi'!S$14*Incurred!S$14*BG110)</f>
        <v>5825270.7902782364</v>
      </c>
      <c r="T110" s="16">
        <f>IF(ISTEXT('Incurred 2.5% cpi'!T110),"",'Incurred 2.5% cpi'!T110/'Incurred 2.5% cpi'!T$14*Incurred!T$14*BH110)</f>
        <v>20523.205834996086</v>
      </c>
      <c r="U110" s="16" t="str">
        <f>IF(ISTEXT('Incurred 2.5% cpi'!U110),"",'Incurred 2.5% cpi'!U110/'Incurred 2.5% cpi'!U$14*Incurred!U$14*BI110)</f>
        <v/>
      </c>
      <c r="V110" s="16" t="str">
        <f>IF(ISTEXT('Incurred 2.5% cpi'!V110),"",'Incurred 2.5% cpi'!V110/'Incurred 2.5% cpi'!V$14*Incurred!V$14*BJ110)</f>
        <v/>
      </c>
      <c r="W110" s="127" t="str">
        <f>IF(ISTEXT('Incurred 2.5% cpi'!W110),"",'Incurred 2.5% cpi'!W110/'Incurred 2.5% cpi'!W$14*Incurred!W$14*BK110)</f>
        <v/>
      </c>
      <c r="X110" s="119" t="str">
        <f>IF(ISTEXT('Incurred 2.5% cpi'!X110),"",'Incurred 2.5% cpi'!X110/'Incurred 2.5% cpi'!X$14*Incurred!X$14*BL110)</f>
        <v/>
      </c>
      <c r="Y110" s="95">
        <f t="shared" si="158"/>
        <v>11412273.27964774</v>
      </c>
      <c r="Z110" s="95">
        <f t="shared" si="173"/>
        <v>11412273.27964774</v>
      </c>
      <c r="AA110" s="676">
        <f t="shared" si="174"/>
        <v>12478889.369048942</v>
      </c>
      <c r="AB110" s="676">
        <f t="shared" si="175"/>
        <v>11542137.86165192</v>
      </c>
      <c r="AC110" s="677">
        <f t="shared" si="195"/>
        <v>1.0811592721058483</v>
      </c>
      <c r="AD110" s="678" t="str">
        <f t="shared" si="176"/>
        <v>2020</v>
      </c>
      <c r="AE110" s="679">
        <v>43451</v>
      </c>
      <c r="AF110" s="678">
        <v>2019</v>
      </c>
      <c r="AG110" s="680"/>
      <c r="AH110" s="676">
        <f t="shared" ref="AH110:AH114" si="199">IF(ROUND(Y110,0)=0,0,SUMPRODUCT($F$16:$W$16,F110:W110))</f>
        <v>11319150.594931763</v>
      </c>
      <c r="AI110" s="95">
        <f t="shared" si="177"/>
        <v>20523.205834996086</v>
      </c>
      <c r="AJ110" s="681" t="s">
        <v>3059</v>
      </c>
      <c r="AK110" s="37">
        <f t="shared" si="178"/>
        <v>0</v>
      </c>
      <c r="AL110" s="31">
        <f t="shared" ref="AL110:AU111" si="200">IF($AK110=0,VLOOKUP(MID($A110,4,5),ProjectSplits,AL$20,FALSE),IF(ISNA(VLOOKUP($A110,Estimates,AL$19,FALSE)),VLOOKUP(MID($A110,4,5),ProjectSplits,AL$20,FALSE),VLOOKUP($A110,Estimates,AL$19,FALSE)))</f>
        <v>0</v>
      </c>
      <c r="AM110" s="31">
        <f t="shared" si="200"/>
        <v>8.9915906972427545E-2</v>
      </c>
      <c r="AN110" s="31">
        <f t="shared" si="200"/>
        <v>0.91008409302757254</v>
      </c>
      <c r="AO110" s="31">
        <f t="shared" si="200"/>
        <v>0</v>
      </c>
      <c r="AP110" s="31">
        <f t="shared" si="200"/>
        <v>0</v>
      </c>
      <c r="AQ110" s="31">
        <f t="shared" si="200"/>
        <v>0</v>
      </c>
      <c r="AR110" s="31">
        <f t="shared" si="200"/>
        <v>0</v>
      </c>
      <c r="AS110" s="31">
        <f t="shared" si="200"/>
        <v>0</v>
      </c>
      <c r="AT110" s="31">
        <f t="shared" si="200"/>
        <v>0</v>
      </c>
      <c r="AU110" s="31">
        <f t="shared" si="200"/>
        <v>0</v>
      </c>
      <c r="AV110" s="31">
        <f t="shared" ref="AV110:BD111" si="201">IF($AK110=0,VLOOKUP(MID($A110,4,5),ProjectSplits,AV$20,FALSE),IF(ISNA(VLOOKUP($A110,Estimates,AV$19,FALSE)),VLOOKUP(MID($A110,4,5),ProjectSplits,AV$20,FALSE),VLOOKUP($A110,Estimates,AV$19,FALSE)))</f>
        <v>0</v>
      </c>
      <c r="AW110" s="31">
        <f t="shared" si="201"/>
        <v>0</v>
      </c>
      <c r="AX110" s="31">
        <f t="shared" si="201"/>
        <v>0</v>
      </c>
      <c r="AY110" s="31">
        <f t="shared" si="201"/>
        <v>0</v>
      </c>
      <c r="AZ110" s="31">
        <f t="shared" si="201"/>
        <v>0</v>
      </c>
      <c r="BA110" s="31">
        <f t="shared" si="201"/>
        <v>0</v>
      </c>
      <c r="BB110" s="31">
        <f t="shared" si="201"/>
        <v>0</v>
      </c>
      <c r="BC110" s="31">
        <f t="shared" si="201"/>
        <v>0</v>
      </c>
      <c r="BD110" s="31">
        <f t="shared" si="201"/>
        <v>0</v>
      </c>
      <c r="BE110" s="30">
        <f t="shared" ref="BE110:BE111" si="202">SUM(AL110:BD110)</f>
        <v>1</v>
      </c>
      <c r="BF110" s="620">
        <f t="shared" si="159"/>
        <v>1.0034498951996242</v>
      </c>
      <c r="BG110" s="620">
        <f t="shared" si="182"/>
        <v>1.0069222147180459</v>
      </c>
      <c r="BH110" s="620">
        <f t="shared" si="183"/>
        <v>1.0109547796356901</v>
      </c>
      <c r="BI110" s="620">
        <f t="shared" si="184"/>
        <v>1.0158301506211216</v>
      </c>
      <c r="BJ110" s="620">
        <f t="shared" si="185"/>
        <v>1.0218425664619335</v>
      </c>
      <c r="BK110" s="620">
        <f t="shared" si="186"/>
        <v>1.0281974167140426</v>
      </c>
      <c r="BL110" s="620">
        <f t="shared" si="187"/>
        <v>1.0328287210586446</v>
      </c>
      <c r="BM110" s="621" t="str">
        <f t="shared" si="188"/>
        <v>Category</v>
      </c>
    </row>
    <row r="111" spans="1:65" x14ac:dyDescent="0.15">
      <c r="A111" s="12" t="s">
        <v>243</v>
      </c>
      <c r="B111" s="13" t="s">
        <v>244</v>
      </c>
      <c r="C111" s="13" t="s">
        <v>27</v>
      </c>
      <c r="D111" s="13" t="s">
        <v>28</v>
      </c>
      <c r="E111" s="13" t="s">
        <v>29</v>
      </c>
      <c r="F111" s="14">
        <v>0</v>
      </c>
      <c r="G111" s="14">
        <v>0</v>
      </c>
      <c r="H111" s="14">
        <v>0</v>
      </c>
      <c r="I111" s="14">
        <v>0</v>
      </c>
      <c r="J111" s="14">
        <v>0</v>
      </c>
      <c r="K111" s="14">
        <v>0</v>
      </c>
      <c r="L111" s="14">
        <v>0</v>
      </c>
      <c r="M111" s="15">
        <v>0</v>
      </c>
      <c r="N111" s="804"/>
      <c r="O111" s="14">
        <v>213853.45</v>
      </c>
      <c r="P111" s="15">
        <v>6982366.7400000002</v>
      </c>
      <c r="Q111" s="16">
        <f>IF(ISTEXT('Incurred 2.5% cpi'!Q111),"",'Incurred 2.5% cpi'!Q111/'Incurred 2.5% cpi'!Q$14*Incurred!Q$14)</f>
        <v>312398.3</v>
      </c>
      <c r="R111" s="127">
        <f>IF(ISTEXT('Incurred 2.5% cpi'!R111),"",'Incurred 2.5% cpi'!R111/'Incurred 2.5% cpi'!R$14*Incurred!R$14*BF111)</f>
        <v>605350.60175310366</v>
      </c>
      <c r="S111" s="119">
        <f>IF(ISTEXT('Incurred 2.5% cpi'!S111),"",'Incurred 2.5% cpi'!S111/'Incurred 2.5% cpi'!S$14*Incurred!S$14*BG111)</f>
        <v>5473625.0247902712</v>
      </c>
      <c r="T111" s="16">
        <f>IF(ISTEXT('Incurred 2.5% cpi'!T111),"",'Incurred 2.5% cpi'!T111/'Incurred 2.5% cpi'!T$14*Incurred!T$14*BH111)</f>
        <v>140306.69760423456</v>
      </c>
      <c r="U111" s="16" t="str">
        <f>IF(ISTEXT('Incurred 2.5% cpi'!U111),"",'Incurred 2.5% cpi'!U111/'Incurred 2.5% cpi'!U$14*Incurred!U$14*BI111)</f>
        <v/>
      </c>
      <c r="V111" s="16" t="str">
        <f>IF(ISTEXT('Incurred 2.5% cpi'!V111),"",'Incurred 2.5% cpi'!V111/'Incurred 2.5% cpi'!V$14*Incurred!V$14*BJ111)</f>
        <v/>
      </c>
      <c r="W111" s="127" t="str">
        <f>IF(ISTEXT('Incurred 2.5% cpi'!W111),"",'Incurred 2.5% cpi'!W111/'Incurred 2.5% cpi'!W$14*Incurred!W$14*BK111)</f>
        <v/>
      </c>
      <c r="X111" s="119" t="str">
        <f>IF(ISTEXT('Incurred 2.5% cpi'!X111),"",'Incurred 2.5% cpi'!X111/'Incurred 2.5% cpi'!X$14*Incurred!X$14*BL111)</f>
        <v/>
      </c>
      <c r="Y111" s="95">
        <f t="shared" si="158"/>
        <v>13727900.81414761</v>
      </c>
      <c r="Z111" s="95">
        <f t="shared" si="173"/>
        <v>13727900.81414761</v>
      </c>
      <c r="AA111" s="676">
        <f t="shared" si="174"/>
        <v>15337593.095260156</v>
      </c>
      <c r="AB111" s="676">
        <f t="shared" si="175"/>
        <v>14465716.64577614</v>
      </c>
      <c r="AC111" s="677">
        <f t="shared" si="195"/>
        <v>1.060271915373</v>
      </c>
      <c r="AD111" s="678" t="str">
        <f t="shared" si="176"/>
        <v>2020</v>
      </c>
      <c r="AE111" s="679">
        <v>43682</v>
      </c>
      <c r="AF111" s="678">
        <v>2020</v>
      </c>
      <c r="AG111" s="680"/>
      <c r="AH111" s="676">
        <f t="shared" si="199"/>
        <v>13912177.668601818</v>
      </c>
      <c r="AI111" s="95">
        <f t="shared" si="177"/>
        <v>140306.69760423456</v>
      </c>
      <c r="AJ111" s="681" t="s">
        <v>3059</v>
      </c>
      <c r="AK111" s="37">
        <f t="shared" si="178"/>
        <v>0</v>
      </c>
      <c r="AL111" s="31">
        <f t="shared" si="200"/>
        <v>0</v>
      </c>
      <c r="AM111" s="31">
        <f t="shared" si="200"/>
        <v>6.1507014976110025E-2</v>
      </c>
      <c r="AN111" s="31">
        <f t="shared" si="200"/>
        <v>0.93849298502389</v>
      </c>
      <c r="AO111" s="31">
        <f t="shared" si="200"/>
        <v>0</v>
      </c>
      <c r="AP111" s="31">
        <f t="shared" si="200"/>
        <v>0</v>
      </c>
      <c r="AQ111" s="31">
        <f t="shared" si="200"/>
        <v>0</v>
      </c>
      <c r="AR111" s="31">
        <f t="shared" si="200"/>
        <v>0</v>
      </c>
      <c r="AS111" s="31">
        <f t="shared" si="200"/>
        <v>0</v>
      </c>
      <c r="AT111" s="31">
        <f t="shared" si="200"/>
        <v>0</v>
      </c>
      <c r="AU111" s="31">
        <f t="shared" si="200"/>
        <v>0</v>
      </c>
      <c r="AV111" s="31">
        <f t="shared" si="201"/>
        <v>0</v>
      </c>
      <c r="AW111" s="31">
        <f t="shared" si="201"/>
        <v>0</v>
      </c>
      <c r="AX111" s="31">
        <f t="shared" si="201"/>
        <v>0</v>
      </c>
      <c r="AY111" s="31">
        <f t="shared" si="201"/>
        <v>0</v>
      </c>
      <c r="AZ111" s="31">
        <f t="shared" si="201"/>
        <v>0</v>
      </c>
      <c r="BA111" s="31">
        <f t="shared" si="201"/>
        <v>0</v>
      </c>
      <c r="BB111" s="31">
        <f t="shared" si="201"/>
        <v>0</v>
      </c>
      <c r="BC111" s="31">
        <f t="shared" si="201"/>
        <v>0</v>
      </c>
      <c r="BD111" s="31">
        <f t="shared" si="201"/>
        <v>0</v>
      </c>
      <c r="BE111" s="30">
        <f t="shared" si="202"/>
        <v>1</v>
      </c>
      <c r="BF111" s="620">
        <f t="shared" si="159"/>
        <v>1.0030444840366091</v>
      </c>
      <c r="BG111" s="620">
        <f t="shared" si="182"/>
        <v>1.0061087572194563</v>
      </c>
      <c r="BH111" s="620">
        <f t="shared" si="183"/>
        <v>1.0096674390946898</v>
      </c>
      <c r="BI111" s="620">
        <f t="shared" si="184"/>
        <v>1.0139698854818469</v>
      </c>
      <c r="BJ111" s="620">
        <f t="shared" si="185"/>
        <v>1.0192757579764089</v>
      </c>
      <c r="BK111" s="620">
        <f t="shared" si="186"/>
        <v>1.0248838240271385</v>
      </c>
      <c r="BL111" s="620">
        <f t="shared" si="187"/>
        <v>1.0289708850333266</v>
      </c>
      <c r="BM111" s="621" t="str">
        <f t="shared" si="188"/>
        <v>Category</v>
      </c>
    </row>
    <row r="112" spans="1:65" x14ac:dyDescent="0.15">
      <c r="A112" s="12" t="s">
        <v>245</v>
      </c>
      <c r="B112" s="13" t="s">
        <v>246</v>
      </c>
      <c r="C112" s="13" t="s">
        <v>27</v>
      </c>
      <c r="D112" s="13" t="s">
        <v>44</v>
      </c>
      <c r="E112" s="13" t="s">
        <v>29</v>
      </c>
      <c r="F112" s="14">
        <v>0</v>
      </c>
      <c r="G112" s="14">
        <v>0</v>
      </c>
      <c r="H112" s="14">
        <v>0</v>
      </c>
      <c r="I112" s="14">
        <v>0</v>
      </c>
      <c r="J112" s="14">
        <v>0</v>
      </c>
      <c r="K112" s="14">
        <v>0</v>
      </c>
      <c r="L112" s="14">
        <v>25275.63</v>
      </c>
      <c r="M112" s="15">
        <v>1818104.54</v>
      </c>
      <c r="N112" s="804">
        <v>1336997.8400000001</v>
      </c>
      <c r="O112" s="14">
        <v>1345162.35</v>
      </c>
      <c r="P112" s="15">
        <v>467414.19</v>
      </c>
      <c r="Q112" s="16">
        <f>IF(ISTEXT('Incurred 2.5% cpi'!Q112),"",'Incurred 2.5% cpi'!Q112/'Incurred 2.5% cpi'!Q$14*Incurred!Q$14)</f>
        <v>6301950.5999999996</v>
      </c>
      <c r="R112" s="127">
        <f>IF(ISTEXT('Incurred 2.5% cpi'!R112),"",'Incurred 2.5% cpi'!R112/'Incurred 2.5% cpi'!R$14*Incurred!R$14*BF112)</f>
        <v>18180.897851940728</v>
      </c>
      <c r="S112" s="119" t="str">
        <f>IF(ISTEXT('Incurred 2.5% cpi'!S112),"",'Incurred 2.5% cpi'!S112/'Incurred 2.5% cpi'!S$14*Incurred!S$14*BG112)</f>
        <v/>
      </c>
      <c r="T112" s="16" t="str">
        <f>IF(ISTEXT('Incurred 2.5% cpi'!T112),"",'Incurred 2.5% cpi'!T112/'Incurred 2.5% cpi'!T$14*Incurred!T$14*BH112)</f>
        <v/>
      </c>
      <c r="U112" s="16" t="str">
        <f>IF(ISTEXT('Incurred 2.5% cpi'!U112),"",'Incurred 2.5% cpi'!U112/'Incurred 2.5% cpi'!U$14*Incurred!U$14*BI112)</f>
        <v/>
      </c>
      <c r="V112" s="16" t="str">
        <f>IF(ISTEXT('Incurred 2.5% cpi'!V112),"",'Incurred 2.5% cpi'!V112/'Incurred 2.5% cpi'!V$14*Incurred!V$14*BJ112)</f>
        <v/>
      </c>
      <c r="W112" s="127" t="str">
        <f>IF(ISTEXT('Incurred 2.5% cpi'!W112),"",'Incurred 2.5% cpi'!W112/'Incurred 2.5% cpi'!W$14*Incurred!W$14*BK112)</f>
        <v/>
      </c>
      <c r="X112" s="119" t="str">
        <f>IF(ISTEXT('Incurred 2.5% cpi'!X112),"",'Incurred 2.5% cpi'!X112/'Incurred 2.5% cpi'!X$14*Incurred!X$14*BL112)</f>
        <v/>
      </c>
      <c r="Y112" s="95">
        <f t="shared" si="158"/>
        <v>11313086.047851939</v>
      </c>
      <c r="Z112" s="95">
        <f t="shared" si="173"/>
        <v>11313086.047851939</v>
      </c>
      <c r="AA112" s="676">
        <f t="shared" si="174"/>
        <v>13009468.724316167</v>
      </c>
      <c r="AB112" s="676">
        <f t="shared" si="175"/>
        <v>11202027.079213735</v>
      </c>
      <c r="AC112" s="677">
        <f t="shared" si="195"/>
        <v>1.161349515790431</v>
      </c>
      <c r="AD112" s="678" t="str">
        <f t="shared" si="176"/>
        <v>2018</v>
      </c>
      <c r="AE112" s="679">
        <v>41943</v>
      </c>
      <c r="AF112" s="678">
        <v>2015</v>
      </c>
      <c r="AG112" s="680"/>
      <c r="AH112" s="676">
        <f t="shared" si="199"/>
        <v>11800419.996977054</v>
      </c>
      <c r="AI112" s="95">
        <f t="shared" si="177"/>
        <v>18180.897851940728</v>
      </c>
      <c r="AJ112" s="681" t="s">
        <v>0</v>
      </c>
      <c r="AK112" s="37">
        <f t="shared" si="178"/>
        <v>0</v>
      </c>
      <c r="AL112" s="31">
        <f t="shared" ref="AL112:BD112" si="203">IF($AK112=0,VLOOKUP(MID($A112,4,5),ProjectSplits,AL$20,FALSE),IF(ISNA(VLOOKUP($A112,Estimates,AL$19,FALSE)),VLOOKUP(MID($A112,4,5),ProjectSplits,AL$20,FALSE),VLOOKUP($A112,Estimates,AL$19,FALSE)))</f>
        <v>0</v>
      </c>
      <c r="AM112" s="31">
        <f t="shared" si="203"/>
        <v>0</v>
      </c>
      <c r="AN112" s="31">
        <f t="shared" si="203"/>
        <v>0</v>
      </c>
      <c r="AO112" s="31">
        <f t="shared" si="203"/>
        <v>0</v>
      </c>
      <c r="AP112" s="31">
        <f t="shared" si="203"/>
        <v>0</v>
      </c>
      <c r="AQ112" s="31">
        <f t="shared" si="203"/>
        <v>1</v>
      </c>
      <c r="AR112" s="31">
        <f t="shared" si="203"/>
        <v>0</v>
      </c>
      <c r="AS112" s="31">
        <f t="shared" si="203"/>
        <v>0</v>
      </c>
      <c r="AT112" s="31">
        <f t="shared" si="203"/>
        <v>0</v>
      </c>
      <c r="AU112" s="31">
        <f t="shared" si="203"/>
        <v>0</v>
      </c>
      <c r="AV112" s="31">
        <f t="shared" si="203"/>
        <v>0</v>
      </c>
      <c r="AW112" s="31">
        <f t="shared" si="203"/>
        <v>0</v>
      </c>
      <c r="AX112" s="31">
        <f t="shared" si="203"/>
        <v>0</v>
      </c>
      <c r="AY112" s="31">
        <f t="shared" si="203"/>
        <v>0</v>
      </c>
      <c r="AZ112" s="31">
        <f t="shared" si="203"/>
        <v>0</v>
      </c>
      <c r="BA112" s="31">
        <f t="shared" si="203"/>
        <v>0</v>
      </c>
      <c r="BB112" s="31">
        <f t="shared" si="203"/>
        <v>0</v>
      </c>
      <c r="BC112" s="31">
        <f t="shared" si="203"/>
        <v>0</v>
      </c>
      <c r="BD112" s="31">
        <f t="shared" si="203"/>
        <v>0</v>
      </c>
      <c r="BE112" s="30">
        <f>SUM(AL112:BD112)</f>
        <v>1</v>
      </c>
      <c r="BF112" s="620">
        <f t="shared" si="159"/>
        <v>1.0013788876313259</v>
      </c>
      <c r="BG112" s="620">
        <f t="shared" si="182"/>
        <v>1.0027667380322551</v>
      </c>
      <c r="BH112" s="620">
        <f t="shared" si="183"/>
        <v>1.0043785127574885</v>
      </c>
      <c r="BI112" s="620">
        <f t="shared" si="184"/>
        <v>1.0063271484002954</v>
      </c>
      <c r="BJ112" s="620">
        <f t="shared" si="185"/>
        <v>1.0087302491780192</v>
      </c>
      <c r="BK112" s="620">
        <f t="shared" si="186"/>
        <v>1.0112702174682198</v>
      </c>
      <c r="BL112" s="620">
        <f t="shared" si="187"/>
        <v>1.0131213021847563</v>
      </c>
      <c r="BM112" s="621" t="str">
        <f t="shared" si="188"/>
        <v>Category</v>
      </c>
    </row>
    <row r="113" spans="1:65" x14ac:dyDescent="0.15">
      <c r="A113" s="12" t="s">
        <v>248</v>
      </c>
      <c r="B113" s="13" t="s">
        <v>249</v>
      </c>
      <c r="C113" s="13" t="s">
        <v>27</v>
      </c>
      <c r="D113" s="13" t="s">
        <v>28</v>
      </c>
      <c r="E113" s="13" t="s">
        <v>29</v>
      </c>
      <c r="F113" s="14">
        <v>0</v>
      </c>
      <c r="G113" s="14">
        <v>0</v>
      </c>
      <c r="H113" s="14">
        <v>0</v>
      </c>
      <c r="I113" s="14">
        <v>0</v>
      </c>
      <c r="J113" s="14">
        <v>0</v>
      </c>
      <c r="K113" s="14">
        <v>0</v>
      </c>
      <c r="L113" s="14">
        <v>0</v>
      </c>
      <c r="M113" s="15">
        <v>0</v>
      </c>
      <c r="N113" s="804">
        <v>5538.17</v>
      </c>
      <c r="O113" s="14">
        <v>366.94</v>
      </c>
      <c r="P113" s="15">
        <v>59297.46</v>
      </c>
      <c r="Q113" s="16">
        <f>IF(ISTEXT('Incurred 2.5% cpi'!Q113),"",'Incurred 2.5% cpi'!Q113/'Incurred 2.5% cpi'!Q$14*Incurred!Q$14)</f>
        <v>229915.25</v>
      </c>
      <c r="R113" s="127">
        <f>IF(ISTEXT('Incurred 2.5% cpi'!R113),"",'Incurred 2.5% cpi'!R113/'Incurred 2.5% cpi'!R$14*Incurred!R$14*BF113)</f>
        <v>1611256.0872593638</v>
      </c>
      <c r="S113" s="119">
        <f>IF(ISTEXT('Incurred 2.5% cpi'!S113),"",'Incurred 2.5% cpi'!S113/'Incurred 2.5% cpi'!S$14*Incurred!S$14*BG113)</f>
        <v>48825.829887983498</v>
      </c>
      <c r="T113" s="16" t="str">
        <f>IF(ISTEXT('Incurred 2.5% cpi'!T113),"",'Incurred 2.5% cpi'!T113/'Incurred 2.5% cpi'!T$14*Incurred!T$14*BH113)</f>
        <v/>
      </c>
      <c r="U113" s="16" t="str">
        <f>IF(ISTEXT('Incurred 2.5% cpi'!U113),"",'Incurred 2.5% cpi'!U113/'Incurred 2.5% cpi'!U$14*Incurred!U$14*BI113)</f>
        <v/>
      </c>
      <c r="V113" s="16" t="str">
        <f>IF(ISTEXT('Incurred 2.5% cpi'!V113),"",'Incurred 2.5% cpi'!V113/'Incurred 2.5% cpi'!V$14*Incurred!V$14*BJ113)</f>
        <v/>
      </c>
      <c r="W113" s="127" t="str">
        <f>IF(ISTEXT('Incurred 2.5% cpi'!W113),"",'Incurred 2.5% cpi'!W113/'Incurred 2.5% cpi'!W$14*Incurred!W$14*BK113)</f>
        <v/>
      </c>
      <c r="X113" s="119" t="str">
        <f>IF(ISTEXT('Incurred 2.5% cpi'!X113),"",'Incurred 2.5% cpi'!X113/'Incurred 2.5% cpi'!X$14*Incurred!X$14*BL113)</f>
        <v/>
      </c>
      <c r="Y113" s="95">
        <f t="shared" si="158"/>
        <v>1955199.7371473473</v>
      </c>
      <c r="Z113" s="95">
        <f t="shared" si="173"/>
        <v>1955199.7371473473</v>
      </c>
      <c r="AA113" s="676">
        <f t="shared" si="174"/>
        <v>2162513.5269659609</v>
      </c>
      <c r="AB113" s="676">
        <f t="shared" si="175"/>
        <v>2000180.3460038635</v>
      </c>
      <c r="AC113" s="677">
        <f t="shared" si="195"/>
        <v>1.0811592721058483</v>
      </c>
      <c r="AD113" s="678" t="str">
        <f t="shared" si="176"/>
        <v>2019</v>
      </c>
      <c r="AE113" s="679">
        <v>43357</v>
      </c>
      <c r="AF113" s="678">
        <v>2019</v>
      </c>
      <c r="AG113" s="680"/>
      <c r="AH113" s="676">
        <f t="shared" si="199"/>
        <v>1961538.046488049</v>
      </c>
      <c r="AI113" s="95">
        <f t="shared" si="177"/>
        <v>48825.829887983498</v>
      </c>
      <c r="AJ113" s="681" t="s">
        <v>0</v>
      </c>
      <c r="AK113" s="37">
        <f t="shared" si="178"/>
        <v>2310800.0300158872</v>
      </c>
      <c r="AL113" s="31">
        <f t="shared" ref="AL113:AU114" si="204">IF($AK113=0,VLOOKUP(MID($A113,4,5),ProjectSplits,AL$20,FALSE),IF(ISNA(VLOOKUP($A113,Estimates,AL$19,FALSE)),VLOOKUP(MID($A113,4,5),ProjectSplits,AL$20,FALSE),VLOOKUP($A113,Estimates,AL$19,FALSE)))</f>
        <v>0</v>
      </c>
      <c r="AM113" s="31">
        <f t="shared" si="204"/>
        <v>0</v>
      </c>
      <c r="AN113" s="31">
        <f t="shared" si="204"/>
        <v>0</v>
      </c>
      <c r="AO113" s="31">
        <f t="shared" si="204"/>
        <v>0.36783797341138008</v>
      </c>
      <c r="AP113" s="31">
        <f t="shared" si="204"/>
        <v>0</v>
      </c>
      <c r="AQ113" s="31">
        <f t="shared" si="204"/>
        <v>0</v>
      </c>
      <c r="AR113" s="31">
        <f t="shared" si="204"/>
        <v>0</v>
      </c>
      <c r="AS113" s="31">
        <f t="shared" si="204"/>
        <v>0</v>
      </c>
      <c r="AT113" s="31">
        <f t="shared" si="204"/>
        <v>0</v>
      </c>
      <c r="AU113" s="31">
        <f t="shared" si="204"/>
        <v>0</v>
      </c>
      <c r="AV113" s="31">
        <f t="shared" ref="AV113:BD114" si="205">IF($AK113=0,VLOOKUP(MID($A113,4,5),ProjectSplits,AV$20,FALSE),IF(ISNA(VLOOKUP($A113,Estimates,AV$19,FALSE)),VLOOKUP(MID($A113,4,5),ProjectSplits,AV$20,FALSE),VLOOKUP($A113,Estimates,AV$19,FALSE)))</f>
        <v>0</v>
      </c>
      <c r="AW113" s="31">
        <f t="shared" si="205"/>
        <v>0</v>
      </c>
      <c r="AX113" s="31">
        <f t="shared" si="205"/>
        <v>0</v>
      </c>
      <c r="AY113" s="31">
        <f t="shared" si="205"/>
        <v>0</v>
      </c>
      <c r="AZ113" s="31">
        <f t="shared" si="205"/>
        <v>0.63216202658861986</v>
      </c>
      <c r="BA113" s="31">
        <f t="shared" si="205"/>
        <v>0</v>
      </c>
      <c r="BB113" s="31">
        <f t="shared" si="205"/>
        <v>0</v>
      </c>
      <c r="BC113" s="31">
        <f t="shared" si="205"/>
        <v>0</v>
      </c>
      <c r="BD113" s="31">
        <f t="shared" si="205"/>
        <v>0</v>
      </c>
      <c r="BE113" s="30">
        <f t="shared" ref="BE113:BE114" si="206">SUM(AL113:BD113)</f>
        <v>1</v>
      </c>
      <c r="BF113" s="620">
        <f t="shared" si="159"/>
        <v>1.0030444840366091</v>
      </c>
      <c r="BG113" s="620">
        <f t="shared" si="182"/>
        <v>1.0061087572194563</v>
      </c>
      <c r="BH113" s="620">
        <f t="shared" si="183"/>
        <v>1.0096674390946898</v>
      </c>
      <c r="BI113" s="620">
        <f t="shared" si="184"/>
        <v>1.0139698854818469</v>
      </c>
      <c r="BJ113" s="620">
        <f t="shared" si="185"/>
        <v>1.0192757579764089</v>
      </c>
      <c r="BK113" s="620">
        <f t="shared" si="186"/>
        <v>1.0248838240271385</v>
      </c>
      <c r="BL113" s="620">
        <f t="shared" si="187"/>
        <v>1.0289708850333266</v>
      </c>
      <c r="BM113" s="621" t="str">
        <f t="shared" si="188"/>
        <v>Category</v>
      </c>
    </row>
    <row r="114" spans="1:65" x14ac:dyDescent="0.15">
      <c r="A114" s="12" t="s">
        <v>250</v>
      </c>
      <c r="B114" s="13" t="s">
        <v>251</v>
      </c>
      <c r="C114" s="13" t="s">
        <v>27</v>
      </c>
      <c r="D114" s="13" t="s">
        <v>54</v>
      </c>
      <c r="E114" s="13" t="s">
        <v>29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5">
        <v>0</v>
      </c>
      <c r="N114" s="804">
        <v>68794.92</v>
      </c>
      <c r="O114" s="14">
        <v>-68794.92</v>
      </c>
      <c r="P114" s="15">
        <v>41663.269999999997</v>
      </c>
      <c r="Q114" s="16">
        <f>IF(ISTEXT('Incurred 2.5% cpi'!Q114),"",'Incurred 2.5% cpi'!Q114/'Incurred 2.5% cpi'!Q$14*Incurred!Q$14)</f>
        <v>95885.27</v>
      </c>
      <c r="R114" s="127">
        <f>IF(ISTEXT('Incurred 2.5% cpi'!R114),"",'Incurred 2.5% cpi'!R114/'Incurred 2.5% cpi'!R$14*Incurred!R$14*BF114)</f>
        <v>898237.66566846881</v>
      </c>
      <c r="S114" s="119">
        <f>IF(ISTEXT('Incurred 2.5% cpi'!S114),"",'Incurred 2.5% cpi'!S114/'Incurred 2.5% cpi'!S$14*Incurred!S$14*BG114)</f>
        <v>150866.76123847783</v>
      </c>
      <c r="T114" s="16" t="str">
        <f>IF(ISTEXT('Incurred 2.5% cpi'!T114),"",'Incurred 2.5% cpi'!T114/'Incurred 2.5% cpi'!T$14*Incurred!T$14*BH114)</f>
        <v/>
      </c>
      <c r="U114" s="16" t="str">
        <f>IF(ISTEXT('Incurred 2.5% cpi'!U114),"",'Incurred 2.5% cpi'!U114/'Incurred 2.5% cpi'!U$14*Incurred!U$14*BI114)</f>
        <v/>
      </c>
      <c r="V114" s="16" t="str">
        <f>IF(ISTEXT('Incurred 2.5% cpi'!V114),"",'Incurred 2.5% cpi'!V114/'Incurred 2.5% cpi'!V$14*Incurred!V$14*BJ114)</f>
        <v/>
      </c>
      <c r="W114" s="127" t="str">
        <f>IF(ISTEXT('Incurred 2.5% cpi'!W114),"",'Incurred 2.5% cpi'!W114/'Incurred 2.5% cpi'!W$14*Incurred!W$14*BK114)</f>
        <v/>
      </c>
      <c r="X114" s="119" t="str">
        <f>IF(ISTEXT('Incurred 2.5% cpi'!X114),"",'Incurred 2.5% cpi'!X114/'Incurred 2.5% cpi'!X$14*Incurred!X$14*BL114)</f>
        <v/>
      </c>
      <c r="Y114" s="95">
        <f t="shared" si="158"/>
        <v>1186652.9669069466</v>
      </c>
      <c r="Z114" s="95">
        <f t="shared" si="173"/>
        <v>1324242.8069069467</v>
      </c>
      <c r="AA114" s="676">
        <f t="shared" si="174"/>
        <v>1309993.1473599421</v>
      </c>
      <c r="AB114" s="676">
        <f t="shared" si="175"/>
        <v>1211656.0262285669</v>
      </c>
      <c r="AC114" s="677">
        <f t="shared" si="195"/>
        <v>1.0811592721058483</v>
      </c>
      <c r="AD114" s="678" t="str">
        <f t="shared" si="176"/>
        <v>2019</v>
      </c>
      <c r="AE114" s="679">
        <v>43398</v>
      </c>
      <c r="AF114" s="678">
        <v>2019</v>
      </c>
      <c r="AG114" s="680"/>
      <c r="AH114" s="676">
        <f t="shared" si="199"/>
        <v>1188247.5495033511</v>
      </c>
      <c r="AI114" s="95">
        <f t="shared" si="177"/>
        <v>150866.76123847783</v>
      </c>
      <c r="AJ114" s="681" t="s">
        <v>3058</v>
      </c>
      <c r="AK114" s="37">
        <f t="shared" si="178"/>
        <v>2282535.557429288</v>
      </c>
      <c r="AL114" s="31">
        <f t="shared" si="204"/>
        <v>0</v>
      </c>
      <c r="AM114" s="31">
        <f t="shared" si="204"/>
        <v>0</v>
      </c>
      <c r="AN114" s="31">
        <f t="shared" si="204"/>
        <v>0.26286556542595613</v>
      </c>
      <c r="AO114" s="31">
        <f t="shared" si="204"/>
        <v>0.21905463788836929</v>
      </c>
      <c r="AP114" s="31">
        <f t="shared" si="204"/>
        <v>0</v>
      </c>
      <c r="AQ114" s="31">
        <f t="shared" si="204"/>
        <v>1.0952731894418465E-2</v>
      </c>
      <c r="AR114" s="31">
        <f t="shared" si="204"/>
        <v>0</v>
      </c>
      <c r="AS114" s="31">
        <f t="shared" si="204"/>
        <v>0</v>
      </c>
      <c r="AT114" s="31">
        <f t="shared" si="204"/>
        <v>0</v>
      </c>
      <c r="AU114" s="31">
        <f t="shared" si="204"/>
        <v>0.1655332537889285</v>
      </c>
      <c r="AV114" s="31">
        <f t="shared" si="205"/>
        <v>0</v>
      </c>
      <c r="AW114" s="31">
        <f t="shared" si="205"/>
        <v>3.2858195683255391E-3</v>
      </c>
      <c r="AX114" s="31">
        <f t="shared" si="205"/>
        <v>0</v>
      </c>
      <c r="AY114" s="31">
        <f t="shared" si="205"/>
        <v>0</v>
      </c>
      <c r="AZ114" s="31">
        <f t="shared" si="205"/>
        <v>0.33830799143400192</v>
      </c>
      <c r="BA114" s="31">
        <f t="shared" si="205"/>
        <v>0</v>
      </c>
      <c r="BB114" s="31">
        <f t="shared" si="205"/>
        <v>0</v>
      </c>
      <c r="BC114" s="31">
        <f t="shared" si="205"/>
        <v>0</v>
      </c>
      <c r="BD114" s="31">
        <f t="shared" si="205"/>
        <v>0</v>
      </c>
      <c r="BE114" s="30">
        <f t="shared" si="206"/>
        <v>0.99999999999999978</v>
      </c>
      <c r="BF114" s="620">
        <f t="shared" si="159"/>
        <v>1.0030818160192299</v>
      </c>
      <c r="BG114" s="620">
        <f t="shared" si="182"/>
        <v>1.006183663842585</v>
      </c>
      <c r="BH114" s="620">
        <f t="shared" si="183"/>
        <v>1.0097859828820543</v>
      </c>
      <c r="BI114" s="620">
        <f t="shared" si="184"/>
        <v>1.0141411866007726</v>
      </c>
      <c r="BJ114" s="620">
        <f t="shared" si="185"/>
        <v>1.0195121206090012</v>
      </c>
      <c r="BK114" s="620">
        <f t="shared" si="186"/>
        <v>1.0251889537223347</v>
      </c>
      <c r="BL114" s="620">
        <f t="shared" si="187"/>
        <v>1.0293261309677997</v>
      </c>
      <c r="BM114" s="621" t="str">
        <f t="shared" si="188"/>
        <v>Category</v>
      </c>
    </row>
    <row r="115" spans="1:65" x14ac:dyDescent="0.15">
      <c r="A115" s="12" t="s">
        <v>252</v>
      </c>
      <c r="B115" s="13" t="s">
        <v>253</v>
      </c>
      <c r="C115" s="13" t="s">
        <v>27</v>
      </c>
      <c r="D115" s="13" t="s">
        <v>36</v>
      </c>
      <c r="E115" s="13" t="s">
        <v>29</v>
      </c>
      <c r="F115" s="14">
        <v>0</v>
      </c>
      <c r="G115" s="14">
        <v>0</v>
      </c>
      <c r="H115" s="14">
        <v>0</v>
      </c>
      <c r="I115" s="14">
        <v>0</v>
      </c>
      <c r="J115" s="14">
        <v>0</v>
      </c>
      <c r="K115" s="14">
        <v>0</v>
      </c>
      <c r="L115" s="14">
        <v>0</v>
      </c>
      <c r="M115" s="15">
        <v>0</v>
      </c>
      <c r="N115" s="804"/>
      <c r="O115" s="14"/>
      <c r="P115" s="15">
        <v>26995.38</v>
      </c>
      <c r="Q115" s="16">
        <f>IF(ISTEXT('Incurred 2.5% cpi'!Q115),"",'Incurred 2.5% cpi'!Q115/'Incurred 2.5% cpi'!Q$14*Incurred!Q$14)</f>
        <v>23044.19</v>
      </c>
      <c r="R115" s="127" t="str">
        <f>IF(ISTEXT('Incurred 2.5% cpi'!R115),"",'Incurred 2.5% cpi'!R115/'Incurred 2.5% cpi'!R$14*Incurred!R$14*BF115)</f>
        <v/>
      </c>
      <c r="S115" s="119" t="str">
        <f>IF(ISTEXT('Incurred 2.5% cpi'!S115),"",'Incurred 2.5% cpi'!S115/'Incurred 2.5% cpi'!S$14*Incurred!S$14*BG115)</f>
        <v/>
      </c>
      <c r="T115" s="16" t="str">
        <f>IF(ISTEXT('Incurred 2.5% cpi'!T115),"",'Incurred 2.5% cpi'!T115/'Incurred 2.5% cpi'!T$14*Incurred!T$14*BH115)</f>
        <v/>
      </c>
      <c r="U115" s="16" t="str">
        <f>IF(ISTEXT('Incurred 2.5% cpi'!U115),"",'Incurred 2.5% cpi'!U115/'Incurred 2.5% cpi'!U$14*Incurred!U$14*BI115)</f>
        <v/>
      </c>
      <c r="V115" s="16" t="str">
        <f>IF(ISTEXT('Incurred 2.5% cpi'!V115),"",'Incurred 2.5% cpi'!V115/'Incurred 2.5% cpi'!V$14*Incurred!V$14*BJ115)</f>
        <v/>
      </c>
      <c r="W115" s="127" t="str">
        <f>IF(ISTEXT('Incurred 2.5% cpi'!W115),"",'Incurred 2.5% cpi'!W115/'Incurred 2.5% cpi'!W$14*Incurred!W$14*BK115)</f>
        <v/>
      </c>
      <c r="X115" s="119" t="str">
        <f>IF(ISTEXT('Incurred 2.5% cpi'!X115),"",'Incurred 2.5% cpi'!X115/'Incurred 2.5% cpi'!X$14*Incurred!X$14*BL115)</f>
        <v/>
      </c>
      <c r="Y115" s="95">
        <f t="shared" si="158"/>
        <v>50039.57</v>
      </c>
      <c r="Z115" s="95">
        <f t="shared" si="173"/>
        <v>50039.57</v>
      </c>
      <c r="AA115" s="676">
        <f t="shared" si="174"/>
        <v>56851.157574820551</v>
      </c>
      <c r="AB115" s="676">
        <f t="shared" si="175"/>
        <v>50571.378986000003</v>
      </c>
      <c r="AC115" s="677">
        <f t="shared" si="195"/>
        <v>1.1241765345287305</v>
      </c>
      <c r="AD115" s="678" t="str">
        <f t="shared" si="176"/>
        <v>2017</v>
      </c>
      <c r="AE115" s="679">
        <v>42495</v>
      </c>
      <c r="AF115" s="678">
        <v>2017</v>
      </c>
      <c r="AG115" s="680"/>
      <c r="AH115" s="676">
        <f t="shared" ref="AH115:AH129" si="207">IF(ROUND(Y115,0)=0,0,SUMPRODUCT($F$16:$W$16,F115:W115))</f>
        <v>51567.635152024202</v>
      </c>
      <c r="AI115" s="95">
        <f t="shared" si="177"/>
        <v>23044.19</v>
      </c>
      <c r="AJ115" s="681" t="s">
        <v>0</v>
      </c>
      <c r="AK115" s="37">
        <f t="shared" si="178"/>
        <v>43999.999999999985</v>
      </c>
      <c r="AL115" s="31">
        <f t="shared" ref="AL115:AU123" si="208">IF($AK115=0,VLOOKUP(MID($A115,4,5),ProjectSplits,AL$20,FALSE),IF(ISNA(VLOOKUP($A115,Estimates,AL$19,FALSE)),VLOOKUP(MID($A115,4,5),ProjectSplits,AL$20,FALSE),VLOOKUP($A115,Estimates,AL$19,FALSE)))</f>
        <v>0.90909090909090906</v>
      </c>
      <c r="AM115" s="31">
        <f t="shared" si="208"/>
        <v>0</v>
      </c>
      <c r="AN115" s="31">
        <f t="shared" si="208"/>
        <v>0</v>
      </c>
      <c r="AO115" s="31">
        <f t="shared" si="208"/>
        <v>0</v>
      </c>
      <c r="AP115" s="31">
        <f t="shared" si="208"/>
        <v>0</v>
      </c>
      <c r="AQ115" s="31">
        <f t="shared" si="208"/>
        <v>0</v>
      </c>
      <c r="AR115" s="31">
        <f t="shared" si="208"/>
        <v>0</v>
      </c>
      <c r="AS115" s="31">
        <f t="shared" si="208"/>
        <v>9.0909090909090912E-2</v>
      </c>
      <c r="AT115" s="31">
        <f t="shared" si="208"/>
        <v>0</v>
      </c>
      <c r="AU115" s="31">
        <f t="shared" si="208"/>
        <v>0</v>
      </c>
      <c r="AV115" s="31">
        <f t="shared" ref="AV115:BD123" si="209">IF($AK115=0,VLOOKUP(MID($A115,4,5),ProjectSplits,AV$20,FALSE),IF(ISNA(VLOOKUP($A115,Estimates,AV$19,FALSE)),VLOOKUP(MID($A115,4,5),ProjectSplits,AV$20,FALSE),VLOOKUP($A115,Estimates,AV$19,FALSE)))</f>
        <v>0</v>
      </c>
      <c r="AW115" s="31">
        <f t="shared" si="209"/>
        <v>0</v>
      </c>
      <c r="AX115" s="31">
        <f t="shared" si="209"/>
        <v>0</v>
      </c>
      <c r="AY115" s="31">
        <f t="shared" si="209"/>
        <v>0</v>
      </c>
      <c r="AZ115" s="31">
        <f t="shared" si="209"/>
        <v>0</v>
      </c>
      <c r="BA115" s="31">
        <f t="shared" si="209"/>
        <v>0</v>
      </c>
      <c r="BB115" s="31">
        <f t="shared" si="209"/>
        <v>0</v>
      </c>
      <c r="BC115" s="31">
        <f t="shared" si="209"/>
        <v>0</v>
      </c>
      <c r="BD115" s="31">
        <f t="shared" si="209"/>
        <v>0</v>
      </c>
      <c r="BE115" s="30">
        <f t="shared" ref="BE115:BE129" si="210">SUM(AL115:BD115)</f>
        <v>1</v>
      </c>
      <c r="BF115" s="620">
        <f t="shared" si="159"/>
        <v>1.0018756098697492</v>
      </c>
      <c r="BG115" s="620">
        <f t="shared" si="182"/>
        <v>1.0037634112036518</v>
      </c>
      <c r="BH115" s="620">
        <f t="shared" si="183"/>
        <v>1.0059558020220052</v>
      </c>
      <c r="BI115" s="620">
        <f t="shared" si="184"/>
        <v>1.0086064025213943</v>
      </c>
      <c r="BJ115" s="620">
        <f t="shared" si="185"/>
        <v>1.0118751819594745</v>
      </c>
      <c r="BK115" s="620">
        <f t="shared" si="186"/>
        <v>1.0153301332446416</v>
      </c>
      <c r="BL115" s="620">
        <f t="shared" si="187"/>
        <v>1.0178480416551621</v>
      </c>
      <c r="BM115" s="621" t="str">
        <f t="shared" si="188"/>
        <v>Category</v>
      </c>
    </row>
    <row r="116" spans="1:65" x14ac:dyDescent="0.15">
      <c r="A116" s="12" t="s">
        <v>254</v>
      </c>
      <c r="B116" s="13" t="s">
        <v>2377</v>
      </c>
      <c r="C116" s="13" t="s">
        <v>27</v>
      </c>
      <c r="D116" s="13" t="s">
        <v>36</v>
      </c>
      <c r="E116" s="13" t="s">
        <v>32</v>
      </c>
      <c r="F116" s="14">
        <v>0</v>
      </c>
      <c r="G116" s="14">
        <v>0</v>
      </c>
      <c r="H116" s="14">
        <v>0</v>
      </c>
      <c r="I116" s="14">
        <v>0</v>
      </c>
      <c r="J116" s="14">
        <v>0</v>
      </c>
      <c r="K116" s="14">
        <v>0</v>
      </c>
      <c r="L116" s="14">
        <v>0</v>
      </c>
      <c r="M116" s="15">
        <v>0</v>
      </c>
      <c r="N116" s="804"/>
      <c r="O116" s="14"/>
      <c r="P116" s="15">
        <v>76855.67</v>
      </c>
      <c r="Q116" s="16">
        <f>IF(ISTEXT('Incurred 2.5% cpi'!Q116),"",'Incurred 2.5% cpi'!Q116/'Incurred 2.5% cpi'!Q$14*Incurred!Q$14)</f>
        <v>160.63999999999999</v>
      </c>
      <c r="R116" s="127" t="str">
        <f>IF(ISTEXT('Incurred 2.5% cpi'!R116),"",'Incurred 2.5% cpi'!R116/'Incurred 2.5% cpi'!R$14*Incurred!R$14*BF116)</f>
        <v/>
      </c>
      <c r="S116" s="119" t="str">
        <f>IF(ISTEXT('Incurred 2.5% cpi'!S116),"",'Incurred 2.5% cpi'!S116/'Incurred 2.5% cpi'!S$14*Incurred!S$14*BG116)</f>
        <v/>
      </c>
      <c r="T116" s="16" t="str">
        <f>IF(ISTEXT('Incurred 2.5% cpi'!T116),"",'Incurred 2.5% cpi'!T116/'Incurred 2.5% cpi'!T$14*Incurred!T$14*BH116)</f>
        <v/>
      </c>
      <c r="U116" s="16" t="str">
        <f>IF(ISTEXT('Incurred 2.5% cpi'!U116),"",'Incurred 2.5% cpi'!U116/'Incurred 2.5% cpi'!U$14*Incurred!U$14*BI116)</f>
        <v/>
      </c>
      <c r="V116" s="16" t="str">
        <f>IF(ISTEXT('Incurred 2.5% cpi'!V116),"",'Incurred 2.5% cpi'!V116/'Incurred 2.5% cpi'!V$14*Incurred!V$14*BJ116)</f>
        <v/>
      </c>
      <c r="W116" s="127" t="str">
        <f>IF(ISTEXT('Incurred 2.5% cpi'!W116),"",'Incurred 2.5% cpi'!W116/'Incurred 2.5% cpi'!W$14*Incurred!W$14*BK116)</f>
        <v/>
      </c>
      <c r="X116" s="119" t="str">
        <f>IF(ISTEXT('Incurred 2.5% cpi'!X116),"",'Incurred 2.5% cpi'!X116/'Incurred 2.5% cpi'!X$14*Incurred!X$14*BL116)</f>
        <v/>
      </c>
      <c r="Y116" s="95">
        <f t="shared" si="158"/>
        <v>77016.31</v>
      </c>
      <c r="Z116" s="95">
        <f t="shared" si="173"/>
        <v>77016.31</v>
      </c>
      <c r="AA116" s="676">
        <f t="shared" si="174"/>
        <v>88281.995490952249</v>
      </c>
      <c r="AB116" s="676">
        <f t="shared" si="175"/>
        <v>77013.206530352065</v>
      </c>
      <c r="AC116" s="677">
        <f t="shared" si="195"/>
        <v>1.1463228122589466</v>
      </c>
      <c r="AD116" s="678" t="str">
        <f t="shared" si="176"/>
        <v>2017</v>
      </c>
      <c r="AE116" s="679">
        <v>42451</v>
      </c>
      <c r="AF116" s="678">
        <v>2016</v>
      </c>
      <c r="AG116" s="680"/>
      <c r="AH116" s="676">
        <f t="shared" si="207"/>
        <v>80077.414922970303</v>
      </c>
      <c r="AI116" s="95">
        <f t="shared" si="177"/>
        <v>160.63999999999999</v>
      </c>
      <c r="AJ116" s="681" t="s">
        <v>0</v>
      </c>
      <c r="AK116" s="37">
        <f t="shared" si="178"/>
        <v>58499.999999999978</v>
      </c>
      <c r="AL116" s="31">
        <f t="shared" si="208"/>
        <v>0.24444444444444444</v>
      </c>
      <c r="AM116" s="31">
        <f t="shared" si="208"/>
        <v>0</v>
      </c>
      <c r="AN116" s="31">
        <f t="shared" si="208"/>
        <v>0</v>
      </c>
      <c r="AO116" s="31">
        <f t="shared" si="208"/>
        <v>0</v>
      </c>
      <c r="AP116" s="31">
        <f t="shared" si="208"/>
        <v>0</v>
      </c>
      <c r="AQ116" s="31">
        <f t="shared" si="208"/>
        <v>0</v>
      </c>
      <c r="AR116" s="31">
        <f t="shared" si="208"/>
        <v>0</v>
      </c>
      <c r="AS116" s="31">
        <f t="shared" si="208"/>
        <v>0.75555555555555554</v>
      </c>
      <c r="AT116" s="31">
        <f t="shared" si="208"/>
        <v>0</v>
      </c>
      <c r="AU116" s="31">
        <f t="shared" si="208"/>
        <v>0</v>
      </c>
      <c r="AV116" s="31">
        <f t="shared" si="209"/>
        <v>0</v>
      </c>
      <c r="AW116" s="31">
        <f t="shared" si="209"/>
        <v>0</v>
      </c>
      <c r="AX116" s="31">
        <f t="shared" si="209"/>
        <v>0</v>
      </c>
      <c r="AY116" s="31">
        <f t="shared" si="209"/>
        <v>0</v>
      </c>
      <c r="AZ116" s="31">
        <f t="shared" si="209"/>
        <v>0</v>
      </c>
      <c r="BA116" s="31">
        <f t="shared" si="209"/>
        <v>0</v>
      </c>
      <c r="BB116" s="31">
        <f t="shared" si="209"/>
        <v>0</v>
      </c>
      <c r="BC116" s="31">
        <f t="shared" si="209"/>
        <v>0</v>
      </c>
      <c r="BD116" s="31">
        <f t="shared" si="209"/>
        <v>0</v>
      </c>
      <c r="BE116" s="30">
        <f t="shared" si="210"/>
        <v>1</v>
      </c>
      <c r="BF116" s="620">
        <f t="shared" si="159"/>
        <v>1.0018756098697492</v>
      </c>
      <c r="BG116" s="620">
        <f t="shared" si="182"/>
        <v>1.0037634112036518</v>
      </c>
      <c r="BH116" s="620">
        <f t="shared" si="183"/>
        <v>1.0059558020220052</v>
      </c>
      <c r="BI116" s="620">
        <f t="shared" si="184"/>
        <v>1.0086064025213943</v>
      </c>
      <c r="BJ116" s="620">
        <f t="shared" si="185"/>
        <v>1.0118751819594745</v>
      </c>
      <c r="BK116" s="620">
        <f t="shared" si="186"/>
        <v>1.0153301332446416</v>
      </c>
      <c r="BL116" s="620">
        <f t="shared" si="187"/>
        <v>1.0178480416551621</v>
      </c>
      <c r="BM116" s="621" t="str">
        <f t="shared" si="188"/>
        <v>Category</v>
      </c>
    </row>
    <row r="117" spans="1:65" x14ac:dyDescent="0.15">
      <c r="A117" s="12" t="s">
        <v>255</v>
      </c>
      <c r="B117" s="13" t="s">
        <v>256</v>
      </c>
      <c r="C117" s="13" t="s">
        <v>27</v>
      </c>
      <c r="D117" s="13" t="s">
        <v>36</v>
      </c>
      <c r="E117" s="13" t="s">
        <v>29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5">
        <v>0</v>
      </c>
      <c r="N117" s="804"/>
      <c r="O117" s="14"/>
      <c r="P117" s="15">
        <v>52854.23</v>
      </c>
      <c r="Q117" s="16">
        <f>IF(ISTEXT('Incurred 2.5% cpi'!Q117),"",'Incurred 2.5% cpi'!Q117/'Incurred 2.5% cpi'!Q$14*Incurred!Q$14)</f>
        <v>126104.97</v>
      </c>
      <c r="R117" s="127" t="str">
        <f>IF(ISTEXT('Incurred 2.5% cpi'!R117),"",'Incurred 2.5% cpi'!R117/'Incurred 2.5% cpi'!R$14*Incurred!R$14*BF117)</f>
        <v/>
      </c>
      <c r="S117" s="119" t="str">
        <f>IF(ISTEXT('Incurred 2.5% cpi'!S117),"",'Incurred 2.5% cpi'!S117/'Incurred 2.5% cpi'!S$14*Incurred!S$14*BG117)</f>
        <v/>
      </c>
      <c r="T117" s="16" t="str">
        <f>IF(ISTEXT('Incurred 2.5% cpi'!T117),"",'Incurred 2.5% cpi'!T117/'Incurred 2.5% cpi'!T$14*Incurred!T$14*BH117)</f>
        <v/>
      </c>
      <c r="U117" s="16" t="str">
        <f>IF(ISTEXT('Incurred 2.5% cpi'!U117),"",'Incurred 2.5% cpi'!U117/'Incurred 2.5% cpi'!U$14*Incurred!U$14*BI117)</f>
        <v/>
      </c>
      <c r="V117" s="16" t="str">
        <f>IF(ISTEXT('Incurred 2.5% cpi'!V117),"",'Incurred 2.5% cpi'!V117/'Incurred 2.5% cpi'!V$14*Incurred!V$14*BJ117)</f>
        <v/>
      </c>
      <c r="W117" s="127" t="str">
        <f>IF(ISTEXT('Incurred 2.5% cpi'!W117),"",'Incurred 2.5% cpi'!W117/'Incurred 2.5% cpi'!W$14*Incurred!W$14*BK117)</f>
        <v/>
      </c>
      <c r="X117" s="119" t="str">
        <f>IF(ISTEXT('Incurred 2.5% cpi'!X117),"",'Incurred 2.5% cpi'!X117/'Incurred 2.5% cpi'!X$14*Incurred!X$14*BL117)</f>
        <v/>
      </c>
      <c r="Y117" s="95">
        <f t="shared" si="158"/>
        <v>178959.2</v>
      </c>
      <c r="Z117" s="95">
        <f t="shared" si="173"/>
        <v>178959.2</v>
      </c>
      <c r="AA117" s="676">
        <f t="shared" si="174"/>
        <v>202352.25773483072</v>
      </c>
      <c r="AB117" s="676">
        <f t="shared" si="175"/>
        <v>180000.42833100003</v>
      </c>
      <c r="AC117" s="677">
        <f t="shared" si="195"/>
        <v>1.1241765345287305</v>
      </c>
      <c r="AD117" s="678" t="str">
        <f t="shared" si="176"/>
        <v>2017</v>
      </c>
      <c r="AE117" s="679">
        <v>42590</v>
      </c>
      <c r="AF117" s="678">
        <v>2017</v>
      </c>
      <c r="AG117" s="680"/>
      <c r="AH117" s="676">
        <f t="shared" si="207"/>
        <v>183546.43676912072</v>
      </c>
      <c r="AI117" s="95">
        <f t="shared" si="177"/>
        <v>126104.97</v>
      </c>
      <c r="AJ117" s="681" t="s">
        <v>0</v>
      </c>
      <c r="AK117" s="37">
        <f t="shared" si="178"/>
        <v>67999.999999999971</v>
      </c>
      <c r="AL117" s="31">
        <f t="shared" si="208"/>
        <v>0.25</v>
      </c>
      <c r="AM117" s="31">
        <f t="shared" si="208"/>
        <v>0</v>
      </c>
      <c r="AN117" s="31">
        <f t="shared" si="208"/>
        <v>0</v>
      </c>
      <c r="AO117" s="31">
        <f t="shared" si="208"/>
        <v>0</v>
      </c>
      <c r="AP117" s="31">
        <f t="shared" si="208"/>
        <v>0</v>
      </c>
      <c r="AQ117" s="31">
        <f t="shared" si="208"/>
        <v>0</v>
      </c>
      <c r="AR117" s="31">
        <f t="shared" si="208"/>
        <v>0</v>
      </c>
      <c r="AS117" s="31">
        <f t="shared" si="208"/>
        <v>0.75</v>
      </c>
      <c r="AT117" s="31">
        <f t="shared" si="208"/>
        <v>0</v>
      </c>
      <c r="AU117" s="31">
        <f t="shared" si="208"/>
        <v>0</v>
      </c>
      <c r="AV117" s="31">
        <f t="shared" si="209"/>
        <v>0</v>
      </c>
      <c r="AW117" s="31">
        <f t="shared" si="209"/>
        <v>0</v>
      </c>
      <c r="AX117" s="31">
        <f t="shared" si="209"/>
        <v>0</v>
      </c>
      <c r="AY117" s="31">
        <f t="shared" si="209"/>
        <v>0</v>
      </c>
      <c r="AZ117" s="31">
        <f t="shared" si="209"/>
        <v>0</v>
      </c>
      <c r="BA117" s="31">
        <f t="shared" si="209"/>
        <v>0</v>
      </c>
      <c r="BB117" s="31">
        <f t="shared" si="209"/>
        <v>0</v>
      </c>
      <c r="BC117" s="31">
        <f t="shared" si="209"/>
        <v>0</v>
      </c>
      <c r="BD117" s="31">
        <f t="shared" si="209"/>
        <v>0</v>
      </c>
      <c r="BE117" s="30">
        <f t="shared" si="210"/>
        <v>1</v>
      </c>
      <c r="BF117" s="620">
        <f t="shared" si="159"/>
        <v>1.0018756098697492</v>
      </c>
      <c r="BG117" s="620">
        <f t="shared" si="182"/>
        <v>1.0037634112036518</v>
      </c>
      <c r="BH117" s="620">
        <f t="shared" si="183"/>
        <v>1.0059558020220052</v>
      </c>
      <c r="BI117" s="620">
        <f t="shared" si="184"/>
        <v>1.0086064025213943</v>
      </c>
      <c r="BJ117" s="620">
        <f t="shared" si="185"/>
        <v>1.0118751819594745</v>
      </c>
      <c r="BK117" s="620">
        <f t="shared" si="186"/>
        <v>1.0153301332446416</v>
      </c>
      <c r="BL117" s="620">
        <f t="shared" si="187"/>
        <v>1.0178480416551621</v>
      </c>
      <c r="BM117" s="621" t="str">
        <f t="shared" si="188"/>
        <v>Category</v>
      </c>
    </row>
    <row r="118" spans="1:65" x14ac:dyDescent="0.15">
      <c r="A118" s="12" t="s">
        <v>257</v>
      </c>
      <c r="B118" s="13" t="s">
        <v>2378</v>
      </c>
      <c r="C118" s="13" t="s">
        <v>27</v>
      </c>
      <c r="D118" s="13" t="s">
        <v>36</v>
      </c>
      <c r="E118" s="13" t="s">
        <v>32</v>
      </c>
      <c r="F118" s="14">
        <v>0</v>
      </c>
      <c r="G118" s="14">
        <v>0</v>
      </c>
      <c r="H118" s="14">
        <v>0</v>
      </c>
      <c r="I118" s="14">
        <v>0</v>
      </c>
      <c r="J118" s="14">
        <v>0</v>
      </c>
      <c r="K118" s="14">
        <v>0</v>
      </c>
      <c r="L118" s="14">
        <v>0</v>
      </c>
      <c r="M118" s="15">
        <v>0</v>
      </c>
      <c r="N118" s="804"/>
      <c r="O118" s="14"/>
      <c r="P118" s="15">
        <v>152850.15</v>
      </c>
      <c r="Q118" s="16">
        <f>IF(ISTEXT('Incurred 2.5% cpi'!Q118),"",'Incurred 2.5% cpi'!Q118/'Incurred 2.5% cpi'!Q$14*Incurred!Q$14)</f>
        <v>1448.55</v>
      </c>
      <c r="R118" s="127" t="str">
        <f>IF(ISTEXT('Incurred 2.5% cpi'!R118),"",'Incurred 2.5% cpi'!R118/'Incurred 2.5% cpi'!R$14*Incurred!R$14*BF118)</f>
        <v/>
      </c>
      <c r="S118" s="119" t="str">
        <f>IF(ISTEXT('Incurred 2.5% cpi'!S118),"",'Incurred 2.5% cpi'!S118/'Incurred 2.5% cpi'!S$14*Incurred!S$14*BG118)</f>
        <v/>
      </c>
      <c r="T118" s="16" t="str">
        <f>IF(ISTEXT('Incurred 2.5% cpi'!T118),"",'Incurred 2.5% cpi'!T118/'Incurred 2.5% cpi'!T$14*Incurred!T$14*BH118)</f>
        <v/>
      </c>
      <c r="U118" s="16" t="str">
        <f>IF(ISTEXT('Incurred 2.5% cpi'!U118),"",'Incurred 2.5% cpi'!U118/'Incurred 2.5% cpi'!U$14*Incurred!U$14*BI118)</f>
        <v/>
      </c>
      <c r="V118" s="16" t="str">
        <f>IF(ISTEXT('Incurred 2.5% cpi'!V118),"",'Incurred 2.5% cpi'!V118/'Incurred 2.5% cpi'!V$14*Incurred!V$14*BJ118)</f>
        <v/>
      </c>
      <c r="W118" s="127" t="str">
        <f>IF(ISTEXT('Incurred 2.5% cpi'!W118),"",'Incurred 2.5% cpi'!W118/'Incurred 2.5% cpi'!W$14*Incurred!W$14*BK118)</f>
        <v/>
      </c>
      <c r="X118" s="119" t="str">
        <f>IF(ISTEXT('Incurred 2.5% cpi'!X118),"",'Incurred 2.5% cpi'!X118/'Incurred 2.5% cpi'!X$14*Incurred!X$14*BL118)</f>
        <v/>
      </c>
      <c r="Y118" s="95">
        <f t="shared" si="158"/>
        <v>154298.69999999998</v>
      </c>
      <c r="Z118" s="95">
        <f t="shared" si="173"/>
        <v>154298.69999999998</v>
      </c>
      <c r="AA118" s="676">
        <f t="shared" si="174"/>
        <v>176844.0397212934</v>
      </c>
      <c r="AB118" s="676">
        <f t="shared" si="175"/>
        <v>154270.71487202117</v>
      </c>
      <c r="AC118" s="677">
        <f t="shared" si="195"/>
        <v>1.1463228122589466</v>
      </c>
      <c r="AD118" s="678" t="str">
        <f t="shared" si="176"/>
        <v>2017</v>
      </c>
      <c r="AE118" s="679">
        <v>42495</v>
      </c>
      <c r="AF118" s="678">
        <v>2016</v>
      </c>
      <c r="AG118" s="680"/>
      <c r="AH118" s="676">
        <f t="shared" si="207"/>
        <v>160408.8519597135</v>
      </c>
      <c r="AI118" s="95">
        <f t="shared" si="177"/>
        <v>1448.55</v>
      </c>
      <c r="AJ118" s="681" t="s">
        <v>0</v>
      </c>
      <c r="AK118" s="37">
        <f t="shared" si="178"/>
        <v>93999.999999999956</v>
      </c>
      <c r="AL118" s="31">
        <f t="shared" si="208"/>
        <v>0</v>
      </c>
      <c r="AM118" s="31">
        <f t="shared" si="208"/>
        <v>0</v>
      </c>
      <c r="AN118" s="31">
        <f t="shared" si="208"/>
        <v>0</v>
      </c>
      <c r="AO118" s="31">
        <f t="shared" si="208"/>
        <v>0</v>
      </c>
      <c r="AP118" s="31">
        <f t="shared" si="208"/>
        <v>0</v>
      </c>
      <c r="AQ118" s="31">
        <f t="shared" si="208"/>
        <v>0</v>
      </c>
      <c r="AR118" s="31">
        <f t="shared" si="208"/>
        <v>0</v>
      </c>
      <c r="AS118" s="31">
        <f t="shared" si="208"/>
        <v>1</v>
      </c>
      <c r="AT118" s="31">
        <f t="shared" si="208"/>
        <v>0</v>
      </c>
      <c r="AU118" s="31">
        <f t="shared" si="208"/>
        <v>0</v>
      </c>
      <c r="AV118" s="31">
        <f t="shared" si="209"/>
        <v>0</v>
      </c>
      <c r="AW118" s="31">
        <f t="shared" si="209"/>
        <v>0</v>
      </c>
      <c r="AX118" s="31">
        <f t="shared" si="209"/>
        <v>0</v>
      </c>
      <c r="AY118" s="31">
        <f t="shared" si="209"/>
        <v>0</v>
      </c>
      <c r="AZ118" s="31">
        <f t="shared" si="209"/>
        <v>0</v>
      </c>
      <c r="BA118" s="31">
        <f t="shared" si="209"/>
        <v>0</v>
      </c>
      <c r="BB118" s="31">
        <f t="shared" si="209"/>
        <v>0</v>
      </c>
      <c r="BC118" s="31">
        <f t="shared" si="209"/>
        <v>0</v>
      </c>
      <c r="BD118" s="31">
        <f t="shared" si="209"/>
        <v>0</v>
      </c>
      <c r="BE118" s="30">
        <f t="shared" si="210"/>
        <v>1</v>
      </c>
      <c r="BF118" s="620">
        <f t="shared" si="159"/>
        <v>1.0018756098697492</v>
      </c>
      <c r="BG118" s="620">
        <f t="shared" si="182"/>
        <v>1.0037634112036518</v>
      </c>
      <c r="BH118" s="620">
        <f t="shared" si="183"/>
        <v>1.0059558020220052</v>
      </c>
      <c r="BI118" s="620">
        <f t="shared" si="184"/>
        <v>1.0086064025213943</v>
      </c>
      <c r="BJ118" s="620">
        <f t="shared" si="185"/>
        <v>1.0118751819594745</v>
      </c>
      <c r="BK118" s="620">
        <f t="shared" si="186"/>
        <v>1.0153301332446416</v>
      </c>
      <c r="BL118" s="620">
        <f t="shared" si="187"/>
        <v>1.0178480416551621</v>
      </c>
      <c r="BM118" s="621" t="str">
        <f t="shared" si="188"/>
        <v>Category</v>
      </c>
    </row>
    <row r="119" spans="1:65" x14ac:dyDescent="0.15">
      <c r="A119" s="91" t="s">
        <v>258</v>
      </c>
      <c r="B119" s="13" t="s">
        <v>259</v>
      </c>
      <c r="C119" s="13" t="s">
        <v>27</v>
      </c>
      <c r="D119" s="13" t="s">
        <v>54</v>
      </c>
      <c r="E119" s="13" t="s">
        <v>29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5">
        <v>0</v>
      </c>
      <c r="N119" s="804"/>
      <c r="O119" s="14"/>
      <c r="P119" s="15">
        <v>15509.49</v>
      </c>
      <c r="Q119" s="16">
        <f>IF(ISTEXT('Incurred 2.5% cpi'!Q119),"",'Incurred 2.5% cpi'!Q119/'Incurred 2.5% cpi'!Q$14*Incurred!Q$14)</f>
        <v>408955.42</v>
      </c>
      <c r="R119" s="127">
        <f>IF(ISTEXT('Incurred 2.5% cpi'!R119),"",'Incurred 2.5% cpi'!R119/'Incurred 2.5% cpi'!R$14*Incurred!R$14*BF119)</f>
        <v>84757.421960278487</v>
      </c>
      <c r="S119" s="119" t="str">
        <f>IF(ISTEXT('Incurred 2.5% cpi'!S119),"",'Incurred 2.5% cpi'!S119/'Incurred 2.5% cpi'!S$14*Incurred!S$14*BG119)</f>
        <v/>
      </c>
      <c r="T119" s="16" t="str">
        <f>IF(ISTEXT('Incurred 2.5% cpi'!T119),"",'Incurred 2.5% cpi'!T119/'Incurred 2.5% cpi'!T$14*Incurred!T$14*BH119)</f>
        <v/>
      </c>
      <c r="U119" s="16" t="str">
        <f>IF(ISTEXT('Incurred 2.5% cpi'!U119),"",'Incurred 2.5% cpi'!U119/'Incurred 2.5% cpi'!U$14*Incurred!U$14*BI119)</f>
        <v/>
      </c>
      <c r="V119" s="16" t="str">
        <f>IF(ISTEXT('Incurred 2.5% cpi'!V119),"",'Incurred 2.5% cpi'!V119/'Incurred 2.5% cpi'!V$14*Incurred!V$14*BJ119)</f>
        <v/>
      </c>
      <c r="W119" s="127" t="str">
        <f>IF(ISTEXT('Incurred 2.5% cpi'!W119),"",'Incurred 2.5% cpi'!W119/'Incurred 2.5% cpi'!W$14*Incurred!W$14*BK119)</f>
        <v/>
      </c>
      <c r="X119" s="119" t="str">
        <f>IF(ISTEXT('Incurred 2.5% cpi'!X119),"",'Incurred 2.5% cpi'!X119/'Incurred 2.5% cpi'!X$14*Incurred!X$14*BL119)</f>
        <v/>
      </c>
      <c r="Y119" s="95">
        <f t="shared" si="158"/>
        <v>509222.33196027845</v>
      </c>
      <c r="Z119" s="95">
        <f t="shared" si="173"/>
        <v>509222.33196027845</v>
      </c>
      <c r="AA119" s="676">
        <f t="shared" si="174"/>
        <v>570958.4762288396</v>
      </c>
      <c r="AB119" s="676">
        <f t="shared" si="175"/>
        <v>517895.84671825264</v>
      </c>
      <c r="AC119" s="677">
        <f t="shared" si="195"/>
        <v>1.1024581097663335</v>
      </c>
      <c r="AD119" s="678" t="str">
        <f t="shared" si="176"/>
        <v>2018</v>
      </c>
      <c r="AE119" s="679">
        <v>42954</v>
      </c>
      <c r="AF119" s="678">
        <v>2018</v>
      </c>
      <c r="AG119" s="680"/>
      <c r="AH119" s="676">
        <f t="shared" si="207"/>
        <v>517895.84671825258</v>
      </c>
      <c r="AI119" s="95">
        <f t="shared" si="177"/>
        <v>84757.421960278487</v>
      </c>
      <c r="AJ119" s="681" t="s">
        <v>0</v>
      </c>
      <c r="AK119" s="37">
        <f t="shared" si="178"/>
        <v>178838.00000000006</v>
      </c>
      <c r="AL119" s="31">
        <f t="shared" si="208"/>
        <v>0</v>
      </c>
      <c r="AM119" s="31">
        <f t="shared" si="208"/>
        <v>0</v>
      </c>
      <c r="AN119" s="31">
        <f t="shared" si="208"/>
        <v>0</v>
      </c>
      <c r="AO119" s="31">
        <f t="shared" si="208"/>
        <v>1</v>
      </c>
      <c r="AP119" s="31">
        <f t="shared" si="208"/>
        <v>0</v>
      </c>
      <c r="AQ119" s="31">
        <f t="shared" si="208"/>
        <v>0</v>
      </c>
      <c r="AR119" s="31">
        <f t="shared" si="208"/>
        <v>0</v>
      </c>
      <c r="AS119" s="31">
        <f t="shared" si="208"/>
        <v>0</v>
      </c>
      <c r="AT119" s="31">
        <f t="shared" si="208"/>
        <v>0</v>
      </c>
      <c r="AU119" s="31">
        <f t="shared" si="208"/>
        <v>0</v>
      </c>
      <c r="AV119" s="31">
        <f t="shared" si="209"/>
        <v>0</v>
      </c>
      <c r="AW119" s="31">
        <f t="shared" si="209"/>
        <v>0</v>
      </c>
      <c r="AX119" s="31">
        <f t="shared" si="209"/>
        <v>0</v>
      </c>
      <c r="AY119" s="31">
        <f t="shared" si="209"/>
        <v>0</v>
      </c>
      <c r="AZ119" s="31">
        <f t="shared" si="209"/>
        <v>0</v>
      </c>
      <c r="BA119" s="31">
        <f t="shared" si="209"/>
        <v>0</v>
      </c>
      <c r="BB119" s="31">
        <f t="shared" si="209"/>
        <v>0</v>
      </c>
      <c r="BC119" s="31">
        <f t="shared" si="209"/>
        <v>0</v>
      </c>
      <c r="BD119" s="31">
        <f t="shared" si="209"/>
        <v>0</v>
      </c>
      <c r="BE119" s="30">
        <f t="shared" si="210"/>
        <v>1</v>
      </c>
      <c r="BF119" s="620">
        <f t="shared" si="159"/>
        <v>1.0030818160192299</v>
      </c>
      <c r="BG119" s="620">
        <f t="shared" si="182"/>
        <v>1.006183663842585</v>
      </c>
      <c r="BH119" s="620">
        <f t="shared" si="183"/>
        <v>1.0097859828820543</v>
      </c>
      <c r="BI119" s="620">
        <f t="shared" si="184"/>
        <v>1.0141411866007726</v>
      </c>
      <c r="BJ119" s="620">
        <f t="shared" si="185"/>
        <v>1.0195121206090012</v>
      </c>
      <c r="BK119" s="620">
        <f t="shared" si="186"/>
        <v>1.0251889537223347</v>
      </c>
      <c r="BL119" s="620">
        <f t="shared" si="187"/>
        <v>1.0293261309677997</v>
      </c>
      <c r="BM119" s="621" t="str">
        <f t="shared" si="188"/>
        <v>Category</v>
      </c>
    </row>
    <row r="120" spans="1:65" x14ac:dyDescent="0.15">
      <c r="A120" s="91" t="s">
        <v>260</v>
      </c>
      <c r="B120" s="13" t="s">
        <v>261</v>
      </c>
      <c r="C120" s="13" t="s">
        <v>27</v>
      </c>
      <c r="D120" s="13" t="s">
        <v>54</v>
      </c>
      <c r="E120" s="13" t="s">
        <v>29</v>
      </c>
      <c r="F120" s="14">
        <v>0</v>
      </c>
      <c r="G120" s="14">
        <v>0</v>
      </c>
      <c r="H120" s="14">
        <v>0</v>
      </c>
      <c r="I120" s="14">
        <v>0</v>
      </c>
      <c r="J120" s="14">
        <v>0</v>
      </c>
      <c r="K120" s="14">
        <v>0</v>
      </c>
      <c r="L120" s="14">
        <v>0</v>
      </c>
      <c r="M120" s="15">
        <v>0</v>
      </c>
      <c r="N120" s="804"/>
      <c r="O120" s="14">
        <v>34784.730000000003</v>
      </c>
      <c r="P120" s="15">
        <v>558714.82999999996</v>
      </c>
      <c r="Q120" s="16">
        <f>IF(ISTEXT('Incurred 2.5% cpi'!Q120),"",'Incurred 2.5% cpi'!Q120/'Incurred 2.5% cpi'!Q$14*Incurred!Q$14)</f>
        <v>1500844.87</v>
      </c>
      <c r="R120" s="127">
        <f>IF(ISTEXT('Incurred 2.5% cpi'!R120),"",'Incurred 2.5% cpi'!R120/'Incurred 2.5% cpi'!R$14*Incurred!R$14*BF120)</f>
        <v>167954.21573902635</v>
      </c>
      <c r="S120" s="119" t="str">
        <f>IF(ISTEXT('Incurred 2.5% cpi'!S120),"",'Incurred 2.5% cpi'!S120/'Incurred 2.5% cpi'!S$14*Incurred!S$14*BG120)</f>
        <v/>
      </c>
      <c r="T120" s="16" t="str">
        <f>IF(ISTEXT('Incurred 2.5% cpi'!T120),"",'Incurred 2.5% cpi'!T120/'Incurred 2.5% cpi'!T$14*Incurred!T$14*BH120)</f>
        <v/>
      </c>
      <c r="U120" s="16" t="str">
        <f>IF(ISTEXT('Incurred 2.5% cpi'!U120),"",'Incurred 2.5% cpi'!U120/'Incurred 2.5% cpi'!U$14*Incurred!U$14*BI120)</f>
        <v/>
      </c>
      <c r="V120" s="16" t="str">
        <f>IF(ISTEXT('Incurred 2.5% cpi'!V120),"",'Incurred 2.5% cpi'!V120/'Incurred 2.5% cpi'!V$14*Incurred!V$14*BJ120)</f>
        <v/>
      </c>
      <c r="W120" s="127" t="str">
        <f>IF(ISTEXT('Incurred 2.5% cpi'!W120),"",'Incurred 2.5% cpi'!W120/'Incurred 2.5% cpi'!W$14*Incurred!W$14*BK120)</f>
        <v/>
      </c>
      <c r="X120" s="119" t="str">
        <f>IF(ISTEXT('Incurred 2.5% cpi'!X120),"",'Incurred 2.5% cpi'!X120/'Incurred 2.5% cpi'!X$14*Incurred!X$14*BL120)</f>
        <v/>
      </c>
      <c r="Y120" s="95">
        <f t="shared" si="158"/>
        <v>2262298.6457390264</v>
      </c>
      <c r="Z120" s="95">
        <f t="shared" si="173"/>
        <v>2262298.6457390264</v>
      </c>
      <c r="AA120" s="676">
        <f t="shared" si="174"/>
        <v>2553241.8565515373</v>
      </c>
      <c r="AB120" s="676">
        <f t="shared" si="175"/>
        <v>2315953.6257506399</v>
      </c>
      <c r="AC120" s="677">
        <f t="shared" si="195"/>
        <v>1.1024581097663335</v>
      </c>
      <c r="AD120" s="678" t="str">
        <f t="shared" si="176"/>
        <v>2018</v>
      </c>
      <c r="AE120" s="679">
        <v>42996</v>
      </c>
      <c r="AF120" s="678">
        <v>2018</v>
      </c>
      <c r="AG120" s="680"/>
      <c r="AH120" s="676">
        <f t="shared" si="207"/>
        <v>2315953.6257506395</v>
      </c>
      <c r="AI120" s="95">
        <f t="shared" si="177"/>
        <v>167954.21573902635</v>
      </c>
      <c r="AJ120" s="681" t="s">
        <v>0</v>
      </c>
      <c r="AK120" s="37">
        <f t="shared" si="178"/>
        <v>0</v>
      </c>
      <c r="AL120" s="31">
        <f t="shared" si="208"/>
        <v>0</v>
      </c>
      <c r="AM120" s="31">
        <f t="shared" si="208"/>
        <v>0</v>
      </c>
      <c r="AN120" s="31">
        <f t="shared" si="208"/>
        <v>0</v>
      </c>
      <c r="AO120" s="31">
        <f t="shared" si="208"/>
        <v>0</v>
      </c>
      <c r="AP120" s="31">
        <f t="shared" si="208"/>
        <v>0</v>
      </c>
      <c r="AQ120" s="31">
        <f t="shared" si="208"/>
        <v>0</v>
      </c>
      <c r="AR120" s="31">
        <f t="shared" si="208"/>
        <v>0</v>
      </c>
      <c r="AS120" s="31">
        <f t="shared" si="208"/>
        <v>0</v>
      </c>
      <c r="AT120" s="31">
        <f t="shared" si="208"/>
        <v>0</v>
      </c>
      <c r="AU120" s="31">
        <f t="shared" si="208"/>
        <v>0</v>
      </c>
      <c r="AV120" s="31">
        <f t="shared" si="209"/>
        <v>0</v>
      </c>
      <c r="AW120" s="31">
        <f t="shared" si="209"/>
        <v>1</v>
      </c>
      <c r="AX120" s="31">
        <f t="shared" si="209"/>
        <v>0</v>
      </c>
      <c r="AY120" s="31">
        <f t="shared" si="209"/>
        <v>0</v>
      </c>
      <c r="AZ120" s="31">
        <f t="shared" si="209"/>
        <v>0</v>
      </c>
      <c r="BA120" s="31">
        <f t="shared" si="209"/>
        <v>0</v>
      </c>
      <c r="BB120" s="31">
        <f t="shared" si="209"/>
        <v>0</v>
      </c>
      <c r="BC120" s="31">
        <f t="shared" si="209"/>
        <v>0</v>
      </c>
      <c r="BD120" s="31">
        <f t="shared" si="209"/>
        <v>0</v>
      </c>
      <c r="BE120" s="30">
        <f t="shared" si="210"/>
        <v>1</v>
      </c>
      <c r="BF120" s="620">
        <f t="shared" si="159"/>
        <v>1.0030818160192299</v>
      </c>
      <c r="BG120" s="620">
        <f t="shared" si="182"/>
        <v>1.006183663842585</v>
      </c>
      <c r="BH120" s="620">
        <f t="shared" si="183"/>
        <v>1.0097859828820543</v>
      </c>
      <c r="BI120" s="620">
        <f t="shared" si="184"/>
        <v>1.0141411866007726</v>
      </c>
      <c r="BJ120" s="620">
        <f t="shared" si="185"/>
        <v>1.0195121206090012</v>
      </c>
      <c r="BK120" s="620">
        <f t="shared" si="186"/>
        <v>1.0251889537223347</v>
      </c>
      <c r="BL120" s="620">
        <f t="shared" si="187"/>
        <v>1.0293261309677997</v>
      </c>
      <c r="BM120" s="621" t="str">
        <f t="shared" si="188"/>
        <v>Category</v>
      </c>
    </row>
    <row r="121" spans="1:65" x14ac:dyDescent="0.15">
      <c r="A121" s="91" t="s">
        <v>262</v>
      </c>
      <c r="B121" s="13" t="s">
        <v>263</v>
      </c>
      <c r="C121" s="13" t="s">
        <v>27</v>
      </c>
      <c r="D121" s="13" t="s">
        <v>40</v>
      </c>
      <c r="E121" s="13" t="s">
        <v>29</v>
      </c>
      <c r="F121" s="14">
        <v>0</v>
      </c>
      <c r="G121" s="14">
        <v>0</v>
      </c>
      <c r="H121" s="14">
        <v>0</v>
      </c>
      <c r="I121" s="14">
        <v>0</v>
      </c>
      <c r="J121" s="14">
        <v>0</v>
      </c>
      <c r="K121" s="14">
        <v>0</v>
      </c>
      <c r="L121" s="14">
        <v>0</v>
      </c>
      <c r="M121" s="15">
        <v>0</v>
      </c>
      <c r="N121" s="804"/>
      <c r="O121" s="14">
        <v>9136.58</v>
      </c>
      <c r="P121" s="15">
        <v>71459.929999999993</v>
      </c>
      <c r="Q121" s="16">
        <f>IF(ISTEXT('Incurred 2.5% cpi'!Q121),"",'Incurred 2.5% cpi'!Q121/'Incurred 2.5% cpi'!Q$14*Incurred!Q$14)</f>
        <v>572506.4</v>
      </c>
      <c r="R121" s="127">
        <f>IF(ISTEXT('Incurred 2.5% cpi'!R121),"",'Incurred 2.5% cpi'!R121/'Incurred 2.5% cpi'!R$14*Incurred!R$14*BF121)</f>
        <v>119490.76255099046</v>
      </c>
      <c r="S121" s="119" t="str">
        <f>IF(ISTEXT('Incurred 2.5% cpi'!S121),"",'Incurred 2.5% cpi'!S121/'Incurred 2.5% cpi'!S$14*Incurred!S$14*BG121)</f>
        <v/>
      </c>
      <c r="T121" s="16" t="str">
        <f>IF(ISTEXT('Incurred 2.5% cpi'!T121),"",'Incurred 2.5% cpi'!T121/'Incurred 2.5% cpi'!T$14*Incurred!T$14*BH121)</f>
        <v/>
      </c>
      <c r="U121" s="16" t="str">
        <f>IF(ISTEXT('Incurred 2.5% cpi'!U121),"",'Incurred 2.5% cpi'!U121/'Incurred 2.5% cpi'!U$14*Incurred!U$14*BI121)</f>
        <v/>
      </c>
      <c r="V121" s="16" t="str">
        <f>IF(ISTEXT('Incurred 2.5% cpi'!V121),"",'Incurred 2.5% cpi'!V121/'Incurred 2.5% cpi'!V$14*Incurred!V$14*BJ121)</f>
        <v/>
      </c>
      <c r="W121" s="127" t="str">
        <f>IF(ISTEXT('Incurred 2.5% cpi'!W121),"",'Incurred 2.5% cpi'!W121/'Incurred 2.5% cpi'!W$14*Incurred!W$14*BK121)</f>
        <v/>
      </c>
      <c r="X121" s="119" t="str">
        <f>IF(ISTEXT('Incurred 2.5% cpi'!X121),"",'Incurred 2.5% cpi'!X121/'Incurred 2.5% cpi'!X$14*Incurred!X$14*BL121)</f>
        <v/>
      </c>
      <c r="Y121" s="95">
        <f t="shared" si="158"/>
        <v>772593.67255099048</v>
      </c>
      <c r="Z121" s="95">
        <f t="shared" si="173"/>
        <v>772593.67255099048</v>
      </c>
      <c r="AA121" s="676">
        <f t="shared" si="174"/>
        <v>867858.73164442996</v>
      </c>
      <c r="AB121" s="676">
        <f t="shared" si="175"/>
        <v>787203.36306326685</v>
      </c>
      <c r="AC121" s="677">
        <f t="shared" si="195"/>
        <v>1.1024581097663335</v>
      </c>
      <c r="AD121" s="678" t="str">
        <f t="shared" si="176"/>
        <v>2018</v>
      </c>
      <c r="AE121" s="679">
        <v>43006</v>
      </c>
      <c r="AF121" s="678">
        <v>2018</v>
      </c>
      <c r="AG121" s="680"/>
      <c r="AH121" s="676">
        <f t="shared" si="207"/>
        <v>787203.36306326685</v>
      </c>
      <c r="AI121" s="95">
        <f t="shared" si="177"/>
        <v>119490.76255099046</v>
      </c>
      <c r="AJ121" s="681" t="s">
        <v>0</v>
      </c>
      <c r="AK121" s="37">
        <f t="shared" si="178"/>
        <v>840105.00000000047</v>
      </c>
      <c r="AL121" s="31">
        <f t="shared" si="208"/>
        <v>0</v>
      </c>
      <c r="AM121" s="31">
        <f t="shared" si="208"/>
        <v>0</v>
      </c>
      <c r="AN121" s="31">
        <f t="shared" si="208"/>
        <v>0</v>
      </c>
      <c r="AO121" s="31">
        <f t="shared" si="208"/>
        <v>0</v>
      </c>
      <c r="AP121" s="31">
        <f t="shared" si="208"/>
        <v>0</v>
      </c>
      <c r="AQ121" s="31">
        <f t="shared" si="208"/>
        <v>0</v>
      </c>
      <c r="AR121" s="31">
        <f t="shared" si="208"/>
        <v>0</v>
      </c>
      <c r="AS121" s="31">
        <f t="shared" si="208"/>
        <v>0</v>
      </c>
      <c r="AT121" s="31">
        <f t="shared" si="208"/>
        <v>0</v>
      </c>
      <c r="AU121" s="31">
        <f t="shared" si="208"/>
        <v>0</v>
      </c>
      <c r="AV121" s="31">
        <f t="shared" si="209"/>
        <v>0</v>
      </c>
      <c r="AW121" s="31">
        <f t="shared" si="209"/>
        <v>1</v>
      </c>
      <c r="AX121" s="31">
        <f t="shared" si="209"/>
        <v>0</v>
      </c>
      <c r="AY121" s="31">
        <f t="shared" si="209"/>
        <v>0</v>
      </c>
      <c r="AZ121" s="31">
        <f t="shared" si="209"/>
        <v>0</v>
      </c>
      <c r="BA121" s="31">
        <f t="shared" si="209"/>
        <v>0</v>
      </c>
      <c r="BB121" s="31">
        <f t="shared" si="209"/>
        <v>0</v>
      </c>
      <c r="BC121" s="31">
        <f t="shared" si="209"/>
        <v>0</v>
      </c>
      <c r="BD121" s="31">
        <f t="shared" si="209"/>
        <v>0</v>
      </c>
      <c r="BE121" s="30">
        <f t="shared" si="210"/>
        <v>1</v>
      </c>
      <c r="BF121" s="620">
        <f t="shared" si="159"/>
        <v>1.0034498951996242</v>
      </c>
      <c r="BG121" s="620">
        <f t="shared" si="182"/>
        <v>1.0069222147180459</v>
      </c>
      <c r="BH121" s="620">
        <f t="shared" si="183"/>
        <v>1.0109547796356901</v>
      </c>
      <c r="BI121" s="620">
        <f t="shared" si="184"/>
        <v>1.0158301506211216</v>
      </c>
      <c r="BJ121" s="620">
        <f t="shared" si="185"/>
        <v>1.0218425664619335</v>
      </c>
      <c r="BK121" s="620">
        <f t="shared" si="186"/>
        <v>1.0281974167140426</v>
      </c>
      <c r="BL121" s="620">
        <f t="shared" si="187"/>
        <v>1.0328287210586446</v>
      </c>
      <c r="BM121" s="621" t="str">
        <f t="shared" si="188"/>
        <v>Category</v>
      </c>
    </row>
    <row r="122" spans="1:65" x14ac:dyDescent="0.15">
      <c r="A122" s="91" t="s">
        <v>264</v>
      </c>
      <c r="B122" s="13" t="s">
        <v>265</v>
      </c>
      <c r="C122" s="13" t="s">
        <v>27</v>
      </c>
      <c r="D122" s="13" t="s">
        <v>40</v>
      </c>
      <c r="E122" s="13" t="s">
        <v>112</v>
      </c>
      <c r="F122" s="14">
        <v>0</v>
      </c>
      <c r="G122" s="14">
        <v>0</v>
      </c>
      <c r="H122" s="14">
        <v>0</v>
      </c>
      <c r="I122" s="14">
        <v>0</v>
      </c>
      <c r="J122" s="14">
        <v>0</v>
      </c>
      <c r="K122" s="14">
        <v>0</v>
      </c>
      <c r="L122" s="14">
        <v>0</v>
      </c>
      <c r="M122" s="15">
        <v>0</v>
      </c>
      <c r="N122" s="804"/>
      <c r="O122" s="14"/>
      <c r="P122" s="15"/>
      <c r="Q122" s="16" t="str">
        <f>IF(ISTEXT('Incurred 2.5% cpi'!Q122),"",'Incurred 2.5% cpi'!Q122/'Incurred 2.5% cpi'!Q$14*Incurred!Q$14)</f>
        <v/>
      </c>
      <c r="R122" s="127">
        <f>IF(ISTEXT('Incurred 2.5% cpi'!R122),"",'Incurred 2.5% cpi'!R122/'Incurred 2.5% cpi'!R$14*Incurred!R$14*BF122)</f>
        <v>123657.68926803026</v>
      </c>
      <c r="S122" s="119">
        <f>IF(ISTEXT('Incurred 2.5% cpi'!S122),"",'Incurred 2.5% cpi'!S122/'Incurred 2.5% cpi'!S$14*Incurred!S$14*BG122)</f>
        <v>1077720.2305098502</v>
      </c>
      <c r="T122" s="16">
        <f>IF(ISTEXT('Incurred 2.5% cpi'!T122),"",'Incurred 2.5% cpi'!T122/'Incurred 2.5% cpi'!T$14*Incurred!T$14*BH122)</f>
        <v>2032634.8435605078</v>
      </c>
      <c r="U122" s="16">
        <f>IF(ISTEXT('Incurred 2.5% cpi'!U122),"",'Incurred 2.5% cpi'!U122/'Incurred 2.5% cpi'!U$14*Incurred!U$14*BI122)</f>
        <v>6546.2399169036407</v>
      </c>
      <c r="V122" s="16" t="str">
        <f>IF(ISTEXT('Incurred 2.5% cpi'!V122),"",'Incurred 2.5% cpi'!V122/'Incurred 2.5% cpi'!V$14*Incurred!V$14*BJ122)</f>
        <v/>
      </c>
      <c r="W122" s="127" t="str">
        <f>IF(ISTEXT('Incurred 2.5% cpi'!W122),"",'Incurred 2.5% cpi'!W122/'Incurred 2.5% cpi'!W$14*Incurred!W$14*BK122)</f>
        <v/>
      </c>
      <c r="X122" s="119" t="str">
        <f>IF(ISTEXT('Incurred 2.5% cpi'!X122),"",'Incurred 2.5% cpi'!X122/'Incurred 2.5% cpi'!X$14*Incurred!X$14*BL122)</f>
        <v/>
      </c>
      <c r="Y122" s="95">
        <f t="shared" si="158"/>
        <v>3240559.0032552914</v>
      </c>
      <c r="Z122" s="95">
        <f t="shared" si="173"/>
        <v>3240559.0032552914</v>
      </c>
      <c r="AA122" s="676">
        <f t="shared" si="174"/>
        <v>3463466.9834559588</v>
      </c>
      <c r="AB122" s="676">
        <f t="shared" si="175"/>
        <v>3266583.7255884712</v>
      </c>
      <c r="AC122" s="677">
        <f t="shared" si="195"/>
        <v>1.060271915373</v>
      </c>
      <c r="AD122" s="678" t="str">
        <f t="shared" si="176"/>
        <v>2021</v>
      </c>
      <c r="AE122" s="679">
        <v>43934</v>
      </c>
      <c r="AF122" s="678">
        <v>2020</v>
      </c>
      <c r="AG122" s="680"/>
      <c r="AH122" s="676">
        <f t="shared" si="207"/>
        <v>3141586.0183477108</v>
      </c>
      <c r="AI122" s="95">
        <f t="shared" si="177"/>
        <v>6546.2399169036407</v>
      </c>
      <c r="AJ122" s="681" t="s">
        <v>3058</v>
      </c>
      <c r="AK122" s="37">
        <f t="shared" si="178"/>
        <v>1602200.020020003</v>
      </c>
      <c r="AL122" s="31">
        <f t="shared" si="208"/>
        <v>0</v>
      </c>
      <c r="AM122" s="31">
        <f t="shared" si="208"/>
        <v>0</v>
      </c>
      <c r="AN122" s="31">
        <f t="shared" si="208"/>
        <v>0</v>
      </c>
      <c r="AO122" s="31">
        <f t="shared" si="208"/>
        <v>0</v>
      </c>
      <c r="AP122" s="31">
        <f t="shared" si="208"/>
        <v>0</v>
      </c>
      <c r="AQ122" s="31">
        <f t="shared" si="208"/>
        <v>0</v>
      </c>
      <c r="AR122" s="31">
        <f t="shared" si="208"/>
        <v>0</v>
      </c>
      <c r="AS122" s="31">
        <f t="shared" si="208"/>
        <v>0</v>
      </c>
      <c r="AT122" s="31">
        <f t="shared" si="208"/>
        <v>0</v>
      </c>
      <c r="AU122" s="31">
        <f t="shared" si="208"/>
        <v>0</v>
      </c>
      <c r="AV122" s="31">
        <f t="shared" si="209"/>
        <v>0</v>
      </c>
      <c r="AW122" s="31">
        <f t="shared" si="209"/>
        <v>0</v>
      </c>
      <c r="AX122" s="31">
        <f t="shared" si="209"/>
        <v>0</v>
      </c>
      <c r="AY122" s="31">
        <f t="shared" si="209"/>
        <v>0</v>
      </c>
      <c r="AZ122" s="31">
        <f t="shared" si="209"/>
        <v>1</v>
      </c>
      <c r="BA122" s="31">
        <f t="shared" si="209"/>
        <v>0</v>
      </c>
      <c r="BB122" s="31">
        <f t="shared" si="209"/>
        <v>0</v>
      </c>
      <c r="BC122" s="31">
        <f t="shared" si="209"/>
        <v>0</v>
      </c>
      <c r="BD122" s="31">
        <f t="shared" si="209"/>
        <v>0</v>
      </c>
      <c r="BE122" s="30">
        <f t="shared" si="210"/>
        <v>1</v>
      </c>
      <c r="BF122" s="620">
        <f t="shared" si="159"/>
        <v>1.003769115109048</v>
      </c>
      <c r="BG122" s="620">
        <f t="shared" si="182"/>
        <v>1.0075627294663048</v>
      </c>
      <c r="BH122" s="620">
        <f t="shared" si="183"/>
        <v>1.0119684289092807</v>
      </c>
      <c r="BI122" s="620">
        <f t="shared" si="184"/>
        <v>1.0172949195358385</v>
      </c>
      <c r="BJ122" s="620">
        <f t="shared" si="185"/>
        <v>1.0238636661429679</v>
      </c>
      <c r="BK122" s="620">
        <f t="shared" si="186"/>
        <v>1.0308065327273126</v>
      </c>
      <c r="BL122" s="620">
        <f t="shared" si="187"/>
        <v>1.035866373148477</v>
      </c>
      <c r="BM122" s="621" t="str">
        <f t="shared" si="188"/>
        <v>Project</v>
      </c>
    </row>
    <row r="123" spans="1:65" x14ac:dyDescent="0.15">
      <c r="A123" s="12" t="s">
        <v>266</v>
      </c>
      <c r="B123" s="13" t="s">
        <v>267</v>
      </c>
      <c r="C123" s="13" t="s">
        <v>27</v>
      </c>
      <c r="D123" s="13" t="s">
        <v>40</v>
      </c>
      <c r="E123" s="13" t="s">
        <v>45</v>
      </c>
      <c r="F123" s="14">
        <v>0</v>
      </c>
      <c r="G123" s="14">
        <v>0</v>
      </c>
      <c r="H123" s="14">
        <v>0</v>
      </c>
      <c r="I123" s="14">
        <v>0</v>
      </c>
      <c r="J123" s="14">
        <v>0</v>
      </c>
      <c r="K123" s="14">
        <v>0</v>
      </c>
      <c r="L123" s="14">
        <v>0</v>
      </c>
      <c r="M123" s="15">
        <v>0</v>
      </c>
      <c r="N123" s="804"/>
      <c r="O123" s="14">
        <v>74100.3</v>
      </c>
      <c r="P123" s="15">
        <v>93952.53</v>
      </c>
      <c r="Q123" s="16" t="str">
        <f>IF(ISTEXT('Incurred 2.5% cpi'!Q123),"",'Incurred 2.5% cpi'!Q123/'Incurred 2.5% cpi'!Q$14*Incurred!Q$14)</f>
        <v/>
      </c>
      <c r="R123" s="127">
        <f>IF(ISTEXT('Incurred 2.5% cpi'!R123),"",'Incurred 2.5% cpi'!R123/'Incurred 2.5% cpi'!R$14*Incurred!R$14*BF123)</f>
        <v>23528.959534801757</v>
      </c>
      <c r="S123" s="119">
        <f>IF(ISTEXT('Incurred 2.5% cpi'!S123),"",'Incurred 2.5% cpi'!S123/'Incurred 2.5% cpi'!S$14*Incurred!S$14*BG123)</f>
        <v>98793.528300890597</v>
      </c>
      <c r="T123" s="16" t="str">
        <f>IF(ISTEXT('Incurred 2.5% cpi'!T123),"",'Incurred 2.5% cpi'!T123/'Incurred 2.5% cpi'!T$14*Incurred!T$14*BH123)</f>
        <v/>
      </c>
      <c r="U123" s="16" t="str">
        <f>IF(ISTEXT('Incurred 2.5% cpi'!U123),"",'Incurred 2.5% cpi'!U123/'Incurred 2.5% cpi'!U$14*Incurred!U$14*BI123)</f>
        <v/>
      </c>
      <c r="V123" s="16" t="str">
        <f>IF(ISTEXT('Incurred 2.5% cpi'!V123),"",'Incurred 2.5% cpi'!V123/'Incurred 2.5% cpi'!V$14*Incurred!V$14*BJ123)</f>
        <v/>
      </c>
      <c r="W123" s="127" t="str">
        <f>IF(ISTEXT('Incurred 2.5% cpi'!W123),"",'Incurred 2.5% cpi'!W123/'Incurred 2.5% cpi'!W$14*Incurred!W$14*BK123)</f>
        <v/>
      </c>
      <c r="X123" s="119" t="str">
        <f>IF(ISTEXT('Incurred 2.5% cpi'!X123),"",'Incurred 2.5% cpi'!X123/'Incurred 2.5% cpi'!X$14*Incurred!X$14*BL123)</f>
        <v/>
      </c>
      <c r="Y123" s="95">
        <f t="shared" si="158"/>
        <v>290375.31783569237</v>
      </c>
      <c r="Z123" s="95">
        <f t="shared" si="173"/>
        <v>290375.31783569237</v>
      </c>
      <c r="AA123" s="676">
        <f t="shared" si="174"/>
        <v>326507.50733343419</v>
      </c>
      <c r="AB123" s="676">
        <f t="shared" si="175"/>
        <v>301997.60179411224</v>
      </c>
      <c r="AC123" s="677">
        <f t="shared" si="195"/>
        <v>1.0811592721058483</v>
      </c>
      <c r="AD123" s="678" t="str">
        <f t="shared" si="176"/>
        <v>2019</v>
      </c>
      <c r="AE123" s="679">
        <v>43377</v>
      </c>
      <c r="AF123" s="678">
        <v>2019</v>
      </c>
      <c r="AG123" s="680"/>
      <c r="AH123" s="676">
        <f t="shared" si="207"/>
        <v>296163.1870100149</v>
      </c>
      <c r="AI123" s="95">
        <f t="shared" si="177"/>
        <v>98793.528300890597</v>
      </c>
      <c r="AJ123" s="681" t="s">
        <v>0</v>
      </c>
      <c r="AK123" s="37">
        <f t="shared" si="178"/>
        <v>0</v>
      </c>
      <c r="AL123" s="31">
        <f t="shared" si="208"/>
        <v>0</v>
      </c>
      <c r="AM123" s="31">
        <f t="shared" si="208"/>
        <v>0</v>
      </c>
      <c r="AN123" s="31">
        <f t="shared" si="208"/>
        <v>0</v>
      </c>
      <c r="AO123" s="31">
        <f t="shared" si="208"/>
        <v>0</v>
      </c>
      <c r="AP123" s="31">
        <f t="shared" si="208"/>
        <v>0</v>
      </c>
      <c r="AQ123" s="31">
        <f t="shared" si="208"/>
        <v>0</v>
      </c>
      <c r="AR123" s="31">
        <f t="shared" si="208"/>
        <v>0</v>
      </c>
      <c r="AS123" s="31">
        <f t="shared" si="208"/>
        <v>1</v>
      </c>
      <c r="AT123" s="31">
        <f t="shared" si="208"/>
        <v>0</v>
      </c>
      <c r="AU123" s="31">
        <f t="shared" si="208"/>
        <v>0</v>
      </c>
      <c r="AV123" s="31">
        <f t="shared" si="209"/>
        <v>0</v>
      </c>
      <c r="AW123" s="31">
        <f t="shared" si="209"/>
        <v>0</v>
      </c>
      <c r="AX123" s="31">
        <f t="shared" si="209"/>
        <v>0</v>
      </c>
      <c r="AY123" s="31">
        <f t="shared" si="209"/>
        <v>0</v>
      </c>
      <c r="AZ123" s="31">
        <f t="shared" si="209"/>
        <v>0</v>
      </c>
      <c r="BA123" s="31">
        <f t="shared" si="209"/>
        <v>0</v>
      </c>
      <c r="BB123" s="31">
        <f t="shared" si="209"/>
        <v>0</v>
      </c>
      <c r="BC123" s="31">
        <f t="shared" si="209"/>
        <v>0</v>
      </c>
      <c r="BD123" s="31">
        <f t="shared" si="209"/>
        <v>0</v>
      </c>
      <c r="BE123" s="30">
        <f t="shared" si="210"/>
        <v>1</v>
      </c>
      <c r="BF123" s="620">
        <f t="shared" si="159"/>
        <v>1.0034498951996242</v>
      </c>
      <c r="BG123" s="620">
        <f t="shared" si="182"/>
        <v>1.0069222147180459</v>
      </c>
      <c r="BH123" s="620">
        <f t="shared" si="183"/>
        <v>1.0109547796356901</v>
      </c>
      <c r="BI123" s="620">
        <f t="shared" si="184"/>
        <v>1.0158301506211216</v>
      </c>
      <c r="BJ123" s="620">
        <f t="shared" si="185"/>
        <v>1.0218425664619335</v>
      </c>
      <c r="BK123" s="620">
        <f t="shared" si="186"/>
        <v>1.0281974167140426</v>
      </c>
      <c r="BL123" s="620">
        <f t="shared" si="187"/>
        <v>1.0328287210586446</v>
      </c>
      <c r="BM123" s="621" t="str">
        <f t="shared" si="188"/>
        <v>Category</v>
      </c>
    </row>
    <row r="124" spans="1:65" x14ac:dyDescent="0.15">
      <c r="A124" s="12" t="s">
        <v>268</v>
      </c>
      <c r="B124" s="13" t="s">
        <v>269</v>
      </c>
      <c r="C124" s="13" t="s">
        <v>27</v>
      </c>
      <c r="D124" s="13" t="s">
        <v>55</v>
      </c>
      <c r="E124" s="13" t="s">
        <v>29</v>
      </c>
      <c r="F124" s="14">
        <v>0</v>
      </c>
      <c r="G124" s="14">
        <v>0</v>
      </c>
      <c r="H124" s="14">
        <v>0</v>
      </c>
      <c r="I124" s="14">
        <v>0</v>
      </c>
      <c r="J124" s="14">
        <v>0</v>
      </c>
      <c r="K124" s="14">
        <v>0</v>
      </c>
      <c r="L124" s="14">
        <v>0</v>
      </c>
      <c r="M124" s="15">
        <v>0</v>
      </c>
      <c r="N124" s="804"/>
      <c r="O124" s="14">
        <v>1132106.48</v>
      </c>
      <c r="P124" s="15">
        <v>1936776</v>
      </c>
      <c r="Q124" s="16">
        <f>IF(ISTEXT('Incurred 2.5% cpi'!Q124),"",'Incurred 2.5% cpi'!Q124/'Incurred 2.5% cpi'!Q$14*Incurred!Q$14)</f>
        <v>784587.34</v>
      </c>
      <c r="R124" s="127" t="str">
        <f>IF(ISTEXT('Incurred 2.5% cpi'!R124),"",'Incurred 2.5% cpi'!R124/'Incurred 2.5% cpi'!R$14*Incurred!R$14*BF124)</f>
        <v/>
      </c>
      <c r="S124" s="119" t="str">
        <f>IF(ISTEXT('Incurred 2.5% cpi'!S124),"",'Incurred 2.5% cpi'!S124/'Incurred 2.5% cpi'!S$14*Incurred!S$14*BG124)</f>
        <v/>
      </c>
      <c r="T124" s="16" t="str">
        <f>IF(ISTEXT('Incurred 2.5% cpi'!T124),"",'Incurred 2.5% cpi'!T124/'Incurred 2.5% cpi'!T$14*Incurred!T$14*BH124)</f>
        <v/>
      </c>
      <c r="U124" s="16" t="str">
        <f>IF(ISTEXT('Incurred 2.5% cpi'!U124),"",'Incurred 2.5% cpi'!U124/'Incurred 2.5% cpi'!U$14*Incurred!U$14*BI124)</f>
        <v/>
      </c>
      <c r="V124" s="16" t="str">
        <f>IF(ISTEXT('Incurred 2.5% cpi'!V124),"",'Incurred 2.5% cpi'!V124/'Incurred 2.5% cpi'!V$14*Incurred!V$14*BJ124)</f>
        <v/>
      </c>
      <c r="W124" s="127" t="str">
        <f>IF(ISTEXT('Incurred 2.5% cpi'!W124),"",'Incurred 2.5% cpi'!W124/'Incurred 2.5% cpi'!W$14*Incurred!W$14*BK124)</f>
        <v/>
      </c>
      <c r="X124" s="119" t="str">
        <f>IF(ISTEXT('Incurred 2.5% cpi'!X124),"",'Incurred 2.5% cpi'!X124/'Incurred 2.5% cpi'!X$14*Incurred!X$14*BL124)</f>
        <v/>
      </c>
      <c r="Y124" s="95">
        <f t="shared" si="158"/>
        <v>3853469.82</v>
      </c>
      <c r="Z124" s="95">
        <f t="shared" si="173"/>
        <v>3853469.82</v>
      </c>
      <c r="AA124" s="676">
        <f t="shared" si="174"/>
        <v>4416956.5003231578</v>
      </c>
      <c r="AB124" s="676">
        <f t="shared" si="175"/>
        <v>3929059.5068102926</v>
      </c>
      <c r="AC124" s="677">
        <f t="shared" si="195"/>
        <v>1.1241765345287305</v>
      </c>
      <c r="AD124" s="678" t="str">
        <f t="shared" si="176"/>
        <v>2017</v>
      </c>
      <c r="AE124" s="679">
        <v>42716</v>
      </c>
      <c r="AF124" s="678">
        <v>2017</v>
      </c>
      <c r="AG124" s="680"/>
      <c r="AH124" s="676">
        <f t="shared" si="207"/>
        <v>4006461.979094455</v>
      </c>
      <c r="AI124" s="95">
        <f t="shared" si="177"/>
        <v>784587.34</v>
      </c>
      <c r="AJ124" s="681" t="s">
        <v>0</v>
      </c>
      <c r="AK124" s="37">
        <f t="shared" si="178"/>
        <v>1500000</v>
      </c>
      <c r="AL124" s="31">
        <f t="shared" ref="AL124:AU129" si="211">IF($AK124=0,VLOOKUP(MID($A124,4,5),ProjectSplits,AL$20,FALSE),IF(ISNA(VLOOKUP($A124,Estimates,AL$19,FALSE)),VLOOKUP(MID($A124,4,5),ProjectSplits,AL$20,FALSE),VLOOKUP($A124,Estimates,AL$19,FALSE)))</f>
        <v>0</v>
      </c>
      <c r="AM124" s="31">
        <f t="shared" si="211"/>
        <v>0</v>
      </c>
      <c r="AN124" s="31">
        <f t="shared" si="211"/>
        <v>0</v>
      </c>
      <c r="AO124" s="31">
        <f t="shared" si="211"/>
        <v>1</v>
      </c>
      <c r="AP124" s="31">
        <f t="shared" si="211"/>
        <v>0</v>
      </c>
      <c r="AQ124" s="31">
        <f t="shared" si="211"/>
        <v>0</v>
      </c>
      <c r="AR124" s="31">
        <f t="shared" si="211"/>
        <v>0</v>
      </c>
      <c r="AS124" s="31">
        <f t="shared" si="211"/>
        <v>0</v>
      </c>
      <c r="AT124" s="31">
        <f t="shared" si="211"/>
        <v>0</v>
      </c>
      <c r="AU124" s="31">
        <f t="shared" si="211"/>
        <v>0</v>
      </c>
      <c r="AV124" s="31">
        <f t="shared" ref="AV124:BD129" si="212">IF($AK124=0,VLOOKUP(MID($A124,4,5),ProjectSplits,AV$20,FALSE),IF(ISNA(VLOOKUP($A124,Estimates,AV$19,FALSE)),VLOOKUP(MID($A124,4,5),ProjectSplits,AV$20,FALSE),VLOOKUP($A124,Estimates,AV$19,FALSE)))</f>
        <v>0</v>
      </c>
      <c r="AW124" s="31">
        <f t="shared" si="212"/>
        <v>0</v>
      </c>
      <c r="AX124" s="31">
        <f t="shared" si="212"/>
        <v>0</v>
      </c>
      <c r="AY124" s="31">
        <f t="shared" si="212"/>
        <v>0</v>
      </c>
      <c r="AZ124" s="31">
        <f t="shared" si="212"/>
        <v>0</v>
      </c>
      <c r="BA124" s="31">
        <f t="shared" si="212"/>
        <v>0</v>
      </c>
      <c r="BB124" s="31">
        <f t="shared" si="212"/>
        <v>0</v>
      </c>
      <c r="BC124" s="31">
        <f t="shared" si="212"/>
        <v>0</v>
      </c>
      <c r="BD124" s="31">
        <f t="shared" si="212"/>
        <v>0</v>
      </c>
      <c r="BE124" s="30">
        <f t="shared" si="210"/>
        <v>1</v>
      </c>
      <c r="BF124" s="620">
        <f t="shared" si="159"/>
        <v>1.0046190746045656</v>
      </c>
      <c r="BG124" s="620">
        <f t="shared" si="182"/>
        <v>1.0092681731940607</v>
      </c>
      <c r="BH124" s="620">
        <f t="shared" si="183"/>
        <v>1.0146673859598225</v>
      </c>
      <c r="BI124" s="620">
        <f t="shared" si="184"/>
        <v>1.0211950341936284</v>
      </c>
      <c r="BJ124" s="620">
        <f t="shared" si="185"/>
        <v>1.0292450750544078</v>
      </c>
      <c r="BK124" s="620">
        <f t="shared" si="186"/>
        <v>1.0377536023333034</v>
      </c>
      <c r="BL124" s="620">
        <f t="shared" si="187"/>
        <v>1.0439544690397748</v>
      </c>
      <c r="BM124" s="621" t="str">
        <f t="shared" si="188"/>
        <v>Category</v>
      </c>
    </row>
    <row r="125" spans="1:65" x14ac:dyDescent="0.15">
      <c r="A125" s="12" t="s">
        <v>270</v>
      </c>
      <c r="B125" s="13" t="s">
        <v>271</v>
      </c>
      <c r="C125" s="13" t="s">
        <v>27</v>
      </c>
      <c r="D125" s="13" t="s">
        <v>55</v>
      </c>
      <c r="E125" s="13" t="s">
        <v>29</v>
      </c>
      <c r="F125" s="14">
        <v>0</v>
      </c>
      <c r="G125" s="14">
        <v>0</v>
      </c>
      <c r="H125" s="14">
        <v>0</v>
      </c>
      <c r="I125" s="14">
        <v>0</v>
      </c>
      <c r="J125" s="14">
        <v>0</v>
      </c>
      <c r="K125" s="14">
        <v>0</v>
      </c>
      <c r="L125" s="14">
        <v>0</v>
      </c>
      <c r="M125" s="15">
        <v>0</v>
      </c>
      <c r="N125" s="804">
        <v>2789.9</v>
      </c>
      <c r="O125" s="14">
        <v>1200719.51</v>
      </c>
      <c r="P125" s="15">
        <v>975419.31</v>
      </c>
      <c r="Q125" s="16">
        <f>IF(ISTEXT('Incurred 2.5% cpi'!Q125),"",'Incurred 2.5% cpi'!Q125/'Incurred 2.5% cpi'!Q$14*Incurred!Q$14)</f>
        <v>429420.97</v>
      </c>
      <c r="R125" s="127" t="str">
        <f>IF(ISTEXT('Incurred 2.5% cpi'!R125),"",'Incurred 2.5% cpi'!R125/'Incurred 2.5% cpi'!R$14*Incurred!R$14*BF125)</f>
        <v/>
      </c>
      <c r="S125" s="119" t="str">
        <f>IF(ISTEXT('Incurred 2.5% cpi'!S125),"",'Incurred 2.5% cpi'!S125/'Incurred 2.5% cpi'!S$14*Incurred!S$14*BG125)</f>
        <v/>
      </c>
      <c r="T125" s="16" t="str">
        <f>IF(ISTEXT('Incurred 2.5% cpi'!T125),"",'Incurred 2.5% cpi'!T125/'Incurred 2.5% cpi'!T$14*Incurred!T$14*BH125)</f>
        <v/>
      </c>
      <c r="U125" s="16" t="str">
        <f>IF(ISTEXT('Incurred 2.5% cpi'!U125),"",'Incurred 2.5% cpi'!U125/'Incurred 2.5% cpi'!U$14*Incurred!U$14*BI125)</f>
        <v/>
      </c>
      <c r="V125" s="16" t="str">
        <f>IF(ISTEXT('Incurred 2.5% cpi'!V125),"",'Incurred 2.5% cpi'!V125/'Incurred 2.5% cpi'!V$14*Incurred!V$14*BJ125)</f>
        <v/>
      </c>
      <c r="W125" s="127" t="str">
        <f>IF(ISTEXT('Incurred 2.5% cpi'!W125),"",'Incurred 2.5% cpi'!W125/'Incurred 2.5% cpi'!W$14*Incurred!W$14*BK125)</f>
        <v/>
      </c>
      <c r="X125" s="119" t="str">
        <f>IF(ISTEXT('Incurred 2.5% cpi'!X125),"",'Incurred 2.5% cpi'!X125/'Incurred 2.5% cpi'!X$14*Incurred!X$14*BL125)</f>
        <v/>
      </c>
      <c r="Y125" s="95">
        <f t="shared" si="158"/>
        <v>2608349.6899999995</v>
      </c>
      <c r="Z125" s="95">
        <f t="shared" si="173"/>
        <v>2608349.6899999995</v>
      </c>
      <c r="AA125" s="676">
        <f t="shared" si="174"/>
        <v>2998628.4917363469</v>
      </c>
      <c r="AB125" s="676">
        <f t="shared" si="175"/>
        <v>2615867.4150671763</v>
      </c>
      <c r="AC125" s="677">
        <f t="shared" si="195"/>
        <v>1.1463228122589466</v>
      </c>
      <c r="AD125" s="678" t="str">
        <f t="shared" si="176"/>
        <v>2017</v>
      </c>
      <c r="AE125" s="679">
        <v>42492</v>
      </c>
      <c r="AF125" s="678">
        <v>2016</v>
      </c>
      <c r="AG125" s="680"/>
      <c r="AH125" s="676">
        <f t="shared" si="207"/>
        <v>2719947.7832059367</v>
      </c>
      <c r="AI125" s="95">
        <f t="shared" si="177"/>
        <v>429420.97</v>
      </c>
      <c r="AJ125" s="681" t="s">
        <v>0</v>
      </c>
      <c r="AK125" s="37">
        <f t="shared" si="178"/>
        <v>2531002.0000000042</v>
      </c>
      <c r="AL125" s="31">
        <f t="shared" si="211"/>
        <v>0</v>
      </c>
      <c r="AM125" s="31">
        <f t="shared" si="211"/>
        <v>0</v>
      </c>
      <c r="AN125" s="31">
        <f t="shared" si="211"/>
        <v>0</v>
      </c>
      <c r="AO125" s="31">
        <f t="shared" si="211"/>
        <v>1</v>
      </c>
      <c r="AP125" s="31">
        <f t="shared" si="211"/>
        <v>0</v>
      </c>
      <c r="AQ125" s="31">
        <f t="shared" si="211"/>
        <v>0</v>
      </c>
      <c r="AR125" s="31">
        <f t="shared" si="211"/>
        <v>0</v>
      </c>
      <c r="AS125" s="31">
        <f t="shared" si="211"/>
        <v>0</v>
      </c>
      <c r="AT125" s="31">
        <f t="shared" si="211"/>
        <v>0</v>
      </c>
      <c r="AU125" s="31">
        <f t="shared" si="211"/>
        <v>0</v>
      </c>
      <c r="AV125" s="31">
        <f t="shared" si="212"/>
        <v>0</v>
      </c>
      <c r="AW125" s="31">
        <f t="shared" si="212"/>
        <v>0</v>
      </c>
      <c r="AX125" s="31">
        <f t="shared" si="212"/>
        <v>0</v>
      </c>
      <c r="AY125" s="31">
        <f t="shared" si="212"/>
        <v>0</v>
      </c>
      <c r="AZ125" s="31">
        <f t="shared" si="212"/>
        <v>0</v>
      </c>
      <c r="BA125" s="31">
        <f t="shared" si="212"/>
        <v>0</v>
      </c>
      <c r="BB125" s="31">
        <f t="shared" si="212"/>
        <v>0</v>
      </c>
      <c r="BC125" s="31">
        <f t="shared" si="212"/>
        <v>0</v>
      </c>
      <c r="BD125" s="31">
        <f t="shared" si="212"/>
        <v>0</v>
      </c>
      <c r="BE125" s="30">
        <f t="shared" si="210"/>
        <v>1</v>
      </c>
      <c r="BF125" s="620">
        <f t="shared" si="159"/>
        <v>1.0046190746045656</v>
      </c>
      <c r="BG125" s="620">
        <f t="shared" si="182"/>
        <v>1.0092681731940607</v>
      </c>
      <c r="BH125" s="620">
        <f t="shared" si="183"/>
        <v>1.0146673859598225</v>
      </c>
      <c r="BI125" s="620">
        <f t="shared" si="184"/>
        <v>1.0211950341936284</v>
      </c>
      <c r="BJ125" s="620">
        <f t="shared" si="185"/>
        <v>1.0292450750544078</v>
      </c>
      <c r="BK125" s="620">
        <f t="shared" si="186"/>
        <v>1.0377536023333034</v>
      </c>
      <c r="BL125" s="620">
        <f t="shared" si="187"/>
        <v>1.0439544690397748</v>
      </c>
      <c r="BM125" s="621" t="str">
        <f t="shared" si="188"/>
        <v>Category</v>
      </c>
    </row>
    <row r="126" spans="1:65" x14ac:dyDescent="0.15">
      <c r="A126" s="12" t="s">
        <v>272</v>
      </c>
      <c r="B126" s="13" t="s">
        <v>273</v>
      </c>
      <c r="C126" s="13" t="s">
        <v>27</v>
      </c>
      <c r="D126" s="13" t="s">
        <v>55</v>
      </c>
      <c r="E126" s="13" t="s">
        <v>29</v>
      </c>
      <c r="F126" s="14">
        <v>0</v>
      </c>
      <c r="G126" s="14">
        <v>0</v>
      </c>
      <c r="H126" s="14">
        <v>0</v>
      </c>
      <c r="I126" s="14">
        <v>0</v>
      </c>
      <c r="J126" s="14">
        <v>0</v>
      </c>
      <c r="K126" s="14">
        <v>0</v>
      </c>
      <c r="L126" s="14">
        <v>0</v>
      </c>
      <c r="M126" s="15">
        <v>0</v>
      </c>
      <c r="N126" s="804"/>
      <c r="O126" s="14">
        <v>105135.8</v>
      </c>
      <c r="P126" s="15">
        <v>1736547.31</v>
      </c>
      <c r="Q126" s="16">
        <f>IF(ISTEXT('Incurred 2.5% cpi'!Q126),"",'Incurred 2.5% cpi'!Q126/'Incurred 2.5% cpi'!Q$14*Incurred!Q$14)</f>
        <v>843791.8</v>
      </c>
      <c r="R126" s="127" t="str">
        <f>IF(ISTEXT('Incurred 2.5% cpi'!R126),"",'Incurred 2.5% cpi'!R126/'Incurred 2.5% cpi'!R$14*Incurred!R$14*BF126)</f>
        <v/>
      </c>
      <c r="S126" s="119" t="str">
        <f>IF(ISTEXT('Incurred 2.5% cpi'!S126),"",'Incurred 2.5% cpi'!S126/'Incurred 2.5% cpi'!S$14*Incurred!S$14*BG126)</f>
        <v/>
      </c>
      <c r="T126" s="16" t="str">
        <f>IF(ISTEXT('Incurred 2.5% cpi'!T126),"",'Incurred 2.5% cpi'!T126/'Incurred 2.5% cpi'!T$14*Incurred!T$14*BH126)</f>
        <v/>
      </c>
      <c r="U126" s="16" t="str">
        <f>IF(ISTEXT('Incurred 2.5% cpi'!U126),"",'Incurred 2.5% cpi'!U126/'Incurred 2.5% cpi'!U$14*Incurred!U$14*BI126)</f>
        <v/>
      </c>
      <c r="V126" s="16" t="str">
        <f>IF(ISTEXT('Incurred 2.5% cpi'!V126),"",'Incurred 2.5% cpi'!V126/'Incurred 2.5% cpi'!V$14*Incurred!V$14*BJ126)</f>
        <v/>
      </c>
      <c r="W126" s="127" t="str">
        <f>IF(ISTEXT('Incurred 2.5% cpi'!W126),"",'Incurred 2.5% cpi'!W126/'Incurred 2.5% cpi'!W$14*Incurred!W$14*BK126)</f>
        <v/>
      </c>
      <c r="X126" s="119" t="str">
        <f>IF(ISTEXT('Incurred 2.5% cpi'!X126),"",'Incurred 2.5% cpi'!X126/'Incurred 2.5% cpi'!X$14*Incurred!X$14*BL126)</f>
        <v/>
      </c>
      <c r="Y126" s="95">
        <f t="shared" si="158"/>
        <v>2685474.91</v>
      </c>
      <c r="Z126" s="95">
        <f t="shared" si="173"/>
        <v>2685474.91</v>
      </c>
      <c r="AA126" s="676">
        <f t="shared" si="174"/>
        <v>3061314.1480299081</v>
      </c>
      <c r="AB126" s="676">
        <f t="shared" si="175"/>
        <v>2723161.4021486859</v>
      </c>
      <c r="AC126" s="677">
        <f t="shared" si="195"/>
        <v>1.1241765345287305</v>
      </c>
      <c r="AD126" s="678" t="str">
        <f t="shared" si="176"/>
        <v>2017</v>
      </c>
      <c r="AE126" s="679">
        <v>42704</v>
      </c>
      <c r="AF126" s="678">
        <v>2017</v>
      </c>
      <c r="AG126" s="680"/>
      <c r="AH126" s="676">
        <f t="shared" si="207"/>
        <v>2776807.6817710148</v>
      </c>
      <c r="AI126" s="95">
        <f t="shared" si="177"/>
        <v>843791.8</v>
      </c>
      <c r="AJ126" s="681" t="s">
        <v>0</v>
      </c>
      <c r="AK126" s="37">
        <f t="shared" si="178"/>
        <v>1099999.9999999984</v>
      </c>
      <c r="AL126" s="31">
        <f t="shared" si="211"/>
        <v>0</v>
      </c>
      <c r="AM126" s="31">
        <f t="shared" si="211"/>
        <v>0</v>
      </c>
      <c r="AN126" s="31">
        <f t="shared" si="211"/>
        <v>0</v>
      </c>
      <c r="AO126" s="31">
        <f t="shared" si="211"/>
        <v>1</v>
      </c>
      <c r="AP126" s="31">
        <f t="shared" si="211"/>
        <v>0</v>
      </c>
      <c r="AQ126" s="31">
        <f t="shared" si="211"/>
        <v>0</v>
      </c>
      <c r="AR126" s="31">
        <f t="shared" si="211"/>
        <v>0</v>
      </c>
      <c r="AS126" s="31">
        <f t="shared" si="211"/>
        <v>0</v>
      </c>
      <c r="AT126" s="31">
        <f t="shared" si="211"/>
        <v>0</v>
      </c>
      <c r="AU126" s="31">
        <f t="shared" si="211"/>
        <v>0</v>
      </c>
      <c r="AV126" s="31">
        <f t="shared" si="212"/>
        <v>0</v>
      </c>
      <c r="AW126" s="31">
        <f t="shared" si="212"/>
        <v>0</v>
      </c>
      <c r="AX126" s="31">
        <f t="shared" si="212"/>
        <v>0</v>
      </c>
      <c r="AY126" s="31">
        <f t="shared" si="212"/>
        <v>0</v>
      </c>
      <c r="AZ126" s="31">
        <f t="shared" si="212"/>
        <v>0</v>
      </c>
      <c r="BA126" s="31">
        <f t="shared" si="212"/>
        <v>0</v>
      </c>
      <c r="BB126" s="31">
        <f t="shared" si="212"/>
        <v>0</v>
      </c>
      <c r="BC126" s="31">
        <f t="shared" si="212"/>
        <v>0</v>
      </c>
      <c r="BD126" s="31">
        <f t="shared" si="212"/>
        <v>0</v>
      </c>
      <c r="BE126" s="30">
        <f t="shared" si="210"/>
        <v>1</v>
      </c>
      <c r="BF126" s="620">
        <f t="shared" si="159"/>
        <v>1.0046190746045656</v>
      </c>
      <c r="BG126" s="620">
        <f t="shared" si="182"/>
        <v>1.0092681731940607</v>
      </c>
      <c r="BH126" s="620">
        <f t="shared" si="183"/>
        <v>1.0146673859598225</v>
      </c>
      <c r="BI126" s="620">
        <f t="shared" si="184"/>
        <v>1.0211950341936284</v>
      </c>
      <c r="BJ126" s="620">
        <f t="shared" si="185"/>
        <v>1.0292450750544078</v>
      </c>
      <c r="BK126" s="620">
        <f t="shared" si="186"/>
        <v>1.0377536023333034</v>
      </c>
      <c r="BL126" s="620">
        <f t="shared" si="187"/>
        <v>1.0439544690397748</v>
      </c>
      <c r="BM126" s="621" t="str">
        <f t="shared" si="188"/>
        <v>Category</v>
      </c>
    </row>
    <row r="127" spans="1:65" x14ac:dyDescent="0.15">
      <c r="A127" s="12" t="s">
        <v>274</v>
      </c>
      <c r="B127" s="13" t="s">
        <v>275</v>
      </c>
      <c r="C127" s="13" t="s">
        <v>27</v>
      </c>
      <c r="D127" s="13" t="s">
        <v>55</v>
      </c>
      <c r="E127" s="13" t="s">
        <v>29</v>
      </c>
      <c r="F127" s="14">
        <v>0</v>
      </c>
      <c r="G127" s="14">
        <v>0</v>
      </c>
      <c r="H127" s="14">
        <v>0</v>
      </c>
      <c r="I127" s="14">
        <v>0</v>
      </c>
      <c r="J127" s="14">
        <v>0</v>
      </c>
      <c r="K127" s="14">
        <v>0</v>
      </c>
      <c r="L127" s="14">
        <v>0</v>
      </c>
      <c r="M127" s="15">
        <v>0</v>
      </c>
      <c r="N127" s="804"/>
      <c r="O127" s="14">
        <v>376301.33</v>
      </c>
      <c r="P127" s="15">
        <v>891785.15</v>
      </c>
      <c r="Q127" s="16">
        <f>IF(ISTEXT('Incurred 2.5% cpi'!Q127),"",'Incurred 2.5% cpi'!Q127/'Incurred 2.5% cpi'!Q$14*Incurred!Q$14)</f>
        <v>384401.4</v>
      </c>
      <c r="R127" s="127" t="str">
        <f>IF(ISTEXT('Incurred 2.5% cpi'!R127),"",'Incurred 2.5% cpi'!R127/'Incurred 2.5% cpi'!R$14*Incurred!R$14*BF127)</f>
        <v/>
      </c>
      <c r="S127" s="119" t="str">
        <f>IF(ISTEXT('Incurred 2.5% cpi'!S127),"",'Incurred 2.5% cpi'!S127/'Incurred 2.5% cpi'!S$14*Incurred!S$14*BG127)</f>
        <v/>
      </c>
      <c r="T127" s="16" t="str">
        <f>IF(ISTEXT('Incurred 2.5% cpi'!T127),"",'Incurred 2.5% cpi'!T127/'Incurred 2.5% cpi'!T$14*Incurred!T$14*BH127)</f>
        <v/>
      </c>
      <c r="U127" s="16" t="str">
        <f>IF(ISTEXT('Incurred 2.5% cpi'!U127),"",'Incurred 2.5% cpi'!U127/'Incurred 2.5% cpi'!U$14*Incurred!U$14*BI127)</f>
        <v/>
      </c>
      <c r="V127" s="16" t="str">
        <f>IF(ISTEXT('Incurred 2.5% cpi'!V127),"",'Incurred 2.5% cpi'!V127/'Incurred 2.5% cpi'!V$14*Incurred!V$14*BJ127)</f>
        <v/>
      </c>
      <c r="W127" s="127" t="str">
        <f>IF(ISTEXT('Incurred 2.5% cpi'!W127),"",'Incurred 2.5% cpi'!W127/'Incurred 2.5% cpi'!W$14*Incurred!W$14*BK127)</f>
        <v/>
      </c>
      <c r="X127" s="119" t="str">
        <f>IF(ISTEXT('Incurred 2.5% cpi'!X127),"",'Incurred 2.5% cpi'!X127/'Incurred 2.5% cpi'!X$14*Incurred!X$14*BL127)</f>
        <v/>
      </c>
      <c r="Y127" s="95">
        <f t="shared" si="158"/>
        <v>1652487.88</v>
      </c>
      <c r="Z127" s="95">
        <f t="shared" si="173"/>
        <v>1652487.88</v>
      </c>
      <c r="AA127" s="676">
        <f t="shared" si="174"/>
        <v>1891426.0621855543</v>
      </c>
      <c r="AB127" s="676">
        <f t="shared" si="175"/>
        <v>1682499.1485687476</v>
      </c>
      <c r="AC127" s="677">
        <f t="shared" si="195"/>
        <v>1.1241765345287305</v>
      </c>
      <c r="AD127" s="678" t="str">
        <f t="shared" si="176"/>
        <v>2017</v>
      </c>
      <c r="AE127" s="679">
        <v>42767</v>
      </c>
      <c r="AF127" s="678">
        <v>2017</v>
      </c>
      <c r="AG127" s="680"/>
      <c r="AH127" s="676">
        <f t="shared" si="207"/>
        <v>1715644.3817955516</v>
      </c>
      <c r="AI127" s="95">
        <f t="shared" si="177"/>
        <v>384401.4</v>
      </c>
      <c r="AJ127" s="681" t="s">
        <v>0</v>
      </c>
      <c r="AK127" s="37">
        <f t="shared" si="178"/>
        <v>1300000.0000000009</v>
      </c>
      <c r="AL127" s="31">
        <f t="shared" si="211"/>
        <v>0</v>
      </c>
      <c r="AM127" s="31">
        <f t="shared" si="211"/>
        <v>0</v>
      </c>
      <c r="AN127" s="31">
        <f t="shared" si="211"/>
        <v>0</v>
      </c>
      <c r="AO127" s="31">
        <f t="shared" si="211"/>
        <v>1</v>
      </c>
      <c r="AP127" s="31">
        <f t="shared" si="211"/>
        <v>0</v>
      </c>
      <c r="AQ127" s="31">
        <f t="shared" si="211"/>
        <v>0</v>
      </c>
      <c r="AR127" s="31">
        <f t="shared" si="211"/>
        <v>0</v>
      </c>
      <c r="AS127" s="31">
        <f t="shared" si="211"/>
        <v>0</v>
      </c>
      <c r="AT127" s="31">
        <f t="shared" si="211"/>
        <v>0</v>
      </c>
      <c r="AU127" s="31">
        <f t="shared" si="211"/>
        <v>0</v>
      </c>
      <c r="AV127" s="31">
        <f t="shared" si="212"/>
        <v>0</v>
      </c>
      <c r="AW127" s="31">
        <f t="shared" si="212"/>
        <v>0</v>
      </c>
      <c r="AX127" s="31">
        <f t="shared" si="212"/>
        <v>0</v>
      </c>
      <c r="AY127" s="31">
        <f t="shared" si="212"/>
        <v>0</v>
      </c>
      <c r="AZ127" s="31">
        <f t="shared" si="212"/>
        <v>0</v>
      </c>
      <c r="BA127" s="31">
        <f t="shared" si="212"/>
        <v>0</v>
      </c>
      <c r="BB127" s="31">
        <f t="shared" si="212"/>
        <v>0</v>
      </c>
      <c r="BC127" s="31">
        <f t="shared" si="212"/>
        <v>0</v>
      </c>
      <c r="BD127" s="31">
        <f t="shared" si="212"/>
        <v>0</v>
      </c>
      <c r="BE127" s="30">
        <f t="shared" si="210"/>
        <v>1</v>
      </c>
      <c r="BF127" s="620">
        <f t="shared" si="159"/>
        <v>1.0046190746045656</v>
      </c>
      <c r="BG127" s="620">
        <f t="shared" si="182"/>
        <v>1.0092681731940607</v>
      </c>
      <c r="BH127" s="620">
        <f t="shared" si="183"/>
        <v>1.0146673859598225</v>
      </c>
      <c r="BI127" s="620">
        <f t="shared" si="184"/>
        <v>1.0211950341936284</v>
      </c>
      <c r="BJ127" s="620">
        <f t="shared" si="185"/>
        <v>1.0292450750544078</v>
      </c>
      <c r="BK127" s="620">
        <f t="shared" si="186"/>
        <v>1.0377536023333034</v>
      </c>
      <c r="BL127" s="620">
        <f t="shared" si="187"/>
        <v>1.0439544690397748</v>
      </c>
      <c r="BM127" s="621" t="str">
        <f t="shared" si="188"/>
        <v>Category</v>
      </c>
    </row>
    <row r="128" spans="1:65" x14ac:dyDescent="0.15">
      <c r="A128" s="12" t="s">
        <v>276</v>
      </c>
      <c r="B128" s="13" t="s">
        <v>2379</v>
      </c>
      <c r="C128" s="13" t="s">
        <v>27</v>
      </c>
      <c r="D128" s="13" t="s">
        <v>36</v>
      </c>
      <c r="E128" s="13" t="s">
        <v>32</v>
      </c>
      <c r="F128" s="14">
        <v>0</v>
      </c>
      <c r="G128" s="14">
        <v>0</v>
      </c>
      <c r="H128" s="14">
        <v>0</v>
      </c>
      <c r="I128" s="14">
        <v>0</v>
      </c>
      <c r="J128" s="14">
        <v>0</v>
      </c>
      <c r="K128" s="14">
        <v>0</v>
      </c>
      <c r="L128" s="14">
        <v>0</v>
      </c>
      <c r="M128" s="15">
        <v>0</v>
      </c>
      <c r="N128" s="804"/>
      <c r="O128" s="14"/>
      <c r="P128" s="15">
        <v>276166.64</v>
      </c>
      <c r="Q128" s="16" t="str">
        <f>IF(ISTEXT('Incurred 2.5% cpi'!Q128),"",'Incurred 2.5% cpi'!Q128/'Incurred 2.5% cpi'!Q$14*Incurred!Q$14)</f>
        <v/>
      </c>
      <c r="R128" s="127" t="str">
        <f>IF(ISTEXT('Incurred 2.5% cpi'!R128),"",'Incurred 2.5% cpi'!R128/'Incurred 2.5% cpi'!R$14*Incurred!R$14*BF128)</f>
        <v/>
      </c>
      <c r="S128" s="119" t="str">
        <f>IF(ISTEXT('Incurred 2.5% cpi'!S128),"",'Incurred 2.5% cpi'!S128/'Incurred 2.5% cpi'!S$14*Incurred!S$14*BG128)</f>
        <v/>
      </c>
      <c r="T128" s="16" t="str">
        <f>IF(ISTEXT('Incurred 2.5% cpi'!T128),"",'Incurred 2.5% cpi'!T128/'Incurred 2.5% cpi'!T$14*Incurred!T$14*BH128)</f>
        <v/>
      </c>
      <c r="U128" s="16" t="str">
        <f>IF(ISTEXT('Incurred 2.5% cpi'!U128),"",'Incurred 2.5% cpi'!U128/'Incurred 2.5% cpi'!U$14*Incurred!U$14*BI128)</f>
        <v/>
      </c>
      <c r="V128" s="16" t="str">
        <f>IF(ISTEXT('Incurred 2.5% cpi'!V128),"",'Incurred 2.5% cpi'!V128/'Incurred 2.5% cpi'!V$14*Incurred!V$14*BJ128)</f>
        <v/>
      </c>
      <c r="W128" s="127" t="str">
        <f>IF(ISTEXT('Incurred 2.5% cpi'!W128),"",'Incurred 2.5% cpi'!W128/'Incurred 2.5% cpi'!W$14*Incurred!W$14*BK128)</f>
        <v/>
      </c>
      <c r="X128" s="119" t="str">
        <f>IF(ISTEXT('Incurred 2.5% cpi'!X128),"",'Incurred 2.5% cpi'!X128/'Incurred 2.5% cpi'!X$14*Incurred!X$14*BL128)</f>
        <v/>
      </c>
      <c r="Y128" s="95">
        <f t="shared" si="158"/>
        <v>276166.64</v>
      </c>
      <c r="Z128" s="95">
        <f t="shared" si="173"/>
        <v>276166.64</v>
      </c>
      <c r="AA128" s="676">
        <f t="shared" si="174"/>
        <v>316576.11941690411</v>
      </c>
      <c r="AB128" s="676">
        <f t="shared" si="175"/>
        <v>276166.64</v>
      </c>
      <c r="AC128" s="677">
        <f t="shared" si="195"/>
        <v>1.1463228122589466</v>
      </c>
      <c r="AD128" s="678" t="str">
        <f t="shared" si="176"/>
        <v>2016</v>
      </c>
      <c r="AE128" s="679">
        <v>42410</v>
      </c>
      <c r="AF128" s="678">
        <v>2016</v>
      </c>
      <c r="AG128" s="680"/>
      <c r="AH128" s="676">
        <f t="shared" si="207"/>
        <v>287154.78312731761</v>
      </c>
      <c r="AI128" s="95">
        <f t="shared" si="177"/>
        <v>276166.64</v>
      </c>
      <c r="AJ128" s="681" t="s">
        <v>0</v>
      </c>
      <c r="AK128" s="37">
        <f t="shared" si="178"/>
        <v>219299.99999999994</v>
      </c>
      <c r="AL128" s="31">
        <f t="shared" si="211"/>
        <v>0.30232558139534887</v>
      </c>
      <c r="AM128" s="31">
        <f t="shared" si="211"/>
        <v>0</v>
      </c>
      <c r="AN128" s="31">
        <f t="shared" si="211"/>
        <v>0</v>
      </c>
      <c r="AO128" s="31">
        <f t="shared" si="211"/>
        <v>0</v>
      </c>
      <c r="AP128" s="31">
        <f t="shared" si="211"/>
        <v>0</v>
      </c>
      <c r="AQ128" s="31">
        <f t="shared" si="211"/>
        <v>0</v>
      </c>
      <c r="AR128" s="31">
        <f t="shared" si="211"/>
        <v>0</v>
      </c>
      <c r="AS128" s="31">
        <f t="shared" si="211"/>
        <v>0.69767441860465107</v>
      </c>
      <c r="AT128" s="31">
        <f t="shared" si="211"/>
        <v>0</v>
      </c>
      <c r="AU128" s="31">
        <f t="shared" si="211"/>
        <v>0</v>
      </c>
      <c r="AV128" s="31">
        <f t="shared" si="212"/>
        <v>0</v>
      </c>
      <c r="AW128" s="31">
        <f t="shared" si="212"/>
        <v>0</v>
      </c>
      <c r="AX128" s="31">
        <f t="shared" si="212"/>
        <v>0</v>
      </c>
      <c r="AY128" s="31">
        <f t="shared" si="212"/>
        <v>0</v>
      </c>
      <c r="AZ128" s="31">
        <f t="shared" si="212"/>
        <v>0</v>
      </c>
      <c r="BA128" s="31">
        <f t="shared" si="212"/>
        <v>0</v>
      </c>
      <c r="BB128" s="31">
        <f t="shared" si="212"/>
        <v>0</v>
      </c>
      <c r="BC128" s="31">
        <f t="shared" si="212"/>
        <v>0</v>
      </c>
      <c r="BD128" s="31">
        <f t="shared" si="212"/>
        <v>0</v>
      </c>
      <c r="BE128" s="30">
        <f t="shared" si="210"/>
        <v>1</v>
      </c>
      <c r="BF128" s="620">
        <f t="shared" si="159"/>
        <v>1.0018756098697492</v>
      </c>
      <c r="BG128" s="620">
        <f t="shared" si="182"/>
        <v>1.0037634112036518</v>
      </c>
      <c r="BH128" s="620">
        <f t="shared" si="183"/>
        <v>1.0059558020220052</v>
      </c>
      <c r="BI128" s="620">
        <f t="shared" si="184"/>
        <v>1.0086064025213943</v>
      </c>
      <c r="BJ128" s="620">
        <f t="shared" si="185"/>
        <v>1.0118751819594745</v>
      </c>
      <c r="BK128" s="620">
        <f t="shared" si="186"/>
        <v>1.0153301332446416</v>
      </c>
      <c r="BL128" s="620">
        <f t="shared" si="187"/>
        <v>1.0178480416551621</v>
      </c>
      <c r="BM128" s="621" t="str">
        <f t="shared" si="188"/>
        <v>Category</v>
      </c>
    </row>
    <row r="129" spans="1:65" x14ac:dyDescent="0.15">
      <c r="A129" s="12" t="s">
        <v>277</v>
      </c>
      <c r="B129" s="13" t="s">
        <v>278</v>
      </c>
      <c r="C129" s="13" t="s">
        <v>27</v>
      </c>
      <c r="D129" s="13" t="s">
        <v>60</v>
      </c>
      <c r="E129" s="13" t="s">
        <v>32</v>
      </c>
      <c r="F129" s="14">
        <v>0</v>
      </c>
      <c r="G129" s="14">
        <v>0</v>
      </c>
      <c r="H129" s="14">
        <v>0</v>
      </c>
      <c r="I129" s="14">
        <v>0</v>
      </c>
      <c r="J129" s="14">
        <v>0</v>
      </c>
      <c r="K129" s="14">
        <v>0</v>
      </c>
      <c r="L129" s="14">
        <v>0</v>
      </c>
      <c r="M129" s="15">
        <v>0</v>
      </c>
      <c r="N129" s="804"/>
      <c r="O129" s="14"/>
      <c r="P129" s="15">
        <v>1433079.98</v>
      </c>
      <c r="Q129" s="16">
        <f>IF(ISTEXT('Incurred 2.5% cpi'!Q129),"",'Incurred 2.5% cpi'!Q129/'Incurred 2.5% cpi'!Q$14*Incurred!Q$14)</f>
        <v>295783.74</v>
      </c>
      <c r="R129" s="127" t="str">
        <f>IF(ISTEXT('Incurred 2.5% cpi'!R129),"",'Incurred 2.5% cpi'!R129/'Incurred 2.5% cpi'!R$14*Incurred!R$14*BF129)</f>
        <v/>
      </c>
      <c r="S129" s="119" t="str">
        <f>IF(ISTEXT('Incurred 2.5% cpi'!S129),"",'Incurred 2.5% cpi'!S129/'Incurred 2.5% cpi'!S$14*Incurred!S$14*BG129)</f>
        <v/>
      </c>
      <c r="T129" s="16" t="str">
        <f>IF(ISTEXT('Incurred 2.5% cpi'!T129),"",'Incurred 2.5% cpi'!T129/'Incurred 2.5% cpi'!T$14*Incurred!T$14*BH129)</f>
        <v/>
      </c>
      <c r="U129" s="16" t="str">
        <f>IF(ISTEXT('Incurred 2.5% cpi'!U129),"",'Incurred 2.5% cpi'!U129/'Incurred 2.5% cpi'!U$14*Incurred!U$14*BI129)</f>
        <v/>
      </c>
      <c r="V129" s="16" t="str">
        <f>IF(ISTEXT('Incurred 2.5% cpi'!V129),"",'Incurred 2.5% cpi'!V129/'Incurred 2.5% cpi'!V$14*Incurred!V$14*BJ129)</f>
        <v/>
      </c>
      <c r="W129" s="127" t="str">
        <f>IF(ISTEXT('Incurred 2.5% cpi'!W129),"",'Incurred 2.5% cpi'!W129/'Incurred 2.5% cpi'!W$14*Incurred!W$14*BK129)</f>
        <v/>
      </c>
      <c r="X129" s="119" t="str">
        <f>IF(ISTEXT('Incurred 2.5% cpi'!X129),"",'Incurred 2.5% cpi'!X129/'Incurred 2.5% cpi'!X$14*Incurred!X$14*BL129)</f>
        <v/>
      </c>
      <c r="Y129" s="95">
        <f t="shared" si="158"/>
        <v>1728863.72</v>
      </c>
      <c r="Z129" s="95">
        <f t="shared" si="173"/>
        <v>1728863.72</v>
      </c>
      <c r="AA129" s="676">
        <f t="shared" si="174"/>
        <v>1975285.4126687418</v>
      </c>
      <c r="AB129" s="676">
        <f t="shared" si="175"/>
        <v>1757095.395606</v>
      </c>
      <c r="AC129" s="677">
        <f t="shared" si="195"/>
        <v>1.1241765345287305</v>
      </c>
      <c r="AD129" s="678" t="str">
        <f t="shared" si="176"/>
        <v>2017</v>
      </c>
      <c r="AE129" s="679">
        <v>42531</v>
      </c>
      <c r="AF129" s="678">
        <v>2017</v>
      </c>
      <c r="AG129" s="680"/>
      <c r="AH129" s="676">
        <f t="shared" si="207"/>
        <v>1791710.1748994384</v>
      </c>
      <c r="AI129" s="95">
        <f t="shared" si="177"/>
        <v>295783.74</v>
      </c>
      <c r="AJ129" s="681" t="s">
        <v>0</v>
      </c>
      <c r="AK129" s="37">
        <f t="shared" si="178"/>
        <v>1962985.0000000005</v>
      </c>
      <c r="AL129" s="31">
        <f t="shared" si="211"/>
        <v>0</v>
      </c>
      <c r="AM129" s="31">
        <f t="shared" si="211"/>
        <v>0</v>
      </c>
      <c r="AN129" s="31">
        <f t="shared" si="211"/>
        <v>0</v>
      </c>
      <c r="AO129" s="31">
        <f t="shared" si="211"/>
        <v>0</v>
      </c>
      <c r="AP129" s="31">
        <f t="shared" si="211"/>
        <v>0</v>
      </c>
      <c r="AQ129" s="31">
        <f t="shared" si="211"/>
        <v>0</v>
      </c>
      <c r="AR129" s="31">
        <f t="shared" si="211"/>
        <v>0</v>
      </c>
      <c r="AS129" s="31">
        <f t="shared" si="211"/>
        <v>0</v>
      </c>
      <c r="AT129" s="31">
        <f t="shared" si="211"/>
        <v>0</v>
      </c>
      <c r="AU129" s="31">
        <f t="shared" si="211"/>
        <v>1</v>
      </c>
      <c r="AV129" s="31">
        <f t="shared" si="212"/>
        <v>0</v>
      </c>
      <c r="AW129" s="31">
        <f t="shared" si="212"/>
        <v>0</v>
      </c>
      <c r="AX129" s="31">
        <f t="shared" si="212"/>
        <v>0</v>
      </c>
      <c r="AY129" s="31">
        <f t="shared" si="212"/>
        <v>0</v>
      </c>
      <c r="AZ129" s="31">
        <f t="shared" si="212"/>
        <v>0</v>
      </c>
      <c r="BA129" s="31">
        <f t="shared" si="212"/>
        <v>0</v>
      </c>
      <c r="BB129" s="31">
        <f t="shared" si="212"/>
        <v>0</v>
      </c>
      <c r="BC129" s="31">
        <f t="shared" si="212"/>
        <v>0</v>
      </c>
      <c r="BD129" s="31">
        <f t="shared" si="212"/>
        <v>0</v>
      </c>
      <c r="BE129" s="30">
        <f t="shared" si="210"/>
        <v>1</v>
      </c>
      <c r="BF129" s="620">
        <f t="shared" si="159"/>
        <v>1.0002847743844534</v>
      </c>
      <c r="BG129" s="620">
        <f t="shared" si="182"/>
        <v>1.0005713998024055</v>
      </c>
      <c r="BH129" s="620">
        <f t="shared" si="183"/>
        <v>1.0009042711291389</v>
      </c>
      <c r="BI129" s="620">
        <f t="shared" si="184"/>
        <v>1.0013067125631596</v>
      </c>
      <c r="BJ129" s="620">
        <f t="shared" si="185"/>
        <v>1.001803012282737</v>
      </c>
      <c r="BK129" s="620">
        <f t="shared" si="186"/>
        <v>1.0023275785272521</v>
      </c>
      <c r="BL129" s="620">
        <f t="shared" si="187"/>
        <v>1.0027098732833635</v>
      </c>
      <c r="BM129" s="621" t="str">
        <f t="shared" si="188"/>
        <v>Category</v>
      </c>
    </row>
    <row r="130" spans="1:65" x14ac:dyDescent="0.15">
      <c r="A130" s="12" t="s">
        <v>280</v>
      </c>
      <c r="B130" s="13" t="s">
        <v>281</v>
      </c>
      <c r="C130" s="13" t="s">
        <v>27</v>
      </c>
      <c r="D130" s="13" t="s">
        <v>40</v>
      </c>
      <c r="E130" s="13" t="s">
        <v>32</v>
      </c>
      <c r="F130" s="14">
        <v>0</v>
      </c>
      <c r="G130" s="14">
        <v>0</v>
      </c>
      <c r="H130" s="14">
        <v>0</v>
      </c>
      <c r="I130" s="14">
        <v>0</v>
      </c>
      <c r="J130" s="14">
        <v>0</v>
      </c>
      <c r="K130" s="14">
        <v>0</v>
      </c>
      <c r="L130" s="14">
        <v>23847.37</v>
      </c>
      <c r="M130" s="15">
        <v>215992.62</v>
      </c>
      <c r="N130" s="804">
        <v>3121327.19</v>
      </c>
      <c r="O130" s="14">
        <v>1677702.37</v>
      </c>
      <c r="P130" s="15">
        <v>123214.48</v>
      </c>
      <c r="Q130" s="16" t="str">
        <f>IF(ISTEXT('Incurred 2.5% cpi'!Q130),"",'Incurred 2.5% cpi'!Q130/'Incurred 2.5% cpi'!Q$14*Incurred!Q$14)</f>
        <v/>
      </c>
      <c r="R130" s="127" t="str">
        <f>IF(ISTEXT('Incurred 2.5% cpi'!R130),"",'Incurred 2.5% cpi'!R130/'Incurred 2.5% cpi'!R$14*Incurred!R$14*BF130)</f>
        <v/>
      </c>
      <c r="S130" s="119" t="str">
        <f>IF(ISTEXT('Incurred 2.5% cpi'!S130),"",'Incurred 2.5% cpi'!S130/'Incurred 2.5% cpi'!S$14*Incurred!S$14*BG130)</f>
        <v/>
      </c>
      <c r="T130" s="16" t="str">
        <f>IF(ISTEXT('Incurred 2.5% cpi'!T130),"",'Incurred 2.5% cpi'!T130/'Incurred 2.5% cpi'!T$14*Incurred!T$14*BH130)</f>
        <v/>
      </c>
      <c r="U130" s="16" t="str">
        <f>IF(ISTEXT('Incurred 2.5% cpi'!U130),"",'Incurred 2.5% cpi'!U130/'Incurred 2.5% cpi'!U$14*Incurred!U$14*BI130)</f>
        <v/>
      </c>
      <c r="V130" s="16" t="str">
        <f>IF(ISTEXT('Incurred 2.5% cpi'!V130),"",'Incurred 2.5% cpi'!V130/'Incurred 2.5% cpi'!V$14*Incurred!V$14*BJ130)</f>
        <v/>
      </c>
      <c r="W130" s="127" t="str">
        <f>IF(ISTEXT('Incurred 2.5% cpi'!W130),"",'Incurred 2.5% cpi'!W130/'Incurred 2.5% cpi'!W$14*Incurred!W$14*BK130)</f>
        <v/>
      </c>
      <c r="X130" s="119" t="str">
        <f>IF(ISTEXT('Incurred 2.5% cpi'!X130),"",'Incurred 2.5% cpi'!X130/'Incurred 2.5% cpi'!X$14*Incurred!X$14*BL130)</f>
        <v/>
      </c>
      <c r="Y130" s="95">
        <f t="shared" si="158"/>
        <v>5162084.03</v>
      </c>
      <c r="Z130" s="95">
        <f t="shared" si="173"/>
        <v>5162084.03</v>
      </c>
      <c r="AA130" s="676">
        <f t="shared" si="174"/>
        <v>6053972.8302953895</v>
      </c>
      <c r="AB130" s="676">
        <f t="shared" si="175"/>
        <v>5212877.5600986667</v>
      </c>
      <c r="AC130" s="677">
        <f t="shared" si="195"/>
        <v>1.161349515790431</v>
      </c>
      <c r="AD130" s="678" t="str">
        <f t="shared" si="176"/>
        <v>2016</v>
      </c>
      <c r="AE130" s="679">
        <v>42185</v>
      </c>
      <c r="AF130" s="678">
        <v>2015</v>
      </c>
      <c r="AG130" s="680"/>
      <c r="AH130" s="676">
        <f t="shared" ref="AH130:AH137" si="213">IF(ROUND(Y130,0)=0,0,SUMPRODUCT($F$16:$W$16,F130:W130))</f>
        <v>5491340.4660595497</v>
      </c>
      <c r="AI130" s="95">
        <f t="shared" si="177"/>
        <v>123214.48</v>
      </c>
      <c r="AJ130" s="681" t="s">
        <v>0</v>
      </c>
      <c r="AK130" s="37">
        <f t="shared" si="178"/>
        <v>0</v>
      </c>
      <c r="AL130" s="31">
        <f t="shared" ref="AL130:AU130" si="214">IF($AK130=0,VLOOKUP(MID($A130,4,5),ProjectSplits,AL$20,FALSE),IF(ISNA(VLOOKUP($A130,Estimates,AL$19,FALSE)),VLOOKUP(MID($A130,4,5),ProjectSplits,AL$20,FALSE),VLOOKUP($A130,Estimates,AL$19,FALSE)))</f>
        <v>0</v>
      </c>
      <c r="AM130" s="31">
        <f t="shared" si="214"/>
        <v>0.37490231322519019</v>
      </c>
      <c r="AN130" s="31">
        <f t="shared" si="214"/>
        <v>0.22520260314686905</v>
      </c>
      <c r="AO130" s="31">
        <f t="shared" si="214"/>
        <v>0</v>
      </c>
      <c r="AP130" s="31">
        <f t="shared" si="214"/>
        <v>0</v>
      </c>
      <c r="AQ130" s="31">
        <f t="shared" si="214"/>
        <v>0</v>
      </c>
      <c r="AR130" s="31">
        <f t="shared" si="214"/>
        <v>0</v>
      </c>
      <c r="AS130" s="31">
        <f t="shared" si="214"/>
        <v>0</v>
      </c>
      <c r="AT130" s="31">
        <f t="shared" si="214"/>
        <v>0</v>
      </c>
      <c r="AU130" s="31">
        <f t="shared" si="214"/>
        <v>0</v>
      </c>
      <c r="AV130" s="31">
        <f t="shared" ref="AV130:BD130" si="215">IF($AK130=0,VLOOKUP(MID($A130,4,5),ProjectSplits,AV$20,FALSE),IF(ISNA(VLOOKUP($A130,Estimates,AV$19,FALSE)),VLOOKUP(MID($A130,4,5),ProjectSplits,AV$20,FALSE),VLOOKUP($A130,Estimates,AV$19,FALSE)))</f>
        <v>0</v>
      </c>
      <c r="AW130" s="31">
        <f t="shared" si="215"/>
        <v>0.39989508362794079</v>
      </c>
      <c r="AX130" s="31">
        <f t="shared" si="215"/>
        <v>0</v>
      </c>
      <c r="AY130" s="31">
        <f t="shared" si="215"/>
        <v>0</v>
      </c>
      <c r="AZ130" s="31">
        <f t="shared" si="215"/>
        <v>0</v>
      </c>
      <c r="BA130" s="31">
        <f t="shared" si="215"/>
        <v>0</v>
      </c>
      <c r="BB130" s="31">
        <f t="shared" si="215"/>
        <v>0</v>
      </c>
      <c r="BC130" s="31">
        <f t="shared" si="215"/>
        <v>0</v>
      </c>
      <c r="BD130" s="31">
        <f t="shared" si="215"/>
        <v>0</v>
      </c>
      <c r="BE130" s="30">
        <f t="shared" ref="BE130" si="216">SUM(AL130:BD130)</f>
        <v>1</v>
      </c>
      <c r="BF130" s="620">
        <f t="shared" si="159"/>
        <v>1.0034498951996242</v>
      </c>
      <c r="BG130" s="620">
        <f t="shared" si="182"/>
        <v>1.0069222147180459</v>
      </c>
      <c r="BH130" s="620">
        <f t="shared" si="183"/>
        <v>1.0109547796356901</v>
      </c>
      <c r="BI130" s="620">
        <f t="shared" si="184"/>
        <v>1.0158301506211216</v>
      </c>
      <c r="BJ130" s="620">
        <f t="shared" si="185"/>
        <v>1.0218425664619335</v>
      </c>
      <c r="BK130" s="620">
        <f t="shared" si="186"/>
        <v>1.0281974167140426</v>
      </c>
      <c r="BL130" s="620">
        <f t="shared" si="187"/>
        <v>1.0328287210586446</v>
      </c>
      <c r="BM130" s="621" t="str">
        <f t="shared" si="188"/>
        <v>Category</v>
      </c>
    </row>
    <row r="131" spans="1:65" x14ac:dyDescent="0.15">
      <c r="A131" s="12" t="s">
        <v>282</v>
      </c>
      <c r="B131" s="13" t="s">
        <v>283</v>
      </c>
      <c r="C131" s="13" t="s">
        <v>27</v>
      </c>
      <c r="D131" s="13" t="s">
        <v>28</v>
      </c>
      <c r="E131" s="13" t="s">
        <v>45</v>
      </c>
      <c r="F131" s="14">
        <v>0</v>
      </c>
      <c r="G131" s="14">
        <v>0</v>
      </c>
      <c r="H131" s="14">
        <v>0</v>
      </c>
      <c r="I131" s="14">
        <v>0</v>
      </c>
      <c r="J131" s="14">
        <v>0</v>
      </c>
      <c r="K131" s="14">
        <v>0</v>
      </c>
      <c r="L131" s="14">
        <v>0</v>
      </c>
      <c r="M131" s="15">
        <v>0</v>
      </c>
      <c r="N131" s="804"/>
      <c r="O131" s="14">
        <v>189979.94</v>
      </c>
      <c r="P131" s="15">
        <v>69611.05</v>
      </c>
      <c r="Q131" s="16" t="str">
        <f>IF(ISTEXT('Incurred 2.5% cpi'!Q131),"",'Incurred 2.5% cpi'!Q131/'Incurred 2.5% cpi'!Q$14*Incurred!Q$14)</f>
        <v/>
      </c>
      <c r="R131" s="127">
        <f>IF(ISTEXT('Incurred 2.5% cpi'!R131),"",'Incurred 2.5% cpi'!R131/'Incurred 2.5% cpi'!R$14*Incurred!R$14*BF131)</f>
        <v>328493.87903037481</v>
      </c>
      <c r="S131" s="119">
        <f>IF(ISTEXT('Incurred 2.5% cpi'!S131),"",'Incurred 2.5% cpi'!S131/'Incurred 2.5% cpi'!S$14*Incurred!S$14*BG131)</f>
        <v>436832.31657904206</v>
      </c>
      <c r="T131" s="16" t="str">
        <f>IF(ISTEXT('Incurred 2.5% cpi'!T131),"",'Incurred 2.5% cpi'!T131/'Incurred 2.5% cpi'!T$14*Incurred!T$14*BH131)</f>
        <v/>
      </c>
      <c r="U131" s="16" t="str">
        <f>IF(ISTEXT('Incurred 2.5% cpi'!U131),"",'Incurred 2.5% cpi'!U131/'Incurred 2.5% cpi'!U$14*Incurred!U$14*BI131)</f>
        <v/>
      </c>
      <c r="V131" s="16" t="str">
        <f>IF(ISTEXT('Incurred 2.5% cpi'!V131),"",'Incurred 2.5% cpi'!V131/'Incurred 2.5% cpi'!V$14*Incurred!V$14*BJ131)</f>
        <v/>
      </c>
      <c r="W131" s="127" t="str">
        <f>IF(ISTEXT('Incurred 2.5% cpi'!W131),"",'Incurred 2.5% cpi'!W131/'Incurred 2.5% cpi'!W$14*Incurred!W$14*BK131)</f>
        <v/>
      </c>
      <c r="X131" s="119" t="str">
        <f>IF(ISTEXT('Incurred 2.5% cpi'!X131),"",'Incurred 2.5% cpi'!X131/'Incurred 2.5% cpi'!X$14*Incurred!X$14*BL131)</f>
        <v/>
      </c>
      <c r="Y131" s="95">
        <f t="shared" si="158"/>
        <v>1024917.1856094168</v>
      </c>
      <c r="Z131" s="95">
        <f t="shared" si="173"/>
        <v>1024917.1856094168</v>
      </c>
      <c r="AA131" s="676">
        <f t="shared" si="174"/>
        <v>1134865.8962997396</v>
      </c>
      <c r="AB131" s="676">
        <f t="shared" si="175"/>
        <v>1049675.034548132</v>
      </c>
      <c r="AC131" s="677">
        <f t="shared" si="195"/>
        <v>1.0811592721058483</v>
      </c>
      <c r="AD131" s="678" t="str">
        <f t="shared" si="176"/>
        <v>2019</v>
      </c>
      <c r="AE131" s="679">
        <v>43522</v>
      </c>
      <c r="AF131" s="678">
        <v>2019</v>
      </c>
      <c r="AG131" s="680"/>
      <c r="AH131" s="676">
        <f t="shared" si="213"/>
        <v>1029395.9346358066</v>
      </c>
      <c r="AI131" s="95">
        <f t="shared" si="177"/>
        <v>436832.31657904206</v>
      </c>
      <c r="AJ131" s="681" t="s">
        <v>3058</v>
      </c>
      <c r="AK131" s="37">
        <f t="shared" si="178"/>
        <v>1999999.9999999991</v>
      </c>
      <c r="AL131" s="31">
        <f t="shared" ref="AL131:AU132" si="217">IF($AK131=0,VLOOKUP(MID($A131,4,5),ProjectSplits,AL$20,FALSE),IF(ISNA(VLOOKUP($A131,Estimates,AL$19,FALSE)),VLOOKUP(MID($A131,4,5),ProjectSplits,AL$20,FALSE),VLOOKUP($A131,Estimates,AL$19,FALSE)))</f>
        <v>0</v>
      </c>
      <c r="AM131" s="31">
        <f t="shared" si="217"/>
        <v>0</v>
      </c>
      <c r="AN131" s="31">
        <f t="shared" si="217"/>
        <v>0</v>
      </c>
      <c r="AO131" s="31">
        <f t="shared" si="217"/>
        <v>1</v>
      </c>
      <c r="AP131" s="31">
        <f t="shared" si="217"/>
        <v>0</v>
      </c>
      <c r="AQ131" s="31">
        <f t="shared" si="217"/>
        <v>0</v>
      </c>
      <c r="AR131" s="31">
        <f t="shared" si="217"/>
        <v>0</v>
      </c>
      <c r="AS131" s="31">
        <f t="shared" si="217"/>
        <v>0</v>
      </c>
      <c r="AT131" s="31">
        <f t="shared" si="217"/>
        <v>0</v>
      </c>
      <c r="AU131" s="31">
        <f t="shared" si="217"/>
        <v>0</v>
      </c>
      <c r="AV131" s="31">
        <f t="shared" ref="AV131:BD132" si="218">IF($AK131=0,VLOOKUP(MID($A131,4,5),ProjectSplits,AV$20,FALSE),IF(ISNA(VLOOKUP($A131,Estimates,AV$19,FALSE)),VLOOKUP(MID($A131,4,5),ProjectSplits,AV$20,FALSE),VLOOKUP($A131,Estimates,AV$19,FALSE)))</f>
        <v>0</v>
      </c>
      <c r="AW131" s="31">
        <f t="shared" si="218"/>
        <v>0</v>
      </c>
      <c r="AX131" s="31">
        <f t="shared" si="218"/>
        <v>0</v>
      </c>
      <c r="AY131" s="31">
        <f t="shared" si="218"/>
        <v>0</v>
      </c>
      <c r="AZ131" s="31">
        <f t="shared" si="218"/>
        <v>0</v>
      </c>
      <c r="BA131" s="31">
        <f t="shared" si="218"/>
        <v>0</v>
      </c>
      <c r="BB131" s="31">
        <f t="shared" si="218"/>
        <v>0</v>
      </c>
      <c r="BC131" s="31">
        <f t="shared" si="218"/>
        <v>0</v>
      </c>
      <c r="BD131" s="31">
        <f t="shared" si="218"/>
        <v>0</v>
      </c>
      <c r="BE131" s="30">
        <f t="shared" ref="BE131:BE132" si="219">SUM(AL131:BD131)</f>
        <v>1</v>
      </c>
      <c r="BF131" s="620">
        <f t="shared" si="159"/>
        <v>1.0030444840366091</v>
      </c>
      <c r="BG131" s="620">
        <f t="shared" si="182"/>
        <v>1.0061087572194563</v>
      </c>
      <c r="BH131" s="620">
        <f t="shared" si="183"/>
        <v>1.0096674390946898</v>
      </c>
      <c r="BI131" s="620">
        <f t="shared" si="184"/>
        <v>1.0139698854818469</v>
      </c>
      <c r="BJ131" s="620">
        <f t="shared" si="185"/>
        <v>1.0192757579764089</v>
      </c>
      <c r="BK131" s="620">
        <f t="shared" si="186"/>
        <v>1.0248838240271385</v>
      </c>
      <c r="BL131" s="620">
        <f t="shared" si="187"/>
        <v>1.0289708850333266</v>
      </c>
      <c r="BM131" s="621" t="str">
        <f t="shared" si="188"/>
        <v>Category</v>
      </c>
    </row>
    <row r="132" spans="1:65" x14ac:dyDescent="0.15">
      <c r="A132" s="12" t="s">
        <v>284</v>
      </c>
      <c r="B132" s="13" t="s">
        <v>2380</v>
      </c>
      <c r="C132" s="13" t="s">
        <v>27</v>
      </c>
      <c r="D132" s="13" t="s">
        <v>36</v>
      </c>
      <c r="E132" s="13" t="s">
        <v>32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5">
        <v>0</v>
      </c>
      <c r="N132" s="804"/>
      <c r="O132" s="14"/>
      <c r="P132" s="15">
        <v>83668.19</v>
      </c>
      <c r="Q132" s="16" t="str">
        <f>IF(ISTEXT('Incurred 2.5% cpi'!Q132),"",'Incurred 2.5% cpi'!Q132/'Incurred 2.5% cpi'!Q$14*Incurred!Q$14)</f>
        <v/>
      </c>
      <c r="R132" s="127" t="str">
        <f>IF(ISTEXT('Incurred 2.5% cpi'!R132),"",'Incurred 2.5% cpi'!R132/'Incurred 2.5% cpi'!R$14*Incurred!R$14*BF132)</f>
        <v/>
      </c>
      <c r="S132" s="119" t="str">
        <f>IF(ISTEXT('Incurred 2.5% cpi'!S132),"",'Incurred 2.5% cpi'!S132/'Incurred 2.5% cpi'!S$14*Incurred!S$14*BG132)</f>
        <v/>
      </c>
      <c r="T132" s="16" t="str">
        <f>IF(ISTEXT('Incurred 2.5% cpi'!T132),"",'Incurred 2.5% cpi'!T132/'Incurred 2.5% cpi'!T$14*Incurred!T$14*BH132)</f>
        <v/>
      </c>
      <c r="U132" s="16" t="str">
        <f>IF(ISTEXT('Incurred 2.5% cpi'!U132),"",'Incurred 2.5% cpi'!U132/'Incurred 2.5% cpi'!U$14*Incurred!U$14*BI132)</f>
        <v/>
      </c>
      <c r="V132" s="16" t="str">
        <f>IF(ISTEXT('Incurred 2.5% cpi'!V132),"",'Incurred 2.5% cpi'!V132/'Incurred 2.5% cpi'!V$14*Incurred!V$14*BJ132)</f>
        <v/>
      </c>
      <c r="W132" s="127" t="str">
        <f>IF(ISTEXT('Incurred 2.5% cpi'!W132),"",'Incurred 2.5% cpi'!W132/'Incurred 2.5% cpi'!W$14*Incurred!W$14*BK132)</f>
        <v/>
      </c>
      <c r="X132" s="119" t="str">
        <f>IF(ISTEXT('Incurred 2.5% cpi'!X132),"",'Incurred 2.5% cpi'!X132/'Incurred 2.5% cpi'!X$14*Incurred!X$14*BL132)</f>
        <v/>
      </c>
      <c r="Y132" s="95">
        <f t="shared" si="158"/>
        <v>83668.19</v>
      </c>
      <c r="Z132" s="95">
        <f t="shared" si="173"/>
        <v>83668.19</v>
      </c>
      <c r="AA132" s="676">
        <f t="shared" si="174"/>
        <v>95910.754857415872</v>
      </c>
      <c r="AB132" s="676">
        <f t="shared" si="175"/>
        <v>85316.453343000016</v>
      </c>
      <c r="AC132" s="677">
        <f t="shared" si="195"/>
        <v>1.1241765345287305</v>
      </c>
      <c r="AD132" s="678" t="str">
        <f t="shared" si="176"/>
        <v>2016</v>
      </c>
      <c r="AE132" s="679">
        <v>42186</v>
      </c>
      <c r="AF132" s="678">
        <v>2017</v>
      </c>
      <c r="AG132" s="680"/>
      <c r="AH132" s="676">
        <f t="shared" si="213"/>
        <v>86997.187473857106</v>
      </c>
      <c r="AI132" s="95">
        <f t="shared" si="177"/>
        <v>83668.19</v>
      </c>
      <c r="AJ132" s="681" t="s">
        <v>0</v>
      </c>
      <c r="AK132" s="37">
        <f t="shared" si="178"/>
        <v>98699.999999999971</v>
      </c>
      <c r="AL132" s="31">
        <f t="shared" si="217"/>
        <v>6.3829787234042548E-2</v>
      </c>
      <c r="AM132" s="31">
        <f t="shared" si="217"/>
        <v>0</v>
      </c>
      <c r="AN132" s="31">
        <f t="shared" si="217"/>
        <v>0</v>
      </c>
      <c r="AO132" s="31">
        <f t="shared" si="217"/>
        <v>0</v>
      </c>
      <c r="AP132" s="31">
        <f t="shared" si="217"/>
        <v>0</v>
      </c>
      <c r="AQ132" s="31">
        <f t="shared" si="217"/>
        <v>0</v>
      </c>
      <c r="AR132" s="31">
        <f t="shared" si="217"/>
        <v>0</v>
      </c>
      <c r="AS132" s="31">
        <f t="shared" si="217"/>
        <v>0.93617021276595747</v>
      </c>
      <c r="AT132" s="31">
        <f t="shared" si="217"/>
        <v>0</v>
      </c>
      <c r="AU132" s="31">
        <f t="shared" si="217"/>
        <v>0</v>
      </c>
      <c r="AV132" s="31">
        <f t="shared" si="218"/>
        <v>0</v>
      </c>
      <c r="AW132" s="31">
        <f t="shared" si="218"/>
        <v>0</v>
      </c>
      <c r="AX132" s="31">
        <f t="shared" si="218"/>
        <v>0</v>
      </c>
      <c r="AY132" s="31">
        <f t="shared" si="218"/>
        <v>0</v>
      </c>
      <c r="AZ132" s="31">
        <f t="shared" si="218"/>
        <v>0</v>
      </c>
      <c r="BA132" s="31">
        <f t="shared" si="218"/>
        <v>0</v>
      </c>
      <c r="BB132" s="31">
        <f t="shared" si="218"/>
        <v>0</v>
      </c>
      <c r="BC132" s="31">
        <f t="shared" si="218"/>
        <v>0</v>
      </c>
      <c r="BD132" s="31">
        <f t="shared" si="218"/>
        <v>0</v>
      </c>
      <c r="BE132" s="30">
        <f t="shared" si="219"/>
        <v>1</v>
      </c>
      <c r="BF132" s="620">
        <f t="shared" si="159"/>
        <v>1.0018756098697492</v>
      </c>
      <c r="BG132" s="620">
        <f t="shared" si="182"/>
        <v>1.0037634112036518</v>
      </c>
      <c r="BH132" s="620">
        <f t="shared" si="183"/>
        <v>1.0059558020220052</v>
      </c>
      <c r="BI132" s="620">
        <f t="shared" si="184"/>
        <v>1.0086064025213943</v>
      </c>
      <c r="BJ132" s="620">
        <f t="shared" si="185"/>
        <v>1.0118751819594745</v>
      </c>
      <c r="BK132" s="620">
        <f t="shared" si="186"/>
        <v>1.0153301332446416</v>
      </c>
      <c r="BL132" s="620">
        <f t="shared" si="187"/>
        <v>1.0178480416551621</v>
      </c>
      <c r="BM132" s="621" t="str">
        <f t="shared" si="188"/>
        <v>Category</v>
      </c>
    </row>
    <row r="133" spans="1:65" x14ac:dyDescent="0.15">
      <c r="A133" s="12" t="s">
        <v>285</v>
      </c>
      <c r="B133" s="13" t="s">
        <v>286</v>
      </c>
      <c r="C133" s="13" t="s">
        <v>27</v>
      </c>
      <c r="D133" s="13" t="s">
        <v>36</v>
      </c>
      <c r="E133" s="13" t="s">
        <v>29</v>
      </c>
      <c r="F133" s="14">
        <v>0</v>
      </c>
      <c r="G133" s="14">
        <v>0</v>
      </c>
      <c r="H133" s="14">
        <v>0</v>
      </c>
      <c r="I133" s="14">
        <v>0</v>
      </c>
      <c r="J133" s="14">
        <v>0</v>
      </c>
      <c r="K133" s="14">
        <v>0</v>
      </c>
      <c r="L133" s="14">
        <v>0</v>
      </c>
      <c r="M133" s="15">
        <v>0</v>
      </c>
      <c r="N133" s="804"/>
      <c r="O133" s="14"/>
      <c r="P133" s="15"/>
      <c r="Q133" s="16">
        <f>IF(ISTEXT('Incurred 2.5% cpi'!Q133),"",'Incurred 2.5% cpi'!Q133/'Incurred 2.5% cpi'!Q$14*Incurred!Q$14)</f>
        <v>224699.75</v>
      </c>
      <c r="R133" s="127" t="str">
        <f>IF(ISTEXT('Incurred 2.5% cpi'!R133),"",'Incurred 2.5% cpi'!R133/'Incurred 2.5% cpi'!R$14*Incurred!R$14*BF133)</f>
        <v/>
      </c>
      <c r="S133" s="119" t="str">
        <f>IF(ISTEXT('Incurred 2.5% cpi'!S133),"",'Incurred 2.5% cpi'!S133/'Incurred 2.5% cpi'!S$14*Incurred!S$14*BG133)</f>
        <v/>
      </c>
      <c r="T133" s="16" t="str">
        <f>IF(ISTEXT('Incurred 2.5% cpi'!T133),"",'Incurred 2.5% cpi'!T133/'Incurred 2.5% cpi'!T$14*Incurred!T$14*BH133)</f>
        <v/>
      </c>
      <c r="U133" s="16" t="str">
        <f>IF(ISTEXT('Incurred 2.5% cpi'!U133),"",'Incurred 2.5% cpi'!U133/'Incurred 2.5% cpi'!U$14*Incurred!U$14*BI133)</f>
        <v/>
      </c>
      <c r="V133" s="16" t="str">
        <f>IF(ISTEXT('Incurred 2.5% cpi'!V133),"",'Incurred 2.5% cpi'!V133/'Incurred 2.5% cpi'!V$14*Incurred!V$14*BJ133)</f>
        <v/>
      </c>
      <c r="W133" s="127" t="str">
        <f>IF(ISTEXT('Incurred 2.5% cpi'!W133),"",'Incurred 2.5% cpi'!W133/'Incurred 2.5% cpi'!W$14*Incurred!W$14*BK133)</f>
        <v/>
      </c>
      <c r="X133" s="119" t="str">
        <f>IF(ISTEXT('Incurred 2.5% cpi'!X133),"",'Incurred 2.5% cpi'!X133/'Incurred 2.5% cpi'!X$14*Incurred!X$14*BL133)</f>
        <v/>
      </c>
      <c r="Y133" s="95">
        <f t="shared" si="158"/>
        <v>224699.75</v>
      </c>
      <c r="Z133" s="95">
        <f t="shared" ref="Z133:Z156" si="220">-SUMIFS(F133:W133,F133:W133,"&lt;0")+SUMIFS(F133:W133,F133:W133,"&gt;0")</f>
        <v>224699.75</v>
      </c>
      <c r="AA133" s="676">
        <f t="shared" ref="AA133:AA156" si="221">IF(ROUND(Y133,0)=0,0,SUMPRODUCT($F$17:$W$17,F133:W133))</f>
        <v>252602.18626447211</v>
      </c>
      <c r="AB133" s="676">
        <f t="shared" ref="AB133:AB156" si="222">IF(AC133="","",AA133/AC133)</f>
        <v>224699.75</v>
      </c>
      <c r="AC133" s="677">
        <f t="shared" si="195"/>
        <v>1.1241765345287305</v>
      </c>
      <c r="AD133" s="678" t="str">
        <f t="shared" ref="AD133:AD156" si="223">IF(AI133=0,"",INDEX($F$21:$W$21,1,MATCH(AI133,F133:W133,0)))</f>
        <v>2017</v>
      </c>
      <c r="AE133" s="679">
        <v>42856</v>
      </c>
      <c r="AF133" s="678">
        <v>2017</v>
      </c>
      <c r="AG133" s="680"/>
      <c r="AH133" s="676">
        <f t="shared" si="213"/>
        <v>229126.33507500001</v>
      </c>
      <c r="AI133" s="95">
        <f t="shared" ref="AI133:AI156" si="224">IF(ROUND(Z133,0)=0,0,LOOKUP(2,1/(F133:W133&lt;&gt;""),F133:W133))</f>
        <v>224699.75</v>
      </c>
      <c r="AJ133" s="681" t="s">
        <v>0</v>
      </c>
      <c r="AK133" s="37">
        <f t="shared" ref="AK133:AK156" si="225">IF(ISNA(VLOOKUP($A133,Estimates,71,FALSE)),0,VLOOKUP($A133,Estimates,71,FALSE))</f>
        <v>117119.99999999997</v>
      </c>
      <c r="AL133" s="31">
        <f t="shared" ref="AL133:AU137" si="226">IF($AK133=0,VLOOKUP(MID($A133,4,5),ProjectSplits,AL$20,FALSE),IF(ISNA(VLOOKUP($A133,Estimates,AL$19,FALSE)),VLOOKUP(MID($A133,4,5),ProjectSplits,AL$20,FALSE),VLOOKUP($A133,Estimates,AL$19,FALSE)))</f>
        <v>0</v>
      </c>
      <c r="AM133" s="31">
        <f t="shared" si="226"/>
        <v>0</v>
      </c>
      <c r="AN133" s="31">
        <f t="shared" si="226"/>
        <v>0</v>
      </c>
      <c r="AO133" s="31">
        <f t="shared" si="226"/>
        <v>0</v>
      </c>
      <c r="AP133" s="31">
        <f t="shared" si="226"/>
        <v>0</v>
      </c>
      <c r="AQ133" s="31">
        <f t="shared" si="226"/>
        <v>0</v>
      </c>
      <c r="AR133" s="31">
        <f t="shared" si="226"/>
        <v>0</v>
      </c>
      <c r="AS133" s="31">
        <f t="shared" si="226"/>
        <v>1</v>
      </c>
      <c r="AT133" s="31">
        <f t="shared" si="226"/>
        <v>0</v>
      </c>
      <c r="AU133" s="31">
        <f t="shared" si="226"/>
        <v>0</v>
      </c>
      <c r="AV133" s="31">
        <f t="shared" ref="AV133:BD137" si="227">IF($AK133=0,VLOOKUP(MID($A133,4,5),ProjectSplits,AV$20,FALSE),IF(ISNA(VLOOKUP($A133,Estimates,AV$19,FALSE)),VLOOKUP(MID($A133,4,5),ProjectSplits,AV$20,FALSE),VLOOKUP($A133,Estimates,AV$19,FALSE)))</f>
        <v>0</v>
      </c>
      <c r="AW133" s="31">
        <f t="shared" si="227"/>
        <v>0</v>
      </c>
      <c r="AX133" s="31">
        <f t="shared" si="227"/>
        <v>0</v>
      </c>
      <c r="AY133" s="31">
        <f t="shared" si="227"/>
        <v>0</v>
      </c>
      <c r="AZ133" s="31">
        <f t="shared" si="227"/>
        <v>0</v>
      </c>
      <c r="BA133" s="31">
        <f t="shared" si="227"/>
        <v>0</v>
      </c>
      <c r="BB133" s="31">
        <f t="shared" si="227"/>
        <v>0</v>
      </c>
      <c r="BC133" s="31">
        <f t="shared" si="227"/>
        <v>0</v>
      </c>
      <c r="BD133" s="31">
        <f t="shared" si="227"/>
        <v>0</v>
      </c>
      <c r="BE133" s="30">
        <f t="shared" ref="BE133:BE137" si="228">SUM(AL133:BD133)</f>
        <v>1</v>
      </c>
      <c r="BF133" s="620">
        <f t="shared" si="159"/>
        <v>1.0018756098697492</v>
      </c>
      <c r="BG133" s="620">
        <f t="shared" ref="BG133:BG156" si="229">1+IF(ISNA(VLOOKUP($A133,ProjLabEsc,7,FALSE)),VLOOKUP($D133,CatLabEsc,4,FALSE),VLOOKUP($A133,ProjLabEsc,7,FALSE))*LabEsc19*LabIn</f>
        <v>1.0037634112036518</v>
      </c>
      <c r="BH133" s="620">
        <f t="shared" ref="BH133:BH156" si="230">1+IF(ISNA(VLOOKUP($A133,ProjLabEsc,7,FALSE)),VLOOKUP($D133,CatLabEsc,4,FALSE),VLOOKUP($A133,ProjLabEsc,7,FALSE))*LabEsc20*LabIn</f>
        <v>1.0059558020220052</v>
      </c>
      <c r="BI133" s="620">
        <f t="shared" ref="BI133:BI156" si="231">1+IF(ISNA(VLOOKUP($A133,ProjLabEsc,7,FALSE)),VLOOKUP($D133,CatLabEsc,4,FALSE),VLOOKUP($A133,ProjLabEsc,7,FALSE))*LabEsc21*LabIn</f>
        <v>1.0086064025213943</v>
      </c>
      <c r="BJ133" s="620">
        <f t="shared" ref="BJ133:BJ156" si="232">1+IF(ISNA(VLOOKUP($A133,ProjLabEsc,7,FALSE)),VLOOKUP($D133,CatLabEsc,4,FALSE),VLOOKUP($A133,ProjLabEsc,7,FALSE))*LabEsc22*LabIn</f>
        <v>1.0118751819594745</v>
      </c>
      <c r="BK133" s="620">
        <f t="shared" ref="BK133:BK156" si="233">1+IF(ISNA(VLOOKUP($A133,ProjLabEsc,7,FALSE)),VLOOKUP($D133,CatLabEsc,4,FALSE),VLOOKUP($A133,ProjLabEsc,7,FALSE))*LabEsc23*LabIn</f>
        <v>1.0153301332446416</v>
      </c>
      <c r="BL133" s="620">
        <f t="shared" ref="BL133:BL156" si="234">1+IF(ISNA(VLOOKUP($A133,ProjLabEsc,7,FALSE)),VLOOKUP($D133,CatLabEsc,4,FALSE),VLOOKUP($A133,ProjLabEsc,7,FALSE))*LabEsc24*LabIn</f>
        <v>1.0178480416551621</v>
      </c>
      <c r="BM133" s="621" t="str">
        <f t="shared" ref="BM133:BM156" si="235">IF(ISNA(VLOOKUP($A133,ProjLabEsc,7,FALSE)),"Category","Project")</f>
        <v>Category</v>
      </c>
    </row>
    <row r="134" spans="1:65" x14ac:dyDescent="0.15">
      <c r="A134" s="12" t="s">
        <v>287</v>
      </c>
      <c r="B134" s="13" t="s">
        <v>288</v>
      </c>
      <c r="C134" s="13" t="s">
        <v>27</v>
      </c>
      <c r="D134" s="13" t="s">
        <v>28</v>
      </c>
      <c r="E134" s="13" t="s">
        <v>32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5">
        <v>0</v>
      </c>
      <c r="N134" s="804"/>
      <c r="O134" s="14"/>
      <c r="P134" s="15"/>
      <c r="Q134" s="16">
        <f>IF(ISTEXT('Incurred 2.5% cpi'!Q134),"",'Incurred 2.5% cpi'!Q134/'Incurred 2.5% cpi'!Q$14*Incurred!Q$14)</f>
        <v>335.83</v>
      </c>
      <c r="R134" s="127">
        <f>IF(ISTEXT('Incurred 2.5% cpi'!R134),"",'Incurred 2.5% cpi'!R134/'Incurred 2.5% cpi'!R$14*Incurred!R$14*BF134)</f>
        <v>1351.4190602645692</v>
      </c>
      <c r="S134" s="119" t="str">
        <f>IF(ISTEXT('Incurred 2.5% cpi'!S134),"",'Incurred 2.5% cpi'!S134/'Incurred 2.5% cpi'!S$14*Incurred!S$14*BG134)</f>
        <v/>
      </c>
      <c r="T134" s="16" t="str">
        <f>IF(ISTEXT('Incurred 2.5% cpi'!T134),"",'Incurred 2.5% cpi'!T134/'Incurred 2.5% cpi'!T$14*Incurred!T$14*BH134)</f>
        <v/>
      </c>
      <c r="U134" s="16" t="str">
        <f>IF(ISTEXT('Incurred 2.5% cpi'!U134),"",'Incurred 2.5% cpi'!U134/'Incurred 2.5% cpi'!U$14*Incurred!U$14*BI134)</f>
        <v/>
      </c>
      <c r="V134" s="16" t="str">
        <f>IF(ISTEXT('Incurred 2.5% cpi'!V134),"",'Incurred 2.5% cpi'!V134/'Incurred 2.5% cpi'!V$14*Incurred!V$14*BJ134)</f>
        <v/>
      </c>
      <c r="W134" s="127" t="str">
        <f>IF(ISTEXT('Incurred 2.5% cpi'!W134),"",'Incurred 2.5% cpi'!W134/'Incurred 2.5% cpi'!W$14*Incurred!W$14*BK134)</f>
        <v/>
      </c>
      <c r="X134" s="119" t="str">
        <f>IF(ISTEXT('Incurred 2.5% cpi'!X134),"",'Incurred 2.5% cpi'!X134/'Incurred 2.5% cpi'!X$14*Incurred!X$14*BL134)</f>
        <v/>
      </c>
      <c r="Y134" s="95">
        <f t="shared" si="158"/>
        <v>1687.2490602645692</v>
      </c>
      <c r="Z134" s="95">
        <f t="shared" si="220"/>
        <v>1687.2490602645692</v>
      </c>
      <c r="AA134" s="676">
        <f t="shared" si="221"/>
        <v>1867.4151082722551</v>
      </c>
      <c r="AB134" s="676">
        <f t="shared" si="222"/>
        <v>1727.2340500164812</v>
      </c>
      <c r="AC134" s="677">
        <f t="shared" si="195"/>
        <v>1.0811592721058483</v>
      </c>
      <c r="AD134" s="678" t="str">
        <f t="shared" si="223"/>
        <v>2018</v>
      </c>
      <c r="AE134" s="679">
        <v>43340</v>
      </c>
      <c r="AF134" s="678">
        <v>2019</v>
      </c>
      <c r="AG134" s="680"/>
      <c r="AH134" s="676">
        <f t="shared" si="213"/>
        <v>1693.8649112645692</v>
      </c>
      <c r="AI134" s="95">
        <f t="shared" si="224"/>
        <v>1351.4190602645692</v>
      </c>
      <c r="AJ134" s="681" t="s">
        <v>0</v>
      </c>
      <c r="AK134" s="37">
        <f t="shared" si="225"/>
        <v>80000.000000000015</v>
      </c>
      <c r="AL134" s="31">
        <f t="shared" si="226"/>
        <v>0</v>
      </c>
      <c r="AM134" s="31">
        <f t="shared" si="226"/>
        <v>0</v>
      </c>
      <c r="AN134" s="31">
        <f t="shared" si="226"/>
        <v>0</v>
      </c>
      <c r="AO134" s="31">
        <f t="shared" si="226"/>
        <v>1</v>
      </c>
      <c r="AP134" s="31">
        <f t="shared" si="226"/>
        <v>0</v>
      </c>
      <c r="AQ134" s="31">
        <f t="shared" si="226"/>
        <v>0</v>
      </c>
      <c r="AR134" s="31">
        <f t="shared" si="226"/>
        <v>0</v>
      </c>
      <c r="AS134" s="31">
        <f t="shared" si="226"/>
        <v>0</v>
      </c>
      <c r="AT134" s="31">
        <f t="shared" si="226"/>
        <v>0</v>
      </c>
      <c r="AU134" s="31">
        <f t="shared" si="226"/>
        <v>0</v>
      </c>
      <c r="AV134" s="31">
        <f t="shared" si="227"/>
        <v>0</v>
      </c>
      <c r="AW134" s="31">
        <f t="shared" si="227"/>
        <v>0</v>
      </c>
      <c r="AX134" s="31">
        <f t="shared" si="227"/>
        <v>0</v>
      </c>
      <c r="AY134" s="31">
        <f t="shared" si="227"/>
        <v>0</v>
      </c>
      <c r="AZ134" s="31">
        <f t="shared" si="227"/>
        <v>0</v>
      </c>
      <c r="BA134" s="31">
        <f t="shared" si="227"/>
        <v>0</v>
      </c>
      <c r="BB134" s="31">
        <f t="shared" si="227"/>
        <v>0</v>
      </c>
      <c r="BC134" s="31">
        <f t="shared" si="227"/>
        <v>0</v>
      </c>
      <c r="BD134" s="31">
        <f t="shared" si="227"/>
        <v>0</v>
      </c>
      <c r="BE134" s="30">
        <f t="shared" si="228"/>
        <v>1</v>
      </c>
      <c r="BF134" s="620">
        <f t="shared" si="159"/>
        <v>1.0030444840366091</v>
      </c>
      <c r="BG134" s="620">
        <f t="shared" si="229"/>
        <v>1.0061087572194563</v>
      </c>
      <c r="BH134" s="620">
        <f t="shared" si="230"/>
        <v>1.0096674390946898</v>
      </c>
      <c r="BI134" s="620">
        <f t="shared" si="231"/>
        <v>1.0139698854818469</v>
      </c>
      <c r="BJ134" s="620">
        <f t="shared" si="232"/>
        <v>1.0192757579764089</v>
      </c>
      <c r="BK134" s="620">
        <f t="shared" si="233"/>
        <v>1.0248838240271385</v>
      </c>
      <c r="BL134" s="620">
        <f t="shared" si="234"/>
        <v>1.0289708850333266</v>
      </c>
      <c r="BM134" s="621" t="str">
        <f t="shared" si="235"/>
        <v>Category</v>
      </c>
    </row>
    <row r="135" spans="1:65" x14ac:dyDescent="0.15">
      <c r="A135" s="12" t="s">
        <v>289</v>
      </c>
      <c r="B135" s="13" t="s">
        <v>290</v>
      </c>
      <c r="C135" s="13" t="s">
        <v>27</v>
      </c>
      <c r="D135" s="13" t="s">
        <v>40</v>
      </c>
      <c r="E135" s="13" t="s">
        <v>29</v>
      </c>
      <c r="F135" s="14">
        <v>0</v>
      </c>
      <c r="G135" s="14">
        <v>0</v>
      </c>
      <c r="H135" s="14">
        <v>0</v>
      </c>
      <c r="I135" s="14">
        <v>0</v>
      </c>
      <c r="J135" s="14">
        <v>0</v>
      </c>
      <c r="K135" s="14">
        <v>0</v>
      </c>
      <c r="L135" s="14">
        <v>0</v>
      </c>
      <c r="M135" s="15">
        <v>0</v>
      </c>
      <c r="N135" s="804"/>
      <c r="O135" s="14"/>
      <c r="P135" s="15">
        <v>9229.4500000000007</v>
      </c>
      <c r="Q135" s="16">
        <f>IF(ISTEXT('Incurred 2.5% cpi'!Q135),"",'Incurred 2.5% cpi'!Q135/'Incurred 2.5% cpi'!Q$14*Incurred!Q$14)</f>
        <v>4230967.83</v>
      </c>
      <c r="R135" s="127">
        <f>IF(ISTEXT('Incurred 2.5% cpi'!R135),"",'Incurred 2.5% cpi'!R135/'Incurred 2.5% cpi'!R$14*Incurred!R$14*BF135)</f>
        <v>7623935.7363801729</v>
      </c>
      <c r="S135" s="119" t="str">
        <f>IF(ISTEXT('Incurred 2.5% cpi'!S135),"",'Incurred 2.5% cpi'!S135/'Incurred 2.5% cpi'!S$14*Incurred!S$14*BG135)</f>
        <v/>
      </c>
      <c r="T135" s="16" t="str">
        <f>IF(ISTEXT('Incurred 2.5% cpi'!T135),"",'Incurred 2.5% cpi'!T135/'Incurred 2.5% cpi'!T$14*Incurred!T$14*BH135)</f>
        <v/>
      </c>
      <c r="U135" s="16" t="str">
        <f>IF(ISTEXT('Incurred 2.5% cpi'!U135),"",'Incurred 2.5% cpi'!U135/'Incurred 2.5% cpi'!U$14*Incurred!U$14*BI135)</f>
        <v/>
      </c>
      <c r="V135" s="16" t="str">
        <f>IF(ISTEXT('Incurred 2.5% cpi'!V135),"",'Incurred 2.5% cpi'!V135/'Incurred 2.5% cpi'!V$14*Incurred!V$14*BJ135)</f>
        <v/>
      </c>
      <c r="W135" s="127" t="str">
        <f>IF(ISTEXT('Incurred 2.5% cpi'!W135),"",'Incurred 2.5% cpi'!W135/'Incurred 2.5% cpi'!W$14*Incurred!W$14*BK135)</f>
        <v/>
      </c>
      <c r="X135" s="119" t="str">
        <f>IF(ISTEXT('Incurred 2.5% cpi'!X135),"",'Incurred 2.5% cpi'!X135/'Incurred 2.5% cpi'!X$14*Incurred!X$14*BL135)</f>
        <v/>
      </c>
      <c r="Y135" s="95">
        <f t="shared" si="158"/>
        <v>11864133.016380172</v>
      </c>
      <c r="Z135" s="95">
        <f t="shared" si="220"/>
        <v>11864133.016380172</v>
      </c>
      <c r="AA135" s="676">
        <f t="shared" si="221"/>
        <v>13172004.46282123</v>
      </c>
      <c r="AB135" s="676">
        <f t="shared" si="222"/>
        <v>11947850.304818423</v>
      </c>
      <c r="AC135" s="677">
        <f t="shared" si="195"/>
        <v>1.1024581097663335</v>
      </c>
      <c r="AD135" s="678" t="str">
        <f t="shared" si="223"/>
        <v>2018</v>
      </c>
      <c r="AE135" s="679">
        <v>43105</v>
      </c>
      <c r="AF135" s="678">
        <v>2018</v>
      </c>
      <c r="AG135" s="680"/>
      <c r="AH135" s="676">
        <f t="shared" si="213"/>
        <v>11947850.304818423</v>
      </c>
      <c r="AI135" s="95">
        <f t="shared" si="224"/>
        <v>7623935.7363801729</v>
      </c>
      <c r="AJ135" s="681" t="s">
        <v>0</v>
      </c>
      <c r="AK135" s="37">
        <f t="shared" si="225"/>
        <v>5706333.3999884129</v>
      </c>
      <c r="AL135" s="31">
        <f t="shared" si="226"/>
        <v>0</v>
      </c>
      <c r="AM135" s="31">
        <f t="shared" si="226"/>
        <v>0</v>
      </c>
      <c r="AN135" s="31">
        <f t="shared" si="226"/>
        <v>0</v>
      </c>
      <c r="AO135" s="31">
        <f t="shared" si="226"/>
        <v>0</v>
      </c>
      <c r="AP135" s="31">
        <f t="shared" si="226"/>
        <v>0</v>
      </c>
      <c r="AQ135" s="31">
        <f t="shared" si="226"/>
        <v>0</v>
      </c>
      <c r="AR135" s="31">
        <f t="shared" si="226"/>
        <v>0</v>
      </c>
      <c r="AS135" s="31">
        <f t="shared" si="226"/>
        <v>0</v>
      </c>
      <c r="AT135" s="31">
        <f t="shared" si="226"/>
        <v>0</v>
      </c>
      <c r="AU135" s="31">
        <f t="shared" si="226"/>
        <v>4.2203107165187555E-2</v>
      </c>
      <c r="AV135" s="31">
        <f t="shared" si="227"/>
        <v>0</v>
      </c>
      <c r="AW135" s="31">
        <f t="shared" si="227"/>
        <v>2.5238272968515992E-2</v>
      </c>
      <c r="AX135" s="31">
        <f t="shared" si="227"/>
        <v>0</v>
      </c>
      <c r="AY135" s="31">
        <f t="shared" si="227"/>
        <v>0</v>
      </c>
      <c r="AZ135" s="31">
        <f t="shared" si="227"/>
        <v>0.9325586198662964</v>
      </c>
      <c r="BA135" s="31">
        <f t="shared" si="227"/>
        <v>0</v>
      </c>
      <c r="BB135" s="31">
        <f t="shared" si="227"/>
        <v>0</v>
      </c>
      <c r="BC135" s="31">
        <f t="shared" si="227"/>
        <v>0</v>
      </c>
      <c r="BD135" s="31">
        <f t="shared" si="227"/>
        <v>0</v>
      </c>
      <c r="BE135" s="30">
        <f t="shared" si="228"/>
        <v>1</v>
      </c>
      <c r="BF135" s="620">
        <f t="shared" si="159"/>
        <v>1.0034498951996242</v>
      </c>
      <c r="BG135" s="620">
        <f t="shared" si="229"/>
        <v>1.0069222147180459</v>
      </c>
      <c r="BH135" s="620">
        <f t="shared" si="230"/>
        <v>1.0109547796356901</v>
      </c>
      <c r="BI135" s="620">
        <f t="shared" si="231"/>
        <v>1.0158301506211216</v>
      </c>
      <c r="BJ135" s="620">
        <f t="shared" si="232"/>
        <v>1.0218425664619335</v>
      </c>
      <c r="BK135" s="620">
        <f t="shared" si="233"/>
        <v>1.0281974167140426</v>
      </c>
      <c r="BL135" s="620">
        <f t="shared" si="234"/>
        <v>1.0328287210586446</v>
      </c>
      <c r="BM135" s="621" t="str">
        <f t="shared" si="235"/>
        <v>Category</v>
      </c>
    </row>
    <row r="136" spans="1:65" x14ac:dyDescent="0.15">
      <c r="A136" s="12" t="s">
        <v>291</v>
      </c>
      <c r="B136" s="13" t="s">
        <v>292</v>
      </c>
      <c r="C136" s="13" t="s">
        <v>27</v>
      </c>
      <c r="D136" s="13" t="s">
        <v>54</v>
      </c>
      <c r="E136" s="13" t="s">
        <v>29</v>
      </c>
      <c r="F136" s="14">
        <v>0</v>
      </c>
      <c r="G136" s="14">
        <v>0</v>
      </c>
      <c r="H136" s="14">
        <v>0</v>
      </c>
      <c r="I136" s="14">
        <v>0</v>
      </c>
      <c r="J136" s="14">
        <v>0</v>
      </c>
      <c r="K136" s="14">
        <v>0</v>
      </c>
      <c r="L136" s="14">
        <v>0</v>
      </c>
      <c r="M136" s="15">
        <v>0</v>
      </c>
      <c r="N136" s="804"/>
      <c r="O136" s="14">
        <v>20669.349999999999</v>
      </c>
      <c r="P136" s="15">
        <v>91992.08</v>
      </c>
      <c r="Q136" s="16">
        <f>IF(ISTEXT('Incurred 2.5% cpi'!Q136),"",'Incurred 2.5% cpi'!Q136/'Incurred 2.5% cpi'!Q$14*Incurred!Q$14)</f>
        <v>1752995.51</v>
      </c>
      <c r="R136" s="127">
        <f>IF(ISTEXT('Incurred 2.5% cpi'!R136),"",'Incurred 2.5% cpi'!R136/'Incurred 2.5% cpi'!R$14*Incurred!R$14*BF136)</f>
        <v>395867.32075206359</v>
      </c>
      <c r="S136" s="119">
        <f>IF(ISTEXT('Incurred 2.5% cpi'!S136),"",'Incurred 2.5% cpi'!S136/'Incurred 2.5% cpi'!S$14*Incurred!S$14*BG136)</f>
        <v>80706.960575244389</v>
      </c>
      <c r="T136" s="16" t="str">
        <f>IF(ISTEXT('Incurred 2.5% cpi'!T136),"",'Incurred 2.5% cpi'!T136/'Incurred 2.5% cpi'!T$14*Incurred!T$14*BH136)</f>
        <v/>
      </c>
      <c r="U136" s="16" t="str">
        <f>IF(ISTEXT('Incurred 2.5% cpi'!U136),"",'Incurred 2.5% cpi'!U136/'Incurred 2.5% cpi'!U$14*Incurred!U$14*BI136)</f>
        <v/>
      </c>
      <c r="V136" s="16" t="str">
        <f>IF(ISTEXT('Incurred 2.5% cpi'!V136),"",'Incurred 2.5% cpi'!V136/'Incurred 2.5% cpi'!V$14*Incurred!V$14*BJ136)</f>
        <v/>
      </c>
      <c r="W136" s="127" t="str">
        <f>IF(ISTEXT('Incurred 2.5% cpi'!W136),"",'Incurred 2.5% cpi'!W136/'Incurred 2.5% cpi'!W$14*Incurred!W$14*BK136)</f>
        <v/>
      </c>
      <c r="X136" s="119" t="str">
        <f>IF(ISTEXT('Incurred 2.5% cpi'!X136),"",'Incurred 2.5% cpi'!X136/'Incurred 2.5% cpi'!X$14*Incurred!X$14*BL136)</f>
        <v/>
      </c>
      <c r="Y136" s="95">
        <f t="shared" si="158"/>
        <v>2342231.2213273081</v>
      </c>
      <c r="Z136" s="95">
        <f t="shared" si="220"/>
        <v>2342231.2213273081</v>
      </c>
      <c r="AA136" s="676">
        <f t="shared" si="221"/>
        <v>2623817.5938455672</v>
      </c>
      <c r="AB136" s="676">
        <f t="shared" si="222"/>
        <v>2379970.3322983277</v>
      </c>
      <c r="AC136" s="677">
        <f t="shared" si="195"/>
        <v>1.1024581097663335</v>
      </c>
      <c r="AD136" s="678" t="str">
        <f t="shared" si="223"/>
        <v>2019</v>
      </c>
      <c r="AE136" s="679">
        <v>43250</v>
      </c>
      <c r="AF136" s="678">
        <v>2018</v>
      </c>
      <c r="AG136" s="680"/>
      <c r="AH136" s="676">
        <f t="shared" si="213"/>
        <v>2379970.3322983272</v>
      </c>
      <c r="AI136" s="95">
        <f t="shared" si="224"/>
        <v>80706.960575244389</v>
      </c>
      <c r="AJ136" s="681" t="s">
        <v>0</v>
      </c>
      <c r="AK136" s="37">
        <f t="shared" si="225"/>
        <v>4747884.8124000011</v>
      </c>
      <c r="AL136" s="31">
        <f t="shared" si="226"/>
        <v>0</v>
      </c>
      <c r="AM136" s="31">
        <f t="shared" si="226"/>
        <v>0</v>
      </c>
      <c r="AN136" s="31">
        <f t="shared" si="226"/>
        <v>0</v>
      </c>
      <c r="AO136" s="31">
        <f t="shared" si="226"/>
        <v>0</v>
      </c>
      <c r="AP136" s="31">
        <f t="shared" si="226"/>
        <v>0</v>
      </c>
      <c r="AQ136" s="31">
        <f t="shared" si="226"/>
        <v>0</v>
      </c>
      <c r="AR136" s="31">
        <f t="shared" si="226"/>
        <v>0</v>
      </c>
      <c r="AS136" s="31">
        <f t="shared" si="226"/>
        <v>0</v>
      </c>
      <c r="AT136" s="31">
        <f t="shared" si="226"/>
        <v>0</v>
      </c>
      <c r="AU136" s="31">
        <f t="shared" si="226"/>
        <v>0</v>
      </c>
      <c r="AV136" s="31">
        <f t="shared" si="227"/>
        <v>0</v>
      </c>
      <c r="AW136" s="31">
        <f t="shared" si="227"/>
        <v>0</v>
      </c>
      <c r="AX136" s="31">
        <f t="shared" si="227"/>
        <v>0</v>
      </c>
      <c r="AY136" s="31">
        <f t="shared" si="227"/>
        <v>0</v>
      </c>
      <c r="AZ136" s="31">
        <f t="shared" si="227"/>
        <v>0</v>
      </c>
      <c r="BA136" s="31">
        <f t="shared" si="227"/>
        <v>1</v>
      </c>
      <c r="BB136" s="31">
        <f t="shared" si="227"/>
        <v>0</v>
      </c>
      <c r="BC136" s="31">
        <f t="shared" si="227"/>
        <v>0</v>
      </c>
      <c r="BD136" s="31">
        <f t="shared" si="227"/>
        <v>0</v>
      </c>
      <c r="BE136" s="30">
        <f t="shared" si="228"/>
        <v>1</v>
      </c>
      <c r="BF136" s="620">
        <f t="shared" si="159"/>
        <v>1.0030818160192299</v>
      </c>
      <c r="BG136" s="620">
        <f t="shared" si="229"/>
        <v>1.006183663842585</v>
      </c>
      <c r="BH136" s="620">
        <f t="shared" si="230"/>
        <v>1.0097859828820543</v>
      </c>
      <c r="BI136" s="620">
        <f t="shared" si="231"/>
        <v>1.0141411866007726</v>
      </c>
      <c r="BJ136" s="620">
        <f t="shared" si="232"/>
        <v>1.0195121206090012</v>
      </c>
      <c r="BK136" s="620">
        <f t="shared" si="233"/>
        <v>1.0251889537223347</v>
      </c>
      <c r="BL136" s="620">
        <f t="shared" si="234"/>
        <v>1.0293261309677997</v>
      </c>
      <c r="BM136" s="621" t="str">
        <f t="shared" si="235"/>
        <v>Category</v>
      </c>
    </row>
    <row r="137" spans="1:65" x14ac:dyDescent="0.15">
      <c r="A137" s="12" t="s">
        <v>293</v>
      </c>
      <c r="B137" s="13" t="s">
        <v>294</v>
      </c>
      <c r="C137" s="13" t="s">
        <v>27</v>
      </c>
      <c r="D137" s="13" t="s">
        <v>54</v>
      </c>
      <c r="E137" s="13" t="s">
        <v>45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31134.87</v>
      </c>
      <c r="M137" s="15">
        <v>53363.040000000001</v>
      </c>
      <c r="N137" s="804">
        <v>186355.87</v>
      </c>
      <c r="O137" s="14"/>
      <c r="P137" s="15"/>
      <c r="Q137" s="16" t="str">
        <f>IF(ISTEXT('Incurred 2.5% cpi'!Q137),"",'Incurred 2.5% cpi'!Q137/'Incurred 2.5% cpi'!Q$14*Incurred!Q$14)</f>
        <v/>
      </c>
      <c r="R137" s="127" t="str">
        <f>IF(ISTEXT('Incurred 2.5% cpi'!R137),"",'Incurred 2.5% cpi'!R137/'Incurred 2.5% cpi'!R$14*Incurred!R$14*BF137)</f>
        <v/>
      </c>
      <c r="S137" s="119" t="str">
        <f>IF(ISTEXT('Incurred 2.5% cpi'!S137),"",'Incurred 2.5% cpi'!S137/'Incurred 2.5% cpi'!S$14*Incurred!S$14*BG137)</f>
        <v/>
      </c>
      <c r="T137" s="16" t="str">
        <f>IF(ISTEXT('Incurred 2.5% cpi'!T137),"",'Incurred 2.5% cpi'!T137/'Incurred 2.5% cpi'!T$14*Incurred!T$14*BH137)</f>
        <v/>
      </c>
      <c r="U137" s="16" t="str">
        <f>IF(ISTEXT('Incurred 2.5% cpi'!U137),"",'Incurred 2.5% cpi'!U137/'Incurred 2.5% cpi'!U$14*Incurred!U$14*BI137)</f>
        <v/>
      </c>
      <c r="V137" s="16" t="str">
        <f>IF(ISTEXT('Incurred 2.5% cpi'!V137),"",'Incurred 2.5% cpi'!V137/'Incurred 2.5% cpi'!V$14*Incurred!V$14*BJ137)</f>
        <v/>
      </c>
      <c r="W137" s="127" t="str">
        <f>IF(ISTEXT('Incurred 2.5% cpi'!W137),"",'Incurred 2.5% cpi'!W137/'Incurred 2.5% cpi'!W$14*Incurred!W$14*BK137)</f>
        <v/>
      </c>
      <c r="X137" s="119" t="str">
        <f>IF(ISTEXT('Incurred 2.5% cpi'!X137),"",'Incurred 2.5% cpi'!X137/'Incurred 2.5% cpi'!X$14*Incurred!X$14*BL137)</f>
        <v/>
      </c>
      <c r="Y137" s="95">
        <f t="shared" si="158"/>
        <v>270853.78000000003</v>
      </c>
      <c r="Z137" s="95">
        <f t="shared" si="220"/>
        <v>270853.78000000003</v>
      </c>
      <c r="AA137" s="676">
        <f t="shared" si="221"/>
        <v>322590.95230426436</v>
      </c>
      <c r="AB137" s="676">
        <f t="shared" si="222"/>
        <v>322590.95230426436</v>
      </c>
      <c r="AC137" s="677">
        <f t="shared" si="195"/>
        <v>1</v>
      </c>
      <c r="AD137" s="678" t="str">
        <f t="shared" si="223"/>
        <v>2014</v>
      </c>
      <c r="AE137" s="679">
        <v>45016</v>
      </c>
      <c r="AF137" s="678">
        <v>2023</v>
      </c>
      <c r="AG137" s="680"/>
      <c r="AH137" s="676">
        <f t="shared" si="213"/>
        <v>292610.62116241094</v>
      </c>
      <c r="AI137" s="95">
        <f t="shared" si="224"/>
        <v>186355.87</v>
      </c>
      <c r="AJ137" s="681" t="s">
        <v>0</v>
      </c>
      <c r="AK137" s="37">
        <f t="shared" si="225"/>
        <v>0</v>
      </c>
      <c r="AL137" s="31">
        <f t="shared" si="226"/>
        <v>0</v>
      </c>
      <c r="AM137" s="31">
        <f t="shared" si="226"/>
        <v>0</v>
      </c>
      <c r="AN137" s="31">
        <f t="shared" si="226"/>
        <v>0</v>
      </c>
      <c r="AO137" s="31">
        <f t="shared" si="226"/>
        <v>0</v>
      </c>
      <c r="AP137" s="31">
        <f t="shared" si="226"/>
        <v>0</v>
      </c>
      <c r="AQ137" s="31">
        <f t="shared" si="226"/>
        <v>0</v>
      </c>
      <c r="AR137" s="31">
        <f t="shared" si="226"/>
        <v>0</v>
      </c>
      <c r="AS137" s="31">
        <f t="shared" si="226"/>
        <v>1</v>
      </c>
      <c r="AT137" s="31">
        <f t="shared" si="226"/>
        <v>0</v>
      </c>
      <c r="AU137" s="31">
        <f t="shared" si="226"/>
        <v>0</v>
      </c>
      <c r="AV137" s="31">
        <f t="shared" si="227"/>
        <v>0</v>
      </c>
      <c r="AW137" s="31">
        <f t="shared" si="227"/>
        <v>0</v>
      </c>
      <c r="AX137" s="31">
        <f t="shared" si="227"/>
        <v>0</v>
      </c>
      <c r="AY137" s="31">
        <f t="shared" si="227"/>
        <v>0</v>
      </c>
      <c r="AZ137" s="31">
        <f t="shared" si="227"/>
        <v>0</v>
      </c>
      <c r="BA137" s="31">
        <f t="shared" si="227"/>
        <v>0</v>
      </c>
      <c r="BB137" s="31">
        <f t="shared" si="227"/>
        <v>0</v>
      </c>
      <c r="BC137" s="31">
        <f t="shared" si="227"/>
        <v>0</v>
      </c>
      <c r="BD137" s="31">
        <f t="shared" si="227"/>
        <v>0</v>
      </c>
      <c r="BE137" s="30">
        <f t="shared" si="228"/>
        <v>1</v>
      </c>
      <c r="BF137" s="620">
        <f t="shared" si="159"/>
        <v>1.0030818160192299</v>
      </c>
      <c r="BG137" s="620">
        <f t="shared" si="229"/>
        <v>1.006183663842585</v>
      </c>
      <c r="BH137" s="620">
        <f t="shared" si="230"/>
        <v>1.0097859828820543</v>
      </c>
      <c r="BI137" s="620">
        <f t="shared" si="231"/>
        <v>1.0141411866007726</v>
      </c>
      <c r="BJ137" s="620">
        <f t="shared" si="232"/>
        <v>1.0195121206090012</v>
      </c>
      <c r="BK137" s="620">
        <f t="shared" si="233"/>
        <v>1.0251889537223347</v>
      </c>
      <c r="BL137" s="620">
        <f t="shared" si="234"/>
        <v>1.0293261309677997</v>
      </c>
      <c r="BM137" s="621" t="str">
        <f t="shared" si="235"/>
        <v>Category</v>
      </c>
    </row>
    <row r="138" spans="1:65" x14ac:dyDescent="0.15">
      <c r="A138" s="12" t="s">
        <v>295</v>
      </c>
      <c r="B138" s="13" t="s">
        <v>296</v>
      </c>
      <c r="C138" s="13" t="s">
        <v>27</v>
      </c>
      <c r="D138" s="13" t="s">
        <v>44</v>
      </c>
      <c r="E138" s="13" t="s">
        <v>29</v>
      </c>
      <c r="F138" s="14">
        <v>0</v>
      </c>
      <c r="G138" s="14">
        <v>0</v>
      </c>
      <c r="H138" s="14">
        <v>0</v>
      </c>
      <c r="I138" s="14">
        <v>0</v>
      </c>
      <c r="J138" s="14">
        <v>0</v>
      </c>
      <c r="K138" s="14">
        <v>0</v>
      </c>
      <c r="L138" s="14">
        <v>0</v>
      </c>
      <c r="M138" s="15">
        <v>0</v>
      </c>
      <c r="N138" s="804">
        <v>607039.51</v>
      </c>
      <c r="O138" s="14">
        <v>92274.96</v>
      </c>
      <c r="P138" s="15">
        <v>141920.79</v>
      </c>
      <c r="Q138" s="16">
        <f>IF(ISTEXT('Incurred 2.5% cpi'!Q138),"",'Incurred 2.5% cpi'!Q138/'Incurred 2.5% cpi'!Q$14*Incurred!Q$14)</f>
        <v>572353.09</v>
      </c>
      <c r="R138" s="127">
        <f>IF(ISTEXT('Incurred 2.5% cpi'!R138),"",'Incurred 2.5% cpi'!R138/'Incurred 2.5% cpi'!R$14*Incurred!R$14*BF138)</f>
        <v>9648.3464055929835</v>
      </c>
      <c r="S138" s="119" t="str">
        <f>IF(ISTEXT('Incurred 2.5% cpi'!S138),"",'Incurred 2.5% cpi'!S138/'Incurred 2.5% cpi'!S$14*Incurred!S$14*BG138)</f>
        <v/>
      </c>
      <c r="T138" s="16" t="str">
        <f>IF(ISTEXT('Incurred 2.5% cpi'!T138),"",'Incurred 2.5% cpi'!T138/'Incurred 2.5% cpi'!T$14*Incurred!T$14*BH138)</f>
        <v/>
      </c>
      <c r="U138" s="16" t="str">
        <f>IF(ISTEXT('Incurred 2.5% cpi'!U138),"",'Incurred 2.5% cpi'!U138/'Incurred 2.5% cpi'!U$14*Incurred!U$14*BI138)</f>
        <v/>
      </c>
      <c r="V138" s="16" t="str">
        <f>IF(ISTEXT('Incurred 2.5% cpi'!V138),"",'Incurred 2.5% cpi'!V138/'Incurred 2.5% cpi'!V$14*Incurred!V$14*BJ138)</f>
        <v/>
      </c>
      <c r="W138" s="127" t="str">
        <f>IF(ISTEXT('Incurred 2.5% cpi'!W138),"",'Incurred 2.5% cpi'!W138/'Incurred 2.5% cpi'!W$14*Incurred!W$14*BK138)</f>
        <v/>
      </c>
      <c r="X138" s="119" t="str">
        <f>IF(ISTEXT('Incurred 2.5% cpi'!X138),"",'Incurred 2.5% cpi'!X138/'Incurred 2.5% cpi'!X$14*Incurred!X$14*BL138)</f>
        <v/>
      </c>
      <c r="Y138" s="95">
        <f t="shared" si="158"/>
        <v>1423236.6964055931</v>
      </c>
      <c r="Z138" s="95">
        <f t="shared" si="220"/>
        <v>1423236.6964055931</v>
      </c>
      <c r="AA138" s="676">
        <f t="shared" si="221"/>
        <v>1638262.4988936167</v>
      </c>
      <c r="AB138" s="676">
        <f t="shared" si="222"/>
        <v>1429145.8578454463</v>
      </c>
      <c r="AC138" s="677">
        <f t="shared" ref="AC138:AC159" si="236">IF(AF138="","",IF(AF138&lt;AD138,INDEX($F$17:$W$17,1,MATCH(TEXT(AF138,"000"),$F$21:$W$21)),INDEX($F$17:$W$17,1,MATCH(AD138,$F$21:$W$21))))</f>
        <v>1.1463228122589466</v>
      </c>
      <c r="AD138" s="678" t="str">
        <f t="shared" si="223"/>
        <v>2018</v>
      </c>
      <c r="AE138" s="679">
        <v>42501</v>
      </c>
      <c r="AF138" s="678">
        <v>2016</v>
      </c>
      <c r="AG138" s="680"/>
      <c r="AH138" s="676">
        <f t="shared" ref="AH138:AH155" si="237">IF(ROUND(Y138,0)=0,0,SUMPRODUCT($F$16:$W$16,F138:W138))</f>
        <v>1486008.8418605283</v>
      </c>
      <c r="AI138" s="95">
        <f t="shared" si="224"/>
        <v>9648.3464055929835</v>
      </c>
      <c r="AJ138" s="681" t="s">
        <v>0</v>
      </c>
      <c r="AK138" s="37">
        <f t="shared" si="225"/>
        <v>7024851</v>
      </c>
      <c r="AL138" s="31">
        <f t="shared" ref="AL138:AU139" si="238">IF($AK138=0,VLOOKUP(MID($A138,4,5),ProjectSplits,AL$20,FALSE),IF(ISNA(VLOOKUP($A138,Estimates,AL$19,FALSE)),VLOOKUP(MID($A138,4,5),ProjectSplits,AL$20,FALSE),VLOOKUP($A138,Estimates,AL$19,FALSE)))</f>
        <v>0</v>
      </c>
      <c r="AM138" s="31">
        <f t="shared" si="238"/>
        <v>0</v>
      </c>
      <c r="AN138" s="31">
        <f t="shared" si="238"/>
        <v>0</v>
      </c>
      <c r="AO138" s="31">
        <f t="shared" si="238"/>
        <v>0</v>
      </c>
      <c r="AP138" s="31">
        <f t="shared" si="238"/>
        <v>0.97373609774783831</v>
      </c>
      <c r="AQ138" s="31">
        <f t="shared" si="238"/>
        <v>0</v>
      </c>
      <c r="AR138" s="31">
        <f t="shared" si="238"/>
        <v>0</v>
      </c>
      <c r="AS138" s="31">
        <f t="shared" si="238"/>
        <v>0</v>
      </c>
      <c r="AT138" s="31">
        <f t="shared" si="238"/>
        <v>0</v>
      </c>
      <c r="AU138" s="31">
        <f t="shared" si="238"/>
        <v>0</v>
      </c>
      <c r="AV138" s="31">
        <f t="shared" ref="AV138:BD139" si="239">IF($AK138=0,VLOOKUP(MID($A138,4,5),ProjectSplits,AV$20,FALSE),IF(ISNA(VLOOKUP($A138,Estimates,AV$19,FALSE)),VLOOKUP(MID($A138,4,5),ProjectSplits,AV$20,FALSE),VLOOKUP($A138,Estimates,AV$19,FALSE)))</f>
        <v>0</v>
      </c>
      <c r="AW138" s="31">
        <f t="shared" si="239"/>
        <v>0</v>
      </c>
      <c r="AX138" s="31">
        <f t="shared" si="239"/>
        <v>0</v>
      </c>
      <c r="AY138" s="31">
        <f t="shared" si="239"/>
        <v>0</v>
      </c>
      <c r="AZ138" s="31">
        <f t="shared" si="239"/>
        <v>0</v>
      </c>
      <c r="BA138" s="31">
        <f t="shared" si="239"/>
        <v>0</v>
      </c>
      <c r="BB138" s="31">
        <f t="shared" si="239"/>
        <v>2.6263902252161648E-2</v>
      </c>
      <c r="BC138" s="31">
        <f t="shared" si="239"/>
        <v>0</v>
      </c>
      <c r="BD138" s="31">
        <f t="shared" si="239"/>
        <v>0</v>
      </c>
      <c r="BE138" s="30">
        <f t="shared" ref="BE138:BE139" si="240">SUM(AL138:BD138)</f>
        <v>1</v>
      </c>
      <c r="BF138" s="620">
        <f t="shared" ref="BF138:BF159" si="241">1+IF(ISNA(VLOOKUP($A138,ProjLabEsc,7,FALSE)),VLOOKUP(D138,CatLabEsc,4,FALSE),VLOOKUP(A138,ProjLabEsc,7,FALSE))*Labesc18*LabIn</f>
        <v>1.0013788876313259</v>
      </c>
      <c r="BG138" s="620">
        <f t="shared" si="229"/>
        <v>1.0027667380322551</v>
      </c>
      <c r="BH138" s="620">
        <f t="shared" si="230"/>
        <v>1.0043785127574885</v>
      </c>
      <c r="BI138" s="620">
        <f t="shared" si="231"/>
        <v>1.0063271484002954</v>
      </c>
      <c r="BJ138" s="620">
        <f t="shared" si="232"/>
        <v>1.0087302491780192</v>
      </c>
      <c r="BK138" s="620">
        <f t="shared" si="233"/>
        <v>1.0112702174682198</v>
      </c>
      <c r="BL138" s="620">
        <f t="shared" si="234"/>
        <v>1.0131213021847563</v>
      </c>
      <c r="BM138" s="621" t="str">
        <f t="shared" si="235"/>
        <v>Category</v>
      </c>
    </row>
    <row r="139" spans="1:65" x14ac:dyDescent="0.15">
      <c r="A139" s="12" t="s">
        <v>297</v>
      </c>
      <c r="B139" s="13" t="s">
        <v>298</v>
      </c>
      <c r="C139" s="13" t="s">
        <v>27</v>
      </c>
      <c r="D139" s="13" t="s">
        <v>44</v>
      </c>
      <c r="E139" s="13" t="s">
        <v>29</v>
      </c>
      <c r="F139" s="14">
        <v>0</v>
      </c>
      <c r="G139" s="14">
        <v>0</v>
      </c>
      <c r="H139" s="14">
        <v>0</v>
      </c>
      <c r="I139" s="14">
        <v>0</v>
      </c>
      <c r="J139" s="14">
        <v>0</v>
      </c>
      <c r="K139" s="14">
        <v>0</v>
      </c>
      <c r="L139" s="14">
        <v>0</v>
      </c>
      <c r="M139" s="15">
        <v>0</v>
      </c>
      <c r="N139" s="804">
        <v>99401.85</v>
      </c>
      <c r="O139" s="14">
        <v>76064.539999999994</v>
      </c>
      <c r="P139" s="15">
        <v>3427784.1</v>
      </c>
      <c r="Q139" s="16">
        <f>IF(ISTEXT('Incurred 2.5% cpi'!Q139),"",'Incurred 2.5% cpi'!Q139/'Incurred 2.5% cpi'!Q$14*Incurred!Q$14)</f>
        <v>2649364.89</v>
      </c>
      <c r="R139" s="127">
        <f>IF(ISTEXT('Incurred 2.5% cpi'!R139),"",'Incurred 2.5% cpi'!R139/'Incurred 2.5% cpi'!R$14*Incurred!R$14*BF139)</f>
        <v>9011.6045957623701</v>
      </c>
      <c r="S139" s="119" t="str">
        <f>IF(ISTEXT('Incurred 2.5% cpi'!S139),"",'Incurred 2.5% cpi'!S139/'Incurred 2.5% cpi'!S$14*Incurred!S$14*BG139)</f>
        <v/>
      </c>
      <c r="T139" s="16" t="str">
        <f>IF(ISTEXT('Incurred 2.5% cpi'!T139),"",'Incurred 2.5% cpi'!T139/'Incurred 2.5% cpi'!T$14*Incurred!T$14*BH139)</f>
        <v/>
      </c>
      <c r="U139" s="16" t="str">
        <f>IF(ISTEXT('Incurred 2.5% cpi'!U139),"",'Incurred 2.5% cpi'!U139/'Incurred 2.5% cpi'!U$14*Incurred!U$14*BI139)</f>
        <v/>
      </c>
      <c r="V139" s="16" t="str">
        <f>IF(ISTEXT('Incurred 2.5% cpi'!V139),"",'Incurred 2.5% cpi'!V139/'Incurred 2.5% cpi'!V$14*Incurred!V$14*BJ139)</f>
        <v/>
      </c>
      <c r="W139" s="127" t="str">
        <f>IF(ISTEXT('Incurred 2.5% cpi'!W139),"",'Incurred 2.5% cpi'!W139/'Incurred 2.5% cpi'!W$14*Incurred!W$14*BK139)</f>
        <v/>
      </c>
      <c r="X139" s="119" t="str">
        <f>IF(ISTEXT('Incurred 2.5% cpi'!X139),"",'Incurred 2.5% cpi'!X139/'Incurred 2.5% cpi'!X$14*Incurred!X$14*BL139)</f>
        <v/>
      </c>
      <c r="Y139" s="95">
        <f t="shared" si="158"/>
        <v>6261626.9845957635</v>
      </c>
      <c r="Z139" s="95">
        <f t="shared" si="220"/>
        <v>6261626.9845957635</v>
      </c>
      <c r="AA139" s="676">
        <f t="shared" si="221"/>
        <v>7122947.0361940274</v>
      </c>
      <c r="AB139" s="676">
        <f t="shared" si="222"/>
        <v>6336146.3412684202</v>
      </c>
      <c r="AC139" s="677">
        <f t="shared" si="236"/>
        <v>1.1241765345287305</v>
      </c>
      <c r="AD139" s="678" t="str">
        <f t="shared" si="223"/>
        <v>2018</v>
      </c>
      <c r="AE139" s="679">
        <v>42818</v>
      </c>
      <c r="AF139" s="678">
        <v>2017</v>
      </c>
      <c r="AG139" s="680"/>
      <c r="AH139" s="676">
        <f t="shared" si="237"/>
        <v>6460968.4241914079</v>
      </c>
      <c r="AI139" s="95">
        <f t="shared" si="224"/>
        <v>9011.6045957623701</v>
      </c>
      <c r="AJ139" s="681" t="s">
        <v>0</v>
      </c>
      <c r="AK139" s="37">
        <f t="shared" si="225"/>
        <v>6029289.25</v>
      </c>
      <c r="AL139" s="31">
        <f t="shared" si="238"/>
        <v>0</v>
      </c>
      <c r="AM139" s="31">
        <f t="shared" si="238"/>
        <v>0</v>
      </c>
      <c r="AN139" s="31">
        <f t="shared" si="238"/>
        <v>0</v>
      </c>
      <c r="AO139" s="31">
        <f t="shared" si="238"/>
        <v>0</v>
      </c>
      <c r="AP139" s="31">
        <f t="shared" si="238"/>
        <v>0.80307110825708017</v>
      </c>
      <c r="AQ139" s="31">
        <f t="shared" si="238"/>
        <v>0.19692889174291975</v>
      </c>
      <c r="AR139" s="31">
        <f t="shared" si="238"/>
        <v>0</v>
      </c>
      <c r="AS139" s="31">
        <f t="shared" si="238"/>
        <v>0</v>
      </c>
      <c r="AT139" s="31">
        <f t="shared" si="238"/>
        <v>0</v>
      </c>
      <c r="AU139" s="31">
        <f t="shared" si="238"/>
        <v>0</v>
      </c>
      <c r="AV139" s="31">
        <f t="shared" si="239"/>
        <v>0</v>
      </c>
      <c r="AW139" s="31">
        <f t="shared" si="239"/>
        <v>0</v>
      </c>
      <c r="AX139" s="31">
        <f t="shared" si="239"/>
        <v>0</v>
      </c>
      <c r="AY139" s="31">
        <f t="shared" si="239"/>
        <v>0</v>
      </c>
      <c r="AZ139" s="31">
        <f t="shared" si="239"/>
        <v>0</v>
      </c>
      <c r="BA139" s="31">
        <f t="shared" si="239"/>
        <v>0</v>
      </c>
      <c r="BB139" s="31">
        <f t="shared" si="239"/>
        <v>0</v>
      </c>
      <c r="BC139" s="31">
        <f t="shared" si="239"/>
        <v>0</v>
      </c>
      <c r="BD139" s="31">
        <f t="shared" si="239"/>
        <v>0</v>
      </c>
      <c r="BE139" s="30">
        <f t="shared" si="240"/>
        <v>0.99999999999999989</v>
      </c>
      <c r="BF139" s="620">
        <f t="shared" si="241"/>
        <v>1.0013788876313259</v>
      </c>
      <c r="BG139" s="620">
        <f t="shared" si="229"/>
        <v>1.0027667380322551</v>
      </c>
      <c r="BH139" s="620">
        <f t="shared" si="230"/>
        <v>1.0043785127574885</v>
      </c>
      <c r="BI139" s="620">
        <f t="shared" si="231"/>
        <v>1.0063271484002954</v>
      </c>
      <c r="BJ139" s="620">
        <f t="shared" si="232"/>
        <v>1.0087302491780192</v>
      </c>
      <c r="BK139" s="620">
        <f t="shared" si="233"/>
        <v>1.0112702174682198</v>
      </c>
      <c r="BL139" s="620">
        <f t="shared" si="234"/>
        <v>1.0131213021847563</v>
      </c>
      <c r="BM139" s="621" t="str">
        <f t="shared" si="235"/>
        <v>Category</v>
      </c>
    </row>
    <row r="140" spans="1:65" x14ac:dyDescent="0.15">
      <c r="A140" s="12" t="s">
        <v>299</v>
      </c>
      <c r="B140" s="13" t="s">
        <v>2302</v>
      </c>
      <c r="C140" s="13" t="s">
        <v>27</v>
      </c>
      <c r="D140" s="13" t="s">
        <v>55</v>
      </c>
      <c r="E140" s="13" t="s">
        <v>29</v>
      </c>
      <c r="F140" s="14">
        <v>0</v>
      </c>
      <c r="G140" s="14">
        <v>0</v>
      </c>
      <c r="H140" s="14">
        <v>0</v>
      </c>
      <c r="I140" s="14">
        <v>0</v>
      </c>
      <c r="J140" s="14">
        <v>0</v>
      </c>
      <c r="K140" s="14">
        <v>0</v>
      </c>
      <c r="L140" s="14">
        <v>0</v>
      </c>
      <c r="M140" s="15">
        <v>0</v>
      </c>
      <c r="N140" s="804"/>
      <c r="O140" s="14"/>
      <c r="P140" s="15"/>
      <c r="Q140" s="16">
        <f>IF(ISTEXT('Incurred 2.5% cpi'!Q140),"",'Incurred 2.5% cpi'!Q140/'Incurred 2.5% cpi'!Q$14*Incurred!Q$14)</f>
        <v>643198.25</v>
      </c>
      <c r="R140" s="127">
        <f>IF(ISTEXT('Incurred 2.5% cpi'!R140),"",'Incurred 2.5% cpi'!R140/'Incurred 2.5% cpi'!R$14*Incurred!R$14*BF140)</f>
        <v>33105.295569466187</v>
      </c>
      <c r="S140" s="119" t="str">
        <f>IF(ISTEXT('Incurred 2.5% cpi'!S140),"",'Incurred 2.5% cpi'!S140/'Incurred 2.5% cpi'!S$14*Incurred!S$14*BG140)</f>
        <v/>
      </c>
      <c r="T140" s="16" t="str">
        <f>IF(ISTEXT('Incurred 2.5% cpi'!T140),"",'Incurred 2.5% cpi'!T140/'Incurred 2.5% cpi'!T$14*Incurred!T$14*BH140)</f>
        <v/>
      </c>
      <c r="U140" s="16" t="str">
        <f>IF(ISTEXT('Incurred 2.5% cpi'!U140),"",'Incurred 2.5% cpi'!U140/'Incurred 2.5% cpi'!U$14*Incurred!U$14*BI140)</f>
        <v/>
      </c>
      <c r="V140" s="16" t="str">
        <f>IF(ISTEXT('Incurred 2.5% cpi'!V140),"",'Incurred 2.5% cpi'!V140/'Incurred 2.5% cpi'!V$14*Incurred!V$14*BJ140)</f>
        <v/>
      </c>
      <c r="W140" s="127" t="str">
        <f>IF(ISTEXT('Incurred 2.5% cpi'!W140),"",'Incurred 2.5% cpi'!W140/'Incurred 2.5% cpi'!W$14*Incurred!W$14*BK140)</f>
        <v/>
      </c>
      <c r="X140" s="119" t="str">
        <f>IF(ISTEXT('Incurred 2.5% cpi'!X140),"",'Incurred 2.5% cpi'!X140/'Incurred 2.5% cpi'!X$14*Incurred!X$14*BL140)</f>
        <v/>
      </c>
      <c r="Y140" s="95">
        <f t="shared" si="158"/>
        <v>676303.54556946619</v>
      </c>
      <c r="Z140" s="95">
        <f t="shared" si="220"/>
        <v>676303.54556946619</v>
      </c>
      <c r="AA140" s="676">
        <f t="shared" si="221"/>
        <v>759565.58127671352</v>
      </c>
      <c r="AB140" s="676">
        <f t="shared" si="222"/>
        <v>688974.55109446635</v>
      </c>
      <c r="AC140" s="677">
        <f t="shared" si="236"/>
        <v>1.1024581097663335</v>
      </c>
      <c r="AD140" s="678" t="str">
        <f t="shared" si="223"/>
        <v>2018</v>
      </c>
      <c r="AE140" s="679">
        <v>42947</v>
      </c>
      <c r="AF140" s="678">
        <v>2018</v>
      </c>
      <c r="AG140" s="680"/>
      <c r="AH140" s="676">
        <f t="shared" si="237"/>
        <v>688974.55109446624</v>
      </c>
      <c r="AI140" s="95">
        <f t="shared" si="224"/>
        <v>33105.295569466187</v>
      </c>
      <c r="AJ140" s="681" t="s">
        <v>0</v>
      </c>
      <c r="AK140" s="37">
        <f t="shared" si="225"/>
        <v>239970.00000000015</v>
      </c>
      <c r="AL140" s="31">
        <f t="shared" ref="AL140:AU141" si="242">IF($AK140=0,VLOOKUP(MID($A140,4,5),ProjectSplits,AL$20,FALSE),IF(ISNA(VLOOKUP($A140,Estimates,AL$19,FALSE)),VLOOKUP(MID($A140,4,5),ProjectSplits,AL$20,FALSE),VLOOKUP($A140,Estimates,AL$19,FALSE)))</f>
        <v>0</v>
      </c>
      <c r="AM140" s="31">
        <f t="shared" si="242"/>
        <v>0</v>
      </c>
      <c r="AN140" s="31">
        <f t="shared" si="242"/>
        <v>0</v>
      </c>
      <c r="AO140" s="31">
        <f t="shared" si="242"/>
        <v>1</v>
      </c>
      <c r="AP140" s="31">
        <f t="shared" si="242"/>
        <v>0</v>
      </c>
      <c r="AQ140" s="31">
        <f t="shared" si="242"/>
        <v>0</v>
      </c>
      <c r="AR140" s="31">
        <f t="shared" si="242"/>
        <v>0</v>
      </c>
      <c r="AS140" s="31">
        <f t="shared" si="242"/>
        <v>0</v>
      </c>
      <c r="AT140" s="31">
        <f t="shared" si="242"/>
        <v>0</v>
      </c>
      <c r="AU140" s="31">
        <f t="shared" si="242"/>
        <v>0</v>
      </c>
      <c r="AV140" s="31">
        <f t="shared" ref="AV140:BD141" si="243">IF($AK140=0,VLOOKUP(MID($A140,4,5),ProjectSplits,AV$20,FALSE),IF(ISNA(VLOOKUP($A140,Estimates,AV$19,FALSE)),VLOOKUP(MID($A140,4,5),ProjectSplits,AV$20,FALSE),VLOOKUP($A140,Estimates,AV$19,FALSE)))</f>
        <v>0</v>
      </c>
      <c r="AW140" s="31">
        <f t="shared" si="243"/>
        <v>0</v>
      </c>
      <c r="AX140" s="31">
        <f t="shared" si="243"/>
        <v>0</v>
      </c>
      <c r="AY140" s="31">
        <f t="shared" si="243"/>
        <v>0</v>
      </c>
      <c r="AZ140" s="31">
        <f t="shared" si="243"/>
        <v>0</v>
      </c>
      <c r="BA140" s="31">
        <f t="shared" si="243"/>
        <v>0</v>
      </c>
      <c r="BB140" s="31">
        <f t="shared" si="243"/>
        <v>0</v>
      </c>
      <c r="BC140" s="31">
        <f t="shared" si="243"/>
        <v>0</v>
      </c>
      <c r="BD140" s="31">
        <f t="shared" si="243"/>
        <v>0</v>
      </c>
      <c r="BE140" s="30">
        <f t="shared" ref="BE140:BE141" si="244">SUM(AL140:BD140)</f>
        <v>1</v>
      </c>
      <c r="BF140" s="620">
        <f t="shared" si="241"/>
        <v>1.0046190746045656</v>
      </c>
      <c r="BG140" s="620">
        <f t="shared" si="229"/>
        <v>1.0092681731940607</v>
      </c>
      <c r="BH140" s="620">
        <f t="shared" si="230"/>
        <v>1.0146673859598225</v>
      </c>
      <c r="BI140" s="620">
        <f t="shared" si="231"/>
        <v>1.0211950341936284</v>
      </c>
      <c r="BJ140" s="620">
        <f t="shared" si="232"/>
        <v>1.0292450750544078</v>
      </c>
      <c r="BK140" s="620">
        <f t="shared" si="233"/>
        <v>1.0377536023333034</v>
      </c>
      <c r="BL140" s="620">
        <f t="shared" si="234"/>
        <v>1.0439544690397748</v>
      </c>
      <c r="BM140" s="621" t="str">
        <f t="shared" si="235"/>
        <v>Category</v>
      </c>
    </row>
    <row r="141" spans="1:65" x14ac:dyDescent="0.15">
      <c r="A141" s="12" t="s">
        <v>300</v>
      </c>
      <c r="B141" s="13" t="s">
        <v>301</v>
      </c>
      <c r="C141" s="13" t="s">
        <v>27</v>
      </c>
      <c r="D141" s="13" t="s">
        <v>40</v>
      </c>
      <c r="E141" s="13" t="s">
        <v>29</v>
      </c>
      <c r="F141" s="14">
        <v>0</v>
      </c>
      <c r="G141" s="14">
        <v>0</v>
      </c>
      <c r="H141" s="14">
        <v>0</v>
      </c>
      <c r="I141" s="14">
        <v>0</v>
      </c>
      <c r="J141" s="14">
        <v>0</v>
      </c>
      <c r="K141" s="14">
        <v>0</v>
      </c>
      <c r="L141" s="14">
        <v>0</v>
      </c>
      <c r="M141" s="15">
        <v>37048.43</v>
      </c>
      <c r="N141" s="804">
        <v>484827.3</v>
      </c>
      <c r="O141" s="14">
        <v>138716.12</v>
      </c>
      <c r="P141" s="15">
        <v>42278.81</v>
      </c>
      <c r="Q141" s="16">
        <f>IF(ISTEXT('Incurred 2.5% cpi'!Q141),"",'Incurred 2.5% cpi'!Q141/'Incurred 2.5% cpi'!Q$14*Incurred!Q$14)</f>
        <v>2812136.97</v>
      </c>
      <c r="R141" s="127">
        <f>IF(ISTEXT('Incurred 2.5% cpi'!R141),"",'Incurred 2.5% cpi'!R141/'Incurred 2.5% cpi'!R$14*Incurred!R$14*BF141)</f>
        <v>2804484.1109204786</v>
      </c>
      <c r="S141" s="119">
        <f>IF(ISTEXT('Incurred 2.5% cpi'!S141),"",'Incurred 2.5% cpi'!S141/'Incurred 2.5% cpi'!S$14*Incurred!S$14*BG141)</f>
        <v>482.13412425877897</v>
      </c>
      <c r="T141" s="16" t="str">
        <f>IF(ISTEXT('Incurred 2.5% cpi'!T141),"",'Incurred 2.5% cpi'!T141/'Incurred 2.5% cpi'!T$14*Incurred!T$14*BH141)</f>
        <v/>
      </c>
      <c r="U141" s="16" t="str">
        <f>IF(ISTEXT('Incurred 2.5% cpi'!U141),"",'Incurred 2.5% cpi'!U141/'Incurred 2.5% cpi'!U$14*Incurred!U$14*BI141)</f>
        <v/>
      </c>
      <c r="V141" s="16" t="str">
        <f>IF(ISTEXT('Incurred 2.5% cpi'!V141),"",'Incurred 2.5% cpi'!V141/'Incurred 2.5% cpi'!V$14*Incurred!V$14*BJ141)</f>
        <v/>
      </c>
      <c r="W141" s="127" t="str">
        <f>IF(ISTEXT('Incurred 2.5% cpi'!W141),"",'Incurred 2.5% cpi'!W141/'Incurred 2.5% cpi'!W$14*Incurred!W$14*BK141)</f>
        <v/>
      </c>
      <c r="X141" s="119" t="str">
        <f>IF(ISTEXT('Incurred 2.5% cpi'!X141),"",'Incurred 2.5% cpi'!X141/'Incurred 2.5% cpi'!X$14*Incurred!X$14*BL141)</f>
        <v/>
      </c>
      <c r="Y141" s="95">
        <f t="shared" ref="Y141:Y200" si="245">SUM(F141:W141)</f>
        <v>6319973.875044737</v>
      </c>
      <c r="Z141" s="95">
        <f t="shared" si="220"/>
        <v>6319973.875044737</v>
      </c>
      <c r="AA141" s="676">
        <f t="shared" si="221"/>
        <v>7078656.7746226322</v>
      </c>
      <c r="AB141" s="676">
        <f t="shared" si="222"/>
        <v>6420794.3248954434</v>
      </c>
      <c r="AC141" s="677">
        <f t="shared" si="236"/>
        <v>1.1024581097663335</v>
      </c>
      <c r="AD141" s="678" t="str">
        <f t="shared" si="223"/>
        <v>2019</v>
      </c>
      <c r="AE141" s="679">
        <v>43040</v>
      </c>
      <c r="AF141" s="678">
        <v>2018</v>
      </c>
      <c r="AG141" s="680"/>
      <c r="AH141" s="676">
        <f t="shared" si="237"/>
        <v>6420794.3248954434</v>
      </c>
      <c r="AI141" s="95">
        <f t="shared" si="224"/>
        <v>482.13412425877897</v>
      </c>
      <c r="AJ141" s="681" t="s">
        <v>0</v>
      </c>
      <c r="AK141" s="37">
        <f t="shared" si="225"/>
        <v>3516015.8325580084</v>
      </c>
      <c r="AL141" s="31">
        <f t="shared" si="242"/>
        <v>0</v>
      </c>
      <c r="AM141" s="31">
        <f t="shared" si="242"/>
        <v>6.1964896088506402E-2</v>
      </c>
      <c r="AN141" s="31">
        <f t="shared" si="242"/>
        <v>5.4494281362593038E-2</v>
      </c>
      <c r="AO141" s="31">
        <f t="shared" si="242"/>
        <v>0</v>
      </c>
      <c r="AP141" s="31">
        <f t="shared" si="242"/>
        <v>0</v>
      </c>
      <c r="AQ141" s="31">
        <f t="shared" si="242"/>
        <v>0</v>
      </c>
      <c r="AR141" s="31">
        <f t="shared" si="242"/>
        <v>0</v>
      </c>
      <c r="AS141" s="31">
        <f t="shared" si="242"/>
        <v>0</v>
      </c>
      <c r="AT141" s="31">
        <f t="shared" si="242"/>
        <v>0</v>
      </c>
      <c r="AU141" s="31">
        <f t="shared" si="242"/>
        <v>0.24221734498616548</v>
      </c>
      <c r="AV141" s="31">
        <f t="shared" si="243"/>
        <v>9.7043934357867928E-2</v>
      </c>
      <c r="AW141" s="31">
        <f t="shared" si="243"/>
        <v>0.15321047939897878</v>
      </c>
      <c r="AX141" s="31">
        <f t="shared" si="243"/>
        <v>2.6842882536562928E-2</v>
      </c>
      <c r="AY141" s="31">
        <f t="shared" si="243"/>
        <v>0</v>
      </c>
      <c r="AZ141" s="31">
        <f t="shared" si="243"/>
        <v>0.35000553995792844</v>
      </c>
      <c r="BA141" s="31">
        <f t="shared" si="243"/>
        <v>1.4220641311396925E-2</v>
      </c>
      <c r="BB141" s="31">
        <f t="shared" si="243"/>
        <v>0</v>
      </c>
      <c r="BC141" s="31">
        <f t="shared" si="243"/>
        <v>0</v>
      </c>
      <c r="BD141" s="31">
        <f t="shared" si="243"/>
        <v>0</v>
      </c>
      <c r="BE141" s="30">
        <f t="shared" si="244"/>
        <v>0.99999999999999989</v>
      </c>
      <c r="BF141" s="620">
        <f t="shared" si="241"/>
        <v>1.0034498951996242</v>
      </c>
      <c r="BG141" s="620">
        <f t="shared" si="229"/>
        <v>1.0069222147180459</v>
      </c>
      <c r="BH141" s="620">
        <f t="shared" si="230"/>
        <v>1.0109547796356901</v>
      </c>
      <c r="BI141" s="620">
        <f t="shared" si="231"/>
        <v>1.0158301506211216</v>
      </c>
      <c r="BJ141" s="620">
        <f t="shared" si="232"/>
        <v>1.0218425664619335</v>
      </c>
      <c r="BK141" s="620">
        <f t="shared" si="233"/>
        <v>1.0281974167140426</v>
      </c>
      <c r="BL141" s="620">
        <f t="shared" si="234"/>
        <v>1.0328287210586446</v>
      </c>
      <c r="BM141" s="621" t="str">
        <f t="shared" si="235"/>
        <v>Category</v>
      </c>
    </row>
    <row r="142" spans="1:65" x14ac:dyDescent="0.15">
      <c r="A142" s="12" t="s">
        <v>302</v>
      </c>
      <c r="B142" s="13" t="s">
        <v>303</v>
      </c>
      <c r="C142" s="13" t="s">
        <v>27</v>
      </c>
      <c r="D142" s="13" t="s">
        <v>54</v>
      </c>
      <c r="E142" s="13" t="s">
        <v>29</v>
      </c>
      <c r="F142" s="14">
        <v>0</v>
      </c>
      <c r="G142" s="14">
        <v>0</v>
      </c>
      <c r="H142" s="14">
        <v>0</v>
      </c>
      <c r="I142" s="14">
        <v>0</v>
      </c>
      <c r="J142" s="14">
        <v>0</v>
      </c>
      <c r="K142" s="14">
        <v>0</v>
      </c>
      <c r="L142" s="14">
        <v>0</v>
      </c>
      <c r="M142" s="15">
        <v>0</v>
      </c>
      <c r="N142" s="804">
        <v>490301.42</v>
      </c>
      <c r="O142" s="14">
        <v>531448.59</v>
      </c>
      <c r="P142" s="15">
        <v>1053221.75</v>
      </c>
      <c r="Q142" s="16">
        <f>IF(ISTEXT('Incurred 2.5% cpi'!Q142),"",'Incurred 2.5% cpi'!Q142/'Incurred 2.5% cpi'!Q$14*Incurred!Q$14)</f>
        <v>4666831.3600000003</v>
      </c>
      <c r="R142" s="127">
        <f>IF(ISTEXT('Incurred 2.5% cpi'!R142),"",'Incurred 2.5% cpi'!R142/'Incurred 2.5% cpi'!R$14*Incurred!R$14*BF142)</f>
        <v>1251368.0211029262</v>
      </c>
      <c r="S142" s="119">
        <f>IF(ISTEXT('Incurred 2.5% cpi'!S142),"",'Incurred 2.5% cpi'!S142/'Incurred 2.5% cpi'!S$14*Incurred!S$14*BG142)</f>
        <v>16809.280623507522</v>
      </c>
      <c r="T142" s="16" t="str">
        <f>IF(ISTEXT('Incurred 2.5% cpi'!T142),"",'Incurred 2.5% cpi'!T142/'Incurred 2.5% cpi'!T$14*Incurred!T$14*BH142)</f>
        <v/>
      </c>
      <c r="U142" s="16" t="str">
        <f>IF(ISTEXT('Incurred 2.5% cpi'!U142),"",'Incurred 2.5% cpi'!U142/'Incurred 2.5% cpi'!U$14*Incurred!U$14*BI142)</f>
        <v/>
      </c>
      <c r="V142" s="16" t="str">
        <f>IF(ISTEXT('Incurred 2.5% cpi'!V142),"",'Incurred 2.5% cpi'!V142/'Incurred 2.5% cpi'!V$14*Incurred!V$14*BJ142)</f>
        <v/>
      </c>
      <c r="W142" s="127" t="str">
        <f>IF(ISTEXT('Incurred 2.5% cpi'!W142),"",'Incurred 2.5% cpi'!W142/'Incurred 2.5% cpi'!W$14*Incurred!W$14*BK142)</f>
        <v/>
      </c>
      <c r="X142" s="119" t="str">
        <f>IF(ISTEXT('Incurred 2.5% cpi'!X142),"",'Incurred 2.5% cpi'!X142/'Incurred 2.5% cpi'!X$14*Incurred!X$14*BL142)</f>
        <v/>
      </c>
      <c r="Y142" s="95">
        <f t="shared" si="245"/>
        <v>8009980.4217264345</v>
      </c>
      <c r="Z142" s="95">
        <f t="shared" si="220"/>
        <v>8009980.4217264345</v>
      </c>
      <c r="AA142" s="676">
        <f t="shared" si="221"/>
        <v>9045600.9742227606</v>
      </c>
      <c r="AB142" s="676">
        <f t="shared" si="222"/>
        <v>8204938.486179742</v>
      </c>
      <c r="AC142" s="677">
        <f t="shared" si="236"/>
        <v>1.1024581097663335</v>
      </c>
      <c r="AD142" s="678" t="str">
        <f t="shared" si="223"/>
        <v>2019</v>
      </c>
      <c r="AE142" s="679">
        <v>43091</v>
      </c>
      <c r="AF142" s="678">
        <v>2018</v>
      </c>
      <c r="AG142" s="680"/>
      <c r="AH142" s="676">
        <f t="shared" si="237"/>
        <v>8204938.4861797402</v>
      </c>
      <c r="AI142" s="95">
        <f t="shared" si="224"/>
        <v>16809.280623507522</v>
      </c>
      <c r="AJ142" s="681" t="s">
        <v>0</v>
      </c>
      <c r="AK142" s="37">
        <f t="shared" si="225"/>
        <v>0</v>
      </c>
      <c r="AL142" s="31">
        <f t="shared" ref="AL142:AU143" si="246">IF($AK142=0,VLOOKUP(MID($A142,4,5),ProjectSplits,AL$20,FALSE),IF(ISNA(VLOOKUP($A142,Estimates,AL$19,FALSE)),VLOOKUP(MID($A142,4,5),ProjectSplits,AL$20,FALSE),VLOOKUP($A142,Estimates,AL$19,FALSE)))</f>
        <v>0</v>
      </c>
      <c r="AM142" s="31">
        <f t="shared" si="246"/>
        <v>0</v>
      </c>
      <c r="AN142" s="31">
        <f t="shared" si="246"/>
        <v>0</v>
      </c>
      <c r="AO142" s="31">
        <f t="shared" si="246"/>
        <v>0</v>
      </c>
      <c r="AP142" s="31">
        <f t="shared" si="246"/>
        <v>0</v>
      </c>
      <c r="AQ142" s="31">
        <f t="shared" si="246"/>
        <v>0</v>
      </c>
      <c r="AR142" s="31">
        <f t="shared" si="246"/>
        <v>0</v>
      </c>
      <c r="AS142" s="31">
        <f t="shared" si="246"/>
        <v>0</v>
      </c>
      <c r="AT142" s="31">
        <f t="shared" si="246"/>
        <v>0</v>
      </c>
      <c r="AU142" s="31">
        <f t="shared" si="246"/>
        <v>1</v>
      </c>
      <c r="AV142" s="31">
        <f t="shared" ref="AV142:BD143" si="247">IF($AK142=0,VLOOKUP(MID($A142,4,5),ProjectSplits,AV$20,FALSE),IF(ISNA(VLOOKUP($A142,Estimates,AV$19,FALSE)),VLOOKUP(MID($A142,4,5),ProjectSplits,AV$20,FALSE),VLOOKUP($A142,Estimates,AV$19,FALSE)))</f>
        <v>0</v>
      </c>
      <c r="AW142" s="31">
        <f t="shared" si="247"/>
        <v>0</v>
      </c>
      <c r="AX142" s="31">
        <f t="shared" si="247"/>
        <v>0</v>
      </c>
      <c r="AY142" s="31">
        <f t="shared" si="247"/>
        <v>0</v>
      </c>
      <c r="AZ142" s="31">
        <f t="shared" si="247"/>
        <v>0</v>
      </c>
      <c r="BA142" s="31">
        <f t="shared" si="247"/>
        <v>0</v>
      </c>
      <c r="BB142" s="31">
        <f t="shared" si="247"/>
        <v>0</v>
      </c>
      <c r="BC142" s="31">
        <f t="shared" si="247"/>
        <v>0</v>
      </c>
      <c r="BD142" s="31">
        <f t="shared" si="247"/>
        <v>0</v>
      </c>
      <c r="BE142" s="30">
        <f t="shared" ref="BE142:BE143" si="248">SUM(AL142:BD142)</f>
        <v>1</v>
      </c>
      <c r="BF142" s="620">
        <f t="shared" si="241"/>
        <v>1.0030818160192299</v>
      </c>
      <c r="BG142" s="620">
        <f t="shared" si="229"/>
        <v>1.006183663842585</v>
      </c>
      <c r="BH142" s="620">
        <f t="shared" si="230"/>
        <v>1.0097859828820543</v>
      </c>
      <c r="BI142" s="620">
        <f t="shared" si="231"/>
        <v>1.0141411866007726</v>
      </c>
      <c r="BJ142" s="620">
        <f t="shared" si="232"/>
        <v>1.0195121206090012</v>
      </c>
      <c r="BK142" s="620">
        <f t="shared" si="233"/>
        <v>1.0251889537223347</v>
      </c>
      <c r="BL142" s="620">
        <f t="shared" si="234"/>
        <v>1.0293261309677997</v>
      </c>
      <c r="BM142" s="621" t="str">
        <f t="shared" si="235"/>
        <v>Category</v>
      </c>
    </row>
    <row r="143" spans="1:65" x14ac:dyDescent="0.15">
      <c r="A143" s="12" t="s">
        <v>304</v>
      </c>
      <c r="B143" s="13" t="s">
        <v>305</v>
      </c>
      <c r="C143" s="13" t="s">
        <v>27</v>
      </c>
      <c r="D143" s="13" t="s">
        <v>28</v>
      </c>
      <c r="E143" s="13" t="s">
        <v>32</v>
      </c>
      <c r="F143" s="14">
        <v>0</v>
      </c>
      <c r="G143" s="14">
        <v>0</v>
      </c>
      <c r="H143" s="14">
        <v>0</v>
      </c>
      <c r="I143" s="14">
        <v>0</v>
      </c>
      <c r="J143" s="14">
        <v>0</v>
      </c>
      <c r="K143" s="14">
        <v>0</v>
      </c>
      <c r="L143" s="14">
        <v>0</v>
      </c>
      <c r="M143" s="15">
        <v>0</v>
      </c>
      <c r="N143" s="804">
        <v>8221.2099999999991</v>
      </c>
      <c r="O143" s="14">
        <v>317591.37</v>
      </c>
      <c r="P143" s="15">
        <v>1332108.6299999999</v>
      </c>
      <c r="Q143" s="16">
        <f>IF(ISTEXT('Incurred 2.5% cpi'!Q143),"",'Incurred 2.5% cpi'!Q143/'Incurred 2.5% cpi'!Q$14*Incurred!Q$14)</f>
        <v>1116.27</v>
      </c>
      <c r="R143" s="127" t="str">
        <f>IF(ISTEXT('Incurred 2.5% cpi'!R143),"",'Incurred 2.5% cpi'!R143/'Incurred 2.5% cpi'!R$14*Incurred!R$14*BF143)</f>
        <v/>
      </c>
      <c r="S143" s="119" t="str">
        <f>IF(ISTEXT('Incurred 2.5% cpi'!S143),"",'Incurred 2.5% cpi'!S143/'Incurred 2.5% cpi'!S$14*Incurred!S$14*BG143)</f>
        <v/>
      </c>
      <c r="T143" s="16" t="str">
        <f>IF(ISTEXT('Incurred 2.5% cpi'!T143),"",'Incurred 2.5% cpi'!T143/'Incurred 2.5% cpi'!T$14*Incurred!T$14*BH143)</f>
        <v/>
      </c>
      <c r="U143" s="16" t="str">
        <f>IF(ISTEXT('Incurred 2.5% cpi'!U143),"",'Incurred 2.5% cpi'!U143/'Incurred 2.5% cpi'!U$14*Incurred!U$14*BI143)</f>
        <v/>
      </c>
      <c r="V143" s="16" t="str">
        <f>IF(ISTEXT('Incurred 2.5% cpi'!V143),"",'Incurred 2.5% cpi'!V143/'Incurred 2.5% cpi'!V$14*Incurred!V$14*BJ143)</f>
        <v/>
      </c>
      <c r="W143" s="127" t="str">
        <f>IF(ISTEXT('Incurred 2.5% cpi'!W143),"",'Incurred 2.5% cpi'!W143/'Incurred 2.5% cpi'!W$14*Incurred!W$14*BK143)</f>
        <v/>
      </c>
      <c r="X143" s="119" t="str">
        <f>IF(ISTEXT('Incurred 2.5% cpi'!X143),"",'Incurred 2.5% cpi'!X143/'Incurred 2.5% cpi'!X$14*Incurred!X$14*BL143)</f>
        <v/>
      </c>
      <c r="Y143" s="95">
        <f t="shared" si="245"/>
        <v>1659037.48</v>
      </c>
      <c r="Z143" s="95">
        <f t="shared" si="220"/>
        <v>1659037.48</v>
      </c>
      <c r="AA143" s="676">
        <f t="shared" si="221"/>
        <v>1906790.4970590251</v>
      </c>
      <c r="AB143" s="676">
        <f t="shared" si="222"/>
        <v>1663397.497343265</v>
      </c>
      <c r="AC143" s="677">
        <f t="shared" si="236"/>
        <v>1.1463228122589466</v>
      </c>
      <c r="AD143" s="678" t="str">
        <f t="shared" si="223"/>
        <v>2017</v>
      </c>
      <c r="AE143" s="679">
        <v>42303</v>
      </c>
      <c r="AF143" s="678">
        <v>2016</v>
      </c>
      <c r="AG143" s="680"/>
      <c r="AH143" s="676">
        <f t="shared" si="237"/>
        <v>1729580.9066733336</v>
      </c>
      <c r="AI143" s="95">
        <f t="shared" si="224"/>
        <v>1116.27</v>
      </c>
      <c r="AJ143" s="681" t="s">
        <v>0</v>
      </c>
      <c r="AK143" s="37">
        <f t="shared" si="225"/>
        <v>0</v>
      </c>
      <c r="AL143" s="31">
        <f t="shared" si="246"/>
        <v>0</v>
      </c>
      <c r="AM143" s="31">
        <f t="shared" si="246"/>
        <v>0</v>
      </c>
      <c r="AN143" s="31">
        <f t="shared" si="246"/>
        <v>0</v>
      </c>
      <c r="AO143" s="31">
        <f t="shared" si="246"/>
        <v>0</v>
      </c>
      <c r="AP143" s="31">
        <f t="shared" si="246"/>
        <v>0</v>
      </c>
      <c r="AQ143" s="31">
        <f t="shared" si="246"/>
        <v>0</v>
      </c>
      <c r="AR143" s="31">
        <f t="shared" si="246"/>
        <v>0</v>
      </c>
      <c r="AS143" s="31">
        <f t="shared" si="246"/>
        <v>0</v>
      </c>
      <c r="AT143" s="31">
        <f t="shared" si="246"/>
        <v>0</v>
      </c>
      <c r="AU143" s="31">
        <f t="shared" si="246"/>
        <v>7.6499994957252668E-2</v>
      </c>
      <c r="AV143" s="31">
        <f t="shared" si="247"/>
        <v>0</v>
      </c>
      <c r="AW143" s="31">
        <f t="shared" si="247"/>
        <v>0</v>
      </c>
      <c r="AX143" s="31">
        <f t="shared" si="247"/>
        <v>0</v>
      </c>
      <c r="AY143" s="31">
        <f t="shared" si="247"/>
        <v>0</v>
      </c>
      <c r="AZ143" s="31">
        <f t="shared" si="247"/>
        <v>3.7800005213021896E-2</v>
      </c>
      <c r="BA143" s="31">
        <f t="shared" si="247"/>
        <v>0.88569999982972536</v>
      </c>
      <c r="BB143" s="31">
        <f t="shared" si="247"/>
        <v>0</v>
      </c>
      <c r="BC143" s="31">
        <f t="shared" si="247"/>
        <v>0</v>
      </c>
      <c r="BD143" s="31">
        <f t="shared" si="247"/>
        <v>0</v>
      </c>
      <c r="BE143" s="30">
        <f t="shared" si="248"/>
        <v>0.99999999999999989</v>
      </c>
      <c r="BF143" s="620">
        <f t="shared" si="241"/>
        <v>1.0030444840366091</v>
      </c>
      <c r="BG143" s="620">
        <f t="shared" si="229"/>
        <v>1.0061087572194563</v>
      </c>
      <c r="BH143" s="620">
        <f t="shared" si="230"/>
        <v>1.0096674390946898</v>
      </c>
      <c r="BI143" s="620">
        <f t="shared" si="231"/>
        <v>1.0139698854818469</v>
      </c>
      <c r="BJ143" s="620">
        <f t="shared" si="232"/>
        <v>1.0192757579764089</v>
      </c>
      <c r="BK143" s="620">
        <f t="shared" si="233"/>
        <v>1.0248838240271385</v>
      </c>
      <c r="BL143" s="620">
        <f t="shared" si="234"/>
        <v>1.0289708850333266</v>
      </c>
      <c r="BM143" s="621" t="str">
        <f t="shared" si="235"/>
        <v>Category</v>
      </c>
    </row>
    <row r="144" spans="1:65" x14ac:dyDescent="0.15">
      <c r="A144" s="12" t="s">
        <v>306</v>
      </c>
      <c r="B144" s="13" t="s">
        <v>307</v>
      </c>
      <c r="C144" s="13" t="s">
        <v>27</v>
      </c>
      <c r="D144" s="13" t="s">
        <v>40</v>
      </c>
      <c r="E144" s="13" t="s">
        <v>29</v>
      </c>
      <c r="F144" s="14">
        <v>0</v>
      </c>
      <c r="G144" s="14">
        <v>0</v>
      </c>
      <c r="H144" s="14">
        <v>0</v>
      </c>
      <c r="I144" s="14">
        <v>0</v>
      </c>
      <c r="J144" s="14">
        <v>0</v>
      </c>
      <c r="K144" s="14">
        <v>0</v>
      </c>
      <c r="L144" s="14">
        <v>0</v>
      </c>
      <c r="M144" s="15">
        <v>0</v>
      </c>
      <c r="N144" s="804"/>
      <c r="O144" s="14"/>
      <c r="P144" s="15">
        <v>87606.14</v>
      </c>
      <c r="Q144" s="16">
        <f>IF(ISTEXT('Incurred 2.5% cpi'!Q144),"",'Incurred 2.5% cpi'!Q144/'Incurred 2.5% cpi'!Q$14*Incurred!Q$14)</f>
        <v>511148.22</v>
      </c>
      <c r="R144" s="127">
        <f>IF(ISTEXT('Incurred 2.5% cpi'!R144),"",'Incurred 2.5% cpi'!R144/'Incurred 2.5% cpi'!R$14*Incurred!R$14*BF144)</f>
        <v>3218636.0012287661</v>
      </c>
      <c r="S144" s="119">
        <f>IF(ISTEXT('Incurred 2.5% cpi'!S144),"",'Incurred 2.5% cpi'!S144/'Incurred 2.5% cpi'!S$14*Incurred!S$14*BG144)</f>
        <v>1796245.7335622082</v>
      </c>
      <c r="T144" s="16" t="str">
        <f>IF(ISTEXT('Incurred 2.5% cpi'!T144),"",'Incurred 2.5% cpi'!T144/'Incurred 2.5% cpi'!T$14*Incurred!T$14*BH144)</f>
        <v/>
      </c>
      <c r="U144" s="16" t="str">
        <f>IF(ISTEXT('Incurred 2.5% cpi'!U144),"",'Incurred 2.5% cpi'!U144/'Incurred 2.5% cpi'!U$14*Incurred!U$14*BI144)</f>
        <v/>
      </c>
      <c r="V144" s="16" t="str">
        <f>IF(ISTEXT('Incurred 2.5% cpi'!V144),"",'Incurred 2.5% cpi'!V144/'Incurred 2.5% cpi'!V$14*Incurred!V$14*BJ144)</f>
        <v/>
      </c>
      <c r="W144" s="127" t="str">
        <f>IF(ISTEXT('Incurred 2.5% cpi'!W144),"",'Incurred 2.5% cpi'!W144/'Incurred 2.5% cpi'!W$14*Incurred!W$14*BK144)</f>
        <v/>
      </c>
      <c r="X144" s="119" t="str">
        <f>IF(ISTEXT('Incurred 2.5% cpi'!X144),"",'Incurred 2.5% cpi'!X144/'Incurred 2.5% cpi'!X$14*Incurred!X$14*BL144)</f>
        <v/>
      </c>
      <c r="Y144" s="95">
        <f t="shared" si="245"/>
        <v>5613636.0947909746</v>
      </c>
      <c r="Z144" s="95">
        <f t="shared" si="220"/>
        <v>5613636.0947909746</v>
      </c>
      <c r="AA144" s="676">
        <f t="shared" si="221"/>
        <v>6165484.8431279678</v>
      </c>
      <c r="AB144" s="676">
        <f t="shared" si="222"/>
        <v>5702661.0252521159</v>
      </c>
      <c r="AC144" s="677">
        <f t="shared" si="236"/>
        <v>1.0811592721058483</v>
      </c>
      <c r="AD144" s="678" t="str">
        <f t="shared" si="223"/>
        <v>2019</v>
      </c>
      <c r="AE144" s="679">
        <v>43342</v>
      </c>
      <c r="AF144" s="678">
        <v>2019</v>
      </c>
      <c r="AG144" s="680"/>
      <c r="AH144" s="676">
        <f t="shared" si="237"/>
        <v>5592488.9921075962</v>
      </c>
      <c r="AI144" s="95">
        <f t="shared" si="224"/>
        <v>1796245.7335622082</v>
      </c>
      <c r="AJ144" s="681" t="s">
        <v>3059</v>
      </c>
      <c r="AK144" s="37">
        <f t="shared" si="225"/>
        <v>0</v>
      </c>
      <c r="AL144" s="31">
        <f t="shared" ref="AL144:BD144" si="249">IF($AK144=0,VLOOKUP(MID($A144,4,5),ProjectSplits,AL$20,FALSE),IF(ISNA(VLOOKUP($A144,Estimates,AL$19,FALSE)),VLOOKUP(MID($A144,4,5),ProjectSplits,AL$20,FALSE),VLOOKUP($A144,Estimates,AL$19,FALSE)))</f>
        <v>0</v>
      </c>
      <c r="AM144" s="31">
        <f t="shared" si="249"/>
        <v>0</v>
      </c>
      <c r="AN144" s="31">
        <f t="shared" si="249"/>
        <v>0</v>
      </c>
      <c r="AO144" s="31">
        <f t="shared" si="249"/>
        <v>0</v>
      </c>
      <c r="AP144" s="31">
        <f t="shared" si="249"/>
        <v>0</v>
      </c>
      <c r="AQ144" s="31">
        <f t="shared" si="249"/>
        <v>0</v>
      </c>
      <c r="AR144" s="31">
        <f t="shared" si="249"/>
        <v>0</v>
      </c>
      <c r="AS144" s="31">
        <f t="shared" si="249"/>
        <v>0</v>
      </c>
      <c r="AT144" s="31">
        <f t="shared" si="249"/>
        <v>0</v>
      </c>
      <c r="AU144" s="31">
        <f t="shared" si="249"/>
        <v>0</v>
      </c>
      <c r="AV144" s="31">
        <f t="shared" si="249"/>
        <v>0</v>
      </c>
      <c r="AW144" s="31">
        <f t="shared" si="249"/>
        <v>1</v>
      </c>
      <c r="AX144" s="31">
        <f t="shared" si="249"/>
        <v>0</v>
      </c>
      <c r="AY144" s="31">
        <f t="shared" si="249"/>
        <v>0</v>
      </c>
      <c r="AZ144" s="31">
        <f t="shared" si="249"/>
        <v>0</v>
      </c>
      <c r="BA144" s="31">
        <f t="shared" si="249"/>
        <v>0</v>
      </c>
      <c r="BB144" s="31">
        <f t="shared" si="249"/>
        <v>0</v>
      </c>
      <c r="BC144" s="31">
        <f t="shared" si="249"/>
        <v>0</v>
      </c>
      <c r="BD144" s="31">
        <f t="shared" si="249"/>
        <v>0</v>
      </c>
      <c r="BE144" s="30">
        <f>SUM(AL144:BD144)</f>
        <v>1</v>
      </c>
      <c r="BF144" s="620">
        <f t="shared" si="241"/>
        <v>1.0034498951996242</v>
      </c>
      <c r="BG144" s="620">
        <f t="shared" si="229"/>
        <v>1.0069222147180459</v>
      </c>
      <c r="BH144" s="620">
        <f t="shared" si="230"/>
        <v>1.0109547796356901</v>
      </c>
      <c r="BI144" s="620">
        <f t="shared" si="231"/>
        <v>1.0158301506211216</v>
      </c>
      <c r="BJ144" s="620">
        <f t="shared" si="232"/>
        <v>1.0218425664619335</v>
      </c>
      <c r="BK144" s="620">
        <f t="shared" si="233"/>
        <v>1.0281974167140426</v>
      </c>
      <c r="BL144" s="620">
        <f t="shared" si="234"/>
        <v>1.0328287210586446</v>
      </c>
      <c r="BM144" s="621" t="str">
        <f t="shared" si="235"/>
        <v>Category</v>
      </c>
    </row>
    <row r="145" spans="1:65" x14ac:dyDescent="0.15">
      <c r="A145" s="12" t="s">
        <v>308</v>
      </c>
      <c r="B145" s="13" t="s">
        <v>2381</v>
      </c>
      <c r="C145" s="13" t="s">
        <v>27</v>
      </c>
      <c r="D145" s="13" t="s">
        <v>40</v>
      </c>
      <c r="E145" s="13" t="s">
        <v>29</v>
      </c>
      <c r="F145" s="14">
        <v>0</v>
      </c>
      <c r="G145" s="14">
        <v>0</v>
      </c>
      <c r="H145" s="14">
        <v>0</v>
      </c>
      <c r="I145" s="14">
        <v>0</v>
      </c>
      <c r="J145" s="14">
        <v>0</v>
      </c>
      <c r="K145" s="14">
        <v>0</v>
      </c>
      <c r="L145" s="14">
        <v>0</v>
      </c>
      <c r="M145" s="15">
        <v>0</v>
      </c>
      <c r="N145" s="804"/>
      <c r="O145" s="14">
        <v>60003.55</v>
      </c>
      <c r="P145" s="15">
        <v>414454.11</v>
      </c>
      <c r="Q145" s="16">
        <f>IF(ISTEXT('Incurred 2.5% cpi'!Q145),"",'Incurred 2.5% cpi'!Q145/'Incurred 2.5% cpi'!Q$14*Incurred!Q$14)</f>
        <v>1156684.69</v>
      </c>
      <c r="R145" s="127">
        <f>IF(ISTEXT('Incurred 2.5% cpi'!R145),"",'Incurred 2.5% cpi'!R145/'Incurred 2.5% cpi'!R$14*Incurred!R$14*BF145)</f>
        <v>5560107.9718968887</v>
      </c>
      <c r="S145" s="119">
        <f>IF(ISTEXT('Incurred 2.5% cpi'!S145),"",'Incurred 2.5% cpi'!S145/'Incurred 2.5% cpi'!S$14*Incurred!S$14*BG145)</f>
        <v>2392562.4444724126</v>
      </c>
      <c r="T145" s="16" t="str">
        <f>IF(ISTEXT('Incurred 2.5% cpi'!T145),"",'Incurred 2.5% cpi'!T145/'Incurred 2.5% cpi'!T$14*Incurred!T$14*BH145)</f>
        <v/>
      </c>
      <c r="U145" s="16" t="str">
        <f>IF(ISTEXT('Incurred 2.5% cpi'!U145),"",'Incurred 2.5% cpi'!U145/'Incurred 2.5% cpi'!U$14*Incurred!U$14*BI145)</f>
        <v/>
      </c>
      <c r="V145" s="16" t="str">
        <f>IF(ISTEXT('Incurred 2.5% cpi'!V145),"",'Incurred 2.5% cpi'!V145/'Incurred 2.5% cpi'!V$14*Incurred!V$14*BJ145)</f>
        <v/>
      </c>
      <c r="W145" s="127" t="str">
        <f>IF(ISTEXT('Incurred 2.5% cpi'!W145),"",'Incurred 2.5% cpi'!W145/'Incurred 2.5% cpi'!W$14*Incurred!W$14*BK145)</f>
        <v/>
      </c>
      <c r="X145" s="119" t="str">
        <f>IF(ISTEXT('Incurred 2.5% cpi'!X145),"",'Incurred 2.5% cpi'!X145/'Incurred 2.5% cpi'!X$14*Incurred!X$14*BL145)</f>
        <v/>
      </c>
      <c r="Y145" s="95">
        <f t="shared" si="245"/>
        <v>9583812.7663693018</v>
      </c>
      <c r="Z145" s="95">
        <f t="shared" si="220"/>
        <v>9583812.7663693018</v>
      </c>
      <c r="AA145" s="676">
        <f t="shared" si="221"/>
        <v>10561628.276740074</v>
      </c>
      <c r="AB145" s="676">
        <f t="shared" si="222"/>
        <v>9768799.6109661665</v>
      </c>
      <c r="AC145" s="677">
        <f t="shared" si="236"/>
        <v>1.0811592721058483</v>
      </c>
      <c r="AD145" s="678" t="str">
        <f t="shared" si="223"/>
        <v>2019</v>
      </c>
      <c r="AE145" s="679">
        <v>43130</v>
      </c>
      <c r="AF145" s="678">
        <v>2019</v>
      </c>
      <c r="AG145" s="680"/>
      <c r="AH145" s="676">
        <f t="shared" si="237"/>
        <v>9580072.1888459008</v>
      </c>
      <c r="AI145" s="95">
        <f t="shared" si="224"/>
        <v>2392562.4444724126</v>
      </c>
      <c r="AJ145" s="681" t="s">
        <v>3058</v>
      </c>
      <c r="AK145" s="37">
        <f t="shared" si="225"/>
        <v>6032738</v>
      </c>
      <c r="AL145" s="31">
        <f t="shared" ref="AL145:BD145" si="250">IF($AK145=0,VLOOKUP(MID($A145,4,5),ProjectSplits,AL$20,FALSE),IF(ISNA(VLOOKUP($A145,Estimates,AL$19,FALSE)),VLOOKUP(MID($A145,4,5),ProjectSplits,AL$20,FALSE),VLOOKUP($A145,Estimates,AL$19,FALSE)))</f>
        <v>0</v>
      </c>
      <c r="AM145" s="31">
        <f t="shared" si="250"/>
        <v>0</v>
      </c>
      <c r="AN145" s="31">
        <f t="shared" si="250"/>
        <v>0</v>
      </c>
      <c r="AO145" s="31">
        <f t="shared" si="250"/>
        <v>0</v>
      </c>
      <c r="AP145" s="31">
        <f t="shared" si="250"/>
        <v>0</v>
      </c>
      <c r="AQ145" s="31">
        <f t="shared" si="250"/>
        <v>0</v>
      </c>
      <c r="AR145" s="31">
        <f t="shared" si="250"/>
        <v>0</v>
      </c>
      <c r="AS145" s="31">
        <f t="shared" si="250"/>
        <v>0</v>
      </c>
      <c r="AT145" s="31">
        <f t="shared" si="250"/>
        <v>0</v>
      </c>
      <c r="AU145" s="31">
        <f t="shared" si="250"/>
        <v>0</v>
      </c>
      <c r="AV145" s="31">
        <f t="shared" si="250"/>
        <v>0</v>
      </c>
      <c r="AW145" s="31">
        <f t="shared" si="250"/>
        <v>1</v>
      </c>
      <c r="AX145" s="31">
        <f t="shared" si="250"/>
        <v>0</v>
      </c>
      <c r="AY145" s="31">
        <f t="shared" si="250"/>
        <v>0</v>
      </c>
      <c r="AZ145" s="31">
        <f t="shared" si="250"/>
        <v>0</v>
      </c>
      <c r="BA145" s="31">
        <f t="shared" si="250"/>
        <v>0</v>
      </c>
      <c r="BB145" s="31">
        <f t="shared" si="250"/>
        <v>0</v>
      </c>
      <c r="BC145" s="31">
        <f t="shared" si="250"/>
        <v>0</v>
      </c>
      <c r="BD145" s="31">
        <f t="shared" si="250"/>
        <v>0</v>
      </c>
      <c r="BE145" s="30">
        <f>SUM(AL145:BD145)</f>
        <v>1</v>
      </c>
      <c r="BF145" s="620">
        <f t="shared" si="241"/>
        <v>1.0034498951996242</v>
      </c>
      <c r="BG145" s="620">
        <f t="shared" si="229"/>
        <v>1.0069222147180459</v>
      </c>
      <c r="BH145" s="620">
        <f t="shared" si="230"/>
        <v>1.0109547796356901</v>
      </c>
      <c r="BI145" s="620">
        <f t="shared" si="231"/>
        <v>1.0158301506211216</v>
      </c>
      <c r="BJ145" s="620">
        <f t="shared" si="232"/>
        <v>1.0218425664619335</v>
      </c>
      <c r="BK145" s="620">
        <f t="shared" si="233"/>
        <v>1.0281974167140426</v>
      </c>
      <c r="BL145" s="620">
        <f t="shared" si="234"/>
        <v>1.0328287210586446</v>
      </c>
      <c r="BM145" s="621" t="str">
        <f t="shared" si="235"/>
        <v>Category</v>
      </c>
    </row>
    <row r="146" spans="1:65" x14ac:dyDescent="0.15">
      <c r="A146" s="12" t="s">
        <v>310</v>
      </c>
      <c r="B146" s="13" t="s">
        <v>311</v>
      </c>
      <c r="C146" s="13" t="s">
        <v>27</v>
      </c>
      <c r="D146" s="13" t="s">
        <v>40</v>
      </c>
      <c r="E146" s="13" t="s">
        <v>29</v>
      </c>
      <c r="F146" s="14">
        <v>0</v>
      </c>
      <c r="G146" s="14">
        <v>0</v>
      </c>
      <c r="H146" s="14">
        <v>0</v>
      </c>
      <c r="I146" s="14">
        <v>0</v>
      </c>
      <c r="J146" s="14">
        <v>0</v>
      </c>
      <c r="K146" s="14">
        <v>0</v>
      </c>
      <c r="L146" s="14">
        <v>0</v>
      </c>
      <c r="M146" s="15">
        <v>0</v>
      </c>
      <c r="N146" s="804"/>
      <c r="O146" s="14">
        <v>9388.5499999999993</v>
      </c>
      <c r="P146" s="15">
        <v>231514.37</v>
      </c>
      <c r="Q146" s="16">
        <f>IF(ISTEXT('Incurred 2.5% cpi'!Q146),"",'Incurred 2.5% cpi'!Q146/'Incurred 2.5% cpi'!Q$14*Incurred!Q$14)</f>
        <v>1693949.19</v>
      </c>
      <c r="R146" s="127">
        <f>IF(ISTEXT('Incurred 2.5% cpi'!R146),"",'Incurred 2.5% cpi'!R146/'Incurred 2.5% cpi'!R$14*Incurred!R$14*BF146)</f>
        <v>374886.58881136199</v>
      </c>
      <c r="S146" s="119">
        <f>IF(ISTEXT('Incurred 2.5% cpi'!S146),"",'Incurred 2.5% cpi'!S146/'Incurred 2.5% cpi'!S$14*Incurred!S$14*BG146)</f>
        <v>4512.2556098391842</v>
      </c>
      <c r="T146" s="16" t="str">
        <f>IF(ISTEXT('Incurred 2.5% cpi'!T146),"",'Incurred 2.5% cpi'!T146/'Incurred 2.5% cpi'!T$14*Incurred!T$14*BH146)</f>
        <v/>
      </c>
      <c r="U146" s="16" t="str">
        <f>IF(ISTEXT('Incurred 2.5% cpi'!U146),"",'Incurred 2.5% cpi'!U146/'Incurred 2.5% cpi'!U$14*Incurred!U$14*BI146)</f>
        <v/>
      </c>
      <c r="V146" s="16" t="str">
        <f>IF(ISTEXT('Incurred 2.5% cpi'!V146),"",'Incurred 2.5% cpi'!V146/'Incurred 2.5% cpi'!V$14*Incurred!V$14*BJ146)</f>
        <v/>
      </c>
      <c r="W146" s="127" t="str">
        <f>IF(ISTEXT('Incurred 2.5% cpi'!W146),"",'Incurred 2.5% cpi'!W146/'Incurred 2.5% cpi'!W$14*Incurred!W$14*BK146)</f>
        <v/>
      </c>
      <c r="X146" s="119" t="str">
        <f>IF(ISTEXT('Incurred 2.5% cpi'!X146),"",'Incurred 2.5% cpi'!X146/'Incurred 2.5% cpi'!X$14*Incurred!X$14*BL146)</f>
        <v/>
      </c>
      <c r="Y146" s="95">
        <f t="shared" si="245"/>
        <v>2314250.9544212013</v>
      </c>
      <c r="Z146" s="95">
        <f t="shared" si="220"/>
        <v>2314250.9544212013</v>
      </c>
      <c r="AA146" s="676">
        <f t="shared" si="221"/>
        <v>2598766.7488435945</v>
      </c>
      <c r="AB146" s="676">
        <f t="shared" si="222"/>
        <v>2357247.614056197</v>
      </c>
      <c r="AC146" s="677">
        <f t="shared" si="236"/>
        <v>1.1024581097663335</v>
      </c>
      <c r="AD146" s="678" t="str">
        <f t="shared" si="223"/>
        <v>2019</v>
      </c>
      <c r="AE146" s="679">
        <v>43007</v>
      </c>
      <c r="AF146" s="678">
        <v>2018</v>
      </c>
      <c r="AG146" s="680"/>
      <c r="AH146" s="676">
        <f t="shared" si="237"/>
        <v>2357247.6140561965</v>
      </c>
      <c r="AI146" s="95">
        <f t="shared" si="224"/>
        <v>4512.2556098391842</v>
      </c>
      <c r="AJ146" s="681" t="s">
        <v>0</v>
      </c>
      <c r="AK146" s="37">
        <f t="shared" si="225"/>
        <v>1232877.9999999986</v>
      </c>
      <c r="AL146" s="31">
        <f t="shared" ref="AL146:BD146" si="251">IF($AK146=0,VLOOKUP(MID($A146,4,5),ProjectSplits,AL$20,FALSE),IF(ISNA(VLOOKUP($A146,Estimates,AL$19,FALSE)),VLOOKUP(MID($A146,4,5),ProjectSplits,AL$20,FALSE),VLOOKUP($A146,Estimates,AL$19,FALSE)))</f>
        <v>0</v>
      </c>
      <c r="AM146" s="31">
        <f t="shared" si="251"/>
        <v>0</v>
      </c>
      <c r="AN146" s="31">
        <f t="shared" si="251"/>
        <v>0</v>
      </c>
      <c r="AO146" s="31">
        <f t="shared" si="251"/>
        <v>0</v>
      </c>
      <c r="AP146" s="31">
        <f t="shared" si="251"/>
        <v>0</v>
      </c>
      <c r="AQ146" s="31">
        <f t="shared" si="251"/>
        <v>0</v>
      </c>
      <c r="AR146" s="31">
        <f t="shared" si="251"/>
        <v>0</v>
      </c>
      <c r="AS146" s="31">
        <f t="shared" si="251"/>
        <v>0</v>
      </c>
      <c r="AT146" s="31">
        <f t="shared" si="251"/>
        <v>0</v>
      </c>
      <c r="AU146" s="31">
        <f t="shared" si="251"/>
        <v>0</v>
      </c>
      <c r="AV146" s="31">
        <f t="shared" si="251"/>
        <v>0</v>
      </c>
      <c r="AW146" s="31">
        <f t="shared" si="251"/>
        <v>0</v>
      </c>
      <c r="AX146" s="31">
        <f t="shared" si="251"/>
        <v>0</v>
      </c>
      <c r="AY146" s="31">
        <f t="shared" si="251"/>
        <v>0</v>
      </c>
      <c r="AZ146" s="31">
        <f t="shared" si="251"/>
        <v>1</v>
      </c>
      <c r="BA146" s="31">
        <f t="shared" si="251"/>
        <v>0</v>
      </c>
      <c r="BB146" s="31">
        <f t="shared" si="251"/>
        <v>0</v>
      </c>
      <c r="BC146" s="31">
        <f t="shared" si="251"/>
        <v>0</v>
      </c>
      <c r="BD146" s="31">
        <f t="shared" si="251"/>
        <v>0</v>
      </c>
      <c r="BE146" s="30">
        <f>SUM(AL146:BD146)</f>
        <v>1</v>
      </c>
      <c r="BF146" s="620">
        <f t="shared" si="241"/>
        <v>1.0034498951996242</v>
      </c>
      <c r="BG146" s="620">
        <f t="shared" si="229"/>
        <v>1.0069222147180459</v>
      </c>
      <c r="BH146" s="620">
        <f t="shared" si="230"/>
        <v>1.0109547796356901</v>
      </c>
      <c r="BI146" s="620">
        <f t="shared" si="231"/>
        <v>1.0158301506211216</v>
      </c>
      <c r="BJ146" s="620">
        <f t="shared" si="232"/>
        <v>1.0218425664619335</v>
      </c>
      <c r="BK146" s="620">
        <f t="shared" si="233"/>
        <v>1.0281974167140426</v>
      </c>
      <c r="BL146" s="620">
        <f t="shared" si="234"/>
        <v>1.0328287210586446</v>
      </c>
      <c r="BM146" s="621" t="str">
        <f t="shared" si="235"/>
        <v>Category</v>
      </c>
    </row>
    <row r="147" spans="1:65" x14ac:dyDescent="0.15">
      <c r="A147" s="12" t="s">
        <v>312</v>
      </c>
      <c r="B147" s="13" t="s">
        <v>313</v>
      </c>
      <c r="C147" s="13" t="s">
        <v>27</v>
      </c>
      <c r="D147" s="13" t="s">
        <v>36</v>
      </c>
      <c r="E147" s="13" t="s">
        <v>29</v>
      </c>
      <c r="F147" s="14">
        <v>0</v>
      </c>
      <c r="G147" s="14">
        <v>0</v>
      </c>
      <c r="H147" s="14">
        <v>0</v>
      </c>
      <c r="I147" s="14">
        <v>0</v>
      </c>
      <c r="J147" s="14">
        <v>0</v>
      </c>
      <c r="K147" s="14">
        <v>0</v>
      </c>
      <c r="L147" s="14">
        <v>0</v>
      </c>
      <c r="M147" s="15">
        <v>0</v>
      </c>
      <c r="N147" s="804"/>
      <c r="O147" s="14"/>
      <c r="P147" s="15"/>
      <c r="Q147" s="16">
        <f>IF(ISTEXT('Incurred 2.5% cpi'!Q147),"",'Incurred 2.5% cpi'!Q147/'Incurred 2.5% cpi'!Q$14*Incurred!Q$14)</f>
        <v>390312.79</v>
      </c>
      <c r="R147" s="127" t="str">
        <f>IF(ISTEXT('Incurred 2.5% cpi'!R147),"",'Incurred 2.5% cpi'!R147/'Incurred 2.5% cpi'!R$14*Incurred!R$14*BF147)</f>
        <v/>
      </c>
      <c r="S147" s="119" t="str">
        <f>IF(ISTEXT('Incurred 2.5% cpi'!S147),"",'Incurred 2.5% cpi'!S147/'Incurred 2.5% cpi'!S$14*Incurred!S$14*BG147)</f>
        <v/>
      </c>
      <c r="T147" s="16" t="str">
        <f>IF(ISTEXT('Incurred 2.5% cpi'!T147),"",'Incurred 2.5% cpi'!T147/'Incurred 2.5% cpi'!T$14*Incurred!T$14*BH147)</f>
        <v/>
      </c>
      <c r="U147" s="16" t="str">
        <f>IF(ISTEXT('Incurred 2.5% cpi'!U147),"",'Incurred 2.5% cpi'!U147/'Incurred 2.5% cpi'!U$14*Incurred!U$14*BI147)</f>
        <v/>
      </c>
      <c r="V147" s="16" t="str">
        <f>IF(ISTEXT('Incurred 2.5% cpi'!V147),"",'Incurred 2.5% cpi'!V147/'Incurred 2.5% cpi'!V$14*Incurred!V$14*BJ147)</f>
        <v/>
      </c>
      <c r="W147" s="127" t="str">
        <f>IF(ISTEXT('Incurred 2.5% cpi'!W147),"",'Incurred 2.5% cpi'!W147/'Incurred 2.5% cpi'!W$14*Incurred!W$14*BK147)</f>
        <v/>
      </c>
      <c r="X147" s="119" t="str">
        <f>IF(ISTEXT('Incurred 2.5% cpi'!X147),"",'Incurred 2.5% cpi'!X147/'Incurred 2.5% cpi'!X$14*Incurred!X$14*BL147)</f>
        <v/>
      </c>
      <c r="Y147" s="95">
        <f t="shared" si="245"/>
        <v>390312.79</v>
      </c>
      <c r="Z147" s="95">
        <f t="shared" si="220"/>
        <v>390312.79</v>
      </c>
      <c r="AA147" s="676">
        <f t="shared" si="221"/>
        <v>438780.47964444011</v>
      </c>
      <c r="AB147" s="676">
        <f t="shared" si="222"/>
        <v>390312.79</v>
      </c>
      <c r="AC147" s="677">
        <f t="shared" si="236"/>
        <v>1.1241765345287305</v>
      </c>
      <c r="AD147" s="678" t="str">
        <f t="shared" si="223"/>
        <v>2017</v>
      </c>
      <c r="AE147" s="679">
        <v>42916</v>
      </c>
      <c r="AF147" s="678">
        <v>2017</v>
      </c>
      <c r="AG147" s="680"/>
      <c r="AH147" s="676">
        <f t="shared" si="237"/>
        <v>398001.951963</v>
      </c>
      <c r="AI147" s="95">
        <f t="shared" si="224"/>
        <v>390312.79</v>
      </c>
      <c r="AJ147" s="681" t="s">
        <v>0</v>
      </c>
      <c r="AK147" s="37">
        <f t="shared" si="225"/>
        <v>251119.99999999994</v>
      </c>
      <c r="AL147" s="31">
        <f t="shared" ref="AL147:AU148" si="252">IF($AK147=0,VLOOKUP(MID($A147,4,5),ProjectSplits,AL$20,FALSE),IF(ISNA(VLOOKUP($A147,Estimates,AL$19,FALSE)),VLOOKUP(MID($A147,4,5),ProjectSplits,AL$20,FALSE),VLOOKUP($A147,Estimates,AL$19,FALSE)))</f>
        <v>0.30232558139534887</v>
      </c>
      <c r="AM147" s="31">
        <f t="shared" si="252"/>
        <v>0</v>
      </c>
      <c r="AN147" s="31">
        <f t="shared" si="252"/>
        <v>0</v>
      </c>
      <c r="AO147" s="31">
        <f t="shared" si="252"/>
        <v>0</v>
      </c>
      <c r="AP147" s="31">
        <f t="shared" si="252"/>
        <v>0</v>
      </c>
      <c r="AQ147" s="31">
        <f t="shared" si="252"/>
        <v>0</v>
      </c>
      <c r="AR147" s="31">
        <f t="shared" si="252"/>
        <v>0</v>
      </c>
      <c r="AS147" s="31">
        <f t="shared" si="252"/>
        <v>0.69767441860465118</v>
      </c>
      <c r="AT147" s="31">
        <f t="shared" si="252"/>
        <v>0</v>
      </c>
      <c r="AU147" s="31">
        <f t="shared" si="252"/>
        <v>0</v>
      </c>
      <c r="AV147" s="31">
        <f t="shared" ref="AV147:BD148" si="253">IF($AK147=0,VLOOKUP(MID($A147,4,5),ProjectSplits,AV$20,FALSE),IF(ISNA(VLOOKUP($A147,Estimates,AV$19,FALSE)),VLOOKUP(MID($A147,4,5),ProjectSplits,AV$20,FALSE),VLOOKUP($A147,Estimates,AV$19,FALSE)))</f>
        <v>0</v>
      </c>
      <c r="AW147" s="31">
        <f t="shared" si="253"/>
        <v>0</v>
      </c>
      <c r="AX147" s="31">
        <f t="shared" si="253"/>
        <v>0</v>
      </c>
      <c r="AY147" s="31">
        <f t="shared" si="253"/>
        <v>0</v>
      </c>
      <c r="AZ147" s="31">
        <f t="shared" si="253"/>
        <v>0</v>
      </c>
      <c r="BA147" s="31">
        <f t="shared" si="253"/>
        <v>0</v>
      </c>
      <c r="BB147" s="31">
        <f t="shared" si="253"/>
        <v>0</v>
      </c>
      <c r="BC147" s="31">
        <f t="shared" si="253"/>
        <v>0</v>
      </c>
      <c r="BD147" s="31">
        <f t="shared" si="253"/>
        <v>0</v>
      </c>
      <c r="BE147" s="30">
        <f t="shared" ref="BE147:BE148" si="254">SUM(AL147:BD147)</f>
        <v>1</v>
      </c>
      <c r="BF147" s="620">
        <f t="shared" si="241"/>
        <v>1.0018756098697492</v>
      </c>
      <c r="BG147" s="620">
        <f t="shared" si="229"/>
        <v>1.0037634112036518</v>
      </c>
      <c r="BH147" s="620">
        <f t="shared" si="230"/>
        <v>1.0059558020220052</v>
      </c>
      <c r="BI147" s="620">
        <f t="shared" si="231"/>
        <v>1.0086064025213943</v>
      </c>
      <c r="BJ147" s="620">
        <f t="shared" si="232"/>
        <v>1.0118751819594745</v>
      </c>
      <c r="BK147" s="620">
        <f t="shared" si="233"/>
        <v>1.0153301332446416</v>
      </c>
      <c r="BL147" s="620">
        <f t="shared" si="234"/>
        <v>1.0178480416551621</v>
      </c>
      <c r="BM147" s="621" t="str">
        <f t="shared" si="235"/>
        <v>Category</v>
      </c>
    </row>
    <row r="148" spans="1:65" x14ac:dyDescent="0.15">
      <c r="A148" s="12" t="s">
        <v>314</v>
      </c>
      <c r="B148" s="13" t="s">
        <v>315</v>
      </c>
      <c r="C148" s="13" t="s">
        <v>27</v>
      </c>
      <c r="D148" s="13" t="s">
        <v>60</v>
      </c>
      <c r="E148" s="13" t="s">
        <v>29</v>
      </c>
      <c r="F148" s="14">
        <v>0</v>
      </c>
      <c r="G148" s="14">
        <v>0</v>
      </c>
      <c r="H148" s="14">
        <v>0</v>
      </c>
      <c r="I148" s="14">
        <v>0</v>
      </c>
      <c r="J148" s="14">
        <v>0</v>
      </c>
      <c r="K148" s="14">
        <v>0</v>
      </c>
      <c r="L148" s="14">
        <v>0</v>
      </c>
      <c r="M148" s="15">
        <v>0</v>
      </c>
      <c r="N148" s="804"/>
      <c r="O148" s="14"/>
      <c r="P148" s="15"/>
      <c r="Q148" s="16">
        <f>IF(ISTEXT('Incurred 2.5% cpi'!Q148),"",'Incurred 2.5% cpi'!Q148/'Incurred 2.5% cpi'!Q$14*Incurred!Q$14)</f>
        <v>448453.02</v>
      </c>
      <c r="R148" s="127" t="str">
        <f>IF(ISTEXT('Incurred 2.5% cpi'!R148),"",'Incurred 2.5% cpi'!R148/'Incurred 2.5% cpi'!R$14*Incurred!R$14*BF148)</f>
        <v/>
      </c>
      <c r="S148" s="119" t="str">
        <f>IF(ISTEXT('Incurred 2.5% cpi'!S148),"",'Incurred 2.5% cpi'!S148/'Incurred 2.5% cpi'!S$14*Incurred!S$14*BG148)</f>
        <v/>
      </c>
      <c r="T148" s="16" t="str">
        <f>IF(ISTEXT('Incurred 2.5% cpi'!T148),"",'Incurred 2.5% cpi'!T148/'Incurred 2.5% cpi'!T$14*Incurred!T$14*BH148)</f>
        <v/>
      </c>
      <c r="U148" s="16" t="str">
        <f>IF(ISTEXT('Incurred 2.5% cpi'!U148),"",'Incurred 2.5% cpi'!U148/'Incurred 2.5% cpi'!U$14*Incurred!U$14*BI148)</f>
        <v/>
      </c>
      <c r="V148" s="16" t="str">
        <f>IF(ISTEXT('Incurred 2.5% cpi'!V148),"",'Incurred 2.5% cpi'!V148/'Incurred 2.5% cpi'!V$14*Incurred!V$14*BJ148)</f>
        <v/>
      </c>
      <c r="W148" s="127" t="str">
        <f>IF(ISTEXT('Incurred 2.5% cpi'!W148),"",'Incurred 2.5% cpi'!W148/'Incurred 2.5% cpi'!W$14*Incurred!W$14*BK148)</f>
        <v/>
      </c>
      <c r="X148" s="119" t="str">
        <f>IF(ISTEXT('Incurred 2.5% cpi'!X148),"",'Incurred 2.5% cpi'!X148/'Incurred 2.5% cpi'!X$14*Incurred!X$14*BL148)</f>
        <v/>
      </c>
      <c r="Y148" s="95">
        <f t="shared" si="245"/>
        <v>448453.02</v>
      </c>
      <c r="Z148" s="95">
        <f t="shared" si="220"/>
        <v>448453.02</v>
      </c>
      <c r="AA148" s="676">
        <f t="shared" si="221"/>
        <v>504140.3619225435</v>
      </c>
      <c r="AB148" s="676">
        <f t="shared" si="222"/>
        <v>448453.02</v>
      </c>
      <c r="AC148" s="677">
        <f t="shared" si="236"/>
        <v>1.1241765345287305</v>
      </c>
      <c r="AD148" s="678" t="str">
        <f t="shared" si="223"/>
        <v>2017</v>
      </c>
      <c r="AE148" s="679">
        <v>42835</v>
      </c>
      <c r="AF148" s="678">
        <v>2017</v>
      </c>
      <c r="AG148" s="680"/>
      <c r="AH148" s="676">
        <f t="shared" si="237"/>
        <v>457287.54449400003</v>
      </c>
      <c r="AI148" s="95">
        <f t="shared" si="224"/>
        <v>448453.02</v>
      </c>
      <c r="AJ148" s="681" t="s">
        <v>0</v>
      </c>
      <c r="AK148" s="37">
        <f t="shared" si="225"/>
        <v>1962985.0000000005</v>
      </c>
      <c r="AL148" s="31">
        <f t="shared" si="252"/>
        <v>0</v>
      </c>
      <c r="AM148" s="31">
        <f t="shared" si="252"/>
        <v>0</v>
      </c>
      <c r="AN148" s="31">
        <f t="shared" si="252"/>
        <v>0</v>
      </c>
      <c r="AO148" s="31">
        <f t="shared" si="252"/>
        <v>0</v>
      </c>
      <c r="AP148" s="31">
        <f t="shared" si="252"/>
        <v>0</v>
      </c>
      <c r="AQ148" s="31">
        <f t="shared" si="252"/>
        <v>0</v>
      </c>
      <c r="AR148" s="31">
        <f t="shared" si="252"/>
        <v>0</v>
      </c>
      <c r="AS148" s="31">
        <f t="shared" si="252"/>
        <v>0</v>
      </c>
      <c r="AT148" s="31">
        <f t="shared" si="252"/>
        <v>0</v>
      </c>
      <c r="AU148" s="31">
        <f t="shared" si="252"/>
        <v>1</v>
      </c>
      <c r="AV148" s="31">
        <f t="shared" si="253"/>
        <v>0</v>
      </c>
      <c r="AW148" s="31">
        <f t="shared" si="253"/>
        <v>0</v>
      </c>
      <c r="AX148" s="31">
        <f t="shared" si="253"/>
        <v>0</v>
      </c>
      <c r="AY148" s="31">
        <f t="shared" si="253"/>
        <v>0</v>
      </c>
      <c r="AZ148" s="31">
        <f t="shared" si="253"/>
        <v>0</v>
      </c>
      <c r="BA148" s="31">
        <f t="shared" si="253"/>
        <v>0</v>
      </c>
      <c r="BB148" s="31">
        <f t="shared" si="253"/>
        <v>0</v>
      </c>
      <c r="BC148" s="31">
        <f t="shared" si="253"/>
        <v>0</v>
      </c>
      <c r="BD148" s="31">
        <f t="shared" si="253"/>
        <v>0</v>
      </c>
      <c r="BE148" s="30">
        <f t="shared" si="254"/>
        <v>1</v>
      </c>
      <c r="BF148" s="620">
        <f t="shared" si="241"/>
        <v>1.0002847743844534</v>
      </c>
      <c r="BG148" s="620">
        <f t="shared" si="229"/>
        <v>1.0005713998024055</v>
      </c>
      <c r="BH148" s="620">
        <f t="shared" si="230"/>
        <v>1.0009042711291389</v>
      </c>
      <c r="BI148" s="620">
        <f t="shared" si="231"/>
        <v>1.0013067125631596</v>
      </c>
      <c r="BJ148" s="620">
        <f t="shared" si="232"/>
        <v>1.001803012282737</v>
      </c>
      <c r="BK148" s="620">
        <f t="shared" si="233"/>
        <v>1.0023275785272521</v>
      </c>
      <c r="BL148" s="620">
        <f t="shared" si="234"/>
        <v>1.0027098732833635</v>
      </c>
      <c r="BM148" s="621" t="str">
        <f t="shared" si="235"/>
        <v>Category</v>
      </c>
    </row>
    <row r="149" spans="1:65" x14ac:dyDescent="0.15">
      <c r="A149" s="12" t="s">
        <v>318</v>
      </c>
      <c r="B149" s="13" t="s">
        <v>2303</v>
      </c>
      <c r="C149" s="13" t="s">
        <v>27</v>
      </c>
      <c r="D149" s="13" t="s">
        <v>55</v>
      </c>
      <c r="E149" s="13" t="s">
        <v>29</v>
      </c>
      <c r="F149" s="14">
        <v>0</v>
      </c>
      <c r="G149" s="14">
        <v>0</v>
      </c>
      <c r="H149" s="14">
        <v>0</v>
      </c>
      <c r="I149" s="14">
        <v>0</v>
      </c>
      <c r="J149" s="14">
        <v>0</v>
      </c>
      <c r="K149" s="14">
        <v>0</v>
      </c>
      <c r="L149" s="14">
        <v>0</v>
      </c>
      <c r="M149" s="15">
        <v>0</v>
      </c>
      <c r="N149" s="804"/>
      <c r="O149" s="14"/>
      <c r="P149" s="15"/>
      <c r="Q149" s="16">
        <f>IF(ISTEXT('Incurred 2.5% cpi'!Q149),"",'Incurred 2.5% cpi'!Q149/'Incurred 2.5% cpi'!Q$14*Incurred!Q$14)</f>
        <v>189790.78</v>
      </c>
      <c r="R149" s="127" t="str">
        <f>IF(ISTEXT('Incurred 2.5% cpi'!R149),"",'Incurred 2.5% cpi'!R149/'Incurred 2.5% cpi'!R$14*Incurred!R$14*BF149)</f>
        <v/>
      </c>
      <c r="S149" s="119">
        <f>IF(ISTEXT('Incurred 2.5% cpi'!S149),"",'Incurred 2.5% cpi'!S149/'Incurred 2.5% cpi'!S$14*Incurred!S$14*BG149)</f>
        <v>50204.782917554876</v>
      </c>
      <c r="T149" s="16">
        <f>IF(ISTEXT('Incurred 2.5% cpi'!T149),"",'Incurred 2.5% cpi'!T149/'Incurred 2.5% cpi'!T$14*Incurred!T$14*BH149)</f>
        <v>481925.49609777768</v>
      </c>
      <c r="U149" s="16">
        <f>IF(ISTEXT('Incurred 2.5% cpi'!U149),"",'Incurred 2.5% cpi'!U149/'Incurred 2.5% cpi'!U$14*Incurred!U$14*BI149)</f>
        <v>11477.279320681457</v>
      </c>
      <c r="V149" s="16" t="str">
        <f>IF(ISTEXT('Incurred 2.5% cpi'!V149),"",'Incurred 2.5% cpi'!V149/'Incurred 2.5% cpi'!V$14*Incurred!V$14*BJ149)</f>
        <v/>
      </c>
      <c r="W149" s="127" t="str">
        <f>IF(ISTEXT('Incurred 2.5% cpi'!W149),"",'Incurred 2.5% cpi'!W149/'Incurred 2.5% cpi'!W$14*Incurred!W$14*BK149)</f>
        <v/>
      </c>
      <c r="X149" s="119" t="str">
        <f>IF(ISTEXT('Incurred 2.5% cpi'!X149),"",'Incurred 2.5% cpi'!X149/'Incurred 2.5% cpi'!X$14*Incurred!X$14*BL149)</f>
        <v/>
      </c>
      <c r="Y149" s="95">
        <f t="shared" si="245"/>
        <v>733398.33833601396</v>
      </c>
      <c r="Z149" s="95">
        <f t="shared" si="220"/>
        <v>733398.33833601396</v>
      </c>
      <c r="AA149" s="676">
        <f t="shared" si="221"/>
        <v>790543.71505920228</v>
      </c>
      <c r="AB149" s="676">
        <f t="shared" si="222"/>
        <v>745604.69215209922</v>
      </c>
      <c r="AC149" s="677">
        <f t="shared" si="236"/>
        <v>1.060271915373</v>
      </c>
      <c r="AD149" s="678" t="str">
        <f t="shared" si="223"/>
        <v>2021</v>
      </c>
      <c r="AE149" s="679">
        <v>44007</v>
      </c>
      <c r="AF149" s="678">
        <v>2020</v>
      </c>
      <c r="AG149" s="680"/>
      <c r="AH149" s="676">
        <f t="shared" si="237"/>
        <v>717073.69926895306</v>
      </c>
      <c r="AI149" s="95">
        <f t="shared" si="224"/>
        <v>11477.279320681457</v>
      </c>
      <c r="AJ149" s="681" t="s">
        <v>3058</v>
      </c>
      <c r="AK149" s="37">
        <f t="shared" si="225"/>
        <v>179280.00000000006</v>
      </c>
      <c r="AL149" s="31">
        <f t="shared" ref="AL149:AU151" si="255">IF($AK149=0,VLOOKUP(MID($A149,4,5),ProjectSplits,AL$20,FALSE),IF(ISNA(VLOOKUP($A149,Estimates,AL$19,FALSE)),VLOOKUP(MID($A149,4,5),ProjectSplits,AL$20,FALSE),VLOOKUP($A149,Estimates,AL$19,FALSE)))</f>
        <v>0</v>
      </c>
      <c r="AM149" s="31">
        <f t="shared" si="255"/>
        <v>0</v>
      </c>
      <c r="AN149" s="31">
        <f t="shared" si="255"/>
        <v>0</v>
      </c>
      <c r="AO149" s="31">
        <f t="shared" si="255"/>
        <v>1</v>
      </c>
      <c r="AP149" s="31">
        <f t="shared" si="255"/>
        <v>0</v>
      </c>
      <c r="AQ149" s="31">
        <f t="shared" si="255"/>
        <v>0</v>
      </c>
      <c r="AR149" s="31">
        <f t="shared" si="255"/>
        <v>0</v>
      </c>
      <c r="AS149" s="31">
        <f t="shared" si="255"/>
        <v>0</v>
      </c>
      <c r="AT149" s="31">
        <f t="shared" si="255"/>
        <v>0</v>
      </c>
      <c r="AU149" s="31">
        <f t="shared" si="255"/>
        <v>0</v>
      </c>
      <c r="AV149" s="31">
        <f t="shared" ref="AV149:BD151" si="256">IF($AK149=0,VLOOKUP(MID($A149,4,5),ProjectSplits,AV$20,FALSE),IF(ISNA(VLOOKUP($A149,Estimates,AV$19,FALSE)),VLOOKUP(MID($A149,4,5),ProjectSplits,AV$20,FALSE),VLOOKUP($A149,Estimates,AV$19,FALSE)))</f>
        <v>0</v>
      </c>
      <c r="AW149" s="31">
        <f t="shared" si="256"/>
        <v>0</v>
      </c>
      <c r="AX149" s="31">
        <f t="shared" si="256"/>
        <v>0</v>
      </c>
      <c r="AY149" s="31">
        <f t="shared" si="256"/>
        <v>0</v>
      </c>
      <c r="AZ149" s="31">
        <f t="shared" si="256"/>
        <v>0</v>
      </c>
      <c r="BA149" s="31">
        <f t="shared" si="256"/>
        <v>0</v>
      </c>
      <c r="BB149" s="31">
        <f t="shared" si="256"/>
        <v>0</v>
      </c>
      <c r="BC149" s="31">
        <f t="shared" si="256"/>
        <v>0</v>
      </c>
      <c r="BD149" s="31">
        <f t="shared" si="256"/>
        <v>0</v>
      </c>
      <c r="BE149" s="30">
        <f t="shared" ref="BE149:BE151" si="257">SUM(AL149:BD149)</f>
        <v>1</v>
      </c>
      <c r="BF149" s="620">
        <f t="shared" si="241"/>
        <v>1.0046190746045656</v>
      </c>
      <c r="BG149" s="620">
        <f t="shared" si="229"/>
        <v>1.0092681731940607</v>
      </c>
      <c r="BH149" s="620">
        <f t="shared" si="230"/>
        <v>1.0146673859598225</v>
      </c>
      <c r="BI149" s="620">
        <f t="shared" si="231"/>
        <v>1.0211950341936284</v>
      </c>
      <c r="BJ149" s="620">
        <f t="shared" si="232"/>
        <v>1.0292450750544078</v>
      </c>
      <c r="BK149" s="620">
        <f t="shared" si="233"/>
        <v>1.0377536023333034</v>
      </c>
      <c r="BL149" s="620">
        <f t="shared" si="234"/>
        <v>1.0439544690397748</v>
      </c>
      <c r="BM149" s="621" t="str">
        <f t="shared" si="235"/>
        <v>Category</v>
      </c>
    </row>
    <row r="150" spans="1:65" x14ac:dyDescent="0.15">
      <c r="A150" s="12" t="s">
        <v>319</v>
      </c>
      <c r="B150" s="13" t="s">
        <v>320</v>
      </c>
      <c r="C150" s="13" t="s">
        <v>27</v>
      </c>
      <c r="D150" s="13" t="s">
        <v>55</v>
      </c>
      <c r="E150" s="13" t="s">
        <v>29</v>
      </c>
      <c r="F150" s="14">
        <v>0</v>
      </c>
      <c r="G150" s="14">
        <v>0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5">
        <v>0</v>
      </c>
      <c r="N150" s="804"/>
      <c r="O150" s="14">
        <v>8096.17</v>
      </c>
      <c r="P150" s="15">
        <v>165269.04</v>
      </c>
      <c r="Q150" s="16">
        <f>IF(ISTEXT('Incurred 2.5% cpi'!Q150),"",'Incurred 2.5% cpi'!Q150/'Incurred 2.5% cpi'!Q$14*Incurred!Q$14)</f>
        <v>310212.11</v>
      </c>
      <c r="R150" s="127">
        <f>IF(ISTEXT('Incurred 2.5% cpi'!R150),"",'Incurred 2.5% cpi'!R150/'Incurred 2.5% cpi'!R$14*Incurred!R$14*BF150)</f>
        <v>4551.9786405138302</v>
      </c>
      <c r="S150" s="119" t="str">
        <f>IF(ISTEXT('Incurred 2.5% cpi'!S150),"",'Incurred 2.5% cpi'!S150/'Incurred 2.5% cpi'!S$14*Incurred!S$14*BG150)</f>
        <v/>
      </c>
      <c r="T150" s="16" t="str">
        <f>IF(ISTEXT('Incurred 2.5% cpi'!T150),"",'Incurred 2.5% cpi'!T150/'Incurred 2.5% cpi'!T$14*Incurred!T$14*BH150)</f>
        <v/>
      </c>
      <c r="U150" s="16" t="str">
        <f>IF(ISTEXT('Incurred 2.5% cpi'!U150),"",'Incurred 2.5% cpi'!U150/'Incurred 2.5% cpi'!U$14*Incurred!U$14*BI150)</f>
        <v/>
      </c>
      <c r="V150" s="16" t="str">
        <f>IF(ISTEXT('Incurred 2.5% cpi'!V150),"",'Incurred 2.5% cpi'!V150/'Incurred 2.5% cpi'!V$14*Incurred!V$14*BJ150)</f>
        <v/>
      </c>
      <c r="W150" s="127" t="str">
        <f>IF(ISTEXT('Incurred 2.5% cpi'!W150),"",'Incurred 2.5% cpi'!W150/'Incurred 2.5% cpi'!W$14*Incurred!W$14*BK150)</f>
        <v/>
      </c>
      <c r="X150" s="119" t="str">
        <f>IF(ISTEXT('Incurred 2.5% cpi'!X150),"",'Incurred 2.5% cpi'!X150/'Incurred 2.5% cpi'!X$14*Incurred!X$14*BL150)</f>
        <v/>
      </c>
      <c r="Y150" s="95">
        <f t="shared" si="245"/>
        <v>488129.29864051385</v>
      </c>
      <c r="Z150" s="95">
        <f t="shared" si="220"/>
        <v>488129.29864051385</v>
      </c>
      <c r="AA150" s="676">
        <f t="shared" si="221"/>
        <v>552605.69437775621</v>
      </c>
      <c r="AB150" s="676">
        <f t="shared" si="222"/>
        <v>491564.87206826085</v>
      </c>
      <c r="AC150" s="677">
        <f t="shared" si="236"/>
        <v>1.1241765345287305</v>
      </c>
      <c r="AD150" s="678" t="str">
        <f t="shared" si="223"/>
        <v>2018</v>
      </c>
      <c r="AE150" s="679">
        <v>42892</v>
      </c>
      <c r="AF150" s="678">
        <v>2017</v>
      </c>
      <c r="AG150" s="680"/>
      <c r="AH150" s="676">
        <f t="shared" si="237"/>
        <v>501248.70004800567</v>
      </c>
      <c r="AI150" s="95">
        <f t="shared" si="224"/>
        <v>4551.9786405138302</v>
      </c>
      <c r="AJ150" s="681" t="s">
        <v>0</v>
      </c>
      <c r="AK150" s="37">
        <f t="shared" si="225"/>
        <v>1199999.9999999984</v>
      </c>
      <c r="AL150" s="31">
        <f t="shared" si="255"/>
        <v>0</v>
      </c>
      <c r="AM150" s="31">
        <f t="shared" si="255"/>
        <v>0</v>
      </c>
      <c r="AN150" s="31">
        <f t="shared" si="255"/>
        <v>0</v>
      </c>
      <c r="AO150" s="31">
        <f t="shared" si="255"/>
        <v>1</v>
      </c>
      <c r="AP150" s="31">
        <f t="shared" si="255"/>
        <v>0</v>
      </c>
      <c r="AQ150" s="31">
        <f t="shared" si="255"/>
        <v>0</v>
      </c>
      <c r="AR150" s="31">
        <f t="shared" si="255"/>
        <v>0</v>
      </c>
      <c r="AS150" s="31">
        <f t="shared" si="255"/>
        <v>0</v>
      </c>
      <c r="AT150" s="31">
        <f t="shared" si="255"/>
        <v>0</v>
      </c>
      <c r="AU150" s="31">
        <f t="shared" si="255"/>
        <v>0</v>
      </c>
      <c r="AV150" s="31">
        <f t="shared" si="256"/>
        <v>0</v>
      </c>
      <c r="AW150" s="31">
        <f t="shared" si="256"/>
        <v>0</v>
      </c>
      <c r="AX150" s="31">
        <f t="shared" si="256"/>
        <v>0</v>
      </c>
      <c r="AY150" s="31">
        <f t="shared" si="256"/>
        <v>0</v>
      </c>
      <c r="AZ150" s="31">
        <f t="shared" si="256"/>
        <v>0</v>
      </c>
      <c r="BA150" s="31">
        <f t="shared" si="256"/>
        <v>0</v>
      </c>
      <c r="BB150" s="31">
        <f t="shared" si="256"/>
        <v>0</v>
      </c>
      <c r="BC150" s="31">
        <f t="shared" si="256"/>
        <v>0</v>
      </c>
      <c r="BD150" s="31">
        <f t="shared" si="256"/>
        <v>0</v>
      </c>
      <c r="BE150" s="30">
        <f t="shared" si="257"/>
        <v>1</v>
      </c>
      <c r="BF150" s="620">
        <f t="shared" si="241"/>
        <v>1.0046190746045656</v>
      </c>
      <c r="BG150" s="620">
        <f t="shared" si="229"/>
        <v>1.0092681731940607</v>
      </c>
      <c r="BH150" s="620">
        <f t="shared" si="230"/>
        <v>1.0146673859598225</v>
      </c>
      <c r="BI150" s="620">
        <f t="shared" si="231"/>
        <v>1.0211950341936284</v>
      </c>
      <c r="BJ150" s="620">
        <f t="shared" si="232"/>
        <v>1.0292450750544078</v>
      </c>
      <c r="BK150" s="620">
        <f t="shared" si="233"/>
        <v>1.0377536023333034</v>
      </c>
      <c r="BL150" s="620">
        <f t="shared" si="234"/>
        <v>1.0439544690397748</v>
      </c>
      <c r="BM150" s="621" t="str">
        <f t="shared" si="235"/>
        <v>Category</v>
      </c>
    </row>
    <row r="151" spans="1:65" x14ac:dyDescent="0.15">
      <c r="A151" s="12" t="s">
        <v>322</v>
      </c>
      <c r="B151" s="13" t="s">
        <v>323</v>
      </c>
      <c r="C151" s="13" t="s">
        <v>27</v>
      </c>
      <c r="D151" s="13" t="s">
        <v>55</v>
      </c>
      <c r="E151" s="13" t="s">
        <v>112</v>
      </c>
      <c r="F151" s="14">
        <v>0</v>
      </c>
      <c r="G151" s="14">
        <v>0</v>
      </c>
      <c r="H151" s="14">
        <v>0</v>
      </c>
      <c r="I151" s="14">
        <v>0</v>
      </c>
      <c r="J151" s="14">
        <v>0</v>
      </c>
      <c r="K151" s="14">
        <v>0</v>
      </c>
      <c r="L151" s="14">
        <v>0</v>
      </c>
      <c r="M151" s="15">
        <v>0</v>
      </c>
      <c r="N151" s="804"/>
      <c r="O151" s="14"/>
      <c r="P151" s="15"/>
      <c r="Q151" s="16" t="str">
        <f>IF(ISTEXT('Incurred 2.5% cpi'!Q151),"",'Incurred 2.5% cpi'!Q151/'Incurred 2.5% cpi'!Q$14*Incurred!Q$14)</f>
        <v/>
      </c>
      <c r="R151" s="127" t="str">
        <f>IF(ISTEXT('Incurred 2.5% cpi'!R151),"",'Incurred 2.5% cpi'!R151/'Incurred 2.5% cpi'!R$14*Incurred!R$14*BF151)</f>
        <v/>
      </c>
      <c r="S151" s="119" t="str">
        <f>IF(ISTEXT('Incurred 2.5% cpi'!S151),"",'Incurred 2.5% cpi'!S151/'Incurred 2.5% cpi'!S$14*Incurred!S$14*BG151)</f>
        <v/>
      </c>
      <c r="T151" s="16">
        <f>IF(ISTEXT('Incurred 2.5% cpi'!T151),"",'Incurred 2.5% cpi'!T151/'Incurred 2.5% cpi'!T$14*Incurred!T$14*BH151)</f>
        <v>232840.98171888117</v>
      </c>
      <c r="U151" s="16">
        <f>IF(ISTEXT('Incurred 2.5% cpi'!U151),"",'Incurred 2.5% cpi'!U151/'Incurred 2.5% cpi'!U$14*Incurred!U$14*BI151)</f>
        <v>480713.00536266022</v>
      </c>
      <c r="V151" s="16">
        <f>IF(ISTEXT('Incurred 2.5% cpi'!V151),"",'Incurred 2.5% cpi'!V151/'Incurred 2.5% cpi'!V$14*Incurred!V$14*BJ151)</f>
        <v>617786.69477982249</v>
      </c>
      <c r="W151" s="127">
        <f>IF(ISTEXT('Incurred 2.5% cpi'!W151),"",'Incurred 2.5% cpi'!W151/'Incurred 2.5% cpi'!W$14*Incurred!W$14*BK151)</f>
        <v>282133.66279884917</v>
      </c>
      <c r="X151" s="119" t="str">
        <f>IF(ISTEXT('Incurred 2.5% cpi'!X151),"",'Incurred 2.5% cpi'!X151/'Incurred 2.5% cpi'!X$14*Incurred!X$14*BL151)</f>
        <v/>
      </c>
      <c r="Y151" s="95">
        <f t="shared" si="245"/>
        <v>1613474.344660213</v>
      </c>
      <c r="Z151" s="95">
        <f t="shared" si="220"/>
        <v>1613474.344660213</v>
      </c>
      <c r="AA151" s="676">
        <f t="shared" si="221"/>
        <v>1658805.1668144423</v>
      </c>
      <c r="AB151" s="676">
        <f t="shared" si="222"/>
        <v>1658805.1668144423</v>
      </c>
      <c r="AC151" s="677">
        <f t="shared" si="236"/>
        <v>1</v>
      </c>
      <c r="AD151" s="678" t="str">
        <f t="shared" si="223"/>
        <v>2023</v>
      </c>
      <c r="AE151" s="679">
        <v>44886</v>
      </c>
      <c r="AF151" s="678">
        <v>2023</v>
      </c>
      <c r="AG151" s="680"/>
      <c r="AH151" s="676">
        <f t="shared" si="237"/>
        <v>1504642.3552238431</v>
      </c>
      <c r="AI151" s="95">
        <f t="shared" si="224"/>
        <v>282133.66279884917</v>
      </c>
      <c r="AJ151" s="681" t="s">
        <v>3058</v>
      </c>
      <c r="AK151" s="37">
        <f t="shared" si="225"/>
        <v>280000.00000000006</v>
      </c>
      <c r="AL151" s="31">
        <f t="shared" si="255"/>
        <v>0</v>
      </c>
      <c r="AM151" s="31">
        <f t="shared" si="255"/>
        <v>0</v>
      </c>
      <c r="AN151" s="31">
        <f t="shared" si="255"/>
        <v>0</v>
      </c>
      <c r="AO151" s="31">
        <f t="shared" si="255"/>
        <v>1</v>
      </c>
      <c r="AP151" s="31">
        <f t="shared" si="255"/>
        <v>0</v>
      </c>
      <c r="AQ151" s="31">
        <f t="shared" si="255"/>
        <v>0</v>
      </c>
      <c r="AR151" s="31">
        <f t="shared" si="255"/>
        <v>0</v>
      </c>
      <c r="AS151" s="31">
        <f t="shared" si="255"/>
        <v>0</v>
      </c>
      <c r="AT151" s="31">
        <f t="shared" si="255"/>
        <v>0</v>
      </c>
      <c r="AU151" s="31">
        <f t="shared" si="255"/>
        <v>0</v>
      </c>
      <c r="AV151" s="31">
        <f t="shared" si="256"/>
        <v>0</v>
      </c>
      <c r="AW151" s="31">
        <f t="shared" si="256"/>
        <v>0</v>
      </c>
      <c r="AX151" s="31">
        <f t="shared" si="256"/>
        <v>0</v>
      </c>
      <c r="AY151" s="31">
        <f t="shared" si="256"/>
        <v>0</v>
      </c>
      <c r="AZ151" s="31">
        <f t="shared" si="256"/>
        <v>0</v>
      </c>
      <c r="BA151" s="31">
        <f t="shared" si="256"/>
        <v>0</v>
      </c>
      <c r="BB151" s="31">
        <f t="shared" si="256"/>
        <v>0</v>
      </c>
      <c r="BC151" s="31">
        <f t="shared" si="256"/>
        <v>0</v>
      </c>
      <c r="BD151" s="31">
        <f t="shared" si="256"/>
        <v>0</v>
      </c>
      <c r="BE151" s="30">
        <f t="shared" si="257"/>
        <v>1</v>
      </c>
      <c r="BF151" s="620">
        <f t="shared" si="241"/>
        <v>1.0047443590460903</v>
      </c>
      <c r="BG151" s="620">
        <f t="shared" si="229"/>
        <v>1.00951955642598</v>
      </c>
      <c r="BH151" s="620">
        <f t="shared" si="230"/>
        <v>1.0150652135369715</v>
      </c>
      <c r="BI151" s="620">
        <f t="shared" si="231"/>
        <v>1.0217699129841598</v>
      </c>
      <c r="BJ151" s="620">
        <f t="shared" si="232"/>
        <v>1.0300382973357538</v>
      </c>
      <c r="BK151" s="620">
        <f t="shared" si="233"/>
        <v>1.0387776037597363</v>
      </c>
      <c r="BL151" s="620">
        <f t="shared" si="234"/>
        <v>1.0451466582935969</v>
      </c>
      <c r="BM151" s="621" t="str">
        <f t="shared" si="235"/>
        <v>Project</v>
      </c>
    </row>
    <row r="152" spans="1:65" x14ac:dyDescent="0.15">
      <c r="A152" s="12" t="s">
        <v>324</v>
      </c>
      <c r="B152" s="13" t="s">
        <v>325</v>
      </c>
      <c r="C152" s="13" t="s">
        <v>27</v>
      </c>
      <c r="D152" s="13" t="s">
        <v>40</v>
      </c>
      <c r="E152" s="13" t="s">
        <v>29</v>
      </c>
      <c r="F152" s="14">
        <v>0</v>
      </c>
      <c r="G152" s="14">
        <v>0</v>
      </c>
      <c r="H152" s="14">
        <v>0</v>
      </c>
      <c r="I152" s="14">
        <v>0</v>
      </c>
      <c r="J152" s="14">
        <v>0</v>
      </c>
      <c r="K152" s="14">
        <v>0</v>
      </c>
      <c r="L152" s="14">
        <v>0</v>
      </c>
      <c r="M152" s="15">
        <v>3325.07</v>
      </c>
      <c r="N152" s="804">
        <v>665573.62</v>
      </c>
      <c r="O152" s="14">
        <v>655963.36</v>
      </c>
      <c r="P152" s="15">
        <v>2745396.56</v>
      </c>
      <c r="Q152" s="16">
        <f>IF(ISTEXT('Incurred 2.5% cpi'!Q152),"",'Incurred 2.5% cpi'!Q152/'Incurred 2.5% cpi'!Q$14*Incurred!Q$14)</f>
        <v>849798.02500000002</v>
      </c>
      <c r="R152" s="127" t="str">
        <f>IF(ISTEXT('Incurred 2.5% cpi'!R152),"",'Incurred 2.5% cpi'!R152/'Incurred 2.5% cpi'!R$14*Incurred!R$14*BF152)</f>
        <v/>
      </c>
      <c r="S152" s="119" t="str">
        <f>IF(ISTEXT('Incurred 2.5% cpi'!S152),"",'Incurred 2.5% cpi'!S152/'Incurred 2.5% cpi'!S$14*Incurred!S$14*BG152)</f>
        <v/>
      </c>
      <c r="T152" s="16" t="str">
        <f>IF(ISTEXT('Incurred 2.5% cpi'!T152),"",'Incurred 2.5% cpi'!T152/'Incurred 2.5% cpi'!T$14*Incurred!T$14*BH152)</f>
        <v/>
      </c>
      <c r="U152" s="16" t="str">
        <f>IF(ISTEXT('Incurred 2.5% cpi'!U152),"",'Incurred 2.5% cpi'!U152/'Incurred 2.5% cpi'!U$14*Incurred!U$14*BI152)</f>
        <v/>
      </c>
      <c r="V152" s="16" t="str">
        <f>IF(ISTEXT('Incurred 2.5% cpi'!V152),"",'Incurred 2.5% cpi'!V152/'Incurred 2.5% cpi'!V$14*Incurred!V$14*BJ152)</f>
        <v/>
      </c>
      <c r="W152" s="127" t="str">
        <f>IF(ISTEXT('Incurred 2.5% cpi'!W152),"",'Incurred 2.5% cpi'!W152/'Incurred 2.5% cpi'!W$14*Incurred!W$14*BK152)</f>
        <v/>
      </c>
      <c r="X152" s="119" t="str">
        <f>IF(ISTEXT('Incurred 2.5% cpi'!X152),"",'Incurred 2.5% cpi'!X152/'Incurred 2.5% cpi'!X$14*Incurred!X$14*BL152)</f>
        <v/>
      </c>
      <c r="Y152" s="95">
        <f t="shared" si="245"/>
        <v>4920056.6349999998</v>
      </c>
      <c r="Z152" s="95">
        <f t="shared" si="220"/>
        <v>4920056.6349999998</v>
      </c>
      <c r="AA152" s="676">
        <f t="shared" si="221"/>
        <v>5651494.5999524835</v>
      </c>
      <c r="AB152" s="676">
        <f t="shared" si="222"/>
        <v>5027230.5339673935</v>
      </c>
      <c r="AC152" s="677">
        <f t="shared" si="236"/>
        <v>1.1241765345287305</v>
      </c>
      <c r="AD152" s="678" t="str">
        <f t="shared" si="223"/>
        <v>2017</v>
      </c>
      <c r="AE152" s="679">
        <v>42863</v>
      </c>
      <c r="AF152" s="678">
        <v>2017</v>
      </c>
      <c r="AG152" s="680"/>
      <c r="AH152" s="676">
        <f t="shared" si="237"/>
        <v>5126266.9754865514</v>
      </c>
      <c r="AI152" s="95">
        <f t="shared" si="224"/>
        <v>849798.02500000002</v>
      </c>
      <c r="AJ152" s="681" t="s">
        <v>0</v>
      </c>
      <c r="AK152" s="37">
        <f t="shared" si="225"/>
        <v>8237319.3731999993</v>
      </c>
      <c r="AL152" s="31">
        <f t="shared" ref="AL152:AU152" si="258">IF($AK152=0,VLOOKUP(MID($A152,4,5),ProjectSplits,AL$20,FALSE),IF(ISNA(VLOOKUP($A152,Estimates,AL$19,FALSE)),VLOOKUP(MID($A152,4,5),ProjectSplits,AL$20,FALSE),VLOOKUP($A152,Estimates,AL$19,FALSE)))</f>
        <v>0</v>
      </c>
      <c r="AM152" s="31">
        <f t="shared" si="258"/>
        <v>0.11751392769222635</v>
      </c>
      <c r="AN152" s="31">
        <f t="shared" si="258"/>
        <v>0.52638483510875078</v>
      </c>
      <c r="AO152" s="31">
        <f t="shared" si="258"/>
        <v>0.3412905937757601</v>
      </c>
      <c r="AP152" s="31">
        <f t="shared" si="258"/>
        <v>0</v>
      </c>
      <c r="AQ152" s="31">
        <f t="shared" si="258"/>
        <v>0</v>
      </c>
      <c r="AR152" s="31">
        <f t="shared" si="258"/>
        <v>0</v>
      </c>
      <c r="AS152" s="31">
        <f t="shared" si="258"/>
        <v>0</v>
      </c>
      <c r="AT152" s="31">
        <f t="shared" si="258"/>
        <v>0</v>
      </c>
      <c r="AU152" s="31">
        <f t="shared" si="258"/>
        <v>0</v>
      </c>
      <c r="AV152" s="31">
        <f t="shared" ref="AV152:BD152" si="259">IF($AK152=0,VLOOKUP(MID($A152,4,5),ProjectSplits,AV$20,FALSE),IF(ISNA(VLOOKUP($A152,Estimates,AV$19,FALSE)),VLOOKUP(MID($A152,4,5),ProjectSplits,AV$20,FALSE),VLOOKUP($A152,Estimates,AV$19,FALSE)))</f>
        <v>0</v>
      </c>
      <c r="AW152" s="31">
        <f t="shared" si="259"/>
        <v>0</v>
      </c>
      <c r="AX152" s="31">
        <f t="shared" si="259"/>
        <v>0</v>
      </c>
      <c r="AY152" s="31">
        <f t="shared" si="259"/>
        <v>0</v>
      </c>
      <c r="AZ152" s="31">
        <f t="shared" si="259"/>
        <v>1.4810643423262822E-2</v>
      </c>
      <c r="BA152" s="31">
        <f t="shared" si="259"/>
        <v>0</v>
      </c>
      <c r="BB152" s="31">
        <f t="shared" si="259"/>
        <v>0</v>
      </c>
      <c r="BC152" s="31">
        <f t="shared" si="259"/>
        <v>0</v>
      </c>
      <c r="BD152" s="31">
        <f t="shared" si="259"/>
        <v>0</v>
      </c>
      <c r="BE152" s="30">
        <f t="shared" ref="BE152" si="260">SUM(AL152:BD152)</f>
        <v>1</v>
      </c>
      <c r="BF152" s="620">
        <f t="shared" si="241"/>
        <v>1.0034498951996242</v>
      </c>
      <c r="BG152" s="620">
        <f t="shared" si="229"/>
        <v>1.0069222147180459</v>
      </c>
      <c r="BH152" s="620">
        <f t="shared" si="230"/>
        <v>1.0109547796356901</v>
      </c>
      <c r="BI152" s="620">
        <f t="shared" si="231"/>
        <v>1.0158301506211216</v>
      </c>
      <c r="BJ152" s="620">
        <f t="shared" si="232"/>
        <v>1.0218425664619335</v>
      </c>
      <c r="BK152" s="620">
        <f t="shared" si="233"/>
        <v>1.0281974167140426</v>
      </c>
      <c r="BL152" s="620">
        <f t="shared" si="234"/>
        <v>1.0328287210586446</v>
      </c>
      <c r="BM152" s="621" t="str">
        <f t="shared" si="235"/>
        <v>Category</v>
      </c>
    </row>
    <row r="153" spans="1:65" x14ac:dyDescent="0.15">
      <c r="A153" s="12" t="s">
        <v>326</v>
      </c>
      <c r="B153" s="13" t="s">
        <v>2363</v>
      </c>
      <c r="C153" s="13" t="s">
        <v>27</v>
      </c>
      <c r="D153" s="13" t="s">
        <v>40</v>
      </c>
      <c r="E153" s="13" t="s">
        <v>32</v>
      </c>
      <c r="F153" s="14">
        <v>0</v>
      </c>
      <c r="G153" s="14">
        <v>0</v>
      </c>
      <c r="H153" s="14">
        <v>0</v>
      </c>
      <c r="I153" s="14">
        <v>0</v>
      </c>
      <c r="J153" s="14">
        <v>0</v>
      </c>
      <c r="K153" s="14">
        <v>0</v>
      </c>
      <c r="L153" s="14">
        <v>15962.64</v>
      </c>
      <c r="M153" s="15">
        <v>500401.04</v>
      </c>
      <c r="N153" s="804">
        <v>4492442.0999999996</v>
      </c>
      <c r="O153" s="14">
        <v>1076465.56</v>
      </c>
      <c r="P153" s="15">
        <v>255005.82</v>
      </c>
      <c r="Q153" s="16">
        <f>IF(ISTEXT('Incurred 2.5% cpi'!Q153),"",'Incurred 2.5% cpi'!Q153/'Incurred 2.5% cpi'!Q$14*Incurred!Q$14)</f>
        <v>9399.75</v>
      </c>
      <c r="R153" s="127" t="str">
        <f>IF(ISTEXT('Incurred 2.5% cpi'!R153),"",'Incurred 2.5% cpi'!R153/'Incurred 2.5% cpi'!R$14*Incurred!R$14*BF153)</f>
        <v/>
      </c>
      <c r="S153" s="119" t="str">
        <f>IF(ISTEXT('Incurred 2.5% cpi'!S153),"",'Incurred 2.5% cpi'!S153/'Incurred 2.5% cpi'!S$14*Incurred!S$14*BG153)</f>
        <v/>
      </c>
      <c r="T153" s="16" t="str">
        <f>IF(ISTEXT('Incurred 2.5% cpi'!T153),"",'Incurred 2.5% cpi'!T153/'Incurred 2.5% cpi'!T$14*Incurred!T$14*BH153)</f>
        <v/>
      </c>
      <c r="U153" s="16" t="str">
        <f>IF(ISTEXT('Incurred 2.5% cpi'!U153),"",'Incurred 2.5% cpi'!U153/'Incurred 2.5% cpi'!U$14*Incurred!U$14*BI153)</f>
        <v/>
      </c>
      <c r="V153" s="16" t="str">
        <f>IF(ISTEXT('Incurred 2.5% cpi'!V153),"",'Incurred 2.5% cpi'!V153/'Incurred 2.5% cpi'!V$14*Incurred!V$14*BJ153)</f>
        <v/>
      </c>
      <c r="W153" s="127" t="str">
        <f>IF(ISTEXT('Incurred 2.5% cpi'!W153),"",'Incurred 2.5% cpi'!W153/'Incurred 2.5% cpi'!W$14*Incurred!W$14*BK153)</f>
        <v/>
      </c>
      <c r="X153" s="119" t="str">
        <f>IF(ISTEXT('Incurred 2.5% cpi'!X153),"",'Incurred 2.5% cpi'!X153/'Incurred 2.5% cpi'!X$14*Incurred!X$14*BL153)</f>
        <v/>
      </c>
      <c r="Y153" s="95">
        <f t="shared" si="245"/>
        <v>6349676.9100000001</v>
      </c>
      <c r="Z153" s="95">
        <f t="shared" si="220"/>
        <v>6349676.9100000001</v>
      </c>
      <c r="AA153" s="676">
        <f t="shared" si="221"/>
        <v>7465564.1285361182</v>
      </c>
      <c r="AB153" s="676">
        <f t="shared" si="222"/>
        <v>6428352.5562543068</v>
      </c>
      <c r="AC153" s="677">
        <f t="shared" si="236"/>
        <v>1.161349515790431</v>
      </c>
      <c r="AD153" s="678" t="str">
        <f t="shared" si="223"/>
        <v>2017</v>
      </c>
      <c r="AE153" s="679">
        <v>41943</v>
      </c>
      <c r="AF153" s="678">
        <v>2015</v>
      </c>
      <c r="AG153" s="680"/>
      <c r="AH153" s="676">
        <f t="shared" si="237"/>
        <v>6771744.0348989284</v>
      </c>
      <c r="AI153" s="95">
        <f t="shared" si="224"/>
        <v>9399.75</v>
      </c>
      <c r="AJ153" s="681" t="s">
        <v>0</v>
      </c>
      <c r="AK153" s="37">
        <f t="shared" si="225"/>
        <v>3112358.7982327025</v>
      </c>
      <c r="AL153" s="31">
        <f t="shared" ref="AL153:BD153" si="261">IF($AK153=0,VLOOKUP(MID($A153,4,5),ProjectSplits,AL$20,FALSE),IF(ISNA(VLOOKUP($A153,Estimates,AL$19,FALSE)),VLOOKUP(MID($A153,4,5),ProjectSplits,AL$20,FALSE),VLOOKUP($A153,Estimates,AL$19,FALSE)))</f>
        <v>0</v>
      </c>
      <c r="AM153" s="31">
        <f t="shared" si="261"/>
        <v>0.477964238215628</v>
      </c>
      <c r="AN153" s="31">
        <f t="shared" si="261"/>
        <v>0.44244890326065239</v>
      </c>
      <c r="AO153" s="31">
        <f t="shared" si="261"/>
        <v>0</v>
      </c>
      <c r="AP153" s="31">
        <f t="shared" si="261"/>
        <v>0</v>
      </c>
      <c r="AQ153" s="31">
        <f t="shared" si="261"/>
        <v>0</v>
      </c>
      <c r="AR153" s="31">
        <f t="shared" si="261"/>
        <v>0</v>
      </c>
      <c r="AS153" s="31">
        <f t="shared" si="261"/>
        <v>0</v>
      </c>
      <c r="AT153" s="31">
        <f t="shared" si="261"/>
        <v>0</v>
      </c>
      <c r="AU153" s="31">
        <f t="shared" si="261"/>
        <v>0</v>
      </c>
      <c r="AV153" s="31">
        <f t="shared" si="261"/>
        <v>7.9586858523719647E-2</v>
      </c>
      <c r="AW153" s="31">
        <f t="shared" si="261"/>
        <v>0</v>
      </c>
      <c r="AX153" s="31">
        <f t="shared" si="261"/>
        <v>0</v>
      </c>
      <c r="AY153" s="31">
        <f t="shared" si="261"/>
        <v>0</v>
      </c>
      <c r="AZ153" s="31">
        <f t="shared" si="261"/>
        <v>0</v>
      </c>
      <c r="BA153" s="31">
        <f t="shared" si="261"/>
        <v>0</v>
      </c>
      <c r="BB153" s="31">
        <f t="shared" si="261"/>
        <v>0</v>
      </c>
      <c r="BC153" s="31">
        <f t="shared" si="261"/>
        <v>0</v>
      </c>
      <c r="BD153" s="31">
        <f t="shared" si="261"/>
        <v>0</v>
      </c>
      <c r="BE153" s="30">
        <f>SUM(AL153:BD153)</f>
        <v>1</v>
      </c>
      <c r="BF153" s="620">
        <f t="shared" si="241"/>
        <v>1.0034498951996242</v>
      </c>
      <c r="BG153" s="620">
        <f t="shared" si="229"/>
        <v>1.0069222147180459</v>
      </c>
      <c r="BH153" s="620">
        <f t="shared" si="230"/>
        <v>1.0109547796356901</v>
      </c>
      <c r="BI153" s="620">
        <f t="shared" si="231"/>
        <v>1.0158301506211216</v>
      </c>
      <c r="BJ153" s="620">
        <f t="shared" si="232"/>
        <v>1.0218425664619335</v>
      </c>
      <c r="BK153" s="620">
        <f t="shared" si="233"/>
        <v>1.0281974167140426</v>
      </c>
      <c r="BL153" s="620">
        <f t="shared" si="234"/>
        <v>1.0328287210586446</v>
      </c>
      <c r="BM153" s="621" t="str">
        <f t="shared" si="235"/>
        <v>Category</v>
      </c>
    </row>
    <row r="154" spans="1:65" x14ac:dyDescent="0.15">
      <c r="A154" s="91" t="s">
        <v>327</v>
      </c>
      <c r="B154" s="13" t="s">
        <v>328</v>
      </c>
      <c r="C154" s="13" t="s">
        <v>27</v>
      </c>
      <c r="D154" s="13" t="s">
        <v>28</v>
      </c>
      <c r="E154" s="13" t="s">
        <v>29</v>
      </c>
      <c r="F154" s="14">
        <v>0</v>
      </c>
      <c r="G154" s="14">
        <v>0</v>
      </c>
      <c r="H154" s="14">
        <v>0</v>
      </c>
      <c r="I154" s="14">
        <v>0</v>
      </c>
      <c r="J154" s="14">
        <v>0</v>
      </c>
      <c r="K154" s="14">
        <v>0</v>
      </c>
      <c r="L154" s="14">
        <v>0</v>
      </c>
      <c r="M154" s="15">
        <v>0</v>
      </c>
      <c r="N154" s="804">
        <v>235792.68</v>
      </c>
      <c r="O154" s="14">
        <v>351063.65</v>
      </c>
      <c r="P154" s="15">
        <v>1940704.88</v>
      </c>
      <c r="Q154" s="16">
        <f>IF(ISTEXT('Incurred 2.5% cpi'!Q154),"",'Incurred 2.5% cpi'!Q154/'Incurred 2.5% cpi'!Q$14*Incurred!Q$14)</f>
        <v>414488.11</v>
      </c>
      <c r="R154" s="127" t="str">
        <f>IF(ISTEXT('Incurred 2.5% cpi'!R154),"",'Incurred 2.5% cpi'!R154/'Incurred 2.5% cpi'!R$14*Incurred!R$14*BF154)</f>
        <v/>
      </c>
      <c r="S154" s="119" t="str">
        <f>IF(ISTEXT('Incurred 2.5% cpi'!S154),"",'Incurred 2.5% cpi'!S154/'Incurred 2.5% cpi'!S$14*Incurred!S$14*BG154)</f>
        <v/>
      </c>
      <c r="T154" s="16" t="str">
        <f>IF(ISTEXT('Incurred 2.5% cpi'!T154),"",'Incurred 2.5% cpi'!T154/'Incurred 2.5% cpi'!T$14*Incurred!T$14*BH154)</f>
        <v/>
      </c>
      <c r="U154" s="16" t="str">
        <f>IF(ISTEXT('Incurred 2.5% cpi'!U154),"",'Incurred 2.5% cpi'!U154/'Incurred 2.5% cpi'!U$14*Incurred!U$14*BI154)</f>
        <v/>
      </c>
      <c r="V154" s="16" t="str">
        <f>IF(ISTEXT('Incurred 2.5% cpi'!V154),"",'Incurred 2.5% cpi'!V154/'Incurred 2.5% cpi'!V$14*Incurred!V$14*BJ154)</f>
        <v/>
      </c>
      <c r="W154" s="127" t="str">
        <f>IF(ISTEXT('Incurred 2.5% cpi'!W154),"",'Incurred 2.5% cpi'!W154/'Incurred 2.5% cpi'!W$14*Incurred!W$14*BK154)</f>
        <v/>
      </c>
      <c r="X154" s="119" t="str">
        <f>IF(ISTEXT('Incurred 2.5% cpi'!X154),"",'Incurred 2.5% cpi'!X154/'Incurred 2.5% cpi'!X$14*Incurred!X$14*BL154)</f>
        <v/>
      </c>
      <c r="Y154" s="95">
        <f t="shared" si="245"/>
        <v>2942049.32</v>
      </c>
      <c r="Z154" s="95">
        <f t="shared" si="220"/>
        <v>2942049.32</v>
      </c>
      <c r="AA154" s="676">
        <f t="shared" si="221"/>
        <v>3375814.7106925524</v>
      </c>
      <c r="AB154" s="676">
        <f t="shared" si="222"/>
        <v>3002922.2341913925</v>
      </c>
      <c r="AC154" s="677">
        <f t="shared" si="236"/>
        <v>1.1241765345287305</v>
      </c>
      <c r="AD154" s="678" t="str">
        <f t="shared" si="223"/>
        <v>2017</v>
      </c>
      <c r="AE154" s="679">
        <v>42551</v>
      </c>
      <c r="AF154" s="678">
        <v>2017</v>
      </c>
      <c r="AG154" s="680"/>
      <c r="AH154" s="676">
        <f t="shared" si="237"/>
        <v>3062079.8022049633</v>
      </c>
      <c r="AI154" s="95">
        <f t="shared" si="224"/>
        <v>414488.11</v>
      </c>
      <c r="AJ154" s="681" t="s">
        <v>0</v>
      </c>
      <c r="AK154" s="37">
        <f t="shared" si="225"/>
        <v>2245065.0217359997</v>
      </c>
      <c r="AL154" s="31">
        <f t="shared" ref="AL154:BD154" si="262">IF($AK154=0,VLOOKUP(MID($A154,4,5),ProjectSplits,AL$20,FALSE),IF(ISNA(VLOOKUP($A154,Estimates,AL$19,FALSE)),VLOOKUP(MID($A154,4,5),ProjectSplits,AL$20,FALSE),VLOOKUP($A154,Estimates,AL$19,FALSE)))</f>
        <v>0</v>
      </c>
      <c r="AM154" s="31">
        <f t="shared" si="262"/>
        <v>0</v>
      </c>
      <c r="AN154" s="31">
        <f t="shared" si="262"/>
        <v>0.18262277307405861</v>
      </c>
      <c r="AO154" s="31">
        <f t="shared" si="262"/>
        <v>0</v>
      </c>
      <c r="AP154" s="31">
        <f t="shared" si="262"/>
        <v>0</v>
      </c>
      <c r="AQ154" s="31">
        <f t="shared" si="262"/>
        <v>4.4542139774052004E-3</v>
      </c>
      <c r="AR154" s="31">
        <f t="shared" si="262"/>
        <v>0</v>
      </c>
      <c r="AS154" s="31">
        <f t="shared" si="262"/>
        <v>0</v>
      </c>
      <c r="AT154" s="31">
        <f t="shared" si="262"/>
        <v>0</v>
      </c>
      <c r="AU154" s="31">
        <f t="shared" si="262"/>
        <v>0</v>
      </c>
      <c r="AV154" s="31">
        <f t="shared" si="262"/>
        <v>0</v>
      </c>
      <c r="AW154" s="31">
        <f t="shared" si="262"/>
        <v>0.16596402247935182</v>
      </c>
      <c r="AX154" s="31">
        <f t="shared" si="262"/>
        <v>0</v>
      </c>
      <c r="AY154" s="31">
        <f t="shared" si="262"/>
        <v>0</v>
      </c>
      <c r="AZ154" s="31">
        <f t="shared" si="262"/>
        <v>0.64695899046918437</v>
      </c>
      <c r="BA154" s="31">
        <f t="shared" si="262"/>
        <v>0</v>
      </c>
      <c r="BB154" s="31">
        <f t="shared" si="262"/>
        <v>0</v>
      </c>
      <c r="BC154" s="31">
        <f t="shared" si="262"/>
        <v>0</v>
      </c>
      <c r="BD154" s="31">
        <f t="shared" si="262"/>
        <v>0</v>
      </c>
      <c r="BE154" s="30">
        <f>SUM(AL154:BD154)</f>
        <v>1</v>
      </c>
      <c r="BF154" s="620">
        <f t="shared" si="241"/>
        <v>1.0030444840366091</v>
      </c>
      <c r="BG154" s="620">
        <f t="shared" si="229"/>
        <v>1.0061087572194563</v>
      </c>
      <c r="BH154" s="620">
        <f t="shared" si="230"/>
        <v>1.0096674390946898</v>
      </c>
      <c r="BI154" s="620">
        <f t="shared" si="231"/>
        <v>1.0139698854818469</v>
      </c>
      <c r="BJ154" s="620">
        <f t="shared" si="232"/>
        <v>1.0192757579764089</v>
      </c>
      <c r="BK154" s="620">
        <f t="shared" si="233"/>
        <v>1.0248838240271385</v>
      </c>
      <c r="BL154" s="620">
        <f t="shared" si="234"/>
        <v>1.0289708850333266</v>
      </c>
      <c r="BM154" s="621" t="str">
        <f t="shared" si="235"/>
        <v>Category</v>
      </c>
    </row>
    <row r="155" spans="1:65" x14ac:dyDescent="0.15">
      <c r="A155" s="91" t="s">
        <v>329</v>
      </c>
      <c r="B155" s="13" t="s">
        <v>330</v>
      </c>
      <c r="C155" s="13" t="s">
        <v>27</v>
      </c>
      <c r="D155" s="13" t="s">
        <v>31</v>
      </c>
      <c r="E155" s="13" t="s">
        <v>29</v>
      </c>
      <c r="F155" s="14">
        <v>0</v>
      </c>
      <c r="G155" s="14">
        <v>0</v>
      </c>
      <c r="H155" s="14">
        <v>0</v>
      </c>
      <c r="I155" s="14">
        <v>0</v>
      </c>
      <c r="J155" s="14">
        <v>0</v>
      </c>
      <c r="K155" s="14">
        <v>0</v>
      </c>
      <c r="L155" s="14">
        <v>68042.98</v>
      </c>
      <c r="M155" s="15">
        <v>482239.01</v>
      </c>
      <c r="N155" s="804">
        <v>984921.21</v>
      </c>
      <c r="O155" s="14">
        <v>618196.63</v>
      </c>
      <c r="P155" s="15">
        <v>2583838.58</v>
      </c>
      <c r="Q155" s="16">
        <f>IF(ISTEXT('Incurred 2.5% cpi'!Q155),"",'Incurred 2.5% cpi'!Q155/'Incurred 2.5% cpi'!Q$14*Incurred!Q$14)</f>
        <v>2885762.39</v>
      </c>
      <c r="R155" s="127" t="str">
        <f>IF(ISTEXT('Incurred 2.5% cpi'!R155),"",'Incurred 2.5% cpi'!R155/'Incurred 2.5% cpi'!R$14*Incurred!R$14*BF155)</f>
        <v/>
      </c>
      <c r="S155" s="119" t="str">
        <f>IF(ISTEXT('Incurred 2.5% cpi'!S155),"",'Incurred 2.5% cpi'!S155/'Incurred 2.5% cpi'!S$14*Incurred!S$14*BG155)</f>
        <v/>
      </c>
      <c r="T155" s="16" t="str">
        <f>IF(ISTEXT('Incurred 2.5% cpi'!T155),"",'Incurred 2.5% cpi'!T155/'Incurred 2.5% cpi'!T$14*Incurred!T$14*BH155)</f>
        <v/>
      </c>
      <c r="U155" s="16" t="str">
        <f>IF(ISTEXT('Incurred 2.5% cpi'!U155),"",'Incurred 2.5% cpi'!U155/'Incurred 2.5% cpi'!U$14*Incurred!U$14*BI155)</f>
        <v/>
      </c>
      <c r="V155" s="16" t="str">
        <f>IF(ISTEXT('Incurred 2.5% cpi'!V155),"",'Incurred 2.5% cpi'!V155/'Incurred 2.5% cpi'!V$14*Incurred!V$14*BJ155)</f>
        <v/>
      </c>
      <c r="W155" s="127" t="str">
        <f>IF(ISTEXT('Incurred 2.5% cpi'!W155),"",'Incurred 2.5% cpi'!W155/'Incurred 2.5% cpi'!W$14*Incurred!W$14*BK155)</f>
        <v/>
      </c>
      <c r="X155" s="119" t="str">
        <f>IF(ISTEXT('Incurred 2.5% cpi'!X155),"",'Incurred 2.5% cpi'!X155/'Incurred 2.5% cpi'!X$14*Incurred!X$14*BL155)</f>
        <v/>
      </c>
      <c r="Y155" s="95">
        <f t="shared" si="245"/>
        <v>7623000.8000000007</v>
      </c>
      <c r="Z155" s="95">
        <f t="shared" si="220"/>
        <v>7623000.8000000007</v>
      </c>
      <c r="AA155" s="676">
        <f t="shared" si="221"/>
        <v>8751585.1297077406</v>
      </c>
      <c r="AB155" s="676">
        <f t="shared" si="222"/>
        <v>7784885.0789049072</v>
      </c>
      <c r="AC155" s="677">
        <f t="shared" si="236"/>
        <v>1.1241765345287305</v>
      </c>
      <c r="AD155" s="678" t="str">
        <f t="shared" si="223"/>
        <v>2017</v>
      </c>
      <c r="AE155" s="679">
        <v>42675</v>
      </c>
      <c r="AF155" s="678">
        <v>2017</v>
      </c>
      <c r="AG155" s="680"/>
      <c r="AH155" s="676">
        <f t="shared" si="237"/>
        <v>7938247.3149593333</v>
      </c>
      <c r="AI155" s="95">
        <f t="shared" si="224"/>
        <v>2885762.39</v>
      </c>
      <c r="AJ155" s="681" t="s">
        <v>0</v>
      </c>
      <c r="AK155" s="37">
        <f t="shared" si="225"/>
        <v>0</v>
      </c>
      <c r="AL155" s="31">
        <f t="shared" ref="AL155:BD155" si="263">IF($AK155=0,VLOOKUP(MID($A155,4,5),ProjectSplits,AL$20,FALSE),IF(ISNA(VLOOKUP($A155,Estimates,AL$19,FALSE)),VLOOKUP(MID($A155,4,5),ProjectSplits,AL$20,FALSE),VLOOKUP($A155,Estimates,AL$19,FALSE)))</f>
        <v>0</v>
      </c>
      <c r="AM155" s="31">
        <f t="shared" si="263"/>
        <v>3.9925960539177836E-3</v>
      </c>
      <c r="AN155" s="31">
        <f t="shared" si="263"/>
        <v>1.3616127541060563E-2</v>
      </c>
      <c r="AO155" s="31">
        <f t="shared" si="263"/>
        <v>0</v>
      </c>
      <c r="AP155" s="31">
        <f t="shared" si="263"/>
        <v>0</v>
      </c>
      <c r="AQ155" s="31">
        <f t="shared" si="263"/>
        <v>1.5922388746142845E-2</v>
      </c>
      <c r="AR155" s="31">
        <f t="shared" si="263"/>
        <v>0</v>
      </c>
      <c r="AS155" s="31">
        <f t="shared" si="263"/>
        <v>0</v>
      </c>
      <c r="AT155" s="31">
        <f t="shared" si="263"/>
        <v>0</v>
      </c>
      <c r="AU155" s="31">
        <f t="shared" si="263"/>
        <v>0.50709511173172517</v>
      </c>
      <c r="AV155" s="31">
        <f t="shared" si="263"/>
        <v>6.7729564069964948E-3</v>
      </c>
      <c r="AW155" s="31">
        <f t="shared" si="263"/>
        <v>0.15305726565830502</v>
      </c>
      <c r="AX155" s="31">
        <f t="shared" si="263"/>
        <v>1.7864563701651726E-2</v>
      </c>
      <c r="AY155" s="31">
        <f t="shared" si="263"/>
        <v>0</v>
      </c>
      <c r="AZ155" s="31">
        <f t="shared" si="263"/>
        <v>0.22881428304707402</v>
      </c>
      <c r="BA155" s="31">
        <f t="shared" si="263"/>
        <v>8.5553133561364538E-3</v>
      </c>
      <c r="BB155" s="31">
        <f t="shared" si="263"/>
        <v>4.4309393756990056E-2</v>
      </c>
      <c r="BC155" s="31">
        <f t="shared" si="263"/>
        <v>0</v>
      </c>
      <c r="BD155" s="31">
        <f t="shared" si="263"/>
        <v>0</v>
      </c>
      <c r="BE155" s="30">
        <f>SUM(AL155:BD155)</f>
        <v>1</v>
      </c>
      <c r="BF155" s="620">
        <f t="shared" si="241"/>
        <v>1.0031222795856722</v>
      </c>
      <c r="BG155" s="620">
        <f t="shared" si="229"/>
        <v>1.0062648539886514</v>
      </c>
      <c r="BH155" s="620">
        <f t="shared" si="230"/>
        <v>1.0099144706847265</v>
      </c>
      <c r="BI155" s="620">
        <f t="shared" si="231"/>
        <v>1.0143268572702815</v>
      </c>
      <c r="BJ155" s="620">
        <f t="shared" si="232"/>
        <v>1.019768310460623</v>
      </c>
      <c r="BK155" s="620">
        <f t="shared" si="233"/>
        <v>1.0255196791440326</v>
      </c>
      <c r="BL155" s="620">
        <f t="shared" si="234"/>
        <v>1.0297111766166984</v>
      </c>
      <c r="BM155" s="621" t="str">
        <f t="shared" si="235"/>
        <v>Category</v>
      </c>
    </row>
    <row r="156" spans="1:65" x14ac:dyDescent="0.15">
      <c r="A156" s="91" t="s">
        <v>332</v>
      </c>
      <c r="B156" s="13" t="s">
        <v>333</v>
      </c>
      <c r="C156" s="13" t="s">
        <v>27</v>
      </c>
      <c r="D156" s="13" t="s">
        <v>54</v>
      </c>
      <c r="E156" s="13" t="s">
        <v>112</v>
      </c>
      <c r="F156" s="14">
        <v>0</v>
      </c>
      <c r="G156" s="14">
        <v>0</v>
      </c>
      <c r="H156" s="14">
        <v>0</v>
      </c>
      <c r="I156" s="14">
        <v>0</v>
      </c>
      <c r="J156" s="14">
        <v>0</v>
      </c>
      <c r="K156" s="14">
        <v>0</v>
      </c>
      <c r="L156" s="14">
        <v>0</v>
      </c>
      <c r="M156" s="15">
        <v>0</v>
      </c>
      <c r="N156" s="804"/>
      <c r="O156" s="14"/>
      <c r="P156" s="15"/>
      <c r="Q156" s="16">
        <f>IF(ISTEXT('Incurred 2.5% cpi'!Q156),"",'Incurred 2.5% cpi'!Q156/'Incurred 2.5% cpi'!Q$14*Incurred!Q$14)</f>
        <v>88663.91</v>
      </c>
      <c r="R156" s="127">
        <f>IF(ISTEXT('Incurred 2.5% cpi'!R156),"",'Incurred 2.5% cpi'!R156/'Incurred 2.5% cpi'!R$14*Incurred!R$14*BF156)</f>
        <v>807758.38277609425</v>
      </c>
      <c r="S156" s="119">
        <f>IF(ISTEXT('Incurred 2.5% cpi'!S156),"",'Incurred 2.5% cpi'!S156/'Incurred 2.5% cpi'!S$14*Incurred!S$14*BG156)</f>
        <v>263759.6580177538</v>
      </c>
      <c r="T156" s="16" t="str">
        <f>IF(ISTEXT('Incurred 2.5% cpi'!T156),"",'Incurred 2.5% cpi'!T156/'Incurred 2.5% cpi'!T$14*Incurred!T$14*BH156)</f>
        <v/>
      </c>
      <c r="U156" s="16" t="str">
        <f>IF(ISTEXT('Incurred 2.5% cpi'!U156),"",'Incurred 2.5% cpi'!U156/'Incurred 2.5% cpi'!U$14*Incurred!U$14*BI156)</f>
        <v/>
      </c>
      <c r="V156" s="16" t="str">
        <f>IF(ISTEXT('Incurred 2.5% cpi'!V156),"",'Incurred 2.5% cpi'!V156/'Incurred 2.5% cpi'!V$14*Incurred!V$14*BJ156)</f>
        <v/>
      </c>
      <c r="W156" s="127" t="str">
        <f>IF(ISTEXT('Incurred 2.5% cpi'!W156),"",'Incurred 2.5% cpi'!W156/'Incurred 2.5% cpi'!W$14*Incurred!W$14*BK156)</f>
        <v/>
      </c>
      <c r="X156" s="119" t="str">
        <f>IF(ISTEXT('Incurred 2.5% cpi'!X156),"",'Incurred 2.5% cpi'!X156/'Incurred 2.5% cpi'!X$14*Incurred!X$14*BL156)</f>
        <v/>
      </c>
      <c r="Y156" s="95">
        <f t="shared" si="245"/>
        <v>1160181.9507938481</v>
      </c>
      <c r="Z156" s="95">
        <f t="shared" si="220"/>
        <v>1160181.9507938481</v>
      </c>
      <c r="AA156" s="676">
        <f t="shared" si="221"/>
        <v>1275359.8667781728</v>
      </c>
      <c r="AB156" s="676">
        <f t="shared" si="222"/>
        <v>1179622.5585653691</v>
      </c>
      <c r="AC156" s="677">
        <f t="shared" si="236"/>
        <v>1.0811592721058483</v>
      </c>
      <c r="AD156" s="678" t="str">
        <f t="shared" si="223"/>
        <v>2019</v>
      </c>
      <c r="AE156" s="679">
        <v>43297</v>
      </c>
      <c r="AF156" s="678">
        <v>2019</v>
      </c>
      <c r="AG156" s="680"/>
      <c r="AH156" s="676">
        <f t="shared" ref="AH156:AH161" si="264">IF(ROUND(Y156,0)=0,0,SUMPRODUCT($F$16:$W$16,F156:W156))</f>
        <v>1156832.9494609875</v>
      </c>
      <c r="AI156" s="95">
        <f t="shared" si="224"/>
        <v>263759.6580177538</v>
      </c>
      <c r="AJ156" s="681" t="s">
        <v>3058</v>
      </c>
      <c r="AK156" s="37">
        <f t="shared" si="225"/>
        <v>0</v>
      </c>
      <c r="AL156" s="31">
        <f t="shared" ref="AL156:AU156" si="265">IF($AK156=0,VLOOKUP(MID($A156,4,5),ProjectSplits,AL$20,FALSE),IF(ISNA(VLOOKUP($A156,Estimates,AL$19,FALSE)),VLOOKUP(MID($A156,4,5),ProjectSplits,AL$20,FALSE),VLOOKUP($A156,Estimates,AL$19,FALSE)))</f>
        <v>0</v>
      </c>
      <c r="AM156" s="31">
        <f t="shared" si="265"/>
        <v>0</v>
      </c>
      <c r="AN156" s="31">
        <f t="shared" si="265"/>
        <v>0</v>
      </c>
      <c r="AO156" s="31">
        <f t="shared" si="265"/>
        <v>0</v>
      </c>
      <c r="AP156" s="31">
        <f t="shared" si="265"/>
        <v>0</v>
      </c>
      <c r="AQ156" s="31">
        <f t="shared" si="265"/>
        <v>0</v>
      </c>
      <c r="AR156" s="31">
        <f t="shared" si="265"/>
        <v>0</v>
      </c>
      <c r="AS156" s="31">
        <f t="shared" si="265"/>
        <v>0</v>
      </c>
      <c r="AT156" s="31">
        <f t="shared" si="265"/>
        <v>0</v>
      </c>
      <c r="AU156" s="31">
        <f t="shared" si="265"/>
        <v>0</v>
      </c>
      <c r="AV156" s="31">
        <f t="shared" ref="AV156:BD156" si="266">IF($AK156=0,VLOOKUP(MID($A156,4,5),ProjectSplits,AV$20,FALSE),IF(ISNA(VLOOKUP($A156,Estimates,AV$19,FALSE)),VLOOKUP(MID($A156,4,5),ProjectSplits,AV$20,FALSE),VLOOKUP($A156,Estimates,AV$19,FALSE)))</f>
        <v>0</v>
      </c>
      <c r="AW156" s="31">
        <f t="shared" si="266"/>
        <v>4.4818930827109207E-2</v>
      </c>
      <c r="AX156" s="31">
        <f t="shared" si="266"/>
        <v>0</v>
      </c>
      <c r="AY156" s="31">
        <f t="shared" si="266"/>
        <v>0</v>
      </c>
      <c r="AZ156" s="31">
        <f t="shared" si="266"/>
        <v>0.95518106917289081</v>
      </c>
      <c r="BA156" s="31">
        <f t="shared" si="266"/>
        <v>0</v>
      </c>
      <c r="BB156" s="31">
        <f t="shared" si="266"/>
        <v>0</v>
      </c>
      <c r="BC156" s="31">
        <f t="shared" si="266"/>
        <v>0</v>
      </c>
      <c r="BD156" s="31">
        <f t="shared" si="266"/>
        <v>0</v>
      </c>
      <c r="BE156" s="30">
        <f t="shared" ref="BE156" si="267">SUM(AL156:BD156)</f>
        <v>1</v>
      </c>
      <c r="BF156" s="620">
        <f t="shared" si="241"/>
        <v>1.0030818160192299</v>
      </c>
      <c r="BG156" s="620">
        <f t="shared" si="229"/>
        <v>1.006183663842585</v>
      </c>
      <c r="BH156" s="620">
        <f t="shared" si="230"/>
        <v>1.0097859828820543</v>
      </c>
      <c r="BI156" s="620">
        <f t="shared" si="231"/>
        <v>1.0141411866007726</v>
      </c>
      <c r="BJ156" s="620">
        <f t="shared" si="232"/>
        <v>1.0195121206090012</v>
      </c>
      <c r="BK156" s="620">
        <f t="shared" si="233"/>
        <v>1.0251889537223347</v>
      </c>
      <c r="BL156" s="620">
        <f t="shared" si="234"/>
        <v>1.0293261309677997</v>
      </c>
      <c r="BM156" s="621" t="str">
        <f t="shared" si="235"/>
        <v>Category</v>
      </c>
    </row>
    <row r="157" spans="1:65" x14ac:dyDescent="0.15">
      <c r="A157" s="91" t="s">
        <v>334</v>
      </c>
      <c r="B157" s="13" t="s">
        <v>335</v>
      </c>
      <c r="C157" s="13" t="s">
        <v>27</v>
      </c>
      <c r="D157" s="13" t="s">
        <v>40</v>
      </c>
      <c r="E157" s="13" t="s">
        <v>29</v>
      </c>
      <c r="F157" s="14">
        <v>0</v>
      </c>
      <c r="G157" s="14">
        <v>0</v>
      </c>
      <c r="H157" s="14">
        <v>0</v>
      </c>
      <c r="I157" s="14">
        <v>0</v>
      </c>
      <c r="J157" s="14">
        <v>0</v>
      </c>
      <c r="K157" s="14">
        <v>0</v>
      </c>
      <c r="L157" s="14">
        <v>0</v>
      </c>
      <c r="M157" s="15">
        <v>0</v>
      </c>
      <c r="N157" s="804">
        <v>553053.62</v>
      </c>
      <c r="O157" s="14">
        <v>2539573.15</v>
      </c>
      <c r="P157" s="15">
        <v>301859.86</v>
      </c>
      <c r="Q157" s="16">
        <f>IF(ISTEXT('Incurred 2.5% cpi'!Q157),"",'Incurred 2.5% cpi'!Q157/'Incurred 2.5% cpi'!Q$14*Incurred!Q$14)</f>
        <v>15513.92</v>
      </c>
      <c r="R157" s="127" t="str">
        <f>IF(ISTEXT('Incurred 2.5% cpi'!R157),"",'Incurred 2.5% cpi'!R157/'Incurred 2.5% cpi'!R$14*Incurred!R$14*BF157)</f>
        <v/>
      </c>
      <c r="S157" s="119" t="str">
        <f>IF(ISTEXT('Incurred 2.5% cpi'!S157),"",'Incurred 2.5% cpi'!S157/'Incurred 2.5% cpi'!S$14*Incurred!S$14*BG157)</f>
        <v/>
      </c>
      <c r="T157" s="16" t="str">
        <f>IF(ISTEXT('Incurred 2.5% cpi'!T157),"",'Incurred 2.5% cpi'!T157/'Incurred 2.5% cpi'!T$14*Incurred!T$14*BH157)</f>
        <v/>
      </c>
      <c r="U157" s="16" t="str">
        <f>IF(ISTEXT('Incurred 2.5% cpi'!U157),"",'Incurred 2.5% cpi'!U157/'Incurred 2.5% cpi'!U$14*Incurred!U$14*BI157)</f>
        <v/>
      </c>
      <c r="V157" s="16" t="str">
        <f>IF(ISTEXT('Incurred 2.5% cpi'!V157),"",'Incurred 2.5% cpi'!V157/'Incurred 2.5% cpi'!V$14*Incurred!V$14*BJ157)</f>
        <v/>
      </c>
      <c r="W157" s="127" t="str">
        <f>IF(ISTEXT('Incurred 2.5% cpi'!W157),"",'Incurred 2.5% cpi'!W157/'Incurred 2.5% cpi'!W$14*Incurred!W$14*BK157)</f>
        <v/>
      </c>
      <c r="X157" s="119" t="str">
        <f>IF(ISTEXT('Incurred 2.5% cpi'!X157),"",'Incurred 2.5% cpi'!X157/'Incurred 2.5% cpi'!X$14*Incurred!X$14*BL157)</f>
        <v/>
      </c>
      <c r="Y157" s="95">
        <f t="shared" si="245"/>
        <v>3410000.55</v>
      </c>
      <c r="Z157" s="95">
        <f t="shared" ref="Z157:Z184" si="268">-SUMIFS(F157:W157,F157:W157,"&lt;0")+SUMIFS(F157:W157,F157:W157,"&gt;0")</f>
        <v>3410000.55</v>
      </c>
      <c r="AA157" s="676">
        <f t="shared" ref="AA157:AA184" si="269">IF(ROUND(Y157,0)=0,0,SUMPRODUCT($F$17:$W$17,F157:W157))</f>
        <v>3963621.1773202023</v>
      </c>
      <c r="AB157" s="676">
        <f t="shared" ref="AB157:AB184" si="270">IF(AC157="","",AA157/AC157)</f>
        <v>3412944.271667006</v>
      </c>
      <c r="AC157" s="677">
        <f t="shared" si="236"/>
        <v>1.161349515790431</v>
      </c>
      <c r="AD157" s="678" t="str">
        <f t="shared" ref="AD157:AD184" si="271">IF(AI157=0,"",INDEX($F$21:$W$21,1,MATCH(AI157,F157:W157,0)))</f>
        <v>2017</v>
      </c>
      <c r="AE157" s="679">
        <v>42186</v>
      </c>
      <c r="AF157" s="678">
        <v>2015</v>
      </c>
      <c r="AG157" s="680"/>
      <c r="AH157" s="676">
        <f t="shared" si="264"/>
        <v>3595257.8535254216</v>
      </c>
      <c r="AI157" s="95">
        <f t="shared" ref="AI157:AI184" si="272">IF(ROUND(Z157,0)=0,0,LOOKUP(2,1/(F157:W157&lt;&gt;""),F157:W157))</f>
        <v>15513.92</v>
      </c>
      <c r="AJ157" s="681" t="s">
        <v>0</v>
      </c>
      <c r="AK157" s="37">
        <f t="shared" ref="AK157:AK184" si="273">IF(ISNA(VLOOKUP($A157,Estimates,71,FALSE)),0,VLOOKUP($A157,Estimates,71,FALSE))</f>
        <v>0</v>
      </c>
      <c r="AL157" s="31">
        <f t="shared" ref="AL157:BD157" si="274">IF($AK157=0,VLOOKUP(MID($A157,4,5),ProjectSplits,AL$20,FALSE),IF(ISNA(VLOOKUP($A157,Estimates,AL$19,FALSE)),VLOOKUP(MID($A157,4,5),ProjectSplits,AL$20,FALSE),VLOOKUP($A157,Estimates,AL$19,FALSE)))</f>
        <v>0</v>
      </c>
      <c r="AM157" s="31">
        <f t="shared" si="274"/>
        <v>0</v>
      </c>
      <c r="AN157" s="31">
        <f t="shared" si="274"/>
        <v>0</v>
      </c>
      <c r="AO157" s="31">
        <f t="shared" si="274"/>
        <v>0</v>
      </c>
      <c r="AP157" s="31">
        <f t="shared" si="274"/>
        <v>0</v>
      </c>
      <c r="AQ157" s="31">
        <f t="shared" si="274"/>
        <v>0</v>
      </c>
      <c r="AR157" s="31">
        <f t="shared" si="274"/>
        <v>0</v>
      </c>
      <c r="AS157" s="31">
        <f t="shared" si="274"/>
        <v>0</v>
      </c>
      <c r="AT157" s="31">
        <f t="shared" si="274"/>
        <v>0</v>
      </c>
      <c r="AU157" s="31">
        <f t="shared" si="274"/>
        <v>0</v>
      </c>
      <c r="AV157" s="31">
        <f t="shared" si="274"/>
        <v>0</v>
      </c>
      <c r="AW157" s="31">
        <f t="shared" si="274"/>
        <v>0</v>
      </c>
      <c r="AX157" s="31">
        <f t="shared" si="274"/>
        <v>0</v>
      </c>
      <c r="AY157" s="31">
        <f t="shared" si="274"/>
        <v>0</v>
      </c>
      <c r="AZ157" s="31">
        <f t="shared" si="274"/>
        <v>1</v>
      </c>
      <c r="BA157" s="31">
        <f t="shared" si="274"/>
        <v>0</v>
      </c>
      <c r="BB157" s="31">
        <f t="shared" si="274"/>
        <v>0</v>
      </c>
      <c r="BC157" s="31">
        <f t="shared" si="274"/>
        <v>0</v>
      </c>
      <c r="BD157" s="31">
        <f t="shared" si="274"/>
        <v>0</v>
      </c>
      <c r="BE157" s="30">
        <f>SUM(AL157:BD157)</f>
        <v>1</v>
      </c>
      <c r="BF157" s="620">
        <f t="shared" si="241"/>
        <v>1.0034498951996242</v>
      </c>
      <c r="BG157" s="620">
        <f t="shared" ref="BG157:BG184" si="275">1+IF(ISNA(VLOOKUP($A157,ProjLabEsc,7,FALSE)),VLOOKUP($D157,CatLabEsc,4,FALSE),VLOOKUP($A157,ProjLabEsc,7,FALSE))*LabEsc19*LabIn</f>
        <v>1.0069222147180459</v>
      </c>
      <c r="BH157" s="620">
        <f t="shared" ref="BH157:BH184" si="276">1+IF(ISNA(VLOOKUP($A157,ProjLabEsc,7,FALSE)),VLOOKUP($D157,CatLabEsc,4,FALSE),VLOOKUP($A157,ProjLabEsc,7,FALSE))*LabEsc20*LabIn</f>
        <v>1.0109547796356901</v>
      </c>
      <c r="BI157" s="620">
        <f t="shared" ref="BI157:BI184" si="277">1+IF(ISNA(VLOOKUP($A157,ProjLabEsc,7,FALSE)),VLOOKUP($D157,CatLabEsc,4,FALSE),VLOOKUP($A157,ProjLabEsc,7,FALSE))*LabEsc21*LabIn</f>
        <v>1.0158301506211216</v>
      </c>
      <c r="BJ157" s="620">
        <f t="shared" ref="BJ157:BJ184" si="278">1+IF(ISNA(VLOOKUP($A157,ProjLabEsc,7,FALSE)),VLOOKUP($D157,CatLabEsc,4,FALSE),VLOOKUP($A157,ProjLabEsc,7,FALSE))*LabEsc22*LabIn</f>
        <v>1.0218425664619335</v>
      </c>
      <c r="BK157" s="620">
        <f t="shared" ref="BK157:BK184" si="279">1+IF(ISNA(VLOOKUP($A157,ProjLabEsc,7,FALSE)),VLOOKUP($D157,CatLabEsc,4,FALSE),VLOOKUP($A157,ProjLabEsc,7,FALSE))*LabEsc23*LabIn</f>
        <v>1.0281974167140426</v>
      </c>
      <c r="BL157" s="620">
        <f t="shared" ref="BL157:BL184" si="280">1+IF(ISNA(VLOOKUP($A157,ProjLabEsc,7,FALSE)),VLOOKUP($D157,CatLabEsc,4,FALSE),VLOOKUP($A157,ProjLabEsc,7,FALSE))*LabEsc24*LabIn</f>
        <v>1.0328287210586446</v>
      </c>
      <c r="BM157" s="621" t="str">
        <f t="shared" ref="BM157:BM184" si="281">IF(ISNA(VLOOKUP($A157,ProjLabEsc,7,FALSE)),"Category","Project")</f>
        <v>Category</v>
      </c>
    </row>
    <row r="158" spans="1:65" x14ac:dyDescent="0.15">
      <c r="A158" s="91" t="s">
        <v>336</v>
      </c>
      <c r="B158" s="13" t="s">
        <v>337</v>
      </c>
      <c r="C158" s="13" t="s">
        <v>27</v>
      </c>
      <c r="D158" s="13" t="s">
        <v>40</v>
      </c>
      <c r="E158" s="13" t="s">
        <v>112</v>
      </c>
      <c r="F158" s="14">
        <v>0</v>
      </c>
      <c r="G158" s="14">
        <v>0</v>
      </c>
      <c r="H158" s="14">
        <v>0</v>
      </c>
      <c r="I158" s="14">
        <v>0</v>
      </c>
      <c r="J158" s="14">
        <v>0</v>
      </c>
      <c r="K158" s="14">
        <v>0</v>
      </c>
      <c r="L158" s="14">
        <v>0</v>
      </c>
      <c r="M158" s="15">
        <v>0</v>
      </c>
      <c r="N158" s="804"/>
      <c r="O158" s="14"/>
      <c r="P158" s="15"/>
      <c r="Q158" s="16" t="str">
        <f>IF(ISTEXT('Incurred 2.5% cpi'!Q158),"",'Incurred 2.5% cpi'!Q158/'Incurred 2.5% cpi'!Q$14*Incurred!Q$14)</f>
        <v/>
      </c>
      <c r="R158" s="127" t="str">
        <f>IF(ISTEXT('Incurred 2.5% cpi'!R158),"",'Incurred 2.5% cpi'!R158/'Incurred 2.5% cpi'!R$14*Incurred!R$14*BF158)</f>
        <v/>
      </c>
      <c r="S158" s="119" t="str">
        <f>IF(ISTEXT('Incurred 2.5% cpi'!S158),"",'Incurred 2.5% cpi'!S158/'Incurred 2.5% cpi'!S$14*Incurred!S$14*BG158)</f>
        <v/>
      </c>
      <c r="T158" s="16" t="str">
        <f>IF(ISTEXT('Incurred 2.5% cpi'!T158),"",'Incurred 2.5% cpi'!T158/'Incurred 2.5% cpi'!T$14*Incurred!T$14*BH158)</f>
        <v/>
      </c>
      <c r="U158" s="16">
        <f>IF(ISTEXT('Incurred 2.5% cpi'!U158),"",'Incurred 2.5% cpi'!U158/'Incurred 2.5% cpi'!U$14*Incurred!U$14*BI158)</f>
        <v>117024.24620311266</v>
      </c>
      <c r="V158" s="16">
        <f>IF(ISTEXT('Incurred 2.5% cpi'!V158),"",'Incurred 2.5% cpi'!V158/'Incurred 2.5% cpi'!V$14*Incurred!V$14*BJ158)</f>
        <v>154082.41041002425</v>
      </c>
      <c r="W158" s="127">
        <f>IF(ISTEXT('Incurred 2.5% cpi'!W158),"",'Incurred 2.5% cpi'!W158/'Incurred 2.5% cpi'!W$14*Incurred!W$14*BK158)</f>
        <v>140602.53135784966</v>
      </c>
      <c r="X158" s="119" t="str">
        <f>IF(ISTEXT('Incurred 2.5% cpi'!X158),"",'Incurred 2.5% cpi'!X158/'Incurred 2.5% cpi'!X$14*Incurred!X$14*BL158)</f>
        <v/>
      </c>
      <c r="Y158" s="95">
        <f t="shared" si="245"/>
        <v>411709.18797098659</v>
      </c>
      <c r="Z158" s="95">
        <f t="shared" si="268"/>
        <v>411709.18797098659</v>
      </c>
      <c r="AA158" s="676">
        <f t="shared" si="269"/>
        <v>419400.78269617568</v>
      </c>
      <c r="AB158" s="676">
        <f t="shared" si="270"/>
        <v>419400.78269617568</v>
      </c>
      <c r="AC158" s="677">
        <f t="shared" si="236"/>
        <v>1</v>
      </c>
      <c r="AD158" s="678" t="str">
        <f t="shared" si="271"/>
        <v>2023</v>
      </c>
      <c r="AE158" s="679">
        <v>44992</v>
      </c>
      <c r="AF158" s="678">
        <v>2023</v>
      </c>
      <c r="AG158" s="680"/>
      <c r="AH158" s="676">
        <f t="shared" si="264"/>
        <v>380423.32763561228</v>
      </c>
      <c r="AI158" s="95">
        <f t="shared" si="272"/>
        <v>140602.53135784966</v>
      </c>
      <c r="AJ158" s="681" t="s">
        <v>3058</v>
      </c>
      <c r="AK158" s="37">
        <f t="shared" si="273"/>
        <v>0</v>
      </c>
      <c r="AL158" s="31">
        <f t="shared" ref="AL158:BD158" si="282">IF($AK158=0,VLOOKUP(MID($A158,4,5),ProjectSplits,AL$20,FALSE),IF(ISNA(VLOOKUP($A158,Estimates,AL$19,FALSE)),VLOOKUP(MID($A158,4,5),ProjectSplits,AL$20,FALSE),VLOOKUP($A158,Estimates,AL$19,FALSE)))</f>
        <v>0</v>
      </c>
      <c r="AM158" s="31">
        <f t="shared" si="282"/>
        <v>0</v>
      </c>
      <c r="AN158" s="31">
        <f t="shared" si="282"/>
        <v>0</v>
      </c>
      <c r="AO158" s="31">
        <f t="shared" si="282"/>
        <v>1</v>
      </c>
      <c r="AP158" s="31">
        <f t="shared" si="282"/>
        <v>0</v>
      </c>
      <c r="AQ158" s="31">
        <f t="shared" si="282"/>
        <v>0</v>
      </c>
      <c r="AR158" s="31">
        <f t="shared" si="282"/>
        <v>0</v>
      </c>
      <c r="AS158" s="31">
        <f t="shared" si="282"/>
        <v>0</v>
      </c>
      <c r="AT158" s="31">
        <f t="shared" si="282"/>
        <v>0</v>
      </c>
      <c r="AU158" s="31">
        <f t="shared" si="282"/>
        <v>0</v>
      </c>
      <c r="AV158" s="31">
        <f t="shared" si="282"/>
        <v>0</v>
      </c>
      <c r="AW158" s="31">
        <f t="shared" si="282"/>
        <v>0</v>
      </c>
      <c r="AX158" s="31">
        <f t="shared" si="282"/>
        <v>0</v>
      </c>
      <c r="AY158" s="31">
        <f t="shared" si="282"/>
        <v>0</v>
      </c>
      <c r="AZ158" s="31">
        <f t="shared" si="282"/>
        <v>0</v>
      </c>
      <c r="BA158" s="31">
        <f t="shared" si="282"/>
        <v>0</v>
      </c>
      <c r="BB158" s="31">
        <f t="shared" si="282"/>
        <v>0</v>
      </c>
      <c r="BC158" s="31">
        <f t="shared" si="282"/>
        <v>0</v>
      </c>
      <c r="BD158" s="31">
        <f t="shared" si="282"/>
        <v>0</v>
      </c>
      <c r="BE158" s="30">
        <f>SUM(AL158:BD158)</f>
        <v>1</v>
      </c>
      <c r="BF158" s="620">
        <f t="shared" si="241"/>
        <v>1.0059304488076128</v>
      </c>
      <c r="BG158" s="620">
        <f t="shared" si="275"/>
        <v>1.011899445532475</v>
      </c>
      <c r="BH158" s="620">
        <f t="shared" si="276"/>
        <v>1.0188315169212143</v>
      </c>
      <c r="BI158" s="620">
        <f t="shared" si="277"/>
        <v>1.0272123912301998</v>
      </c>
      <c r="BJ158" s="620">
        <f t="shared" si="278"/>
        <v>1.0375478716696922</v>
      </c>
      <c r="BK158" s="620">
        <f t="shared" si="279"/>
        <v>1.0484720046996705</v>
      </c>
      <c r="BL158" s="620">
        <f t="shared" si="280"/>
        <v>1.0564333228669962</v>
      </c>
      <c r="BM158" s="621" t="str">
        <f t="shared" si="281"/>
        <v>Project</v>
      </c>
    </row>
    <row r="159" spans="1:65" x14ac:dyDescent="0.15">
      <c r="A159" s="91" t="s">
        <v>338</v>
      </c>
      <c r="B159" s="13" t="s">
        <v>339</v>
      </c>
      <c r="C159" s="13" t="s">
        <v>27</v>
      </c>
      <c r="D159" s="13" t="s">
        <v>40</v>
      </c>
      <c r="E159" s="13" t="s">
        <v>29</v>
      </c>
      <c r="F159" s="14">
        <v>0</v>
      </c>
      <c r="G159" s="14">
        <v>0</v>
      </c>
      <c r="H159" s="14">
        <v>0</v>
      </c>
      <c r="I159" s="14">
        <v>0</v>
      </c>
      <c r="J159" s="14">
        <v>0</v>
      </c>
      <c r="K159" s="14">
        <v>0</v>
      </c>
      <c r="L159" s="14">
        <v>0</v>
      </c>
      <c r="M159" s="15">
        <v>0</v>
      </c>
      <c r="N159" s="804"/>
      <c r="O159" s="14">
        <v>157936.68</v>
      </c>
      <c r="P159" s="15">
        <v>735154.39</v>
      </c>
      <c r="Q159" s="16">
        <f>IF(ISTEXT('Incurred 2.5% cpi'!Q159),"",'Incurred 2.5% cpi'!Q159/'Incurred 2.5% cpi'!Q$14*Incurred!Q$14)</f>
        <v>2604652.92</v>
      </c>
      <c r="R159" s="127">
        <f>IF(ISTEXT('Incurred 2.5% cpi'!R159),"",'Incurred 2.5% cpi'!R159/'Incurred 2.5% cpi'!R$14*Incurred!R$14*BF159)</f>
        <v>1729078.678053736</v>
      </c>
      <c r="S159" s="119">
        <f>IF(ISTEXT('Incurred 2.5% cpi'!S159),"",'Incurred 2.5% cpi'!S159/'Incurred 2.5% cpi'!S$14*Incurred!S$14*BG159)</f>
        <v>91553.105672434496</v>
      </c>
      <c r="T159" s="16">
        <f>IF(ISTEXT('Incurred 2.5% cpi'!T159),"",'Incurred 2.5% cpi'!T159/'Incurred 2.5% cpi'!T$14*Incurred!T$14*BH159)</f>
        <v>10699.85213087539</v>
      </c>
      <c r="U159" s="16" t="str">
        <f>IF(ISTEXT('Incurred 2.5% cpi'!U159),"",'Incurred 2.5% cpi'!U159/'Incurred 2.5% cpi'!U$14*Incurred!U$14*BI159)</f>
        <v/>
      </c>
      <c r="V159" s="16" t="str">
        <f>IF(ISTEXT('Incurred 2.5% cpi'!V159),"",'Incurred 2.5% cpi'!V159/'Incurred 2.5% cpi'!V$14*Incurred!V$14*BJ159)</f>
        <v/>
      </c>
      <c r="W159" s="127" t="str">
        <f>IF(ISTEXT('Incurred 2.5% cpi'!W159),"",'Incurred 2.5% cpi'!W159/'Incurred 2.5% cpi'!W$14*Incurred!W$14*BK159)</f>
        <v/>
      </c>
      <c r="X159" s="119" t="str">
        <f>IF(ISTEXT('Incurred 2.5% cpi'!X159),"",'Incurred 2.5% cpi'!X159/'Incurred 2.5% cpi'!X$14*Incurred!X$14*BL159)</f>
        <v/>
      </c>
      <c r="Y159" s="95">
        <f t="shared" si="245"/>
        <v>5329075.6258570459</v>
      </c>
      <c r="Z159" s="95">
        <f t="shared" si="268"/>
        <v>5329075.6258570459</v>
      </c>
      <c r="AA159" s="676">
        <f t="shared" si="269"/>
        <v>5970798.68073384</v>
      </c>
      <c r="AB159" s="676">
        <f t="shared" si="270"/>
        <v>5522589.349027276</v>
      </c>
      <c r="AC159" s="677">
        <f t="shared" si="236"/>
        <v>1.0811592721058483</v>
      </c>
      <c r="AD159" s="678" t="str">
        <f t="shared" si="271"/>
        <v>2020</v>
      </c>
      <c r="AE159" s="679">
        <v>43312</v>
      </c>
      <c r="AF159" s="678">
        <v>2019</v>
      </c>
      <c r="AG159" s="680"/>
      <c r="AH159" s="676">
        <f t="shared" si="264"/>
        <v>5415896.1940053692</v>
      </c>
      <c r="AI159" s="95">
        <f t="shared" si="272"/>
        <v>10699.85213087539</v>
      </c>
      <c r="AJ159" s="681" t="s">
        <v>3059</v>
      </c>
      <c r="AK159" s="37">
        <f t="shared" si="273"/>
        <v>5624778.6299999971</v>
      </c>
      <c r="AL159" s="31">
        <f t="shared" ref="AL159:BD159" si="283">IF($AK159=0,VLOOKUP(MID($A159,4,5),ProjectSplits,AL$20,FALSE),IF(ISNA(VLOOKUP($A159,Estimates,AL$19,FALSE)),VLOOKUP(MID($A159,4,5),ProjectSplits,AL$20,FALSE),VLOOKUP($A159,Estimates,AL$19,FALSE)))</f>
        <v>0</v>
      </c>
      <c r="AM159" s="31">
        <f t="shared" si="283"/>
        <v>0</v>
      </c>
      <c r="AN159" s="31">
        <f t="shared" si="283"/>
        <v>1</v>
      </c>
      <c r="AO159" s="443">
        <f t="shared" si="283"/>
        <v>0</v>
      </c>
      <c r="AP159" s="31">
        <f t="shared" si="283"/>
        <v>0</v>
      </c>
      <c r="AQ159" s="31">
        <f t="shared" si="283"/>
        <v>0</v>
      </c>
      <c r="AR159" s="31">
        <f t="shared" si="283"/>
        <v>0</v>
      </c>
      <c r="AS159" s="31">
        <f t="shared" si="283"/>
        <v>0</v>
      </c>
      <c r="AT159" s="31">
        <f t="shared" si="283"/>
        <v>0</v>
      </c>
      <c r="AU159" s="31">
        <f t="shared" si="283"/>
        <v>0</v>
      </c>
      <c r="AV159" s="31">
        <f t="shared" si="283"/>
        <v>0</v>
      </c>
      <c r="AW159" s="31">
        <f t="shared" si="283"/>
        <v>0</v>
      </c>
      <c r="AX159" s="31">
        <f t="shared" si="283"/>
        <v>0</v>
      </c>
      <c r="AY159" s="31">
        <f t="shared" si="283"/>
        <v>0</v>
      </c>
      <c r="AZ159" s="31">
        <f t="shared" si="283"/>
        <v>0</v>
      </c>
      <c r="BA159" s="31">
        <f t="shared" si="283"/>
        <v>0</v>
      </c>
      <c r="BB159" s="31">
        <f t="shared" si="283"/>
        <v>0</v>
      </c>
      <c r="BC159" s="31">
        <f t="shared" si="283"/>
        <v>0</v>
      </c>
      <c r="BD159" s="31">
        <f t="shared" si="283"/>
        <v>0</v>
      </c>
      <c r="BE159" s="30">
        <f>SUM(AL159:BD159)</f>
        <v>1</v>
      </c>
      <c r="BF159" s="620">
        <f t="shared" si="241"/>
        <v>1.0034498951996242</v>
      </c>
      <c r="BG159" s="620">
        <f t="shared" si="275"/>
        <v>1.0069222147180459</v>
      </c>
      <c r="BH159" s="620">
        <f t="shared" si="276"/>
        <v>1.0109547796356901</v>
      </c>
      <c r="BI159" s="620">
        <f t="shared" si="277"/>
        <v>1.0158301506211216</v>
      </c>
      <c r="BJ159" s="620">
        <f t="shared" si="278"/>
        <v>1.0218425664619335</v>
      </c>
      <c r="BK159" s="620">
        <f t="shared" si="279"/>
        <v>1.0281974167140426</v>
      </c>
      <c r="BL159" s="620">
        <f t="shared" si="280"/>
        <v>1.0328287210586446</v>
      </c>
      <c r="BM159" s="621" t="str">
        <f t="shared" si="281"/>
        <v>Category</v>
      </c>
    </row>
    <row r="160" spans="1:65" x14ac:dyDescent="0.15">
      <c r="A160" s="91" t="s">
        <v>340</v>
      </c>
      <c r="B160" s="13" t="s">
        <v>142</v>
      </c>
      <c r="C160" s="13" t="s">
        <v>27</v>
      </c>
      <c r="D160" s="13" t="s">
        <v>28</v>
      </c>
      <c r="E160" s="13" t="s">
        <v>29</v>
      </c>
      <c r="F160" s="14">
        <v>0</v>
      </c>
      <c r="G160" s="14">
        <v>0</v>
      </c>
      <c r="H160" s="14">
        <v>0</v>
      </c>
      <c r="I160" s="14">
        <v>0</v>
      </c>
      <c r="J160" s="14">
        <v>0</v>
      </c>
      <c r="K160" s="14">
        <v>0</v>
      </c>
      <c r="L160" s="14">
        <v>0</v>
      </c>
      <c r="M160" s="15">
        <v>185716.89</v>
      </c>
      <c r="N160" s="804">
        <v>254436.19</v>
      </c>
      <c r="O160" s="14">
        <v>414371.98</v>
      </c>
      <c r="P160" s="15">
        <v>375632.94</v>
      </c>
      <c r="Q160" s="16">
        <f>IF(ISTEXT('Incurred 2.5% cpi'!Q160),"",'Incurred 2.5% cpi'!Q160/'Incurred 2.5% cpi'!Q$14*Incurred!Q$14)</f>
        <v>364738.57</v>
      </c>
      <c r="R160" s="127">
        <f>IF(ISTEXT('Incurred 2.5% cpi'!R160),"",'Incurred 2.5% cpi'!R160/'Incurred 2.5% cpi'!R$14*Incurred!R$14*BF160)</f>
        <v>4491.5085822478186</v>
      </c>
      <c r="S160" s="119" t="str">
        <f>IF(ISTEXT('Incurred 2.5% cpi'!S160),"",'Incurred 2.5% cpi'!S160/'Incurred 2.5% cpi'!S$14*Incurred!S$14*BG160)</f>
        <v/>
      </c>
      <c r="T160" s="16" t="str">
        <f>IF(ISTEXT('Incurred 2.5% cpi'!T160),"",'Incurred 2.5% cpi'!T160/'Incurred 2.5% cpi'!T$14*Incurred!T$14*BH160)</f>
        <v/>
      </c>
      <c r="U160" s="16" t="str">
        <f>IF(ISTEXT('Incurred 2.5% cpi'!U160),"",'Incurred 2.5% cpi'!U160/'Incurred 2.5% cpi'!U$14*Incurred!U$14*BI160)</f>
        <v/>
      </c>
      <c r="V160" s="16" t="str">
        <f>IF(ISTEXT('Incurred 2.5% cpi'!V160),"",'Incurred 2.5% cpi'!V160/'Incurred 2.5% cpi'!V$14*Incurred!V$14*BJ160)</f>
        <v/>
      </c>
      <c r="W160" s="127" t="str">
        <f>IF(ISTEXT('Incurred 2.5% cpi'!W160),"",'Incurred 2.5% cpi'!W160/'Incurred 2.5% cpi'!W$14*Incurred!W$14*BK160)</f>
        <v/>
      </c>
      <c r="X160" s="119" t="str">
        <f>IF(ISTEXT('Incurred 2.5% cpi'!X160),"",'Incurred 2.5% cpi'!X160/'Incurred 2.5% cpi'!X$14*Incurred!X$14*BL160)</f>
        <v/>
      </c>
      <c r="Y160" s="95">
        <f t="shared" si="245"/>
        <v>1599388.078582248</v>
      </c>
      <c r="Z160" s="95">
        <f t="shared" si="268"/>
        <v>1599388.078582248</v>
      </c>
      <c r="AA160" s="676">
        <f t="shared" si="269"/>
        <v>1851173.6158401447</v>
      </c>
      <c r="AB160" s="676">
        <f t="shared" si="270"/>
        <v>1646692.9872506021</v>
      </c>
      <c r="AC160" s="677">
        <f t="shared" ref="AC160:AC189" si="284">IF(AF160="","",IF(AF160&lt;AD160,INDEX($F$17:$W$17,1,MATCH(TEXT(AF160,"000"),$F$21:$W$21)),INDEX($F$17:$W$17,1,MATCH(AD160,$F$21:$W$21))))</f>
        <v>1.1241765345287305</v>
      </c>
      <c r="AD160" s="678" t="str">
        <f t="shared" si="271"/>
        <v>2018</v>
      </c>
      <c r="AE160" s="679">
        <v>41361</v>
      </c>
      <c r="AF160" s="678">
        <v>2017</v>
      </c>
      <c r="AG160" s="680"/>
      <c r="AH160" s="676">
        <f t="shared" si="264"/>
        <v>1679132.8390994391</v>
      </c>
      <c r="AI160" s="95">
        <f t="shared" si="272"/>
        <v>4491.5085822478186</v>
      </c>
      <c r="AJ160" s="681" t="s">
        <v>0</v>
      </c>
      <c r="AK160" s="37">
        <f t="shared" si="273"/>
        <v>1436800</v>
      </c>
      <c r="AL160" s="31">
        <f t="shared" ref="AL160:AU161" si="285">IF($AK160=0,VLOOKUP(MID($A160,4,5),ProjectSplits,AL$20,FALSE),IF(ISNA(VLOOKUP($A160,Estimates,AL$19,FALSE)),VLOOKUP(MID($A160,4,5),ProjectSplits,AL$20,FALSE),VLOOKUP($A160,Estimates,AL$19,FALSE)))</f>
        <v>0</v>
      </c>
      <c r="AM160" s="31">
        <f t="shared" si="285"/>
        <v>0</v>
      </c>
      <c r="AN160" s="31">
        <f t="shared" si="285"/>
        <v>1</v>
      </c>
      <c r="AO160" s="31">
        <f t="shared" si="285"/>
        <v>0</v>
      </c>
      <c r="AP160" s="31">
        <f t="shared" si="285"/>
        <v>0</v>
      </c>
      <c r="AQ160" s="31">
        <f t="shared" si="285"/>
        <v>0</v>
      </c>
      <c r="AR160" s="31">
        <f t="shared" si="285"/>
        <v>0</v>
      </c>
      <c r="AS160" s="31">
        <f t="shared" si="285"/>
        <v>0</v>
      </c>
      <c r="AT160" s="31">
        <f t="shared" si="285"/>
        <v>0</v>
      </c>
      <c r="AU160" s="31">
        <f t="shared" si="285"/>
        <v>0</v>
      </c>
      <c r="AV160" s="31">
        <f t="shared" ref="AV160:BD161" si="286">IF($AK160=0,VLOOKUP(MID($A160,4,5),ProjectSplits,AV$20,FALSE),IF(ISNA(VLOOKUP($A160,Estimates,AV$19,FALSE)),VLOOKUP(MID($A160,4,5),ProjectSplits,AV$20,FALSE),VLOOKUP($A160,Estimates,AV$19,FALSE)))</f>
        <v>0</v>
      </c>
      <c r="AW160" s="31">
        <f t="shared" si="286"/>
        <v>0</v>
      </c>
      <c r="AX160" s="31">
        <f t="shared" si="286"/>
        <v>0</v>
      </c>
      <c r="AY160" s="31">
        <f t="shared" si="286"/>
        <v>0</v>
      </c>
      <c r="AZ160" s="31">
        <f t="shared" si="286"/>
        <v>0</v>
      </c>
      <c r="BA160" s="31">
        <f t="shared" si="286"/>
        <v>0</v>
      </c>
      <c r="BB160" s="31">
        <f t="shared" si="286"/>
        <v>0</v>
      </c>
      <c r="BC160" s="31">
        <f t="shared" si="286"/>
        <v>0</v>
      </c>
      <c r="BD160" s="31">
        <f t="shared" si="286"/>
        <v>0</v>
      </c>
      <c r="BE160" s="30">
        <f t="shared" ref="BE160:BE161" si="287">SUM(AL160:BD160)</f>
        <v>1</v>
      </c>
      <c r="BF160" s="620">
        <f t="shared" ref="BF160:BF190" si="288">1+IF(ISNA(VLOOKUP($A160,ProjLabEsc,7,FALSE)),VLOOKUP(D160,CatLabEsc,4,FALSE),VLOOKUP(A160,ProjLabEsc,7,FALSE))*Labesc18*LabIn</f>
        <v>1.0030444840366091</v>
      </c>
      <c r="BG160" s="620">
        <f t="shared" si="275"/>
        <v>1.0061087572194563</v>
      </c>
      <c r="BH160" s="620">
        <f t="shared" si="276"/>
        <v>1.0096674390946898</v>
      </c>
      <c r="BI160" s="620">
        <f t="shared" si="277"/>
        <v>1.0139698854818469</v>
      </c>
      <c r="BJ160" s="620">
        <f t="shared" si="278"/>
        <v>1.0192757579764089</v>
      </c>
      <c r="BK160" s="620">
        <f t="shared" si="279"/>
        <v>1.0248838240271385</v>
      </c>
      <c r="BL160" s="620">
        <f t="shared" si="280"/>
        <v>1.0289708850333266</v>
      </c>
      <c r="BM160" s="621" t="str">
        <f t="shared" si="281"/>
        <v>Category</v>
      </c>
    </row>
    <row r="161" spans="1:65" x14ac:dyDescent="0.15">
      <c r="A161" s="91" t="s">
        <v>341</v>
      </c>
      <c r="B161" s="13" t="s">
        <v>342</v>
      </c>
      <c r="C161" s="13" t="s">
        <v>27</v>
      </c>
      <c r="D161" s="13" t="s">
        <v>40</v>
      </c>
      <c r="E161" s="13" t="s">
        <v>29</v>
      </c>
      <c r="F161" s="14">
        <v>0</v>
      </c>
      <c r="G161" s="14">
        <v>0</v>
      </c>
      <c r="H161" s="14">
        <v>0</v>
      </c>
      <c r="I161" s="14">
        <v>0</v>
      </c>
      <c r="J161" s="14">
        <v>0</v>
      </c>
      <c r="K161" s="14">
        <v>0</v>
      </c>
      <c r="L161" s="14">
        <v>0</v>
      </c>
      <c r="M161" s="15">
        <v>0</v>
      </c>
      <c r="N161" s="804"/>
      <c r="O161" s="14"/>
      <c r="P161" s="15">
        <v>21297.82</v>
      </c>
      <c r="Q161" s="16">
        <f>IF(ISTEXT('Incurred 2.5% cpi'!Q161),"",'Incurred 2.5% cpi'!Q161/'Incurred 2.5% cpi'!Q$14*Incurred!Q$14)</f>
        <v>491195.23</v>
      </c>
      <c r="R161" s="127">
        <f>IF(ISTEXT('Incurred 2.5% cpi'!R161),"",'Incurred 2.5% cpi'!R161/'Incurred 2.5% cpi'!R$14*Incurred!R$14*BF161)</f>
        <v>625626.21479087684</v>
      </c>
      <c r="S161" s="119">
        <f>IF(ISTEXT('Incurred 2.5% cpi'!S161),"",'Incurred 2.5% cpi'!S161/'Incurred 2.5% cpi'!S$14*Incurred!S$14*BG161)</f>
        <v>20512.419785014605</v>
      </c>
      <c r="T161" s="16" t="str">
        <f>IF(ISTEXT('Incurred 2.5% cpi'!T161),"",'Incurred 2.5% cpi'!T161/'Incurred 2.5% cpi'!T$14*Incurred!T$14*BH161)</f>
        <v/>
      </c>
      <c r="U161" s="16" t="str">
        <f>IF(ISTEXT('Incurred 2.5% cpi'!U161),"",'Incurred 2.5% cpi'!U161/'Incurred 2.5% cpi'!U$14*Incurred!U$14*BI161)</f>
        <v/>
      </c>
      <c r="V161" s="16" t="str">
        <f>IF(ISTEXT('Incurred 2.5% cpi'!V161),"",'Incurred 2.5% cpi'!V161/'Incurred 2.5% cpi'!V$14*Incurred!V$14*BJ161)</f>
        <v/>
      </c>
      <c r="W161" s="127" t="str">
        <f>IF(ISTEXT('Incurred 2.5% cpi'!W161),"",'Incurred 2.5% cpi'!W161/'Incurred 2.5% cpi'!W$14*Incurred!W$14*BK161)</f>
        <v/>
      </c>
      <c r="X161" s="119" t="str">
        <f>IF(ISTEXT('Incurred 2.5% cpi'!X161),"",'Incurred 2.5% cpi'!X161/'Incurred 2.5% cpi'!X$14*Incurred!X$14*BL161)</f>
        <v/>
      </c>
      <c r="Y161" s="95">
        <f t="shared" si="245"/>
        <v>1158631.6845758914</v>
      </c>
      <c r="Z161" s="95">
        <f t="shared" si="268"/>
        <v>1158631.6845758914</v>
      </c>
      <c r="AA161" s="676">
        <f t="shared" si="269"/>
        <v>1288508.2153783399</v>
      </c>
      <c r="AB161" s="676">
        <f t="shared" si="270"/>
        <v>1168759.3423857526</v>
      </c>
      <c r="AC161" s="677">
        <f t="shared" si="284"/>
        <v>1.1024581097663335</v>
      </c>
      <c r="AD161" s="678" t="str">
        <f t="shared" si="271"/>
        <v>2019</v>
      </c>
      <c r="AE161" s="679">
        <v>43040</v>
      </c>
      <c r="AF161" s="678">
        <v>2018</v>
      </c>
      <c r="AG161" s="680"/>
      <c r="AH161" s="676">
        <f t="shared" si="264"/>
        <v>1168759.3423857526</v>
      </c>
      <c r="AI161" s="95">
        <f t="shared" si="272"/>
        <v>20512.419785014605</v>
      </c>
      <c r="AJ161" s="681" t="s">
        <v>0</v>
      </c>
      <c r="AK161" s="37">
        <f t="shared" si="273"/>
        <v>0</v>
      </c>
      <c r="AL161" s="31">
        <f t="shared" si="285"/>
        <v>0</v>
      </c>
      <c r="AM161" s="31">
        <f t="shared" si="285"/>
        <v>0</v>
      </c>
      <c r="AN161" s="31">
        <f t="shared" si="285"/>
        <v>0</v>
      </c>
      <c r="AO161" s="31">
        <f t="shared" si="285"/>
        <v>1</v>
      </c>
      <c r="AP161" s="31">
        <f t="shared" si="285"/>
        <v>0</v>
      </c>
      <c r="AQ161" s="31">
        <f t="shared" si="285"/>
        <v>0</v>
      </c>
      <c r="AR161" s="31">
        <f t="shared" si="285"/>
        <v>0</v>
      </c>
      <c r="AS161" s="31">
        <f t="shared" si="285"/>
        <v>0</v>
      </c>
      <c r="AT161" s="31">
        <f t="shared" si="285"/>
        <v>0</v>
      </c>
      <c r="AU161" s="31">
        <f t="shared" si="285"/>
        <v>0</v>
      </c>
      <c r="AV161" s="31">
        <f t="shared" si="286"/>
        <v>0</v>
      </c>
      <c r="AW161" s="31">
        <f t="shared" si="286"/>
        <v>0</v>
      </c>
      <c r="AX161" s="31">
        <f t="shared" si="286"/>
        <v>0</v>
      </c>
      <c r="AY161" s="31">
        <f t="shared" si="286"/>
        <v>0</v>
      </c>
      <c r="AZ161" s="31">
        <f t="shared" si="286"/>
        <v>0</v>
      </c>
      <c r="BA161" s="31">
        <f t="shared" si="286"/>
        <v>0</v>
      </c>
      <c r="BB161" s="31">
        <f t="shared" si="286"/>
        <v>0</v>
      </c>
      <c r="BC161" s="31">
        <f t="shared" si="286"/>
        <v>0</v>
      </c>
      <c r="BD161" s="31">
        <f t="shared" si="286"/>
        <v>0</v>
      </c>
      <c r="BE161" s="30">
        <f t="shared" si="287"/>
        <v>1</v>
      </c>
      <c r="BF161" s="620">
        <f t="shared" si="288"/>
        <v>1.0034498951996242</v>
      </c>
      <c r="BG161" s="620">
        <f t="shared" si="275"/>
        <v>1.0069222147180459</v>
      </c>
      <c r="BH161" s="620">
        <f t="shared" si="276"/>
        <v>1.0109547796356901</v>
      </c>
      <c r="BI161" s="620">
        <f t="shared" si="277"/>
        <v>1.0158301506211216</v>
      </c>
      <c r="BJ161" s="620">
        <f t="shared" si="278"/>
        <v>1.0218425664619335</v>
      </c>
      <c r="BK161" s="620">
        <f t="shared" si="279"/>
        <v>1.0281974167140426</v>
      </c>
      <c r="BL161" s="620">
        <f t="shared" si="280"/>
        <v>1.0328287210586446</v>
      </c>
      <c r="BM161" s="621" t="str">
        <f t="shared" si="281"/>
        <v>Category</v>
      </c>
    </row>
    <row r="162" spans="1:65" x14ac:dyDescent="0.15">
      <c r="A162" s="91" t="s">
        <v>343</v>
      </c>
      <c r="B162" s="13" t="s">
        <v>344</v>
      </c>
      <c r="C162" s="13" t="s">
        <v>27</v>
      </c>
      <c r="D162" s="13" t="s">
        <v>40</v>
      </c>
      <c r="E162" s="13" t="s">
        <v>112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5">
        <v>0</v>
      </c>
      <c r="N162" s="804"/>
      <c r="O162" s="14"/>
      <c r="P162" s="15"/>
      <c r="Q162" s="16" t="str">
        <f>IF(ISTEXT('Incurred 2.5% cpi'!Q162),"",'Incurred 2.5% cpi'!Q162/'Incurred 2.5% cpi'!Q$14*Incurred!Q$14)</f>
        <v/>
      </c>
      <c r="R162" s="127" t="str">
        <f>IF(ISTEXT('Incurred 2.5% cpi'!R162),"",'Incurred 2.5% cpi'!R162/'Incurred 2.5% cpi'!R$14*Incurred!R$14*BF162)</f>
        <v/>
      </c>
      <c r="S162" s="119" t="str">
        <f>IF(ISTEXT('Incurred 2.5% cpi'!S162),"",'Incurred 2.5% cpi'!S162/'Incurred 2.5% cpi'!S$14*Incurred!S$14*BG162)</f>
        <v/>
      </c>
      <c r="T162" s="16">
        <f>IF(ISTEXT('Incurred 2.5% cpi'!T162),"",'Incurred 2.5% cpi'!T162/'Incurred 2.5% cpi'!T$14*Incurred!T$14*BH162)</f>
        <v>149019.16453856725</v>
      </c>
      <c r="U162" s="16">
        <f>IF(ISTEXT('Incurred 2.5% cpi'!U162),"",'Incurred 2.5% cpi'!U162/'Incurred 2.5% cpi'!U$14*Incurred!U$14*BI162)</f>
        <v>411351.27566445823</v>
      </c>
      <c r="V162" s="16">
        <f>IF(ISTEXT('Incurred 2.5% cpi'!V162),"",'Incurred 2.5% cpi'!V162/'Incurred 2.5% cpi'!V$14*Incurred!V$14*BJ162)</f>
        <v>410482.18675256445</v>
      </c>
      <c r="W162" s="127" t="str">
        <f>IF(ISTEXT('Incurred 2.5% cpi'!W162),"",'Incurred 2.5% cpi'!W162/'Incurred 2.5% cpi'!W$14*Incurred!W$14*BK162)</f>
        <v/>
      </c>
      <c r="X162" s="119" t="str">
        <f>IF(ISTEXT('Incurred 2.5% cpi'!X162),"",'Incurred 2.5% cpi'!X162/'Incurred 2.5% cpi'!X$14*Incurred!X$14*BL162)</f>
        <v/>
      </c>
      <c r="Y162" s="95">
        <f t="shared" si="245"/>
        <v>970852.62695558998</v>
      </c>
      <c r="Z162" s="95">
        <f t="shared" si="268"/>
        <v>970852.62695558998</v>
      </c>
      <c r="AA162" s="676">
        <f t="shared" si="269"/>
        <v>1004287.6780863914</v>
      </c>
      <c r="AB162" s="676">
        <f t="shared" si="270"/>
        <v>984885.43501656502</v>
      </c>
      <c r="AC162" s="677">
        <f t="shared" si="284"/>
        <v>1.0197000000000001</v>
      </c>
      <c r="AD162" s="678" t="str">
        <f t="shared" si="271"/>
        <v>2022</v>
      </c>
      <c r="AE162" s="679">
        <v>44594</v>
      </c>
      <c r="AF162" s="678">
        <v>2022</v>
      </c>
      <c r="AG162" s="680"/>
      <c r="AH162" s="676">
        <f t="shared" ref="AH162:AH169" si="289">IF(ROUND(Y162,0)=0,0,SUMPRODUCT($F$16:$W$16,F162:W162))</f>
        <v>910953.14115767239</v>
      </c>
      <c r="AI162" s="95">
        <f t="shared" si="272"/>
        <v>410482.18675256445</v>
      </c>
      <c r="AJ162" s="681" t="s">
        <v>3058</v>
      </c>
      <c r="AK162" s="37">
        <f t="shared" si="273"/>
        <v>169999.99999999974</v>
      </c>
      <c r="AL162" s="31">
        <f t="shared" ref="AL162:AU169" si="290">IF($AK162=0,VLOOKUP(MID($A162,4,5),ProjectSplits,AL$20,FALSE),IF(ISNA(VLOOKUP($A162,Estimates,AL$19,FALSE)),VLOOKUP(MID($A162,4,5),ProjectSplits,AL$20,FALSE),VLOOKUP($A162,Estimates,AL$19,FALSE)))</f>
        <v>0</v>
      </c>
      <c r="AM162" s="31">
        <f t="shared" si="290"/>
        <v>0</v>
      </c>
      <c r="AN162" s="31">
        <f t="shared" si="290"/>
        <v>0</v>
      </c>
      <c r="AO162" s="31">
        <f t="shared" si="290"/>
        <v>1</v>
      </c>
      <c r="AP162" s="31">
        <f t="shared" si="290"/>
        <v>0</v>
      </c>
      <c r="AQ162" s="31">
        <f t="shared" si="290"/>
        <v>0</v>
      </c>
      <c r="AR162" s="31">
        <f t="shared" si="290"/>
        <v>0</v>
      </c>
      <c r="AS162" s="31">
        <f t="shared" si="290"/>
        <v>0</v>
      </c>
      <c r="AT162" s="31">
        <f t="shared" si="290"/>
        <v>0</v>
      </c>
      <c r="AU162" s="31">
        <f t="shared" si="290"/>
        <v>0</v>
      </c>
      <c r="AV162" s="31">
        <f t="shared" ref="AV162:BD169" si="291">IF($AK162=0,VLOOKUP(MID($A162,4,5),ProjectSplits,AV$20,FALSE),IF(ISNA(VLOOKUP($A162,Estimates,AV$19,FALSE)),VLOOKUP(MID($A162,4,5),ProjectSplits,AV$20,FALSE),VLOOKUP($A162,Estimates,AV$19,FALSE)))</f>
        <v>0</v>
      </c>
      <c r="AW162" s="31">
        <f t="shared" si="291"/>
        <v>0</v>
      </c>
      <c r="AX162" s="31">
        <f t="shared" si="291"/>
        <v>0</v>
      </c>
      <c r="AY162" s="31">
        <f t="shared" si="291"/>
        <v>0</v>
      </c>
      <c r="AZ162" s="31">
        <f t="shared" si="291"/>
        <v>0</v>
      </c>
      <c r="BA162" s="31">
        <f t="shared" si="291"/>
        <v>0</v>
      </c>
      <c r="BB162" s="31">
        <f t="shared" si="291"/>
        <v>0</v>
      </c>
      <c r="BC162" s="31">
        <f t="shared" si="291"/>
        <v>0</v>
      </c>
      <c r="BD162" s="31">
        <f t="shared" si="291"/>
        <v>0</v>
      </c>
      <c r="BE162" s="30">
        <f t="shared" ref="BE162:BE169" si="292">SUM(AL162:BD162)</f>
        <v>1</v>
      </c>
      <c r="BF162" s="620">
        <f t="shared" si="288"/>
        <v>1.0047443590460903</v>
      </c>
      <c r="BG162" s="620">
        <f t="shared" si="275"/>
        <v>1.00951955642598</v>
      </c>
      <c r="BH162" s="620">
        <f t="shared" si="276"/>
        <v>1.0150652135369715</v>
      </c>
      <c r="BI162" s="620">
        <f t="shared" si="277"/>
        <v>1.0217699129841598</v>
      </c>
      <c r="BJ162" s="620">
        <f t="shared" si="278"/>
        <v>1.0300382973357538</v>
      </c>
      <c r="BK162" s="620">
        <f t="shared" si="279"/>
        <v>1.0387776037597363</v>
      </c>
      <c r="BL162" s="620">
        <f t="shared" si="280"/>
        <v>1.0451466582935969</v>
      </c>
      <c r="BM162" s="621" t="str">
        <f t="shared" si="281"/>
        <v>Project</v>
      </c>
    </row>
    <row r="163" spans="1:65" x14ac:dyDescent="0.15">
      <c r="A163" s="91" t="s">
        <v>345</v>
      </c>
      <c r="B163" s="13" t="s">
        <v>2382</v>
      </c>
      <c r="C163" s="13" t="s">
        <v>27</v>
      </c>
      <c r="D163" s="13" t="s">
        <v>55</v>
      </c>
      <c r="E163" s="13" t="s">
        <v>29</v>
      </c>
      <c r="F163" s="14">
        <v>0</v>
      </c>
      <c r="G163" s="14">
        <v>0</v>
      </c>
      <c r="H163" s="14">
        <v>0</v>
      </c>
      <c r="I163" s="14">
        <v>0</v>
      </c>
      <c r="J163" s="14">
        <v>0</v>
      </c>
      <c r="K163" s="14">
        <v>0</v>
      </c>
      <c r="L163" s="14">
        <v>0</v>
      </c>
      <c r="M163" s="15">
        <v>0</v>
      </c>
      <c r="N163" s="804"/>
      <c r="O163" s="14"/>
      <c r="P163" s="15"/>
      <c r="Q163" s="16">
        <f>IF(ISTEXT('Incurred 2.5% cpi'!Q163),"",'Incurred 2.5% cpi'!Q163/'Incurred 2.5% cpi'!Q$14*Incurred!Q$14)</f>
        <v>796211.17</v>
      </c>
      <c r="R163" s="127">
        <f>IF(ISTEXT('Incurred 2.5% cpi'!R163),"",'Incurred 2.5% cpi'!R163/'Incurred 2.5% cpi'!R$14*Incurred!R$14*BF163)</f>
        <v>166065.09767096688</v>
      </c>
      <c r="S163" s="119" t="str">
        <f>IF(ISTEXT('Incurred 2.5% cpi'!S163),"",'Incurred 2.5% cpi'!S163/'Incurred 2.5% cpi'!S$14*Incurred!S$14*BG163)</f>
        <v/>
      </c>
      <c r="T163" s="16" t="str">
        <f>IF(ISTEXT('Incurred 2.5% cpi'!T163),"",'Incurred 2.5% cpi'!T163/'Incurred 2.5% cpi'!T$14*Incurred!T$14*BH163)</f>
        <v/>
      </c>
      <c r="U163" s="16" t="str">
        <f>IF(ISTEXT('Incurred 2.5% cpi'!U163),"",'Incurred 2.5% cpi'!U163/'Incurred 2.5% cpi'!U$14*Incurred!U$14*BI163)</f>
        <v/>
      </c>
      <c r="V163" s="16" t="str">
        <f>IF(ISTEXT('Incurred 2.5% cpi'!V163),"",'Incurred 2.5% cpi'!V163/'Incurred 2.5% cpi'!V$14*Incurred!V$14*BJ163)</f>
        <v/>
      </c>
      <c r="W163" s="127" t="str">
        <f>IF(ISTEXT('Incurred 2.5% cpi'!W163),"",'Incurred 2.5% cpi'!W163/'Incurred 2.5% cpi'!W$14*Incurred!W$14*BK163)</f>
        <v/>
      </c>
      <c r="X163" s="119" t="str">
        <f>IF(ISTEXT('Incurred 2.5% cpi'!X163),"",'Incurred 2.5% cpi'!X163/'Incurred 2.5% cpi'!X$14*Incurred!X$14*BL163)</f>
        <v/>
      </c>
      <c r="Y163" s="95">
        <f t="shared" si="245"/>
        <v>962276.26767096692</v>
      </c>
      <c r="Z163" s="95">
        <f t="shared" si="268"/>
        <v>962276.26767096692</v>
      </c>
      <c r="AA163" s="676">
        <f t="shared" si="269"/>
        <v>1078161.7275201618</v>
      </c>
      <c r="AB163" s="676">
        <f t="shared" si="270"/>
        <v>977961.62771996716</v>
      </c>
      <c r="AC163" s="677">
        <f t="shared" si="284"/>
        <v>1.1024581097663335</v>
      </c>
      <c r="AD163" s="678" t="str">
        <f t="shared" si="271"/>
        <v>2018</v>
      </c>
      <c r="AE163" s="679">
        <v>43042</v>
      </c>
      <c r="AF163" s="678">
        <v>2018</v>
      </c>
      <c r="AG163" s="680"/>
      <c r="AH163" s="676">
        <f t="shared" si="289"/>
        <v>977961.62771996693</v>
      </c>
      <c r="AI163" s="95">
        <f t="shared" si="272"/>
        <v>166065.09767096688</v>
      </c>
      <c r="AJ163" s="681" t="s">
        <v>0</v>
      </c>
      <c r="AK163" s="37">
        <f t="shared" si="273"/>
        <v>211832.99999999974</v>
      </c>
      <c r="AL163" s="31">
        <f t="shared" si="290"/>
        <v>0</v>
      </c>
      <c r="AM163" s="31">
        <f t="shared" si="290"/>
        <v>0</v>
      </c>
      <c r="AN163" s="31">
        <f t="shared" si="290"/>
        <v>0</v>
      </c>
      <c r="AO163" s="31">
        <f t="shared" si="290"/>
        <v>1</v>
      </c>
      <c r="AP163" s="31">
        <f t="shared" si="290"/>
        <v>0</v>
      </c>
      <c r="AQ163" s="31">
        <f t="shared" si="290"/>
        <v>0</v>
      </c>
      <c r="AR163" s="31">
        <f t="shared" si="290"/>
        <v>0</v>
      </c>
      <c r="AS163" s="31">
        <f t="shared" si="290"/>
        <v>0</v>
      </c>
      <c r="AT163" s="31">
        <f t="shared" si="290"/>
        <v>0</v>
      </c>
      <c r="AU163" s="31">
        <f t="shared" si="290"/>
        <v>0</v>
      </c>
      <c r="AV163" s="31">
        <f t="shared" si="291"/>
        <v>0</v>
      </c>
      <c r="AW163" s="31">
        <f t="shared" si="291"/>
        <v>0</v>
      </c>
      <c r="AX163" s="31">
        <f t="shared" si="291"/>
        <v>0</v>
      </c>
      <c r="AY163" s="31">
        <f t="shared" si="291"/>
        <v>0</v>
      </c>
      <c r="AZ163" s="31">
        <f t="shared" si="291"/>
        <v>0</v>
      </c>
      <c r="BA163" s="31">
        <f t="shared" si="291"/>
        <v>0</v>
      </c>
      <c r="BB163" s="31">
        <f t="shared" si="291"/>
        <v>0</v>
      </c>
      <c r="BC163" s="31">
        <f t="shared" si="291"/>
        <v>0</v>
      </c>
      <c r="BD163" s="31">
        <f t="shared" si="291"/>
        <v>0</v>
      </c>
      <c r="BE163" s="30">
        <f t="shared" si="292"/>
        <v>1</v>
      </c>
      <c r="BF163" s="620">
        <f t="shared" si="288"/>
        <v>1.0046190746045656</v>
      </c>
      <c r="BG163" s="620">
        <f t="shared" si="275"/>
        <v>1.0092681731940607</v>
      </c>
      <c r="BH163" s="620">
        <f t="shared" si="276"/>
        <v>1.0146673859598225</v>
      </c>
      <c r="BI163" s="620">
        <f t="shared" si="277"/>
        <v>1.0211950341936284</v>
      </c>
      <c r="BJ163" s="620">
        <f t="shared" si="278"/>
        <v>1.0292450750544078</v>
      </c>
      <c r="BK163" s="620">
        <f t="shared" si="279"/>
        <v>1.0377536023333034</v>
      </c>
      <c r="BL163" s="620">
        <f t="shared" si="280"/>
        <v>1.0439544690397748</v>
      </c>
      <c r="BM163" s="621" t="str">
        <f t="shared" si="281"/>
        <v>Category</v>
      </c>
    </row>
    <row r="164" spans="1:65" x14ac:dyDescent="0.15">
      <c r="A164" s="91" t="s">
        <v>346</v>
      </c>
      <c r="B164" s="13" t="s">
        <v>2304</v>
      </c>
      <c r="C164" s="13" t="s">
        <v>27</v>
      </c>
      <c r="D164" s="13" t="s">
        <v>55</v>
      </c>
      <c r="E164" s="13" t="s">
        <v>29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5">
        <v>0</v>
      </c>
      <c r="N164" s="804"/>
      <c r="O164" s="14"/>
      <c r="P164" s="15"/>
      <c r="Q164" s="16">
        <f>IF(ISTEXT('Incurred 2.5% cpi'!Q164),"",'Incurred 2.5% cpi'!Q164/'Incurred 2.5% cpi'!Q$14*Incurred!Q$14)</f>
        <v>815017.13</v>
      </c>
      <c r="R164" s="127">
        <f>IF(ISTEXT('Incurred 2.5% cpi'!R164),"",'Incurred 2.5% cpi'!R164/'Incurred 2.5% cpi'!R$14*Incurred!R$14*BF164)</f>
        <v>822496.78668912046</v>
      </c>
      <c r="S164" s="119">
        <f>IF(ISTEXT('Incurred 2.5% cpi'!S164),"",'Incurred 2.5% cpi'!S164/'Incurred 2.5% cpi'!S$14*Incurred!S$14*BG164)</f>
        <v>293347.45937354001</v>
      </c>
      <c r="T164" s="16" t="str">
        <f>IF(ISTEXT('Incurred 2.5% cpi'!T164),"",'Incurred 2.5% cpi'!T164/'Incurred 2.5% cpi'!T$14*Incurred!T$14*BH164)</f>
        <v/>
      </c>
      <c r="U164" s="16" t="str">
        <f>IF(ISTEXT('Incurred 2.5% cpi'!U164),"",'Incurred 2.5% cpi'!U164/'Incurred 2.5% cpi'!U$14*Incurred!U$14*BI164)</f>
        <v/>
      </c>
      <c r="V164" s="16" t="str">
        <f>IF(ISTEXT('Incurred 2.5% cpi'!V164),"",'Incurred 2.5% cpi'!V164/'Incurred 2.5% cpi'!V$14*Incurred!V$14*BJ164)</f>
        <v/>
      </c>
      <c r="W164" s="127" t="str">
        <f>IF(ISTEXT('Incurred 2.5% cpi'!W164),"",'Incurred 2.5% cpi'!W164/'Incurred 2.5% cpi'!W$14*Incurred!W$14*BK164)</f>
        <v/>
      </c>
      <c r="X164" s="119" t="str">
        <f>IF(ISTEXT('Incurred 2.5% cpi'!X164),"",'Incurred 2.5% cpi'!X164/'Incurred 2.5% cpi'!X$14*Incurred!X$14*BL164)</f>
        <v/>
      </c>
      <c r="Y164" s="95">
        <f t="shared" si="245"/>
        <v>1930861.3760626605</v>
      </c>
      <c r="Z164" s="95">
        <f t="shared" si="268"/>
        <v>1930861.3760626605</v>
      </c>
      <c r="AA164" s="676">
        <f t="shared" si="269"/>
        <v>2140146.7111775191</v>
      </c>
      <c r="AB164" s="676">
        <f t="shared" si="270"/>
        <v>1979492.537680418</v>
      </c>
      <c r="AC164" s="677">
        <f t="shared" si="284"/>
        <v>1.0811592721058483</v>
      </c>
      <c r="AD164" s="678" t="str">
        <f t="shared" si="271"/>
        <v>2019</v>
      </c>
      <c r="AE164" s="679">
        <v>43396</v>
      </c>
      <c r="AF164" s="678">
        <v>2019</v>
      </c>
      <c r="AG164" s="680"/>
      <c r="AH164" s="676">
        <f t="shared" si="289"/>
        <v>1941249.9143673806</v>
      </c>
      <c r="AI164" s="95">
        <f t="shared" si="272"/>
        <v>293347.45937354001</v>
      </c>
      <c r="AJ164" s="681" t="s">
        <v>3058</v>
      </c>
      <c r="AK164" s="37">
        <f t="shared" si="273"/>
        <v>449800.00000000058</v>
      </c>
      <c r="AL164" s="31">
        <f t="shared" si="290"/>
        <v>0</v>
      </c>
      <c r="AM164" s="31">
        <f t="shared" si="290"/>
        <v>0</v>
      </c>
      <c r="AN164" s="31">
        <f t="shared" si="290"/>
        <v>0</v>
      </c>
      <c r="AO164" s="31">
        <f t="shared" si="290"/>
        <v>1</v>
      </c>
      <c r="AP164" s="31">
        <f t="shared" si="290"/>
        <v>0</v>
      </c>
      <c r="AQ164" s="31">
        <f t="shared" si="290"/>
        <v>0</v>
      </c>
      <c r="AR164" s="31">
        <f t="shared" si="290"/>
        <v>0</v>
      </c>
      <c r="AS164" s="31">
        <f t="shared" si="290"/>
        <v>0</v>
      </c>
      <c r="AT164" s="31">
        <f t="shared" si="290"/>
        <v>0</v>
      </c>
      <c r="AU164" s="31">
        <f t="shared" si="290"/>
        <v>0</v>
      </c>
      <c r="AV164" s="31">
        <f t="shared" si="291"/>
        <v>0</v>
      </c>
      <c r="AW164" s="31">
        <f t="shared" si="291"/>
        <v>0</v>
      </c>
      <c r="AX164" s="31">
        <f t="shared" si="291"/>
        <v>0</v>
      </c>
      <c r="AY164" s="31">
        <f t="shared" si="291"/>
        <v>0</v>
      </c>
      <c r="AZ164" s="31">
        <f t="shared" si="291"/>
        <v>0</v>
      </c>
      <c r="BA164" s="31">
        <f t="shared" si="291"/>
        <v>0</v>
      </c>
      <c r="BB164" s="31">
        <f t="shared" si="291"/>
        <v>0</v>
      </c>
      <c r="BC164" s="31">
        <f t="shared" si="291"/>
        <v>0</v>
      </c>
      <c r="BD164" s="31">
        <f t="shared" si="291"/>
        <v>0</v>
      </c>
      <c r="BE164" s="30">
        <f t="shared" si="292"/>
        <v>1</v>
      </c>
      <c r="BF164" s="620">
        <f t="shared" si="288"/>
        <v>1.0046190746045656</v>
      </c>
      <c r="BG164" s="620">
        <f t="shared" si="275"/>
        <v>1.0092681731940607</v>
      </c>
      <c r="BH164" s="620">
        <f t="shared" si="276"/>
        <v>1.0146673859598225</v>
      </c>
      <c r="BI164" s="620">
        <f t="shared" si="277"/>
        <v>1.0211950341936284</v>
      </c>
      <c r="BJ164" s="620">
        <f t="shared" si="278"/>
        <v>1.0292450750544078</v>
      </c>
      <c r="BK164" s="620">
        <f t="shared" si="279"/>
        <v>1.0377536023333034</v>
      </c>
      <c r="BL164" s="620">
        <f t="shared" si="280"/>
        <v>1.0439544690397748</v>
      </c>
      <c r="BM164" s="621" t="str">
        <f t="shared" si="281"/>
        <v>Category</v>
      </c>
    </row>
    <row r="165" spans="1:65" x14ac:dyDescent="0.15">
      <c r="A165" s="12" t="s">
        <v>347</v>
      </c>
      <c r="B165" s="13" t="s">
        <v>2305</v>
      </c>
      <c r="C165" s="13" t="s">
        <v>27</v>
      </c>
      <c r="D165" s="13" t="s">
        <v>55</v>
      </c>
      <c r="E165" s="13" t="s">
        <v>112</v>
      </c>
      <c r="F165" s="14">
        <v>0</v>
      </c>
      <c r="G165" s="14">
        <v>0</v>
      </c>
      <c r="H165" s="14">
        <v>0</v>
      </c>
      <c r="I165" s="14">
        <v>0</v>
      </c>
      <c r="J165" s="14">
        <v>0</v>
      </c>
      <c r="K165" s="14">
        <v>0</v>
      </c>
      <c r="L165" s="14">
        <v>0</v>
      </c>
      <c r="M165" s="15">
        <v>0</v>
      </c>
      <c r="N165" s="804"/>
      <c r="O165" s="14"/>
      <c r="P165" s="15"/>
      <c r="Q165" s="16">
        <f>IF(ISTEXT('Incurred 2.5% cpi'!Q165),"",'Incurred 2.5% cpi'!Q165/'Incurred 2.5% cpi'!Q$14*Incurred!Q$14)</f>
        <v>22119.02</v>
      </c>
      <c r="R165" s="127">
        <f>IF(ISTEXT('Incurred 2.5% cpi'!R165),"",'Incurred 2.5% cpi'!R165/'Incurred 2.5% cpi'!R$14*Incurred!R$14*BF165)</f>
        <v>611405.66826693597</v>
      </c>
      <c r="S165" s="119">
        <f>IF(ISTEXT('Incurred 2.5% cpi'!S165),"",'Incurred 2.5% cpi'!S165/'Incurred 2.5% cpi'!S$14*Incurred!S$14*BG165)</f>
        <v>640995.32848560472</v>
      </c>
      <c r="T165" s="16">
        <f>IF(ISTEXT('Incurred 2.5% cpi'!T165),"",'Incurred 2.5% cpi'!T165/'Incurred 2.5% cpi'!T$14*Incurred!T$14*BH165)</f>
        <v>15478.574168505875</v>
      </c>
      <c r="U165" s="16" t="str">
        <f>IF(ISTEXT('Incurred 2.5% cpi'!U165),"",'Incurred 2.5% cpi'!U165/'Incurred 2.5% cpi'!U$14*Incurred!U$14*BI165)</f>
        <v/>
      </c>
      <c r="V165" s="16" t="str">
        <f>IF(ISTEXT('Incurred 2.5% cpi'!V165),"",'Incurred 2.5% cpi'!V165/'Incurred 2.5% cpi'!V$14*Incurred!V$14*BJ165)</f>
        <v/>
      </c>
      <c r="W165" s="127" t="str">
        <f>IF(ISTEXT('Incurred 2.5% cpi'!W165),"",'Incurred 2.5% cpi'!W165/'Incurred 2.5% cpi'!W$14*Incurred!W$14*BK165)</f>
        <v/>
      </c>
      <c r="X165" s="119" t="str">
        <f>IF(ISTEXT('Incurred 2.5% cpi'!X165),"",'Incurred 2.5% cpi'!X165/'Incurred 2.5% cpi'!X$14*Incurred!X$14*BL165)</f>
        <v/>
      </c>
      <c r="Y165" s="95">
        <f t="shared" si="245"/>
        <v>1289998.5909210464</v>
      </c>
      <c r="Z165" s="95">
        <f t="shared" si="268"/>
        <v>1289998.5909210464</v>
      </c>
      <c r="AA165" s="676">
        <f t="shared" si="269"/>
        <v>1408344.3608383902</v>
      </c>
      <c r="AB165" s="676">
        <f t="shared" si="270"/>
        <v>1302624.319259882</v>
      </c>
      <c r="AC165" s="677">
        <f t="shared" si="284"/>
        <v>1.0811592721058483</v>
      </c>
      <c r="AD165" s="678" t="str">
        <f t="shared" si="271"/>
        <v>2020</v>
      </c>
      <c r="AE165" s="679">
        <v>43600</v>
      </c>
      <c r="AF165" s="678">
        <v>2019</v>
      </c>
      <c r="AG165" s="680"/>
      <c r="AH165" s="676">
        <f t="shared" si="289"/>
        <v>1277458.3889966479</v>
      </c>
      <c r="AI165" s="95">
        <f t="shared" si="272"/>
        <v>15478.574168505875</v>
      </c>
      <c r="AJ165" s="681" t="s">
        <v>3058</v>
      </c>
      <c r="AK165" s="37">
        <f t="shared" si="273"/>
        <v>242337</v>
      </c>
      <c r="AL165" s="31">
        <f t="shared" si="290"/>
        <v>0</v>
      </c>
      <c r="AM165" s="31">
        <f t="shared" si="290"/>
        <v>0</v>
      </c>
      <c r="AN165" s="31">
        <f t="shared" si="290"/>
        <v>0</v>
      </c>
      <c r="AO165" s="31">
        <f t="shared" si="290"/>
        <v>1</v>
      </c>
      <c r="AP165" s="31">
        <f t="shared" si="290"/>
        <v>0</v>
      </c>
      <c r="AQ165" s="31">
        <f t="shared" si="290"/>
        <v>0</v>
      </c>
      <c r="AR165" s="31">
        <f t="shared" si="290"/>
        <v>0</v>
      </c>
      <c r="AS165" s="31">
        <f t="shared" si="290"/>
        <v>0</v>
      </c>
      <c r="AT165" s="31">
        <f t="shared" si="290"/>
        <v>0</v>
      </c>
      <c r="AU165" s="31">
        <f t="shared" si="290"/>
        <v>0</v>
      </c>
      <c r="AV165" s="31">
        <f t="shared" si="291"/>
        <v>0</v>
      </c>
      <c r="AW165" s="31">
        <f t="shared" si="291"/>
        <v>0</v>
      </c>
      <c r="AX165" s="31">
        <f t="shared" si="291"/>
        <v>0</v>
      </c>
      <c r="AY165" s="31">
        <f t="shared" si="291"/>
        <v>0</v>
      </c>
      <c r="AZ165" s="31">
        <f t="shared" si="291"/>
        <v>0</v>
      </c>
      <c r="BA165" s="31">
        <f t="shared" si="291"/>
        <v>0</v>
      </c>
      <c r="BB165" s="31">
        <f t="shared" si="291"/>
        <v>0</v>
      </c>
      <c r="BC165" s="31">
        <f t="shared" si="291"/>
        <v>0</v>
      </c>
      <c r="BD165" s="31">
        <f t="shared" si="291"/>
        <v>0</v>
      </c>
      <c r="BE165" s="30">
        <f t="shared" si="292"/>
        <v>1</v>
      </c>
      <c r="BF165" s="620">
        <f t="shared" si="288"/>
        <v>1.0046190746045656</v>
      </c>
      <c r="BG165" s="620">
        <f t="shared" si="275"/>
        <v>1.0092681731940607</v>
      </c>
      <c r="BH165" s="620">
        <f t="shared" si="276"/>
        <v>1.0146673859598225</v>
      </c>
      <c r="BI165" s="620">
        <f t="shared" si="277"/>
        <v>1.0211950341936284</v>
      </c>
      <c r="BJ165" s="620">
        <f t="shared" si="278"/>
        <v>1.0292450750544078</v>
      </c>
      <c r="BK165" s="620">
        <f t="shared" si="279"/>
        <v>1.0377536023333034</v>
      </c>
      <c r="BL165" s="620">
        <f t="shared" si="280"/>
        <v>1.0439544690397748</v>
      </c>
      <c r="BM165" s="621" t="str">
        <f t="shared" si="281"/>
        <v>Category</v>
      </c>
    </row>
    <row r="166" spans="1:65" x14ac:dyDescent="0.15">
      <c r="A166" s="12" t="s">
        <v>348</v>
      </c>
      <c r="B166" s="13" t="s">
        <v>349</v>
      </c>
      <c r="C166" s="13" t="s">
        <v>27</v>
      </c>
      <c r="D166" s="13" t="s">
        <v>40</v>
      </c>
      <c r="E166" s="13" t="s">
        <v>29</v>
      </c>
      <c r="F166" s="14">
        <v>0</v>
      </c>
      <c r="G166" s="14">
        <v>0</v>
      </c>
      <c r="H166" s="14">
        <v>0</v>
      </c>
      <c r="I166" s="14">
        <v>0</v>
      </c>
      <c r="J166" s="14">
        <v>0</v>
      </c>
      <c r="K166" s="14">
        <v>0</v>
      </c>
      <c r="L166" s="14">
        <v>0</v>
      </c>
      <c r="M166" s="15">
        <v>0</v>
      </c>
      <c r="N166" s="804"/>
      <c r="O166" s="14"/>
      <c r="P166" s="15"/>
      <c r="Q166" s="16">
        <f>IF(ISTEXT('Incurred 2.5% cpi'!Q166),"",'Incurred 2.5% cpi'!Q166/'Incurred 2.5% cpi'!Q$14*Incurred!Q$14)</f>
        <v>131591.1</v>
      </c>
      <c r="R166" s="127">
        <f>IF(ISTEXT('Incurred 2.5% cpi'!R166),"",'Incurred 2.5% cpi'!R166/'Incurred 2.5% cpi'!R$14*Incurred!R$14*BF166)</f>
        <v>1254240.2856231877</v>
      </c>
      <c r="S166" s="119">
        <f>IF(ISTEXT('Incurred 2.5% cpi'!S166),"",'Incurred 2.5% cpi'!S166/'Incurred 2.5% cpi'!S$14*Incurred!S$14*BG166)</f>
        <v>731832.28509141505</v>
      </c>
      <c r="T166" s="16" t="str">
        <f>IF(ISTEXT('Incurred 2.5% cpi'!T166),"",'Incurred 2.5% cpi'!T166/'Incurred 2.5% cpi'!T$14*Incurred!T$14*BH166)</f>
        <v/>
      </c>
      <c r="U166" s="16" t="str">
        <f>IF(ISTEXT('Incurred 2.5% cpi'!U166),"",'Incurred 2.5% cpi'!U166/'Incurred 2.5% cpi'!U$14*Incurred!U$14*BI166)</f>
        <v/>
      </c>
      <c r="V166" s="16" t="str">
        <f>IF(ISTEXT('Incurred 2.5% cpi'!V166),"",'Incurred 2.5% cpi'!V166/'Incurred 2.5% cpi'!V$14*Incurred!V$14*BJ166)</f>
        <v/>
      </c>
      <c r="W166" s="127" t="str">
        <f>IF(ISTEXT('Incurred 2.5% cpi'!W166),"",'Incurred 2.5% cpi'!W166/'Incurred 2.5% cpi'!W$14*Incurred!W$14*BK166)</f>
        <v/>
      </c>
      <c r="X166" s="119" t="str">
        <f>IF(ISTEXT('Incurred 2.5% cpi'!X166),"",'Incurred 2.5% cpi'!X166/'Incurred 2.5% cpi'!X$14*Incurred!X$14*BL166)</f>
        <v/>
      </c>
      <c r="Y166" s="95">
        <f t="shared" si="245"/>
        <v>2117663.6707146028</v>
      </c>
      <c r="Z166" s="95">
        <f t="shared" si="268"/>
        <v>2117663.6707146028</v>
      </c>
      <c r="AA166" s="676">
        <f t="shared" si="269"/>
        <v>2321906.261906743</v>
      </c>
      <c r="AB166" s="676">
        <f t="shared" si="270"/>
        <v>2147607.9628713783</v>
      </c>
      <c r="AC166" s="677">
        <f t="shared" si="284"/>
        <v>1.0811592721058483</v>
      </c>
      <c r="AD166" s="678" t="str">
        <f t="shared" si="271"/>
        <v>2019</v>
      </c>
      <c r="AE166" s="679">
        <v>43409</v>
      </c>
      <c r="AF166" s="678">
        <v>2019</v>
      </c>
      <c r="AG166" s="680"/>
      <c r="AH166" s="676">
        <f t="shared" si="289"/>
        <v>2106117.4491236429</v>
      </c>
      <c r="AI166" s="95">
        <f t="shared" si="272"/>
        <v>731832.28509141505</v>
      </c>
      <c r="AJ166" s="681" t="s">
        <v>3058</v>
      </c>
      <c r="AK166" s="37">
        <f t="shared" si="273"/>
        <v>210000.00000000023</v>
      </c>
      <c r="AL166" s="31">
        <f t="shared" si="290"/>
        <v>0</v>
      </c>
      <c r="AM166" s="31">
        <f t="shared" si="290"/>
        <v>0</v>
      </c>
      <c r="AN166" s="31">
        <f t="shared" si="290"/>
        <v>0</v>
      </c>
      <c r="AO166" s="31">
        <f t="shared" si="290"/>
        <v>1</v>
      </c>
      <c r="AP166" s="31">
        <f t="shared" si="290"/>
        <v>0</v>
      </c>
      <c r="AQ166" s="31">
        <f t="shared" si="290"/>
        <v>0</v>
      </c>
      <c r="AR166" s="31">
        <f t="shared" si="290"/>
        <v>0</v>
      </c>
      <c r="AS166" s="31">
        <f t="shared" si="290"/>
        <v>0</v>
      </c>
      <c r="AT166" s="31">
        <f t="shared" si="290"/>
        <v>0</v>
      </c>
      <c r="AU166" s="31">
        <f t="shared" si="290"/>
        <v>0</v>
      </c>
      <c r="AV166" s="31">
        <f t="shared" si="291"/>
        <v>0</v>
      </c>
      <c r="AW166" s="31">
        <f t="shared" si="291"/>
        <v>0</v>
      </c>
      <c r="AX166" s="31">
        <f t="shared" si="291"/>
        <v>0</v>
      </c>
      <c r="AY166" s="31">
        <f t="shared" si="291"/>
        <v>0</v>
      </c>
      <c r="AZ166" s="31">
        <f t="shared" si="291"/>
        <v>0</v>
      </c>
      <c r="BA166" s="31">
        <f t="shared" si="291"/>
        <v>0</v>
      </c>
      <c r="BB166" s="31">
        <f t="shared" si="291"/>
        <v>0</v>
      </c>
      <c r="BC166" s="31">
        <f t="shared" si="291"/>
        <v>0</v>
      </c>
      <c r="BD166" s="31">
        <f t="shared" si="291"/>
        <v>0</v>
      </c>
      <c r="BE166" s="30">
        <f t="shared" si="292"/>
        <v>1</v>
      </c>
      <c r="BF166" s="620">
        <f t="shared" si="288"/>
        <v>1.0034498951996242</v>
      </c>
      <c r="BG166" s="620">
        <f t="shared" si="275"/>
        <v>1.0069222147180459</v>
      </c>
      <c r="BH166" s="620">
        <f t="shared" si="276"/>
        <v>1.0109547796356901</v>
      </c>
      <c r="BI166" s="620">
        <f t="shared" si="277"/>
        <v>1.0158301506211216</v>
      </c>
      <c r="BJ166" s="620">
        <f t="shared" si="278"/>
        <v>1.0218425664619335</v>
      </c>
      <c r="BK166" s="620">
        <f t="shared" si="279"/>
        <v>1.0281974167140426</v>
      </c>
      <c r="BL166" s="620">
        <f t="shared" si="280"/>
        <v>1.0328287210586446</v>
      </c>
      <c r="BM166" s="621" t="str">
        <f t="shared" si="281"/>
        <v>Category</v>
      </c>
    </row>
    <row r="167" spans="1:65" x14ac:dyDescent="0.15">
      <c r="A167" s="12" t="s">
        <v>352</v>
      </c>
      <c r="B167" s="13" t="s">
        <v>353</v>
      </c>
      <c r="C167" s="13" t="s">
        <v>27</v>
      </c>
      <c r="D167" s="13" t="s">
        <v>36</v>
      </c>
      <c r="E167" s="13" t="s">
        <v>112</v>
      </c>
      <c r="F167" s="14">
        <v>0</v>
      </c>
      <c r="G167" s="14">
        <v>0</v>
      </c>
      <c r="H167" s="14">
        <v>0</v>
      </c>
      <c r="I167" s="14">
        <v>0</v>
      </c>
      <c r="J167" s="14">
        <v>0</v>
      </c>
      <c r="K167" s="14">
        <v>0</v>
      </c>
      <c r="L167" s="14">
        <v>0</v>
      </c>
      <c r="M167" s="15">
        <v>0</v>
      </c>
      <c r="N167" s="804"/>
      <c r="O167" s="14"/>
      <c r="P167" s="15"/>
      <c r="Q167" s="16" t="str">
        <f>IF(ISTEXT('Incurred 2.5% cpi'!Q167),"",'Incurred 2.5% cpi'!Q167/'Incurred 2.5% cpi'!Q$14*Incurred!Q$14)</f>
        <v/>
      </c>
      <c r="R167" s="127">
        <f>IF(ISTEXT('Incurred 2.5% cpi'!R167),"",'Incurred 2.5% cpi'!R167/'Incurred 2.5% cpi'!R$14*Incurred!R$14*BF167)</f>
        <v>129487.0895360797</v>
      </c>
      <c r="S167" s="119" t="str">
        <f>IF(ISTEXT('Incurred 2.5% cpi'!S167),"",'Incurred 2.5% cpi'!S167/'Incurred 2.5% cpi'!S$14*Incurred!S$14*BG167)</f>
        <v/>
      </c>
      <c r="T167" s="16" t="str">
        <f>IF(ISTEXT('Incurred 2.5% cpi'!T167),"",'Incurred 2.5% cpi'!T167/'Incurred 2.5% cpi'!T$14*Incurred!T$14*BH167)</f>
        <v/>
      </c>
      <c r="U167" s="16" t="str">
        <f>IF(ISTEXT('Incurred 2.5% cpi'!U167),"",'Incurred 2.5% cpi'!U167/'Incurred 2.5% cpi'!U$14*Incurred!U$14*BI167)</f>
        <v/>
      </c>
      <c r="V167" s="16" t="str">
        <f>IF(ISTEXT('Incurred 2.5% cpi'!V167),"",'Incurred 2.5% cpi'!V167/'Incurred 2.5% cpi'!V$14*Incurred!V$14*BJ167)</f>
        <v/>
      </c>
      <c r="W167" s="127" t="str">
        <f>IF(ISTEXT('Incurred 2.5% cpi'!W167),"",'Incurred 2.5% cpi'!W167/'Incurred 2.5% cpi'!W$14*Incurred!W$14*BK167)</f>
        <v/>
      </c>
      <c r="X167" s="119" t="str">
        <f>IF(ISTEXT('Incurred 2.5% cpi'!X167),"",'Incurred 2.5% cpi'!X167/'Incurred 2.5% cpi'!X$14*Incurred!X$14*BL167)</f>
        <v/>
      </c>
      <c r="Y167" s="95">
        <f t="shared" si="245"/>
        <v>129487.0895360797</v>
      </c>
      <c r="Z167" s="95">
        <f t="shared" si="268"/>
        <v>129487.0895360797</v>
      </c>
      <c r="AA167" s="676">
        <f t="shared" si="269"/>
        <v>142754.0919690904</v>
      </c>
      <c r="AB167" s="676">
        <f t="shared" si="270"/>
        <v>129487.08953607969</v>
      </c>
      <c r="AC167" s="677">
        <f t="shared" si="284"/>
        <v>1.1024581097663335</v>
      </c>
      <c r="AD167" s="678" t="str">
        <f t="shared" si="271"/>
        <v>2018</v>
      </c>
      <c r="AE167" s="679">
        <v>43116</v>
      </c>
      <c r="AF167" s="678">
        <v>2018</v>
      </c>
      <c r="AG167" s="680"/>
      <c r="AH167" s="676">
        <f t="shared" si="289"/>
        <v>129487.0895360797</v>
      </c>
      <c r="AI167" s="95">
        <f t="shared" si="272"/>
        <v>129487.0895360797</v>
      </c>
      <c r="AJ167" s="681" t="s">
        <v>0</v>
      </c>
      <c r="AK167" s="37">
        <f t="shared" si="273"/>
        <v>100499.99999999997</v>
      </c>
      <c r="AL167" s="31">
        <f t="shared" si="290"/>
        <v>1</v>
      </c>
      <c r="AM167" s="31">
        <f t="shared" si="290"/>
        <v>0</v>
      </c>
      <c r="AN167" s="31">
        <f t="shared" si="290"/>
        <v>0</v>
      </c>
      <c r="AO167" s="31">
        <f t="shared" si="290"/>
        <v>0</v>
      </c>
      <c r="AP167" s="31">
        <f t="shared" si="290"/>
        <v>0</v>
      </c>
      <c r="AQ167" s="31">
        <f t="shared" si="290"/>
        <v>0</v>
      </c>
      <c r="AR167" s="31">
        <f t="shared" si="290"/>
        <v>0</v>
      </c>
      <c r="AS167" s="31">
        <f t="shared" si="290"/>
        <v>0</v>
      </c>
      <c r="AT167" s="31">
        <f t="shared" si="290"/>
        <v>0</v>
      </c>
      <c r="AU167" s="31">
        <f t="shared" si="290"/>
        <v>0</v>
      </c>
      <c r="AV167" s="31">
        <f t="shared" si="291"/>
        <v>0</v>
      </c>
      <c r="AW167" s="31">
        <f t="shared" si="291"/>
        <v>0</v>
      </c>
      <c r="AX167" s="31">
        <f t="shared" si="291"/>
        <v>0</v>
      </c>
      <c r="AY167" s="31">
        <f t="shared" si="291"/>
        <v>0</v>
      </c>
      <c r="AZ167" s="31">
        <f t="shared" si="291"/>
        <v>0</v>
      </c>
      <c r="BA167" s="31">
        <f t="shared" si="291"/>
        <v>0</v>
      </c>
      <c r="BB167" s="31">
        <f t="shared" si="291"/>
        <v>0</v>
      </c>
      <c r="BC167" s="31">
        <f t="shared" si="291"/>
        <v>0</v>
      </c>
      <c r="BD167" s="31">
        <f t="shared" si="291"/>
        <v>0</v>
      </c>
      <c r="BE167" s="30">
        <f t="shared" si="292"/>
        <v>1</v>
      </c>
      <c r="BF167" s="620">
        <f t="shared" si="288"/>
        <v>1.0018756098697492</v>
      </c>
      <c r="BG167" s="620">
        <f t="shared" si="275"/>
        <v>1.0037634112036518</v>
      </c>
      <c r="BH167" s="620">
        <f t="shared" si="276"/>
        <v>1.0059558020220052</v>
      </c>
      <c r="BI167" s="620">
        <f t="shared" si="277"/>
        <v>1.0086064025213943</v>
      </c>
      <c r="BJ167" s="620">
        <f t="shared" si="278"/>
        <v>1.0118751819594745</v>
      </c>
      <c r="BK167" s="620">
        <f t="shared" si="279"/>
        <v>1.0153301332446416</v>
      </c>
      <c r="BL167" s="620">
        <f t="shared" si="280"/>
        <v>1.0178480416551621</v>
      </c>
      <c r="BM167" s="621" t="str">
        <f t="shared" si="281"/>
        <v>Category</v>
      </c>
    </row>
    <row r="168" spans="1:65" x14ac:dyDescent="0.15">
      <c r="A168" s="12" t="s">
        <v>354</v>
      </c>
      <c r="B168" s="13" t="s">
        <v>355</v>
      </c>
      <c r="C168" s="13" t="s">
        <v>27</v>
      </c>
      <c r="D168" s="13" t="s">
        <v>36</v>
      </c>
      <c r="E168" s="13" t="s">
        <v>112</v>
      </c>
      <c r="F168" s="14">
        <v>0</v>
      </c>
      <c r="G168" s="14">
        <v>0</v>
      </c>
      <c r="H168" s="14">
        <v>0</v>
      </c>
      <c r="I168" s="14">
        <v>0</v>
      </c>
      <c r="J168" s="14">
        <v>0</v>
      </c>
      <c r="K168" s="14">
        <v>0</v>
      </c>
      <c r="L168" s="14">
        <v>0</v>
      </c>
      <c r="M168" s="15">
        <v>0</v>
      </c>
      <c r="N168" s="804"/>
      <c r="O168" s="14"/>
      <c r="P168" s="15"/>
      <c r="Q168" s="16" t="str">
        <f>IF(ISTEXT('Incurred 2.5% cpi'!Q168),"",'Incurred 2.5% cpi'!Q168/'Incurred 2.5% cpi'!Q$14*Incurred!Q$14)</f>
        <v/>
      </c>
      <c r="R168" s="127">
        <f>IF(ISTEXT('Incurred 2.5% cpi'!R168),"",'Incurred 2.5% cpi'!R168/'Incurred 2.5% cpi'!R$14*Incurred!R$14*BF168)</f>
        <v>236215.77090499288</v>
      </c>
      <c r="S168" s="119" t="str">
        <f>IF(ISTEXT('Incurred 2.5% cpi'!S168),"",'Incurred 2.5% cpi'!S168/'Incurred 2.5% cpi'!S$14*Incurred!S$14*BG168)</f>
        <v/>
      </c>
      <c r="T168" s="16" t="str">
        <f>IF(ISTEXT('Incurred 2.5% cpi'!T168),"",'Incurred 2.5% cpi'!T168/'Incurred 2.5% cpi'!T$14*Incurred!T$14*BH168)</f>
        <v/>
      </c>
      <c r="U168" s="16" t="str">
        <f>IF(ISTEXT('Incurred 2.5% cpi'!U168),"",'Incurred 2.5% cpi'!U168/'Incurred 2.5% cpi'!U$14*Incurred!U$14*BI168)</f>
        <v/>
      </c>
      <c r="V168" s="16" t="str">
        <f>IF(ISTEXT('Incurred 2.5% cpi'!V168),"",'Incurred 2.5% cpi'!V168/'Incurred 2.5% cpi'!V$14*Incurred!V$14*BJ168)</f>
        <v/>
      </c>
      <c r="W168" s="127" t="str">
        <f>IF(ISTEXT('Incurred 2.5% cpi'!W168),"",'Incurred 2.5% cpi'!W168/'Incurred 2.5% cpi'!W$14*Incurred!W$14*BK168)</f>
        <v/>
      </c>
      <c r="X168" s="119" t="str">
        <f>IF(ISTEXT('Incurred 2.5% cpi'!X168),"",'Incurred 2.5% cpi'!X168/'Incurred 2.5% cpi'!X$14*Incurred!X$14*BL168)</f>
        <v/>
      </c>
      <c r="Y168" s="95">
        <f t="shared" si="245"/>
        <v>236215.77090499288</v>
      </c>
      <c r="Z168" s="95">
        <f t="shared" si="268"/>
        <v>236215.77090499288</v>
      </c>
      <c r="AA168" s="676">
        <f t="shared" si="269"/>
        <v>260417.99228891573</v>
      </c>
      <c r="AB168" s="676">
        <f t="shared" si="270"/>
        <v>236215.77090499288</v>
      </c>
      <c r="AC168" s="677">
        <f t="shared" si="284"/>
        <v>1.1024581097663335</v>
      </c>
      <c r="AD168" s="678" t="str">
        <f t="shared" si="271"/>
        <v>2018</v>
      </c>
      <c r="AE168" s="679">
        <v>43168</v>
      </c>
      <c r="AF168" s="678">
        <v>2018</v>
      </c>
      <c r="AG168" s="680"/>
      <c r="AH168" s="676">
        <f t="shared" si="289"/>
        <v>236215.77090499288</v>
      </c>
      <c r="AI168" s="95">
        <f t="shared" si="272"/>
        <v>236215.77090499288</v>
      </c>
      <c r="AJ168" s="681" t="s">
        <v>0</v>
      </c>
      <c r="AK168" s="37">
        <f t="shared" si="273"/>
        <v>173719.99999999994</v>
      </c>
      <c r="AL168" s="31">
        <f t="shared" si="290"/>
        <v>0.30232558139534887</v>
      </c>
      <c r="AM168" s="31">
        <f t="shared" si="290"/>
        <v>0</v>
      </c>
      <c r="AN168" s="31">
        <f t="shared" si="290"/>
        <v>0</v>
      </c>
      <c r="AO168" s="31">
        <f t="shared" si="290"/>
        <v>0</v>
      </c>
      <c r="AP168" s="31">
        <f t="shared" si="290"/>
        <v>0</v>
      </c>
      <c r="AQ168" s="31">
        <f t="shared" si="290"/>
        <v>0</v>
      </c>
      <c r="AR168" s="31">
        <f t="shared" si="290"/>
        <v>0</v>
      </c>
      <c r="AS168" s="31">
        <f t="shared" si="290"/>
        <v>0.69767441860465118</v>
      </c>
      <c r="AT168" s="31">
        <f t="shared" si="290"/>
        <v>0</v>
      </c>
      <c r="AU168" s="31">
        <f t="shared" si="290"/>
        <v>0</v>
      </c>
      <c r="AV168" s="31">
        <f t="shared" si="291"/>
        <v>0</v>
      </c>
      <c r="AW168" s="31">
        <f t="shared" si="291"/>
        <v>0</v>
      </c>
      <c r="AX168" s="31">
        <f t="shared" si="291"/>
        <v>0</v>
      </c>
      <c r="AY168" s="31">
        <f t="shared" si="291"/>
        <v>0</v>
      </c>
      <c r="AZ168" s="31">
        <f t="shared" si="291"/>
        <v>0</v>
      </c>
      <c r="BA168" s="31">
        <f t="shared" si="291"/>
        <v>0</v>
      </c>
      <c r="BB168" s="31">
        <f t="shared" si="291"/>
        <v>0</v>
      </c>
      <c r="BC168" s="31">
        <f t="shared" si="291"/>
        <v>0</v>
      </c>
      <c r="BD168" s="31">
        <f t="shared" si="291"/>
        <v>0</v>
      </c>
      <c r="BE168" s="30">
        <f t="shared" si="292"/>
        <v>1</v>
      </c>
      <c r="BF168" s="620">
        <f t="shared" si="288"/>
        <v>1.0018756098697492</v>
      </c>
      <c r="BG168" s="620">
        <f t="shared" si="275"/>
        <v>1.0037634112036518</v>
      </c>
      <c r="BH168" s="620">
        <f t="shared" si="276"/>
        <v>1.0059558020220052</v>
      </c>
      <c r="BI168" s="620">
        <f t="shared" si="277"/>
        <v>1.0086064025213943</v>
      </c>
      <c r="BJ168" s="620">
        <f t="shared" si="278"/>
        <v>1.0118751819594745</v>
      </c>
      <c r="BK168" s="620">
        <f t="shared" si="279"/>
        <v>1.0153301332446416</v>
      </c>
      <c r="BL168" s="620">
        <f t="shared" si="280"/>
        <v>1.0178480416551621</v>
      </c>
      <c r="BM168" s="621" t="str">
        <f t="shared" si="281"/>
        <v>Category</v>
      </c>
    </row>
    <row r="169" spans="1:65" x14ac:dyDescent="0.15">
      <c r="A169" s="12" t="s">
        <v>356</v>
      </c>
      <c r="B169" s="13" t="s">
        <v>357</v>
      </c>
      <c r="C169" s="13" t="s">
        <v>27</v>
      </c>
      <c r="D169" s="13" t="s">
        <v>36</v>
      </c>
      <c r="E169" s="13" t="s">
        <v>112</v>
      </c>
      <c r="F169" s="14">
        <v>0</v>
      </c>
      <c r="G169" s="14">
        <v>0</v>
      </c>
      <c r="H169" s="14">
        <v>0</v>
      </c>
      <c r="I169" s="14">
        <v>0</v>
      </c>
      <c r="J169" s="14">
        <v>0</v>
      </c>
      <c r="K169" s="14">
        <v>0</v>
      </c>
      <c r="L169" s="14">
        <v>0</v>
      </c>
      <c r="M169" s="15">
        <v>0</v>
      </c>
      <c r="N169" s="804"/>
      <c r="O169" s="14"/>
      <c r="P169" s="15"/>
      <c r="Q169" s="16" t="str">
        <f>IF(ISTEXT('Incurred 2.5% cpi'!Q169),"",'Incurred 2.5% cpi'!Q169/'Incurred 2.5% cpi'!Q$14*Incurred!Q$14)</f>
        <v/>
      </c>
      <c r="R169" s="127">
        <f>IF(ISTEXT('Incurred 2.5% cpi'!R169),"",'Incurred 2.5% cpi'!R169/'Incurred 2.5% cpi'!R$14*Incurred!R$14*BF169)</f>
        <v>144520.21303346005</v>
      </c>
      <c r="S169" s="119" t="str">
        <f>IF(ISTEXT('Incurred 2.5% cpi'!S169),"",'Incurred 2.5% cpi'!S169/'Incurred 2.5% cpi'!S$14*Incurred!S$14*BG169)</f>
        <v/>
      </c>
      <c r="T169" s="16" t="str">
        <f>IF(ISTEXT('Incurred 2.5% cpi'!T169),"",'Incurred 2.5% cpi'!T169/'Incurred 2.5% cpi'!T$14*Incurred!T$14*BH169)</f>
        <v/>
      </c>
      <c r="U169" s="16" t="str">
        <f>IF(ISTEXT('Incurred 2.5% cpi'!U169),"",'Incurred 2.5% cpi'!U169/'Incurred 2.5% cpi'!U$14*Incurred!U$14*BI169)</f>
        <v/>
      </c>
      <c r="V169" s="16" t="str">
        <f>IF(ISTEXT('Incurred 2.5% cpi'!V169),"",'Incurred 2.5% cpi'!V169/'Incurred 2.5% cpi'!V$14*Incurred!V$14*BJ169)</f>
        <v/>
      </c>
      <c r="W169" s="127" t="str">
        <f>IF(ISTEXT('Incurred 2.5% cpi'!W169),"",'Incurred 2.5% cpi'!W169/'Incurred 2.5% cpi'!W$14*Incurred!W$14*BK169)</f>
        <v/>
      </c>
      <c r="X169" s="119" t="str">
        <f>IF(ISTEXT('Incurred 2.5% cpi'!X169),"",'Incurred 2.5% cpi'!X169/'Incurred 2.5% cpi'!X$14*Incurred!X$14*BL169)</f>
        <v/>
      </c>
      <c r="Y169" s="95">
        <f t="shared" si="245"/>
        <v>144520.21303346005</v>
      </c>
      <c r="Z169" s="95">
        <f t="shared" si="268"/>
        <v>144520.21303346005</v>
      </c>
      <c r="AA169" s="676">
        <f t="shared" si="269"/>
        <v>159327.48088389621</v>
      </c>
      <c r="AB169" s="676">
        <f t="shared" si="270"/>
        <v>144520.21303346005</v>
      </c>
      <c r="AC169" s="677">
        <f t="shared" si="284"/>
        <v>1.1024581097663335</v>
      </c>
      <c r="AD169" s="678" t="str">
        <f t="shared" si="271"/>
        <v>2018</v>
      </c>
      <c r="AE169" s="679">
        <v>43116</v>
      </c>
      <c r="AF169" s="678">
        <v>2018</v>
      </c>
      <c r="AG169" s="680"/>
      <c r="AH169" s="676">
        <f t="shared" si="289"/>
        <v>144520.21303346005</v>
      </c>
      <c r="AI169" s="95">
        <f t="shared" si="272"/>
        <v>144520.21303346005</v>
      </c>
      <c r="AJ169" s="681" t="s">
        <v>0</v>
      </c>
      <c r="AK169" s="37">
        <f t="shared" si="273"/>
        <v>106639.99999999997</v>
      </c>
      <c r="AL169" s="31">
        <f t="shared" si="290"/>
        <v>0.65116279069767447</v>
      </c>
      <c r="AM169" s="31">
        <f t="shared" si="290"/>
        <v>0</v>
      </c>
      <c r="AN169" s="31">
        <f t="shared" si="290"/>
        <v>0</v>
      </c>
      <c r="AO169" s="31">
        <f t="shared" si="290"/>
        <v>0</v>
      </c>
      <c r="AP169" s="31">
        <f t="shared" si="290"/>
        <v>0</v>
      </c>
      <c r="AQ169" s="31">
        <f t="shared" si="290"/>
        <v>0</v>
      </c>
      <c r="AR169" s="31">
        <f t="shared" si="290"/>
        <v>0</v>
      </c>
      <c r="AS169" s="31">
        <f t="shared" si="290"/>
        <v>0.34883720930232559</v>
      </c>
      <c r="AT169" s="31">
        <f t="shared" si="290"/>
        <v>0</v>
      </c>
      <c r="AU169" s="31">
        <f t="shared" si="290"/>
        <v>0</v>
      </c>
      <c r="AV169" s="31">
        <f t="shared" si="291"/>
        <v>0</v>
      </c>
      <c r="AW169" s="31">
        <f t="shared" si="291"/>
        <v>0</v>
      </c>
      <c r="AX169" s="31">
        <f t="shared" si="291"/>
        <v>0</v>
      </c>
      <c r="AY169" s="31">
        <f t="shared" si="291"/>
        <v>0</v>
      </c>
      <c r="AZ169" s="31">
        <f t="shared" si="291"/>
        <v>0</v>
      </c>
      <c r="BA169" s="31">
        <f t="shared" si="291"/>
        <v>0</v>
      </c>
      <c r="BB169" s="31">
        <f t="shared" si="291"/>
        <v>0</v>
      </c>
      <c r="BC169" s="31">
        <f t="shared" si="291"/>
        <v>0</v>
      </c>
      <c r="BD169" s="31">
        <f t="shared" si="291"/>
        <v>0</v>
      </c>
      <c r="BE169" s="30">
        <f t="shared" si="292"/>
        <v>1</v>
      </c>
      <c r="BF169" s="620">
        <f t="shared" si="288"/>
        <v>1.0018756098697492</v>
      </c>
      <c r="BG169" s="620">
        <f t="shared" si="275"/>
        <v>1.0037634112036518</v>
      </c>
      <c r="BH169" s="620">
        <f t="shared" si="276"/>
        <v>1.0059558020220052</v>
      </c>
      <c r="BI169" s="620">
        <f t="shared" si="277"/>
        <v>1.0086064025213943</v>
      </c>
      <c r="BJ169" s="620">
        <f t="shared" si="278"/>
        <v>1.0118751819594745</v>
      </c>
      <c r="BK169" s="620">
        <f t="shared" si="279"/>
        <v>1.0153301332446416</v>
      </c>
      <c r="BL169" s="620">
        <f t="shared" si="280"/>
        <v>1.0178480416551621</v>
      </c>
      <c r="BM169" s="621" t="str">
        <f t="shared" si="281"/>
        <v>Category</v>
      </c>
    </row>
    <row r="170" spans="1:65" x14ac:dyDescent="0.15">
      <c r="A170" s="608" t="s">
        <v>358</v>
      </c>
      <c r="B170" s="609" t="s">
        <v>359</v>
      </c>
      <c r="C170" s="609" t="s">
        <v>27</v>
      </c>
      <c r="D170" s="609" t="s">
        <v>40</v>
      </c>
      <c r="E170" s="609" t="s">
        <v>29</v>
      </c>
      <c r="F170" s="615">
        <v>0</v>
      </c>
      <c r="G170" s="615">
        <v>0</v>
      </c>
      <c r="H170" s="615">
        <v>0</v>
      </c>
      <c r="I170" s="615">
        <v>0</v>
      </c>
      <c r="J170" s="615">
        <v>0</v>
      </c>
      <c r="K170" s="615">
        <v>0</v>
      </c>
      <c r="L170" s="615">
        <v>0</v>
      </c>
      <c r="M170" s="610">
        <v>0</v>
      </c>
      <c r="N170" s="805">
        <v>1609920.14</v>
      </c>
      <c r="O170" s="615">
        <v>9232886.5999999996</v>
      </c>
      <c r="P170" s="610">
        <v>14013854.380000001</v>
      </c>
      <c r="Q170" s="610">
        <f>IF(ISTEXT('Incurred 2.5% cpi'!Q170),"",'Incurred 2.5% cpi'!Q170/'Incurred 2.5% cpi'!Q$14*Incurred!Q$14)</f>
        <v>4233506.8899999997</v>
      </c>
      <c r="R170" s="611" t="str">
        <f>IF(ISTEXT('Incurred 2.5% cpi'!R170),"",'Incurred 2.5% cpi'!R170/'Incurred 2.5% cpi'!R$14*Incurred!R$14*BF170)</f>
        <v/>
      </c>
      <c r="S170" s="612" t="str">
        <f>IF(ISTEXT('Incurred 2.5% cpi'!S170),"",'Incurred 2.5% cpi'!S170/'Incurred 2.5% cpi'!S$14*Incurred!S$14*BG170)</f>
        <v/>
      </c>
      <c r="T170" s="610" t="str">
        <f>IF(ISTEXT('Incurred 2.5% cpi'!T170),"",'Incurred 2.5% cpi'!T170/'Incurred 2.5% cpi'!T$14*Incurred!T$14*BH170)</f>
        <v/>
      </c>
      <c r="U170" s="610" t="str">
        <f>IF(ISTEXT('Incurred 2.5% cpi'!U170),"",'Incurred 2.5% cpi'!U170/'Incurred 2.5% cpi'!U$14*Incurred!U$14*BI170)</f>
        <v/>
      </c>
      <c r="V170" s="610" t="str">
        <f>IF(ISTEXT('Incurred 2.5% cpi'!V170),"",'Incurred 2.5% cpi'!V170/'Incurred 2.5% cpi'!V$14*Incurred!V$14*BJ170)</f>
        <v/>
      </c>
      <c r="W170" s="611" t="str">
        <f>IF(ISTEXT('Incurred 2.5% cpi'!W170),"",'Incurred 2.5% cpi'!W170/'Incurred 2.5% cpi'!W$14*Incurred!W$14*BK170)</f>
        <v/>
      </c>
      <c r="X170" s="612" t="str">
        <f>IF(ISTEXT('Incurred 2.5% cpi'!X170),"",'Incurred 2.5% cpi'!X170/'Incurred 2.5% cpi'!X$14*Incurred!X$14*BL170)</f>
        <v/>
      </c>
      <c r="Y170" s="95">
        <f t="shared" si="245"/>
        <v>29090168.010000002</v>
      </c>
      <c r="Z170" s="95">
        <f t="shared" si="268"/>
        <v>29090168.010000002</v>
      </c>
      <c r="AA170" s="676">
        <f t="shared" si="269"/>
        <v>33440732.884152517</v>
      </c>
      <c r="AB170" s="676">
        <f t="shared" si="270"/>
        <v>29746869.692642454</v>
      </c>
      <c r="AC170" s="677">
        <f t="shared" si="284"/>
        <v>1.1241765345287305</v>
      </c>
      <c r="AD170" s="678" t="str">
        <f t="shared" si="271"/>
        <v>2017</v>
      </c>
      <c r="AE170" s="679">
        <v>43174</v>
      </c>
      <c r="AF170" s="678">
        <v>2017</v>
      </c>
      <c r="AG170" s="680"/>
      <c r="AH170" s="676">
        <f t="shared" ref="AH170:AH192" si="293">IF(ROUND(Y170,0)=0,0,SUMPRODUCT($F$16:$W$16,F170:W170))</f>
        <v>30332883.02558751</v>
      </c>
      <c r="AI170" s="95">
        <f t="shared" si="272"/>
        <v>4233506.8899999997</v>
      </c>
      <c r="AJ170" s="681" t="s">
        <v>3059</v>
      </c>
      <c r="AK170" s="37">
        <f t="shared" si="273"/>
        <v>49095474.99999994</v>
      </c>
      <c r="AL170" s="31">
        <f t="shared" ref="AL170:BD170" si="294">IF($AK170=0,VLOOKUP(MID($A170,4,5),ProjectSplits,AL$20,FALSE),IF(ISNA(VLOOKUP($A170,Estimates,AL$19,FALSE)),VLOOKUP(MID($A170,4,5),ProjectSplits,AL$20,FALSE),VLOOKUP($A170,Estimates,AL$19,FALSE)))</f>
        <v>0</v>
      </c>
      <c r="AM170" s="31">
        <f t="shared" si="294"/>
        <v>0</v>
      </c>
      <c r="AN170" s="31">
        <f t="shared" si="294"/>
        <v>0</v>
      </c>
      <c r="AO170" s="31">
        <f t="shared" si="294"/>
        <v>0</v>
      </c>
      <c r="AP170" s="31">
        <f t="shared" si="294"/>
        <v>0</v>
      </c>
      <c r="AQ170" s="31">
        <f t="shared" si="294"/>
        <v>0</v>
      </c>
      <c r="AR170" s="31">
        <f t="shared" si="294"/>
        <v>0</v>
      </c>
      <c r="AS170" s="31">
        <f t="shared" si="294"/>
        <v>0</v>
      </c>
      <c r="AT170" s="31">
        <f t="shared" si="294"/>
        <v>0</v>
      </c>
      <c r="AU170" s="31">
        <f t="shared" si="294"/>
        <v>1</v>
      </c>
      <c r="AV170" s="31">
        <f t="shared" si="294"/>
        <v>0</v>
      </c>
      <c r="AW170" s="31">
        <f t="shared" si="294"/>
        <v>0</v>
      </c>
      <c r="AX170" s="31">
        <f t="shared" si="294"/>
        <v>0</v>
      </c>
      <c r="AY170" s="31">
        <f t="shared" si="294"/>
        <v>0</v>
      </c>
      <c r="AZ170" s="31">
        <f t="shared" si="294"/>
        <v>0</v>
      </c>
      <c r="BA170" s="31">
        <f t="shared" si="294"/>
        <v>0</v>
      </c>
      <c r="BB170" s="31">
        <f t="shared" si="294"/>
        <v>0</v>
      </c>
      <c r="BC170" s="31">
        <f t="shared" si="294"/>
        <v>0</v>
      </c>
      <c r="BD170" s="31">
        <f t="shared" si="294"/>
        <v>0</v>
      </c>
      <c r="BE170" s="30">
        <f>SUM(AL170:BD170)</f>
        <v>1</v>
      </c>
      <c r="BF170" s="620">
        <f t="shared" si="288"/>
        <v>1.0034498951996242</v>
      </c>
      <c r="BG170" s="620">
        <f t="shared" si="275"/>
        <v>1.0069222147180459</v>
      </c>
      <c r="BH170" s="620">
        <f t="shared" si="276"/>
        <v>1.0109547796356901</v>
      </c>
      <c r="BI170" s="620">
        <f t="shared" si="277"/>
        <v>1.0158301506211216</v>
      </c>
      <c r="BJ170" s="620">
        <f t="shared" si="278"/>
        <v>1.0218425664619335</v>
      </c>
      <c r="BK170" s="620">
        <f t="shared" si="279"/>
        <v>1.0281974167140426</v>
      </c>
      <c r="BL170" s="620">
        <f t="shared" si="280"/>
        <v>1.0328287210586446</v>
      </c>
      <c r="BM170" s="621" t="str">
        <f t="shared" si="281"/>
        <v>Category</v>
      </c>
    </row>
    <row r="171" spans="1:65" x14ac:dyDescent="0.15">
      <c r="A171" s="12" t="s">
        <v>360</v>
      </c>
      <c r="B171" s="13" t="s">
        <v>361</v>
      </c>
      <c r="C171" s="13" t="s">
        <v>27</v>
      </c>
      <c r="D171" s="13" t="s">
        <v>60</v>
      </c>
      <c r="E171" s="13" t="s">
        <v>112</v>
      </c>
      <c r="F171" s="14">
        <v>0</v>
      </c>
      <c r="G171" s="14">
        <v>0</v>
      </c>
      <c r="H171" s="14">
        <v>0</v>
      </c>
      <c r="I171" s="14">
        <v>0</v>
      </c>
      <c r="J171" s="14">
        <v>0</v>
      </c>
      <c r="K171" s="14">
        <v>0</v>
      </c>
      <c r="L171" s="14">
        <v>0</v>
      </c>
      <c r="M171" s="15">
        <v>0</v>
      </c>
      <c r="N171" s="804"/>
      <c r="O171" s="14"/>
      <c r="P171" s="15"/>
      <c r="Q171" s="16" t="str">
        <f>IF(ISTEXT('Incurred 2.5% cpi'!Q171),"",'Incurred 2.5% cpi'!Q171/'Incurred 2.5% cpi'!Q$14*Incurred!Q$14)</f>
        <v/>
      </c>
      <c r="R171" s="127">
        <f>IF(ISTEXT('Incurred 2.5% cpi'!R171),"",'Incurred 2.5% cpi'!R171/'Incurred 2.5% cpi'!R$14*Incurred!R$14*BF171)</f>
        <v>2151808.8625665046</v>
      </c>
      <c r="S171" s="119" t="str">
        <f>IF(ISTEXT('Incurred 2.5% cpi'!S171),"",'Incurred 2.5% cpi'!S171/'Incurred 2.5% cpi'!S$14*Incurred!S$14*BG171)</f>
        <v/>
      </c>
      <c r="T171" s="16" t="str">
        <f>IF(ISTEXT('Incurred 2.5% cpi'!T171),"",'Incurred 2.5% cpi'!T171/'Incurred 2.5% cpi'!T$14*Incurred!T$14*BH171)</f>
        <v/>
      </c>
      <c r="U171" s="16" t="str">
        <f>IF(ISTEXT('Incurred 2.5% cpi'!U171),"",'Incurred 2.5% cpi'!U171/'Incurred 2.5% cpi'!U$14*Incurred!U$14*BI171)</f>
        <v/>
      </c>
      <c r="V171" s="16" t="str">
        <f>IF(ISTEXT('Incurred 2.5% cpi'!V171),"",'Incurred 2.5% cpi'!V171/'Incurred 2.5% cpi'!V$14*Incurred!V$14*BJ171)</f>
        <v/>
      </c>
      <c r="W171" s="127" t="str">
        <f>IF(ISTEXT('Incurred 2.5% cpi'!W171),"",'Incurred 2.5% cpi'!W171/'Incurred 2.5% cpi'!W$14*Incurred!W$14*BK171)</f>
        <v/>
      </c>
      <c r="X171" s="119" t="str">
        <f>IF(ISTEXT('Incurred 2.5% cpi'!X171),"",'Incurred 2.5% cpi'!X171/'Incurred 2.5% cpi'!X$14*Incurred!X$14*BL171)</f>
        <v/>
      </c>
      <c r="Y171" s="95">
        <f t="shared" si="245"/>
        <v>2151808.8625665046</v>
      </c>
      <c r="Z171" s="95">
        <f t="shared" si="268"/>
        <v>2151808.8625665046</v>
      </c>
      <c r="AA171" s="676">
        <f t="shared" si="269"/>
        <v>2372279.1312035127</v>
      </c>
      <c r="AB171" s="676">
        <f t="shared" si="270"/>
        <v>2151808.8625665046</v>
      </c>
      <c r="AC171" s="677">
        <f t="shared" si="284"/>
        <v>1.1024581097663335</v>
      </c>
      <c r="AD171" s="678" t="str">
        <f t="shared" si="271"/>
        <v>2018</v>
      </c>
      <c r="AE171" s="679">
        <v>43210</v>
      </c>
      <c r="AF171" s="678">
        <v>2018</v>
      </c>
      <c r="AG171" s="680"/>
      <c r="AH171" s="676">
        <f t="shared" si="293"/>
        <v>2151808.8625665046</v>
      </c>
      <c r="AI171" s="95">
        <f t="shared" si="272"/>
        <v>2151808.8625665046</v>
      </c>
      <c r="AJ171" s="681" t="s">
        <v>0</v>
      </c>
      <c r="AK171" s="37">
        <f t="shared" si="273"/>
        <v>1962985.0000000005</v>
      </c>
      <c r="AL171" s="31">
        <f t="shared" ref="AL171:AU172" si="295">IF($AK171=0,VLOOKUP(MID($A171,4,5),ProjectSplits,AL$20,FALSE),IF(ISNA(VLOOKUP($A171,Estimates,AL$19,FALSE)),VLOOKUP(MID($A171,4,5),ProjectSplits,AL$20,FALSE),VLOOKUP($A171,Estimates,AL$19,FALSE)))</f>
        <v>0</v>
      </c>
      <c r="AM171" s="31">
        <f t="shared" si="295"/>
        <v>0</v>
      </c>
      <c r="AN171" s="31">
        <f t="shared" si="295"/>
        <v>0</v>
      </c>
      <c r="AO171" s="31">
        <f t="shared" si="295"/>
        <v>0</v>
      </c>
      <c r="AP171" s="31">
        <f t="shared" si="295"/>
        <v>0</v>
      </c>
      <c r="AQ171" s="31">
        <f t="shared" si="295"/>
        <v>0</v>
      </c>
      <c r="AR171" s="31">
        <f t="shared" si="295"/>
        <v>0</v>
      </c>
      <c r="AS171" s="31">
        <f t="shared" si="295"/>
        <v>0</v>
      </c>
      <c r="AT171" s="31">
        <f t="shared" si="295"/>
        <v>0</v>
      </c>
      <c r="AU171" s="31">
        <f t="shared" si="295"/>
        <v>1</v>
      </c>
      <c r="AV171" s="31">
        <f t="shared" ref="AV171:BD172" si="296">IF($AK171=0,VLOOKUP(MID($A171,4,5),ProjectSplits,AV$20,FALSE),IF(ISNA(VLOOKUP($A171,Estimates,AV$19,FALSE)),VLOOKUP(MID($A171,4,5),ProjectSplits,AV$20,FALSE),VLOOKUP($A171,Estimates,AV$19,FALSE)))</f>
        <v>0</v>
      </c>
      <c r="AW171" s="31">
        <f t="shared" si="296"/>
        <v>0</v>
      </c>
      <c r="AX171" s="31">
        <f t="shared" si="296"/>
        <v>0</v>
      </c>
      <c r="AY171" s="31">
        <f t="shared" si="296"/>
        <v>0</v>
      </c>
      <c r="AZ171" s="31">
        <f t="shared" si="296"/>
        <v>0</v>
      </c>
      <c r="BA171" s="31">
        <f t="shared" si="296"/>
        <v>0</v>
      </c>
      <c r="BB171" s="31">
        <f t="shared" si="296"/>
        <v>0</v>
      </c>
      <c r="BC171" s="31">
        <f t="shared" si="296"/>
        <v>0</v>
      </c>
      <c r="BD171" s="31">
        <f t="shared" si="296"/>
        <v>0</v>
      </c>
      <c r="BE171" s="30">
        <f t="shared" ref="BE171:BE172" si="297">SUM(AL171:BD171)</f>
        <v>1</v>
      </c>
      <c r="BF171" s="620">
        <f t="shared" si="288"/>
        <v>1.0002847743844534</v>
      </c>
      <c r="BG171" s="620">
        <f t="shared" si="275"/>
        <v>1.0005713998024055</v>
      </c>
      <c r="BH171" s="620">
        <f t="shared" si="276"/>
        <v>1.0009042711291389</v>
      </c>
      <c r="BI171" s="620">
        <f t="shared" si="277"/>
        <v>1.0013067125631596</v>
      </c>
      <c r="BJ171" s="620">
        <f t="shared" si="278"/>
        <v>1.001803012282737</v>
      </c>
      <c r="BK171" s="620">
        <f t="shared" si="279"/>
        <v>1.0023275785272521</v>
      </c>
      <c r="BL171" s="620">
        <f t="shared" si="280"/>
        <v>1.0027098732833635</v>
      </c>
      <c r="BM171" s="621" t="str">
        <f t="shared" si="281"/>
        <v>Category</v>
      </c>
    </row>
    <row r="172" spans="1:65" x14ac:dyDescent="0.15">
      <c r="A172" s="12" t="s">
        <v>362</v>
      </c>
      <c r="B172" s="13" t="s">
        <v>363</v>
      </c>
      <c r="C172" s="13" t="s">
        <v>27</v>
      </c>
      <c r="D172" s="13" t="s">
        <v>40</v>
      </c>
      <c r="E172" s="13" t="s">
        <v>29</v>
      </c>
      <c r="F172" s="14">
        <v>0</v>
      </c>
      <c r="G172" s="14">
        <v>0</v>
      </c>
      <c r="H172" s="14">
        <v>0</v>
      </c>
      <c r="I172" s="14">
        <v>0</v>
      </c>
      <c r="J172" s="14">
        <v>0</v>
      </c>
      <c r="K172" s="14">
        <v>0</v>
      </c>
      <c r="L172" s="14">
        <v>0</v>
      </c>
      <c r="M172" s="15">
        <v>0</v>
      </c>
      <c r="N172" s="804"/>
      <c r="O172" s="14">
        <v>1049455.56</v>
      </c>
      <c r="P172" s="15">
        <v>1220165.2</v>
      </c>
      <c r="Q172" s="16">
        <f>IF(ISTEXT('Incurred 2.5% cpi'!Q172),"",'Incurred 2.5% cpi'!Q172/'Incurred 2.5% cpi'!Q$14*Incurred!Q$14)</f>
        <v>717265.53</v>
      </c>
      <c r="R172" s="127" t="str">
        <f>IF(ISTEXT('Incurred 2.5% cpi'!R172),"",'Incurred 2.5% cpi'!R172/'Incurred 2.5% cpi'!R$14*Incurred!R$14*BF172)</f>
        <v/>
      </c>
      <c r="S172" s="119" t="str">
        <f>IF(ISTEXT('Incurred 2.5% cpi'!S172),"",'Incurred 2.5% cpi'!S172/'Incurred 2.5% cpi'!S$14*Incurred!S$14*BG172)</f>
        <v/>
      </c>
      <c r="T172" s="16" t="str">
        <f>IF(ISTEXT('Incurred 2.5% cpi'!T172),"",'Incurred 2.5% cpi'!T172/'Incurred 2.5% cpi'!T$14*Incurred!T$14*BH172)</f>
        <v/>
      </c>
      <c r="U172" s="16" t="str">
        <f>IF(ISTEXT('Incurred 2.5% cpi'!U172),"",'Incurred 2.5% cpi'!U172/'Incurred 2.5% cpi'!U$14*Incurred!U$14*BI172)</f>
        <v/>
      </c>
      <c r="V172" s="16" t="str">
        <f>IF(ISTEXT('Incurred 2.5% cpi'!V172),"",'Incurred 2.5% cpi'!V172/'Incurred 2.5% cpi'!V$14*Incurred!V$14*BJ172)</f>
        <v/>
      </c>
      <c r="W172" s="127" t="str">
        <f>IF(ISTEXT('Incurred 2.5% cpi'!W172),"",'Incurred 2.5% cpi'!W172/'Incurred 2.5% cpi'!W$14*Incurred!W$14*BK172)</f>
        <v/>
      </c>
      <c r="X172" s="119" t="str">
        <f>IF(ISTEXT('Incurred 2.5% cpi'!X172),"",'Incurred 2.5% cpi'!X172/'Incurred 2.5% cpi'!X$14*Incurred!X$14*BL172)</f>
        <v/>
      </c>
      <c r="Y172" s="95">
        <f t="shared" si="245"/>
        <v>2986886.29</v>
      </c>
      <c r="Z172" s="95">
        <f t="shared" si="268"/>
        <v>2986886.29</v>
      </c>
      <c r="AA172" s="676">
        <f t="shared" si="269"/>
        <v>3423820.987786389</v>
      </c>
      <c r="AB172" s="676">
        <f t="shared" si="270"/>
        <v>3045625.7381512588</v>
      </c>
      <c r="AC172" s="677">
        <f t="shared" si="284"/>
        <v>1.1241765345287305</v>
      </c>
      <c r="AD172" s="678" t="str">
        <f t="shared" si="271"/>
        <v>2017</v>
      </c>
      <c r="AE172" s="679">
        <v>42825</v>
      </c>
      <c r="AF172" s="678">
        <v>2017</v>
      </c>
      <c r="AG172" s="680"/>
      <c r="AH172" s="676">
        <f t="shared" si="293"/>
        <v>3105624.5651928387</v>
      </c>
      <c r="AI172" s="95">
        <f t="shared" si="272"/>
        <v>717265.53</v>
      </c>
      <c r="AJ172" s="681" t="s">
        <v>0</v>
      </c>
      <c r="AK172" s="37">
        <f t="shared" si="273"/>
        <v>0</v>
      </c>
      <c r="AL172" s="31">
        <f t="shared" si="295"/>
        <v>0</v>
      </c>
      <c r="AM172" s="31">
        <f t="shared" si="295"/>
        <v>1.2598210977913676E-2</v>
      </c>
      <c r="AN172" s="31">
        <f t="shared" si="295"/>
        <v>4.0410234138469919E-2</v>
      </c>
      <c r="AO172" s="31">
        <f t="shared" si="295"/>
        <v>1.9519967422123616E-2</v>
      </c>
      <c r="AP172" s="31">
        <f t="shared" si="295"/>
        <v>0</v>
      </c>
      <c r="AQ172" s="31">
        <f t="shared" si="295"/>
        <v>5.2750171450762124E-4</v>
      </c>
      <c r="AR172" s="31">
        <f t="shared" si="295"/>
        <v>0</v>
      </c>
      <c r="AS172" s="31">
        <f t="shared" si="295"/>
        <v>0</v>
      </c>
      <c r="AT172" s="31">
        <f t="shared" si="295"/>
        <v>0</v>
      </c>
      <c r="AU172" s="31">
        <f t="shared" si="295"/>
        <v>0.20535383112557634</v>
      </c>
      <c r="AV172" s="31">
        <f t="shared" si="296"/>
        <v>6.9132359534140365E-4</v>
      </c>
      <c r="AW172" s="31">
        <f t="shared" si="296"/>
        <v>0.10775079637737764</v>
      </c>
      <c r="AX172" s="31">
        <f t="shared" si="296"/>
        <v>8.184812382001588E-3</v>
      </c>
      <c r="AY172" s="31">
        <f t="shared" si="296"/>
        <v>0</v>
      </c>
      <c r="AZ172" s="31">
        <f t="shared" si="296"/>
        <v>0.13438161930988823</v>
      </c>
      <c r="BA172" s="31">
        <f t="shared" si="296"/>
        <v>0.29999201374783002</v>
      </c>
      <c r="BB172" s="31">
        <f t="shared" si="296"/>
        <v>1.6595559557543139E-4</v>
      </c>
      <c r="BC172" s="31">
        <f t="shared" si="296"/>
        <v>0</v>
      </c>
      <c r="BD172" s="31">
        <f t="shared" si="296"/>
        <v>0.17042373361339447</v>
      </c>
      <c r="BE172" s="30">
        <f t="shared" si="297"/>
        <v>0.99999999999999989</v>
      </c>
      <c r="BF172" s="620">
        <f t="shared" si="288"/>
        <v>1.0034498951996242</v>
      </c>
      <c r="BG172" s="620">
        <f t="shared" si="275"/>
        <v>1.0069222147180459</v>
      </c>
      <c r="BH172" s="620">
        <f t="shared" si="276"/>
        <v>1.0109547796356901</v>
      </c>
      <c r="BI172" s="620">
        <f t="shared" si="277"/>
        <v>1.0158301506211216</v>
      </c>
      <c r="BJ172" s="620">
        <f t="shared" si="278"/>
        <v>1.0218425664619335</v>
      </c>
      <c r="BK172" s="620">
        <f t="shared" si="279"/>
        <v>1.0281974167140426</v>
      </c>
      <c r="BL172" s="620">
        <f t="shared" si="280"/>
        <v>1.0328287210586446</v>
      </c>
      <c r="BM172" s="621" t="str">
        <f t="shared" si="281"/>
        <v>Category</v>
      </c>
    </row>
    <row r="173" spans="1:65" x14ac:dyDescent="0.15">
      <c r="A173" s="12" t="s">
        <v>364</v>
      </c>
      <c r="B173" s="13" t="s">
        <v>365</v>
      </c>
      <c r="C173" s="13" t="s">
        <v>27</v>
      </c>
      <c r="D173" s="13" t="s">
        <v>36</v>
      </c>
      <c r="E173" s="13" t="s">
        <v>112</v>
      </c>
      <c r="F173" s="14">
        <v>0</v>
      </c>
      <c r="G173" s="14">
        <v>0</v>
      </c>
      <c r="H173" s="14">
        <v>0</v>
      </c>
      <c r="I173" s="14">
        <v>0</v>
      </c>
      <c r="J173" s="14">
        <v>0</v>
      </c>
      <c r="K173" s="14">
        <v>0</v>
      </c>
      <c r="L173" s="14">
        <v>0</v>
      </c>
      <c r="M173" s="15">
        <v>0</v>
      </c>
      <c r="N173" s="804"/>
      <c r="O173" s="14"/>
      <c r="P173" s="15"/>
      <c r="Q173" s="16" t="str">
        <f>IF(ISTEXT('Incurred 2.5% cpi'!Q173),"",'Incurred 2.5% cpi'!Q173/'Incurred 2.5% cpi'!Q$14*Incurred!Q$14)</f>
        <v/>
      </c>
      <c r="R173" s="127">
        <f>IF(ISTEXT('Incurred 2.5% cpi'!R173),"",'Incurred 2.5% cpi'!R173/'Incurred 2.5% cpi'!R$14*Incurred!R$14*BF173)</f>
        <v>219271.92294605833</v>
      </c>
      <c r="S173" s="119" t="str">
        <f>IF(ISTEXT('Incurred 2.5% cpi'!S173),"",'Incurred 2.5% cpi'!S173/'Incurred 2.5% cpi'!S$14*Incurred!S$14*BG173)</f>
        <v/>
      </c>
      <c r="T173" s="16" t="str">
        <f>IF(ISTEXT('Incurred 2.5% cpi'!T173),"",'Incurred 2.5% cpi'!T173/'Incurred 2.5% cpi'!T$14*Incurred!T$14*BH173)</f>
        <v/>
      </c>
      <c r="U173" s="16" t="str">
        <f>IF(ISTEXT('Incurred 2.5% cpi'!U173),"",'Incurred 2.5% cpi'!U173/'Incurred 2.5% cpi'!U$14*Incurred!U$14*BI173)</f>
        <v/>
      </c>
      <c r="V173" s="16" t="str">
        <f>IF(ISTEXT('Incurred 2.5% cpi'!V173),"",'Incurred 2.5% cpi'!V173/'Incurred 2.5% cpi'!V$14*Incurred!V$14*BJ173)</f>
        <v/>
      </c>
      <c r="W173" s="127" t="str">
        <f>IF(ISTEXT('Incurred 2.5% cpi'!W173),"",'Incurred 2.5% cpi'!W173/'Incurred 2.5% cpi'!W$14*Incurred!W$14*BK173)</f>
        <v/>
      </c>
      <c r="X173" s="119" t="str">
        <f>IF(ISTEXT('Incurred 2.5% cpi'!X173),"",'Incurred 2.5% cpi'!X173/'Incurred 2.5% cpi'!X$14*Incurred!X$14*BL173)</f>
        <v/>
      </c>
      <c r="Y173" s="95">
        <f t="shared" si="245"/>
        <v>219271.92294605833</v>
      </c>
      <c r="Z173" s="95">
        <f t="shared" si="268"/>
        <v>219271.92294605833</v>
      </c>
      <c r="AA173" s="676">
        <f t="shared" si="269"/>
        <v>241738.1096959406</v>
      </c>
      <c r="AB173" s="676">
        <f t="shared" si="270"/>
        <v>219271.92294605833</v>
      </c>
      <c r="AC173" s="677">
        <f t="shared" si="284"/>
        <v>1.1024581097663335</v>
      </c>
      <c r="AD173" s="678" t="str">
        <f t="shared" si="271"/>
        <v>2018</v>
      </c>
      <c r="AE173" s="679">
        <v>43112</v>
      </c>
      <c r="AF173" s="678">
        <v>2018</v>
      </c>
      <c r="AG173" s="680"/>
      <c r="AH173" s="676">
        <f t="shared" si="293"/>
        <v>219271.92294605833</v>
      </c>
      <c r="AI173" s="95">
        <f t="shared" si="272"/>
        <v>219271.92294605833</v>
      </c>
      <c r="AJ173" s="681" t="s">
        <v>0</v>
      </c>
      <c r="AK173" s="37">
        <f t="shared" si="273"/>
        <v>130559.99999999997</v>
      </c>
      <c r="AL173" s="31">
        <f t="shared" ref="AL173:AU174" si="298">IF($AK173=0,VLOOKUP(MID($A173,4,5),ProjectSplits,AL$20,FALSE),IF(ISNA(VLOOKUP($A173,Estimates,AL$19,FALSE)),VLOOKUP(MID($A173,4,5),ProjectSplits,AL$20,FALSE),VLOOKUP($A173,Estimates,AL$19,FALSE)))</f>
        <v>0</v>
      </c>
      <c r="AM173" s="31">
        <f t="shared" si="298"/>
        <v>0</v>
      </c>
      <c r="AN173" s="31">
        <f t="shared" si="298"/>
        <v>0</v>
      </c>
      <c r="AO173" s="31">
        <f t="shared" si="298"/>
        <v>0</v>
      </c>
      <c r="AP173" s="31">
        <f t="shared" si="298"/>
        <v>0</v>
      </c>
      <c r="AQ173" s="31">
        <f t="shared" si="298"/>
        <v>0</v>
      </c>
      <c r="AR173" s="31">
        <f t="shared" si="298"/>
        <v>0</v>
      </c>
      <c r="AS173" s="31">
        <f t="shared" si="298"/>
        <v>1</v>
      </c>
      <c r="AT173" s="31">
        <f t="shared" si="298"/>
        <v>0</v>
      </c>
      <c r="AU173" s="31">
        <f t="shared" si="298"/>
        <v>0</v>
      </c>
      <c r="AV173" s="31">
        <f t="shared" ref="AV173:BD174" si="299">IF($AK173=0,VLOOKUP(MID($A173,4,5),ProjectSplits,AV$20,FALSE),IF(ISNA(VLOOKUP($A173,Estimates,AV$19,FALSE)),VLOOKUP(MID($A173,4,5),ProjectSplits,AV$20,FALSE),VLOOKUP($A173,Estimates,AV$19,FALSE)))</f>
        <v>0</v>
      </c>
      <c r="AW173" s="31">
        <f t="shared" si="299"/>
        <v>0</v>
      </c>
      <c r="AX173" s="31">
        <f t="shared" si="299"/>
        <v>0</v>
      </c>
      <c r="AY173" s="31">
        <f t="shared" si="299"/>
        <v>0</v>
      </c>
      <c r="AZ173" s="31">
        <f t="shared" si="299"/>
        <v>0</v>
      </c>
      <c r="BA173" s="31">
        <f t="shared" si="299"/>
        <v>0</v>
      </c>
      <c r="BB173" s="31">
        <f t="shared" si="299"/>
        <v>0</v>
      </c>
      <c r="BC173" s="31">
        <f t="shared" si="299"/>
        <v>0</v>
      </c>
      <c r="BD173" s="31">
        <f t="shared" si="299"/>
        <v>0</v>
      </c>
      <c r="BE173" s="30">
        <f t="shared" ref="BE173:BE174" si="300">SUM(AL173:BD173)</f>
        <v>1</v>
      </c>
      <c r="BF173" s="620">
        <f t="shared" si="288"/>
        <v>1.0018756098697492</v>
      </c>
      <c r="BG173" s="620">
        <f t="shared" si="275"/>
        <v>1.0037634112036518</v>
      </c>
      <c r="BH173" s="620">
        <f t="shared" si="276"/>
        <v>1.0059558020220052</v>
      </c>
      <c r="BI173" s="620">
        <f t="shared" si="277"/>
        <v>1.0086064025213943</v>
      </c>
      <c r="BJ173" s="620">
        <f t="shared" si="278"/>
        <v>1.0118751819594745</v>
      </c>
      <c r="BK173" s="620">
        <f t="shared" si="279"/>
        <v>1.0153301332446416</v>
      </c>
      <c r="BL173" s="620">
        <f t="shared" si="280"/>
        <v>1.0178480416551621</v>
      </c>
      <c r="BM173" s="621" t="str">
        <f t="shared" si="281"/>
        <v>Category</v>
      </c>
    </row>
    <row r="174" spans="1:65" x14ac:dyDescent="0.15">
      <c r="A174" s="12" t="s">
        <v>366</v>
      </c>
      <c r="B174" s="13" t="s">
        <v>2383</v>
      </c>
      <c r="C174" s="13" t="s">
        <v>27</v>
      </c>
      <c r="D174" s="13" t="s">
        <v>55</v>
      </c>
      <c r="E174" s="13" t="s">
        <v>29</v>
      </c>
      <c r="F174" s="14">
        <v>0</v>
      </c>
      <c r="G174" s="14">
        <v>0</v>
      </c>
      <c r="H174" s="14">
        <v>0</v>
      </c>
      <c r="I174" s="14">
        <v>0</v>
      </c>
      <c r="J174" s="14">
        <v>0</v>
      </c>
      <c r="K174" s="14">
        <v>0</v>
      </c>
      <c r="L174" s="14">
        <v>0</v>
      </c>
      <c r="M174" s="15">
        <v>0</v>
      </c>
      <c r="N174" s="804"/>
      <c r="O174" s="14"/>
      <c r="P174" s="15"/>
      <c r="Q174" s="16">
        <f>IF(ISTEXT('Incurred 2.5% cpi'!Q174),"",'Incurred 2.5% cpi'!Q174/'Incurred 2.5% cpi'!Q$14*Incurred!Q$14)</f>
        <v>145332.34</v>
      </c>
      <c r="R174" s="127">
        <f>IF(ISTEXT('Incurred 2.5% cpi'!R174),"",'Incurred 2.5% cpi'!R174/'Incurred 2.5% cpi'!R$14*Incurred!R$14*BF174)</f>
        <v>19191.378212348394</v>
      </c>
      <c r="S174" s="119" t="str">
        <f>IF(ISTEXT('Incurred 2.5% cpi'!S174),"",'Incurred 2.5% cpi'!S174/'Incurred 2.5% cpi'!S$14*Incurred!S$14*BG174)</f>
        <v/>
      </c>
      <c r="T174" s="16" t="str">
        <f>IF(ISTEXT('Incurred 2.5% cpi'!T174),"",'Incurred 2.5% cpi'!T174/'Incurred 2.5% cpi'!T$14*Incurred!T$14*BH174)</f>
        <v/>
      </c>
      <c r="U174" s="16" t="str">
        <f>IF(ISTEXT('Incurred 2.5% cpi'!U174),"",'Incurred 2.5% cpi'!U174/'Incurred 2.5% cpi'!U$14*Incurred!U$14*BI174)</f>
        <v/>
      </c>
      <c r="V174" s="16" t="str">
        <f>IF(ISTEXT('Incurred 2.5% cpi'!V174),"",'Incurred 2.5% cpi'!V174/'Incurred 2.5% cpi'!V$14*Incurred!V$14*BJ174)</f>
        <v/>
      </c>
      <c r="W174" s="127" t="str">
        <f>IF(ISTEXT('Incurred 2.5% cpi'!W174),"",'Incurred 2.5% cpi'!W174/'Incurred 2.5% cpi'!W$14*Incurred!W$14*BK174)</f>
        <v/>
      </c>
      <c r="X174" s="119" t="str">
        <f>IF(ISTEXT('Incurred 2.5% cpi'!X174),"",'Incurred 2.5% cpi'!X174/'Incurred 2.5% cpi'!X$14*Incurred!X$14*BL174)</f>
        <v/>
      </c>
      <c r="Y174" s="95">
        <f t="shared" si="245"/>
        <v>164523.71821234838</v>
      </c>
      <c r="Z174" s="95">
        <f t="shared" si="268"/>
        <v>164523.71821234838</v>
      </c>
      <c r="AA174" s="676">
        <f t="shared" si="269"/>
        <v>184536.8968839476</v>
      </c>
      <c r="AB174" s="676">
        <f t="shared" si="270"/>
        <v>167386.76531034842</v>
      </c>
      <c r="AC174" s="677">
        <f t="shared" si="284"/>
        <v>1.1024581097663335</v>
      </c>
      <c r="AD174" s="678" t="str">
        <f t="shared" si="271"/>
        <v>2018</v>
      </c>
      <c r="AE174" s="679">
        <v>42928</v>
      </c>
      <c r="AF174" s="678">
        <v>2018</v>
      </c>
      <c r="AG174" s="680"/>
      <c r="AH174" s="676">
        <f t="shared" si="293"/>
        <v>167386.76531034839</v>
      </c>
      <c r="AI174" s="95">
        <f t="shared" si="272"/>
        <v>19191.378212348394</v>
      </c>
      <c r="AJ174" s="681" t="s">
        <v>0</v>
      </c>
      <c r="AK174" s="37">
        <f t="shared" si="273"/>
        <v>37400.000000000029</v>
      </c>
      <c r="AL174" s="31">
        <f t="shared" si="298"/>
        <v>0</v>
      </c>
      <c r="AM174" s="31">
        <f t="shared" si="298"/>
        <v>0</v>
      </c>
      <c r="AN174" s="31">
        <f t="shared" si="298"/>
        <v>0</v>
      </c>
      <c r="AO174" s="31">
        <f t="shared" si="298"/>
        <v>1</v>
      </c>
      <c r="AP174" s="31">
        <f t="shared" si="298"/>
        <v>0</v>
      </c>
      <c r="AQ174" s="31">
        <f t="shared" si="298"/>
        <v>0</v>
      </c>
      <c r="AR174" s="31">
        <f t="shared" si="298"/>
        <v>0</v>
      </c>
      <c r="AS174" s="31">
        <f t="shared" si="298"/>
        <v>0</v>
      </c>
      <c r="AT174" s="31">
        <f t="shared" si="298"/>
        <v>0</v>
      </c>
      <c r="AU174" s="31">
        <f t="shared" si="298"/>
        <v>0</v>
      </c>
      <c r="AV174" s="31">
        <f t="shared" si="299"/>
        <v>0</v>
      </c>
      <c r="AW174" s="31">
        <f t="shared" si="299"/>
        <v>0</v>
      </c>
      <c r="AX174" s="31">
        <f t="shared" si="299"/>
        <v>0</v>
      </c>
      <c r="AY174" s="31">
        <f t="shared" si="299"/>
        <v>0</v>
      </c>
      <c r="AZ174" s="31">
        <f t="shared" si="299"/>
        <v>0</v>
      </c>
      <c r="BA174" s="31">
        <f t="shared" si="299"/>
        <v>0</v>
      </c>
      <c r="BB174" s="31">
        <f t="shared" si="299"/>
        <v>0</v>
      </c>
      <c r="BC174" s="31">
        <f t="shared" si="299"/>
        <v>0</v>
      </c>
      <c r="BD174" s="31">
        <f t="shared" si="299"/>
        <v>0</v>
      </c>
      <c r="BE174" s="30">
        <f t="shared" si="300"/>
        <v>1</v>
      </c>
      <c r="BF174" s="620">
        <f t="shared" si="288"/>
        <v>1.0046190746045656</v>
      </c>
      <c r="BG174" s="620">
        <f t="shared" si="275"/>
        <v>1.0092681731940607</v>
      </c>
      <c r="BH174" s="620">
        <f t="shared" si="276"/>
        <v>1.0146673859598225</v>
      </c>
      <c r="BI174" s="620">
        <f t="shared" si="277"/>
        <v>1.0211950341936284</v>
      </c>
      <c r="BJ174" s="620">
        <f t="shared" si="278"/>
        <v>1.0292450750544078</v>
      </c>
      <c r="BK174" s="620">
        <f t="shared" si="279"/>
        <v>1.0377536023333034</v>
      </c>
      <c r="BL174" s="620">
        <f t="shared" si="280"/>
        <v>1.0439544690397748</v>
      </c>
      <c r="BM174" s="621" t="str">
        <f t="shared" si="281"/>
        <v>Category</v>
      </c>
    </row>
    <row r="175" spans="1:65" x14ac:dyDescent="0.15">
      <c r="A175" s="12" t="s">
        <v>368</v>
      </c>
      <c r="B175" s="13" t="s">
        <v>369</v>
      </c>
      <c r="C175" s="13" t="s">
        <v>27</v>
      </c>
      <c r="D175" s="13" t="s">
        <v>44</v>
      </c>
      <c r="E175" s="13" t="s">
        <v>45</v>
      </c>
      <c r="F175" s="14">
        <v>0</v>
      </c>
      <c r="G175" s="14">
        <v>0</v>
      </c>
      <c r="H175" s="14">
        <v>0</v>
      </c>
      <c r="I175" s="14">
        <v>0</v>
      </c>
      <c r="J175" s="14">
        <v>0</v>
      </c>
      <c r="K175" s="14">
        <v>0</v>
      </c>
      <c r="L175" s="14">
        <v>0</v>
      </c>
      <c r="M175" s="15">
        <v>3436.96</v>
      </c>
      <c r="N175" s="804"/>
      <c r="O175" s="14"/>
      <c r="P175" s="15"/>
      <c r="Q175" s="16" t="str">
        <f>IF(ISTEXT('Incurred 2.5% cpi'!Q175),"",'Incurred 2.5% cpi'!Q175/'Incurred 2.5% cpi'!Q$14*Incurred!Q$14)</f>
        <v/>
      </c>
      <c r="R175" s="127" t="str">
        <f>IF(ISTEXT('Incurred 2.5% cpi'!R175),"",'Incurred 2.5% cpi'!R175/'Incurred 2.5% cpi'!R$14*Incurred!R$14*BF175)</f>
        <v/>
      </c>
      <c r="S175" s="119" t="str">
        <f>IF(ISTEXT('Incurred 2.5% cpi'!S175),"",'Incurred 2.5% cpi'!S175/'Incurred 2.5% cpi'!S$14*Incurred!S$14*BG175)</f>
        <v/>
      </c>
      <c r="T175" s="16" t="str">
        <f>IF(ISTEXT('Incurred 2.5% cpi'!T175),"",'Incurred 2.5% cpi'!T175/'Incurred 2.5% cpi'!T$14*Incurred!T$14*BH175)</f>
        <v/>
      </c>
      <c r="U175" s="16" t="str">
        <f>IF(ISTEXT('Incurred 2.5% cpi'!U175),"",'Incurred 2.5% cpi'!U175/'Incurred 2.5% cpi'!U$14*Incurred!U$14*BI175)</f>
        <v/>
      </c>
      <c r="V175" s="16" t="str">
        <f>IF(ISTEXT('Incurred 2.5% cpi'!V175),"",'Incurred 2.5% cpi'!V175/'Incurred 2.5% cpi'!V$14*Incurred!V$14*BJ175)</f>
        <v/>
      </c>
      <c r="W175" s="127" t="str">
        <f>IF(ISTEXT('Incurred 2.5% cpi'!W175),"",'Incurred 2.5% cpi'!W175/'Incurred 2.5% cpi'!W$14*Incurred!W$14*BK175)</f>
        <v/>
      </c>
      <c r="X175" s="119">
        <f>IF(ISTEXT('Incurred 2.5% cpi'!X175),"",'Incurred 2.5% cpi'!X175/'Incurred 2.5% cpi'!X$14*Incurred!X$14*BL175)</f>
        <v>643178.69672817877</v>
      </c>
      <c r="Y175" s="95">
        <f t="shared" si="245"/>
        <v>3436.96</v>
      </c>
      <c r="Z175" s="95">
        <f t="shared" si="268"/>
        <v>3436.96</v>
      </c>
      <c r="AA175" s="676">
        <f t="shared" si="269"/>
        <v>4163.022105813352</v>
      </c>
      <c r="AB175" s="676">
        <f t="shared" si="270"/>
        <v>4163.022105813352</v>
      </c>
      <c r="AC175" s="677">
        <f t="shared" si="284"/>
        <v>1</v>
      </c>
      <c r="AD175" s="678" t="str">
        <f t="shared" si="271"/>
        <v>2013</v>
      </c>
      <c r="AE175" s="679">
        <v>46258</v>
      </c>
      <c r="AF175" s="678">
        <v>2027</v>
      </c>
      <c r="AG175" s="680"/>
      <c r="AH175" s="676">
        <f t="shared" si="293"/>
        <v>3776.1272459555903</v>
      </c>
      <c r="AI175" s="95">
        <f t="shared" si="272"/>
        <v>3436.96</v>
      </c>
      <c r="AJ175" s="681" t="s">
        <v>0</v>
      </c>
      <c r="AK175" s="37">
        <f t="shared" si="273"/>
        <v>0</v>
      </c>
      <c r="AL175" s="31">
        <f t="shared" ref="AL175:BD175" si="301">IF($AK175=0,VLOOKUP(MID($A175,4,5),ProjectSplits,AL$20,FALSE),IF(ISNA(VLOOKUP($A175,Estimates,AL$19,FALSE)),VLOOKUP(MID($A175,4,5),ProjectSplits,AL$20,FALSE),VLOOKUP($A175,Estimates,AL$19,FALSE)))</f>
        <v>0</v>
      </c>
      <c r="AM175" s="31">
        <f t="shared" si="301"/>
        <v>0</v>
      </c>
      <c r="AN175" s="31">
        <f t="shared" si="301"/>
        <v>0</v>
      </c>
      <c r="AO175" s="31">
        <f t="shared" si="301"/>
        <v>0</v>
      </c>
      <c r="AP175" s="31">
        <f t="shared" si="301"/>
        <v>0</v>
      </c>
      <c r="AQ175" s="31">
        <f t="shared" si="301"/>
        <v>1</v>
      </c>
      <c r="AR175" s="31">
        <f t="shared" si="301"/>
        <v>0</v>
      </c>
      <c r="AS175" s="31">
        <f t="shared" si="301"/>
        <v>0</v>
      </c>
      <c r="AT175" s="31">
        <f t="shared" si="301"/>
        <v>0</v>
      </c>
      <c r="AU175" s="31">
        <f t="shared" si="301"/>
        <v>0</v>
      </c>
      <c r="AV175" s="31">
        <f t="shared" si="301"/>
        <v>0</v>
      </c>
      <c r="AW175" s="31">
        <f t="shared" si="301"/>
        <v>0</v>
      </c>
      <c r="AX175" s="31">
        <f t="shared" si="301"/>
        <v>0</v>
      </c>
      <c r="AY175" s="31">
        <f t="shared" si="301"/>
        <v>0</v>
      </c>
      <c r="AZ175" s="31">
        <f t="shared" si="301"/>
        <v>0</v>
      </c>
      <c r="BA175" s="31">
        <f t="shared" si="301"/>
        <v>0</v>
      </c>
      <c r="BB175" s="31">
        <f t="shared" si="301"/>
        <v>0</v>
      </c>
      <c r="BC175" s="31">
        <f t="shared" si="301"/>
        <v>0</v>
      </c>
      <c r="BD175" s="31">
        <f t="shared" si="301"/>
        <v>0</v>
      </c>
      <c r="BE175" s="30">
        <f>SUM(AL175:BD175)</f>
        <v>1</v>
      </c>
      <c r="BF175" s="620">
        <f t="shared" si="288"/>
        <v>1.0013788876313259</v>
      </c>
      <c r="BG175" s="620">
        <f t="shared" si="275"/>
        <v>1.0027667380322551</v>
      </c>
      <c r="BH175" s="620">
        <f t="shared" si="276"/>
        <v>1.0043785127574885</v>
      </c>
      <c r="BI175" s="620">
        <f t="shared" si="277"/>
        <v>1.0063271484002954</v>
      </c>
      <c r="BJ175" s="620">
        <f t="shared" si="278"/>
        <v>1.0087302491780192</v>
      </c>
      <c r="BK175" s="620">
        <f t="shared" si="279"/>
        <v>1.0112702174682198</v>
      </c>
      <c r="BL175" s="620">
        <f t="shared" si="280"/>
        <v>1.0131213021847563</v>
      </c>
      <c r="BM175" s="621" t="str">
        <f t="shared" si="281"/>
        <v>Category</v>
      </c>
    </row>
    <row r="176" spans="1:65" x14ac:dyDescent="0.15">
      <c r="A176" s="12" t="s">
        <v>371</v>
      </c>
      <c r="B176" s="13" t="s">
        <v>2306</v>
      </c>
      <c r="C176" s="13" t="s">
        <v>27</v>
      </c>
      <c r="D176" s="13" t="s">
        <v>55</v>
      </c>
      <c r="E176" s="13" t="s">
        <v>112</v>
      </c>
      <c r="F176" s="14">
        <v>0</v>
      </c>
      <c r="G176" s="14">
        <v>0</v>
      </c>
      <c r="H176" s="14">
        <v>0</v>
      </c>
      <c r="I176" s="14">
        <v>0</v>
      </c>
      <c r="J176" s="14">
        <v>0</v>
      </c>
      <c r="K176" s="14">
        <v>0</v>
      </c>
      <c r="L176" s="14">
        <v>0</v>
      </c>
      <c r="M176" s="15">
        <v>0</v>
      </c>
      <c r="N176" s="804"/>
      <c r="O176" s="14"/>
      <c r="P176" s="15"/>
      <c r="Q176" s="16" t="str">
        <f>IF(ISTEXT('Incurred 2.5% cpi'!Q176),"",'Incurred 2.5% cpi'!Q176/'Incurred 2.5% cpi'!Q$14*Incurred!Q$14)</f>
        <v/>
      </c>
      <c r="R176" s="127" t="str">
        <f>IF(ISTEXT('Incurred 2.5% cpi'!R176),"",'Incurred 2.5% cpi'!R176/'Incurred 2.5% cpi'!R$14*Incurred!R$14*BF176)</f>
        <v/>
      </c>
      <c r="S176" s="119">
        <f>IF(ISTEXT('Incurred 2.5% cpi'!S176),"",'Incurred 2.5% cpi'!S176/'Incurred 2.5% cpi'!S$14*Incurred!S$14*BG176)</f>
        <v>213730.97506355672</v>
      </c>
      <c r="T176" s="16">
        <f>IF(ISTEXT('Incurred 2.5% cpi'!T176),"",'Incurred 2.5% cpi'!T176/'Incurred 2.5% cpi'!T$14*Incurred!T$14*BH176)</f>
        <v>57986.626172027005</v>
      </c>
      <c r="U176" s="16" t="str">
        <f>IF(ISTEXT('Incurred 2.5% cpi'!U176),"",'Incurred 2.5% cpi'!U176/'Incurred 2.5% cpi'!U$14*Incurred!U$14*BI176)</f>
        <v/>
      </c>
      <c r="V176" s="16" t="str">
        <f>IF(ISTEXT('Incurred 2.5% cpi'!V176),"",'Incurred 2.5% cpi'!V176/'Incurred 2.5% cpi'!V$14*Incurred!V$14*BJ176)</f>
        <v/>
      </c>
      <c r="W176" s="127" t="str">
        <f>IF(ISTEXT('Incurred 2.5% cpi'!W176),"",'Incurred 2.5% cpi'!W176/'Incurred 2.5% cpi'!W$14*Incurred!W$14*BK176)</f>
        <v/>
      </c>
      <c r="X176" s="119" t="str">
        <f>IF(ISTEXT('Incurred 2.5% cpi'!X176),"",'Incurred 2.5% cpi'!X176/'Incurred 2.5% cpi'!X$14*Incurred!X$14*BL176)</f>
        <v/>
      </c>
      <c r="Y176" s="95">
        <f t="shared" si="245"/>
        <v>271717.60123558372</v>
      </c>
      <c r="Z176" s="95">
        <f t="shared" si="268"/>
        <v>271717.60123558372</v>
      </c>
      <c r="AA176" s="676">
        <f t="shared" si="269"/>
        <v>292558.81662362139</v>
      </c>
      <c r="AB176" s="676">
        <f t="shared" si="270"/>
        <v>275928.10144433583</v>
      </c>
      <c r="AC176" s="677">
        <f t="shared" si="284"/>
        <v>1.060271915373</v>
      </c>
      <c r="AD176" s="678" t="str">
        <f t="shared" si="271"/>
        <v>2020</v>
      </c>
      <c r="AE176" s="679">
        <v>43635</v>
      </c>
      <c r="AF176" s="678">
        <v>2020</v>
      </c>
      <c r="AG176" s="680"/>
      <c r="AH176" s="676">
        <f t="shared" si="293"/>
        <v>265369.55375622329</v>
      </c>
      <c r="AI176" s="95">
        <f t="shared" si="272"/>
        <v>57986.626172027005</v>
      </c>
      <c r="AJ176" s="681" t="s">
        <v>3058</v>
      </c>
      <c r="AK176" s="37">
        <f t="shared" si="273"/>
        <v>12500.000000000002</v>
      </c>
      <c r="AL176" s="31">
        <f t="shared" ref="AL176:BD176" si="302">IF($AK176=0,VLOOKUP(MID($A176,4,5),ProjectSplits,AL$20,FALSE),IF(ISNA(VLOOKUP($A176,Estimates,AL$19,FALSE)),VLOOKUP(MID($A176,4,5),ProjectSplits,AL$20,FALSE),VLOOKUP($A176,Estimates,AL$19,FALSE)))</f>
        <v>0</v>
      </c>
      <c r="AM176" s="31">
        <f t="shared" si="302"/>
        <v>0</v>
      </c>
      <c r="AN176" s="31">
        <f t="shared" si="302"/>
        <v>0</v>
      </c>
      <c r="AO176" s="31">
        <f t="shared" si="302"/>
        <v>1</v>
      </c>
      <c r="AP176" s="31">
        <f t="shared" si="302"/>
        <v>0</v>
      </c>
      <c r="AQ176" s="31">
        <f t="shared" si="302"/>
        <v>0</v>
      </c>
      <c r="AR176" s="31">
        <f t="shared" si="302"/>
        <v>0</v>
      </c>
      <c r="AS176" s="31">
        <f t="shared" si="302"/>
        <v>0</v>
      </c>
      <c r="AT176" s="31">
        <f t="shared" si="302"/>
        <v>0</v>
      </c>
      <c r="AU176" s="31">
        <f t="shared" si="302"/>
        <v>0</v>
      </c>
      <c r="AV176" s="31">
        <f t="shared" si="302"/>
        <v>0</v>
      </c>
      <c r="AW176" s="31">
        <f t="shared" si="302"/>
        <v>0</v>
      </c>
      <c r="AX176" s="31">
        <f t="shared" si="302"/>
        <v>0</v>
      </c>
      <c r="AY176" s="31">
        <f t="shared" si="302"/>
        <v>0</v>
      </c>
      <c r="AZ176" s="31">
        <f t="shared" si="302"/>
        <v>0</v>
      </c>
      <c r="BA176" s="31">
        <f t="shared" si="302"/>
        <v>0</v>
      </c>
      <c r="BB176" s="31">
        <f t="shared" si="302"/>
        <v>0</v>
      </c>
      <c r="BC176" s="31">
        <f t="shared" si="302"/>
        <v>0</v>
      </c>
      <c r="BD176" s="31">
        <f t="shared" si="302"/>
        <v>0</v>
      </c>
      <c r="BE176" s="30">
        <f>SUM(AL176:BD176)</f>
        <v>1</v>
      </c>
      <c r="BF176" s="620">
        <f t="shared" si="288"/>
        <v>1.0056339263672323</v>
      </c>
      <c r="BG176" s="620">
        <f t="shared" si="275"/>
        <v>1.0113044732558514</v>
      </c>
      <c r="BH176" s="620">
        <f t="shared" si="276"/>
        <v>1.0178899410751536</v>
      </c>
      <c r="BI176" s="620">
        <f t="shared" si="277"/>
        <v>1.0258517716686899</v>
      </c>
      <c r="BJ176" s="620">
        <f t="shared" si="278"/>
        <v>1.0356704780862076</v>
      </c>
      <c r="BK176" s="620">
        <f t="shared" si="279"/>
        <v>1.0460484044646869</v>
      </c>
      <c r="BL176" s="620">
        <f t="shared" si="280"/>
        <v>1.0536116567236462</v>
      </c>
      <c r="BM176" s="621" t="str">
        <f t="shared" si="281"/>
        <v>Project</v>
      </c>
    </row>
    <row r="177" spans="1:65" x14ac:dyDescent="0.15">
      <c r="A177" s="91" t="s">
        <v>372</v>
      </c>
      <c r="B177" s="13" t="s">
        <v>373</v>
      </c>
      <c r="C177" s="13" t="s">
        <v>27</v>
      </c>
      <c r="D177" s="13" t="s">
        <v>36</v>
      </c>
      <c r="E177" s="13" t="s">
        <v>112</v>
      </c>
      <c r="F177" s="14">
        <v>0</v>
      </c>
      <c r="G177" s="14">
        <v>0</v>
      </c>
      <c r="H177" s="14">
        <v>0</v>
      </c>
      <c r="I177" s="14">
        <v>0</v>
      </c>
      <c r="J177" s="14">
        <v>0</v>
      </c>
      <c r="K177" s="14">
        <v>0</v>
      </c>
      <c r="L177" s="14">
        <v>0</v>
      </c>
      <c r="M177" s="15">
        <v>0</v>
      </c>
      <c r="N177" s="804"/>
      <c r="O177" s="14"/>
      <c r="P177" s="15"/>
      <c r="Q177" s="16" t="str">
        <f>IF(ISTEXT('Incurred 2.5% cpi'!Q177),"",'Incurred 2.5% cpi'!Q177/'Incurred 2.5% cpi'!Q$14*Incurred!Q$14)</f>
        <v/>
      </c>
      <c r="R177" s="127" t="str">
        <f>IF(ISTEXT('Incurred 2.5% cpi'!R177),"",'Incurred 2.5% cpi'!R177/'Incurred 2.5% cpi'!R$14*Incurred!R$14*BF177)</f>
        <v/>
      </c>
      <c r="S177" s="119">
        <f>IF(ISTEXT('Incurred 2.5% cpi'!S177),"",'Incurred 2.5% cpi'!S177/'Incurred 2.5% cpi'!S$14*Incurred!S$14*BG177)</f>
        <v>353445.49283437035</v>
      </c>
      <c r="T177" s="16" t="str">
        <f>IF(ISTEXT('Incurred 2.5% cpi'!T177),"",'Incurred 2.5% cpi'!T177/'Incurred 2.5% cpi'!T$14*Incurred!T$14*BH177)</f>
        <v/>
      </c>
      <c r="U177" s="16" t="str">
        <f>IF(ISTEXT('Incurred 2.5% cpi'!U177),"",'Incurred 2.5% cpi'!U177/'Incurred 2.5% cpi'!U$14*Incurred!U$14*BI177)</f>
        <v/>
      </c>
      <c r="V177" s="16" t="str">
        <f>IF(ISTEXT('Incurred 2.5% cpi'!V177),"",'Incurred 2.5% cpi'!V177/'Incurred 2.5% cpi'!V$14*Incurred!V$14*BJ177)</f>
        <v/>
      </c>
      <c r="W177" s="127" t="str">
        <f>IF(ISTEXT('Incurred 2.5% cpi'!W177),"",'Incurred 2.5% cpi'!W177/'Incurred 2.5% cpi'!W$14*Incurred!W$14*BK177)</f>
        <v/>
      </c>
      <c r="X177" s="119" t="str">
        <f>IF(ISTEXT('Incurred 2.5% cpi'!X177),"",'Incurred 2.5% cpi'!X177/'Incurred 2.5% cpi'!X$14*Incurred!X$14*BL177)</f>
        <v/>
      </c>
      <c r="Y177" s="95">
        <f t="shared" si="245"/>
        <v>353445.49283437035</v>
      </c>
      <c r="Z177" s="95">
        <f t="shared" si="268"/>
        <v>353445.49283437035</v>
      </c>
      <c r="AA177" s="676">
        <f t="shared" si="269"/>
        <v>382130.87176190066</v>
      </c>
      <c r="AB177" s="676">
        <f t="shared" si="270"/>
        <v>353445.49283437035</v>
      </c>
      <c r="AC177" s="677">
        <f t="shared" si="284"/>
        <v>1.0811592721058483</v>
      </c>
      <c r="AD177" s="678" t="str">
        <f t="shared" si="271"/>
        <v>2019</v>
      </c>
      <c r="AE177" s="679">
        <v>43571</v>
      </c>
      <c r="AF177" s="678">
        <v>2019</v>
      </c>
      <c r="AG177" s="680"/>
      <c r="AH177" s="676">
        <f t="shared" si="293"/>
        <v>346617.13526956004</v>
      </c>
      <c r="AI177" s="95">
        <f t="shared" si="272"/>
        <v>353445.49283437035</v>
      </c>
      <c r="AJ177" s="681" t="s">
        <v>3058</v>
      </c>
      <c r="AK177" s="37">
        <f t="shared" si="273"/>
        <v>235500.00000000009</v>
      </c>
      <c r="AL177" s="31">
        <f t="shared" ref="AL177:AU179" si="303">IF($AK177=0,VLOOKUP(MID($A177,4,5),ProjectSplits,AL$20,FALSE),IF(ISNA(VLOOKUP($A177,Estimates,AL$19,FALSE)),VLOOKUP(MID($A177,4,5),ProjectSplits,AL$20,FALSE),VLOOKUP($A177,Estimates,AL$19,FALSE)))</f>
        <v>0.69851380042462841</v>
      </c>
      <c r="AM177" s="31">
        <f t="shared" si="303"/>
        <v>0</v>
      </c>
      <c r="AN177" s="31">
        <f t="shared" si="303"/>
        <v>0</v>
      </c>
      <c r="AO177" s="31">
        <f t="shared" si="303"/>
        <v>0</v>
      </c>
      <c r="AP177" s="31">
        <f t="shared" si="303"/>
        <v>0</v>
      </c>
      <c r="AQ177" s="31">
        <f t="shared" si="303"/>
        <v>0</v>
      </c>
      <c r="AR177" s="31">
        <f t="shared" si="303"/>
        <v>0</v>
      </c>
      <c r="AS177" s="31">
        <f t="shared" si="303"/>
        <v>0.30148619957537154</v>
      </c>
      <c r="AT177" s="31">
        <f t="shared" si="303"/>
        <v>0</v>
      </c>
      <c r="AU177" s="31">
        <f t="shared" si="303"/>
        <v>0</v>
      </c>
      <c r="AV177" s="31">
        <f t="shared" ref="AV177:BD179" si="304">IF($AK177=0,VLOOKUP(MID($A177,4,5),ProjectSplits,AV$20,FALSE),IF(ISNA(VLOOKUP($A177,Estimates,AV$19,FALSE)),VLOOKUP(MID($A177,4,5),ProjectSplits,AV$20,FALSE),VLOOKUP($A177,Estimates,AV$19,FALSE)))</f>
        <v>0</v>
      </c>
      <c r="AW177" s="31">
        <f t="shared" si="304"/>
        <v>0</v>
      </c>
      <c r="AX177" s="31">
        <f t="shared" si="304"/>
        <v>0</v>
      </c>
      <c r="AY177" s="31">
        <f t="shared" si="304"/>
        <v>0</v>
      </c>
      <c r="AZ177" s="31">
        <f t="shared" si="304"/>
        <v>0</v>
      </c>
      <c r="BA177" s="31">
        <f t="shared" si="304"/>
        <v>0</v>
      </c>
      <c r="BB177" s="31">
        <f t="shared" si="304"/>
        <v>0</v>
      </c>
      <c r="BC177" s="31">
        <f t="shared" si="304"/>
        <v>0</v>
      </c>
      <c r="BD177" s="31">
        <f t="shared" si="304"/>
        <v>0</v>
      </c>
      <c r="BE177" s="30">
        <f t="shared" ref="BE177:BE179" si="305">SUM(AL177:BD177)</f>
        <v>1</v>
      </c>
      <c r="BF177" s="620">
        <f t="shared" si="288"/>
        <v>1.0023482442089442</v>
      </c>
      <c r="BG177" s="620">
        <f t="shared" si="275"/>
        <v>1.0047117520052466</v>
      </c>
      <c r="BH177" s="620">
        <f t="shared" si="276"/>
        <v>1.0074566026940679</v>
      </c>
      <c r="BI177" s="620">
        <f t="shared" si="277"/>
        <v>1.0107751271768528</v>
      </c>
      <c r="BJ177" s="620">
        <f t="shared" si="278"/>
        <v>1.0148676053140115</v>
      </c>
      <c r="BK177" s="620">
        <f t="shared" si="279"/>
        <v>1.0191931686832549</v>
      </c>
      <c r="BL177" s="620">
        <f t="shared" si="280"/>
        <v>1.0223455640395704</v>
      </c>
      <c r="BM177" s="621" t="str">
        <f t="shared" si="281"/>
        <v>Project</v>
      </c>
    </row>
    <row r="178" spans="1:65" x14ac:dyDescent="0.15">
      <c r="A178" s="91" t="s">
        <v>374</v>
      </c>
      <c r="B178" s="13" t="s">
        <v>375</v>
      </c>
      <c r="C178" s="13" t="s">
        <v>27</v>
      </c>
      <c r="D178" s="13" t="s">
        <v>36</v>
      </c>
      <c r="E178" s="13" t="s">
        <v>112</v>
      </c>
      <c r="F178" s="14">
        <v>0</v>
      </c>
      <c r="G178" s="14">
        <v>0</v>
      </c>
      <c r="H178" s="14">
        <v>0</v>
      </c>
      <c r="I178" s="14">
        <v>0</v>
      </c>
      <c r="J178" s="14">
        <v>0</v>
      </c>
      <c r="K178" s="14">
        <v>0</v>
      </c>
      <c r="L178" s="14">
        <v>0</v>
      </c>
      <c r="M178" s="15">
        <v>0</v>
      </c>
      <c r="N178" s="804"/>
      <c r="O178" s="14"/>
      <c r="P178" s="15"/>
      <c r="Q178" s="16" t="str">
        <f>IF(ISTEXT('Incurred 2.5% cpi'!Q178),"",'Incurred 2.5% cpi'!Q178/'Incurred 2.5% cpi'!Q$14*Incurred!Q$14)</f>
        <v/>
      </c>
      <c r="R178" s="127" t="str">
        <f>IF(ISTEXT('Incurred 2.5% cpi'!R178),"",'Incurred 2.5% cpi'!R178/'Incurred 2.5% cpi'!R$14*Incurred!R$14*BF178)</f>
        <v/>
      </c>
      <c r="S178" s="119">
        <f>IF(ISTEXT('Incurred 2.5% cpi'!S178),"",'Incurred 2.5% cpi'!S178/'Incurred 2.5% cpi'!S$14*Incurred!S$14*BG178)</f>
        <v>148611.39531248354</v>
      </c>
      <c r="T178" s="16" t="str">
        <f>IF(ISTEXT('Incurred 2.5% cpi'!T178),"",'Incurred 2.5% cpi'!T178/'Incurred 2.5% cpi'!T$14*Incurred!T$14*BH178)</f>
        <v/>
      </c>
      <c r="U178" s="16" t="str">
        <f>IF(ISTEXT('Incurred 2.5% cpi'!U178),"",'Incurred 2.5% cpi'!U178/'Incurred 2.5% cpi'!U$14*Incurred!U$14*BI178)</f>
        <v/>
      </c>
      <c r="V178" s="16" t="str">
        <f>IF(ISTEXT('Incurred 2.5% cpi'!V178),"",'Incurred 2.5% cpi'!V178/'Incurred 2.5% cpi'!V$14*Incurred!V$14*BJ178)</f>
        <v/>
      </c>
      <c r="W178" s="127" t="str">
        <f>IF(ISTEXT('Incurred 2.5% cpi'!W178),"",'Incurred 2.5% cpi'!W178/'Incurred 2.5% cpi'!W$14*Incurred!W$14*BK178)</f>
        <v/>
      </c>
      <c r="X178" s="119" t="str">
        <f>IF(ISTEXT('Incurred 2.5% cpi'!X178),"",'Incurred 2.5% cpi'!X178/'Incurred 2.5% cpi'!X$14*Incurred!X$14*BL178)</f>
        <v/>
      </c>
      <c r="Y178" s="95">
        <f t="shared" si="245"/>
        <v>148611.39531248354</v>
      </c>
      <c r="Z178" s="95">
        <f t="shared" si="268"/>
        <v>148611.39531248354</v>
      </c>
      <c r="AA178" s="676">
        <f t="shared" si="269"/>
        <v>160672.58798267916</v>
      </c>
      <c r="AB178" s="676">
        <f t="shared" si="270"/>
        <v>148611.39531248354</v>
      </c>
      <c r="AC178" s="677">
        <f t="shared" si="284"/>
        <v>1.0811592721058483</v>
      </c>
      <c r="AD178" s="678" t="str">
        <f t="shared" si="271"/>
        <v>2019</v>
      </c>
      <c r="AE178" s="679">
        <v>43480</v>
      </c>
      <c r="AF178" s="678">
        <v>2019</v>
      </c>
      <c r="AG178" s="680"/>
      <c r="AH178" s="676">
        <f t="shared" si="293"/>
        <v>145740.3111821943</v>
      </c>
      <c r="AI178" s="95">
        <f t="shared" si="272"/>
        <v>148611.39531248354</v>
      </c>
      <c r="AJ178" s="681" t="s">
        <v>3058</v>
      </c>
      <c r="AK178" s="37">
        <f t="shared" si="273"/>
        <v>122000.0000000001</v>
      </c>
      <c r="AL178" s="31">
        <f t="shared" si="303"/>
        <v>0</v>
      </c>
      <c r="AM178" s="31">
        <f t="shared" si="303"/>
        <v>0</v>
      </c>
      <c r="AN178" s="31">
        <f t="shared" si="303"/>
        <v>0</v>
      </c>
      <c r="AO178" s="31">
        <f t="shared" si="303"/>
        <v>0</v>
      </c>
      <c r="AP178" s="31">
        <f t="shared" si="303"/>
        <v>0</v>
      </c>
      <c r="AQ178" s="31">
        <f t="shared" si="303"/>
        <v>0</v>
      </c>
      <c r="AR178" s="31">
        <f t="shared" si="303"/>
        <v>0</v>
      </c>
      <c r="AS178" s="31">
        <f t="shared" si="303"/>
        <v>1</v>
      </c>
      <c r="AT178" s="31">
        <f t="shared" si="303"/>
        <v>0</v>
      </c>
      <c r="AU178" s="31">
        <f t="shared" si="303"/>
        <v>0</v>
      </c>
      <c r="AV178" s="31">
        <f t="shared" si="304"/>
        <v>0</v>
      </c>
      <c r="AW178" s="31">
        <f t="shared" si="304"/>
        <v>0</v>
      </c>
      <c r="AX178" s="31">
        <f t="shared" si="304"/>
        <v>0</v>
      </c>
      <c r="AY178" s="31">
        <f t="shared" si="304"/>
        <v>0</v>
      </c>
      <c r="AZ178" s="31">
        <f t="shared" si="304"/>
        <v>0</v>
      </c>
      <c r="BA178" s="31">
        <f t="shared" si="304"/>
        <v>0</v>
      </c>
      <c r="BB178" s="31">
        <f t="shared" si="304"/>
        <v>0</v>
      </c>
      <c r="BC178" s="31">
        <f t="shared" si="304"/>
        <v>0</v>
      </c>
      <c r="BD178" s="31">
        <f t="shared" si="304"/>
        <v>0</v>
      </c>
      <c r="BE178" s="30">
        <f t="shared" si="305"/>
        <v>1</v>
      </c>
      <c r="BF178" s="620">
        <f t="shared" si="288"/>
        <v>1.000745054832479</v>
      </c>
      <c r="BG178" s="620">
        <f t="shared" si="275"/>
        <v>1.0014949525213692</v>
      </c>
      <c r="BH178" s="620">
        <f t="shared" si="276"/>
        <v>1.0023658433181399</v>
      </c>
      <c r="BI178" s="620">
        <f t="shared" si="277"/>
        <v>1.0034187502914356</v>
      </c>
      <c r="BJ178" s="620">
        <f t="shared" si="278"/>
        <v>1.0047172185688367</v>
      </c>
      <c r="BK178" s="620">
        <f t="shared" si="279"/>
        <v>1.0060896405167643</v>
      </c>
      <c r="BL178" s="620">
        <f t="shared" si="280"/>
        <v>1.0070898377642061</v>
      </c>
      <c r="BM178" s="621" t="str">
        <f t="shared" si="281"/>
        <v>Project</v>
      </c>
    </row>
    <row r="179" spans="1:65" x14ac:dyDescent="0.15">
      <c r="A179" s="91" t="s">
        <v>376</v>
      </c>
      <c r="B179" s="13" t="s">
        <v>377</v>
      </c>
      <c r="C179" s="13" t="s">
        <v>27</v>
      </c>
      <c r="D179" s="13" t="s">
        <v>40</v>
      </c>
      <c r="E179" s="13" t="s">
        <v>112</v>
      </c>
      <c r="F179" s="14">
        <v>0</v>
      </c>
      <c r="G179" s="14">
        <v>0</v>
      </c>
      <c r="H179" s="14">
        <v>0</v>
      </c>
      <c r="I179" s="14">
        <v>0</v>
      </c>
      <c r="J179" s="14">
        <v>0</v>
      </c>
      <c r="K179" s="14">
        <v>0</v>
      </c>
      <c r="L179" s="14">
        <v>0</v>
      </c>
      <c r="M179" s="15">
        <v>0</v>
      </c>
      <c r="N179" s="804"/>
      <c r="O179" s="14"/>
      <c r="P179" s="15"/>
      <c r="Q179" s="16" t="str">
        <f>IF(ISTEXT('Incurred 2.5% cpi'!Q179),"",'Incurred 2.5% cpi'!Q179/'Incurred 2.5% cpi'!Q$14*Incurred!Q$14)</f>
        <v/>
      </c>
      <c r="R179" s="127" t="str">
        <f>IF(ISTEXT('Incurred 2.5% cpi'!R179),"",'Incurred 2.5% cpi'!R179/'Incurred 2.5% cpi'!R$14*Incurred!R$14*BF179)</f>
        <v/>
      </c>
      <c r="S179" s="119">
        <f>IF(ISTEXT('Incurred 2.5% cpi'!S179),"",'Incurred 2.5% cpi'!S179/'Incurred 2.5% cpi'!S$14*Incurred!S$14*BG179)</f>
        <v>92395.543152310769</v>
      </c>
      <c r="T179" s="16">
        <f>IF(ISTEXT('Incurred 2.5% cpi'!T179),"",'Incurred 2.5% cpi'!T179/'Incurred 2.5% cpi'!T$14*Incurred!T$14*BH179)</f>
        <v>565211.41386237089</v>
      </c>
      <c r="U179" s="16">
        <f>IF(ISTEXT('Incurred 2.5% cpi'!U179),"",'Incurred 2.5% cpi'!U179/'Incurred 2.5% cpi'!U$14*Incurred!U$14*BI179)</f>
        <v>579226.65245353768</v>
      </c>
      <c r="V179" s="16">
        <f>IF(ISTEXT('Incurred 2.5% cpi'!V179),"",'Incurred 2.5% cpi'!V179/'Incurred 2.5% cpi'!V$14*Incurred!V$14*BJ179)</f>
        <v>596952.72534512135</v>
      </c>
      <c r="W179" s="127">
        <f>IF(ISTEXT('Incurred 2.5% cpi'!W179),"",'Incurred 2.5% cpi'!W179/'Incurred 2.5% cpi'!W$14*Incurred!W$14*BK179)</f>
        <v>490967.01329349371</v>
      </c>
      <c r="X179" s="119" t="str">
        <f>IF(ISTEXT('Incurred 2.5% cpi'!X179),"",'Incurred 2.5% cpi'!X179/'Incurred 2.5% cpi'!X$14*Incurred!X$14*BL179)</f>
        <v/>
      </c>
      <c r="Y179" s="95">
        <f t="shared" si="245"/>
        <v>2324753.3481068341</v>
      </c>
      <c r="Z179" s="95">
        <f t="shared" si="268"/>
        <v>2324753.3481068341</v>
      </c>
      <c r="AA179" s="676">
        <f t="shared" si="269"/>
        <v>2401124.7685065861</v>
      </c>
      <c r="AB179" s="676">
        <f t="shared" si="270"/>
        <v>2401124.7685065861</v>
      </c>
      <c r="AC179" s="677">
        <f t="shared" si="284"/>
        <v>1</v>
      </c>
      <c r="AD179" s="678" t="str">
        <f t="shared" si="271"/>
        <v>2023</v>
      </c>
      <c r="AE179" s="679">
        <v>44957</v>
      </c>
      <c r="AF179" s="678">
        <v>2023</v>
      </c>
      <c r="AG179" s="680"/>
      <c r="AH179" s="676">
        <f t="shared" si="293"/>
        <v>2177973.700076011</v>
      </c>
      <c r="AI179" s="95">
        <f t="shared" si="272"/>
        <v>490967.01329349371</v>
      </c>
      <c r="AJ179" s="681" t="s">
        <v>3058</v>
      </c>
      <c r="AK179" s="37">
        <f t="shared" si="273"/>
        <v>0</v>
      </c>
      <c r="AL179" s="31">
        <f t="shared" si="303"/>
        <v>0</v>
      </c>
      <c r="AM179" s="31">
        <f t="shared" si="303"/>
        <v>0</v>
      </c>
      <c r="AN179" s="31">
        <f t="shared" si="303"/>
        <v>0</v>
      </c>
      <c r="AO179" s="31">
        <f t="shared" si="303"/>
        <v>0</v>
      </c>
      <c r="AP179" s="31">
        <f t="shared" si="303"/>
        <v>0</v>
      </c>
      <c r="AQ179" s="31">
        <f t="shared" si="303"/>
        <v>0</v>
      </c>
      <c r="AR179" s="31">
        <f t="shared" si="303"/>
        <v>0</v>
      </c>
      <c r="AS179" s="31">
        <f t="shared" si="303"/>
        <v>1</v>
      </c>
      <c r="AT179" s="31">
        <f t="shared" si="303"/>
        <v>0</v>
      </c>
      <c r="AU179" s="31">
        <f t="shared" si="303"/>
        <v>0</v>
      </c>
      <c r="AV179" s="31">
        <f t="shared" si="304"/>
        <v>0</v>
      </c>
      <c r="AW179" s="31">
        <f t="shared" si="304"/>
        <v>0</v>
      </c>
      <c r="AX179" s="31">
        <f t="shared" si="304"/>
        <v>0</v>
      </c>
      <c r="AY179" s="31">
        <f t="shared" si="304"/>
        <v>0</v>
      </c>
      <c r="AZ179" s="31">
        <f t="shared" si="304"/>
        <v>0</v>
      </c>
      <c r="BA179" s="31">
        <f t="shared" si="304"/>
        <v>0</v>
      </c>
      <c r="BB179" s="31">
        <f t="shared" si="304"/>
        <v>0</v>
      </c>
      <c r="BC179" s="31">
        <f t="shared" si="304"/>
        <v>0</v>
      </c>
      <c r="BD179" s="31">
        <f t="shared" si="304"/>
        <v>0</v>
      </c>
      <c r="BE179" s="30">
        <f t="shared" si="305"/>
        <v>1</v>
      </c>
      <c r="BF179" s="620">
        <f t="shared" si="288"/>
        <v>1.0059304488076128</v>
      </c>
      <c r="BG179" s="620">
        <f t="shared" si="275"/>
        <v>1.011899445532475</v>
      </c>
      <c r="BH179" s="620">
        <f t="shared" si="276"/>
        <v>1.0188315169212143</v>
      </c>
      <c r="BI179" s="620">
        <f t="shared" si="277"/>
        <v>1.0272123912301998</v>
      </c>
      <c r="BJ179" s="620">
        <f t="shared" si="278"/>
        <v>1.0375478716696922</v>
      </c>
      <c r="BK179" s="620">
        <f t="shared" si="279"/>
        <v>1.0484720046996705</v>
      </c>
      <c r="BL179" s="620">
        <f t="shared" si="280"/>
        <v>1.0564333228669962</v>
      </c>
      <c r="BM179" s="621" t="str">
        <f t="shared" si="281"/>
        <v>Project</v>
      </c>
    </row>
    <row r="180" spans="1:65" x14ac:dyDescent="0.15">
      <c r="A180" s="91" t="s">
        <v>379</v>
      </c>
      <c r="B180" s="13" t="s">
        <v>380</v>
      </c>
      <c r="C180" s="13" t="s">
        <v>27</v>
      </c>
      <c r="D180" s="13" t="s">
        <v>60</v>
      </c>
      <c r="E180" s="13" t="s">
        <v>112</v>
      </c>
      <c r="F180" s="14">
        <v>0</v>
      </c>
      <c r="G180" s="14">
        <v>0</v>
      </c>
      <c r="H180" s="14">
        <v>0</v>
      </c>
      <c r="I180" s="14">
        <v>0</v>
      </c>
      <c r="J180" s="14">
        <v>0</v>
      </c>
      <c r="K180" s="14">
        <v>0</v>
      </c>
      <c r="L180" s="14">
        <v>0</v>
      </c>
      <c r="M180" s="15">
        <v>0</v>
      </c>
      <c r="N180" s="804"/>
      <c r="O180" s="14"/>
      <c r="P180" s="15"/>
      <c r="Q180" s="16" t="str">
        <f>IF(ISTEXT('Incurred 2.5% cpi'!Q180),"",'Incurred 2.5% cpi'!Q180/'Incurred 2.5% cpi'!Q$14*Incurred!Q$14)</f>
        <v/>
      </c>
      <c r="R180" s="127" t="str">
        <f>IF(ISTEXT('Incurred 2.5% cpi'!R180),"",'Incurred 2.5% cpi'!R180/'Incurred 2.5% cpi'!R$14*Incurred!R$14*BF180)</f>
        <v/>
      </c>
      <c r="S180" s="119">
        <f>IF(ISTEXT('Incurred 2.5% cpi'!S180),"",'Incurred 2.5% cpi'!S180/'Incurred 2.5% cpi'!S$14*Incurred!S$14*BG180)</f>
        <v>2348043.0569889727</v>
      </c>
      <c r="T180" s="16" t="str">
        <f>IF(ISTEXT('Incurred 2.5% cpi'!T180),"",'Incurred 2.5% cpi'!T180/'Incurred 2.5% cpi'!T$14*Incurred!T$14*BH180)</f>
        <v/>
      </c>
      <c r="U180" s="16" t="str">
        <f>IF(ISTEXT('Incurred 2.5% cpi'!U180),"",'Incurred 2.5% cpi'!U180/'Incurred 2.5% cpi'!U$14*Incurred!U$14*BI180)</f>
        <v/>
      </c>
      <c r="V180" s="16" t="str">
        <f>IF(ISTEXT('Incurred 2.5% cpi'!V180),"",'Incurred 2.5% cpi'!V180/'Incurred 2.5% cpi'!V$14*Incurred!V$14*BJ180)</f>
        <v/>
      </c>
      <c r="W180" s="127" t="str">
        <f>IF(ISTEXT('Incurred 2.5% cpi'!W180),"",'Incurred 2.5% cpi'!W180/'Incurred 2.5% cpi'!W$14*Incurred!W$14*BK180)</f>
        <v/>
      </c>
      <c r="X180" s="119" t="str">
        <f>IF(ISTEXT('Incurred 2.5% cpi'!X180),"",'Incurred 2.5% cpi'!X180/'Incurred 2.5% cpi'!X$14*Incurred!X$14*BL180)</f>
        <v/>
      </c>
      <c r="Y180" s="95">
        <f t="shared" si="245"/>
        <v>2348043.0569889727</v>
      </c>
      <c r="Z180" s="95">
        <f t="shared" si="268"/>
        <v>2348043.0569889727</v>
      </c>
      <c r="AA180" s="676">
        <f t="shared" si="269"/>
        <v>2538608.5223673885</v>
      </c>
      <c r="AB180" s="676">
        <f t="shared" si="270"/>
        <v>2348043.0569889727</v>
      </c>
      <c r="AC180" s="677">
        <f t="shared" si="284"/>
        <v>1.0811592721058483</v>
      </c>
      <c r="AD180" s="678" t="str">
        <f t="shared" si="271"/>
        <v>2019</v>
      </c>
      <c r="AE180" s="679">
        <v>43572</v>
      </c>
      <c r="AF180" s="678">
        <v>2019</v>
      </c>
      <c r="AG180" s="680"/>
      <c r="AH180" s="676">
        <f t="shared" si="293"/>
        <v>2302680.2559468201</v>
      </c>
      <c r="AI180" s="95">
        <f t="shared" si="272"/>
        <v>2348043.0569889727</v>
      </c>
      <c r="AJ180" s="681" t="s">
        <v>3058</v>
      </c>
      <c r="AK180" s="37">
        <f t="shared" si="273"/>
        <v>2094358.0000000002</v>
      </c>
      <c r="AL180" s="31">
        <f t="shared" ref="AL180:BD180" si="306">IF($AK180=0,VLOOKUP(MID($A180,4,5),ProjectSplits,AL$20,FALSE),IF(ISNA(VLOOKUP($A180,Estimates,AL$19,FALSE)),VLOOKUP(MID($A180,4,5),ProjectSplits,AL$20,FALSE),VLOOKUP($A180,Estimates,AL$19,FALSE)))</f>
        <v>0</v>
      </c>
      <c r="AM180" s="31">
        <f t="shared" si="306"/>
        <v>0</v>
      </c>
      <c r="AN180" s="31">
        <f t="shared" si="306"/>
        <v>0</v>
      </c>
      <c r="AO180" s="31">
        <f t="shared" si="306"/>
        <v>0</v>
      </c>
      <c r="AP180" s="31">
        <f t="shared" si="306"/>
        <v>0</v>
      </c>
      <c r="AQ180" s="31">
        <f t="shared" si="306"/>
        <v>0</v>
      </c>
      <c r="AR180" s="31">
        <f t="shared" si="306"/>
        <v>0</v>
      </c>
      <c r="AS180" s="31">
        <f t="shared" si="306"/>
        <v>0</v>
      </c>
      <c r="AT180" s="31">
        <f t="shared" si="306"/>
        <v>0</v>
      </c>
      <c r="AU180" s="31">
        <f t="shared" si="306"/>
        <v>1</v>
      </c>
      <c r="AV180" s="31">
        <f t="shared" si="306"/>
        <v>0</v>
      </c>
      <c r="AW180" s="31">
        <f t="shared" si="306"/>
        <v>0</v>
      </c>
      <c r="AX180" s="31">
        <f t="shared" si="306"/>
        <v>0</v>
      </c>
      <c r="AY180" s="31">
        <f t="shared" si="306"/>
        <v>0</v>
      </c>
      <c r="AZ180" s="31">
        <f t="shared" si="306"/>
        <v>0</v>
      </c>
      <c r="BA180" s="31">
        <f t="shared" si="306"/>
        <v>0</v>
      </c>
      <c r="BB180" s="31">
        <f t="shared" si="306"/>
        <v>0</v>
      </c>
      <c r="BC180" s="31">
        <f t="shared" si="306"/>
        <v>0</v>
      </c>
      <c r="BD180" s="31">
        <f t="shared" si="306"/>
        <v>0</v>
      </c>
      <c r="BE180" s="30">
        <f>SUM(AL180:BD180)</f>
        <v>1</v>
      </c>
      <c r="BF180" s="620">
        <f t="shared" si="288"/>
        <v>1.0002847743844534</v>
      </c>
      <c r="BG180" s="620">
        <f t="shared" si="275"/>
        <v>1.0005713998024055</v>
      </c>
      <c r="BH180" s="620">
        <f t="shared" si="276"/>
        <v>1.0009042711291389</v>
      </c>
      <c r="BI180" s="620">
        <f t="shared" si="277"/>
        <v>1.0013067125631596</v>
      </c>
      <c r="BJ180" s="620">
        <f t="shared" si="278"/>
        <v>1.001803012282737</v>
      </c>
      <c r="BK180" s="620">
        <f t="shared" si="279"/>
        <v>1.0023275785272521</v>
      </c>
      <c r="BL180" s="620">
        <f t="shared" si="280"/>
        <v>1.0027098732833635</v>
      </c>
      <c r="BM180" s="621" t="str">
        <f t="shared" si="281"/>
        <v>Project</v>
      </c>
    </row>
    <row r="181" spans="1:65" x14ac:dyDescent="0.15">
      <c r="A181" s="91" t="s">
        <v>381</v>
      </c>
      <c r="B181" s="13" t="s">
        <v>2307</v>
      </c>
      <c r="C181" s="13" t="s">
        <v>27</v>
      </c>
      <c r="D181" s="13" t="s">
        <v>55</v>
      </c>
      <c r="E181" s="13" t="s">
        <v>112</v>
      </c>
      <c r="F181" s="14">
        <v>0</v>
      </c>
      <c r="G181" s="14">
        <v>0</v>
      </c>
      <c r="H181" s="14">
        <v>0</v>
      </c>
      <c r="I181" s="14">
        <v>0</v>
      </c>
      <c r="J181" s="14">
        <v>0</v>
      </c>
      <c r="K181" s="14">
        <v>0</v>
      </c>
      <c r="L181" s="14">
        <v>0</v>
      </c>
      <c r="M181" s="15">
        <v>0</v>
      </c>
      <c r="N181" s="804"/>
      <c r="O181" s="14"/>
      <c r="P181" s="15"/>
      <c r="Q181" s="16" t="str">
        <f>IF(ISTEXT('Incurred 2.5% cpi'!Q181),"",'Incurred 2.5% cpi'!Q181/'Incurred 2.5% cpi'!Q$14*Incurred!Q$14)</f>
        <v/>
      </c>
      <c r="R181" s="127" t="str">
        <f>IF(ISTEXT('Incurred 2.5% cpi'!R181),"",'Incurred 2.5% cpi'!R181/'Incurred 2.5% cpi'!R$14*Incurred!R$14*BF181)</f>
        <v/>
      </c>
      <c r="S181" s="119" t="str">
        <f>IF(ISTEXT('Incurred 2.5% cpi'!S181),"",'Incurred 2.5% cpi'!S181/'Incurred 2.5% cpi'!S$14*Incurred!S$14*BG181)</f>
        <v/>
      </c>
      <c r="T181" s="16" t="str">
        <f>IF(ISTEXT('Incurred 2.5% cpi'!T181),"",'Incurred 2.5% cpi'!T181/'Incurred 2.5% cpi'!T$14*Incurred!T$14*BH181)</f>
        <v/>
      </c>
      <c r="U181" s="16">
        <f>IF(ISTEXT('Incurred 2.5% cpi'!U181),"",'Incurred 2.5% cpi'!U181/'Incurred 2.5% cpi'!U$14*Incurred!U$14*BI181)</f>
        <v>97440.946249093991</v>
      </c>
      <c r="V181" s="16">
        <f>IF(ISTEXT('Incurred 2.5% cpi'!V181),"",'Incurred 2.5% cpi'!V181/'Incurred 2.5% cpi'!V$14*Incurred!V$14*BJ181)</f>
        <v>1978330.5920619261</v>
      </c>
      <c r="W181" s="127" t="str">
        <f>IF(ISTEXT('Incurred 2.5% cpi'!W181),"",'Incurred 2.5% cpi'!W181/'Incurred 2.5% cpi'!W$14*Incurred!W$14*BK181)</f>
        <v/>
      </c>
      <c r="X181" s="119" t="str">
        <f>IF(ISTEXT('Incurred 2.5% cpi'!X181),"",'Incurred 2.5% cpi'!X181/'Incurred 2.5% cpi'!X$14*Incurred!X$14*BL181)</f>
        <v/>
      </c>
      <c r="Y181" s="95">
        <f t="shared" si="245"/>
        <v>2075771.5383110202</v>
      </c>
      <c r="Z181" s="95">
        <f t="shared" si="268"/>
        <v>2075771.5383110202</v>
      </c>
      <c r="AA181" s="676">
        <f t="shared" si="269"/>
        <v>2118621.6401136843</v>
      </c>
      <c r="AB181" s="676">
        <f t="shared" si="270"/>
        <v>2077691.1249521272</v>
      </c>
      <c r="AC181" s="677">
        <f t="shared" si="284"/>
        <v>1.0197000000000001</v>
      </c>
      <c r="AD181" s="678" t="str">
        <f t="shared" si="271"/>
        <v>2022</v>
      </c>
      <c r="AE181" s="679">
        <v>44475</v>
      </c>
      <c r="AF181" s="678">
        <v>2022</v>
      </c>
      <c r="AG181" s="680"/>
      <c r="AH181" s="676">
        <f t="shared" si="293"/>
        <v>1921725.2985355852</v>
      </c>
      <c r="AI181" s="95">
        <f t="shared" si="272"/>
        <v>1978330.5920619261</v>
      </c>
      <c r="AJ181" s="681" t="s">
        <v>3058</v>
      </c>
      <c r="AK181" s="37">
        <f t="shared" si="273"/>
        <v>1141371.0000000005</v>
      </c>
      <c r="AL181" s="31">
        <f t="shared" ref="AL181:AU184" si="307">IF($AK181=0,VLOOKUP(MID($A181,4,5),ProjectSplits,AL$20,FALSE),IF(ISNA(VLOOKUP($A181,Estimates,AL$19,FALSE)),VLOOKUP(MID($A181,4,5),ProjectSplits,AL$20,FALSE),VLOOKUP($A181,Estimates,AL$19,FALSE)))</f>
        <v>0</v>
      </c>
      <c r="AM181" s="31">
        <f t="shared" si="307"/>
        <v>0</v>
      </c>
      <c r="AN181" s="31">
        <f t="shared" si="307"/>
        <v>0</v>
      </c>
      <c r="AO181" s="31">
        <f t="shared" si="307"/>
        <v>1</v>
      </c>
      <c r="AP181" s="31">
        <f t="shared" si="307"/>
        <v>0</v>
      </c>
      <c r="AQ181" s="31">
        <f t="shared" si="307"/>
        <v>0</v>
      </c>
      <c r="AR181" s="31">
        <f t="shared" si="307"/>
        <v>0</v>
      </c>
      <c r="AS181" s="31">
        <f t="shared" si="307"/>
        <v>0</v>
      </c>
      <c r="AT181" s="31">
        <f t="shared" si="307"/>
        <v>0</v>
      </c>
      <c r="AU181" s="31">
        <f t="shared" si="307"/>
        <v>0</v>
      </c>
      <c r="AV181" s="31">
        <f t="shared" ref="AV181:BD184" si="308">IF($AK181=0,VLOOKUP(MID($A181,4,5),ProjectSplits,AV$20,FALSE),IF(ISNA(VLOOKUP($A181,Estimates,AV$19,FALSE)),VLOOKUP(MID($A181,4,5),ProjectSplits,AV$20,FALSE),VLOOKUP($A181,Estimates,AV$19,FALSE)))</f>
        <v>0</v>
      </c>
      <c r="AW181" s="31">
        <f t="shared" si="308"/>
        <v>0</v>
      </c>
      <c r="AX181" s="31">
        <f t="shared" si="308"/>
        <v>0</v>
      </c>
      <c r="AY181" s="31">
        <f t="shared" si="308"/>
        <v>0</v>
      </c>
      <c r="AZ181" s="31">
        <f t="shared" si="308"/>
        <v>0</v>
      </c>
      <c r="BA181" s="31">
        <f t="shared" si="308"/>
        <v>0</v>
      </c>
      <c r="BB181" s="31">
        <f t="shared" si="308"/>
        <v>0</v>
      </c>
      <c r="BC181" s="31">
        <f t="shared" si="308"/>
        <v>0</v>
      </c>
      <c r="BD181" s="31">
        <f t="shared" si="308"/>
        <v>0</v>
      </c>
      <c r="BE181" s="30">
        <f t="shared" ref="BE181:BE184" si="309">SUM(AL181:BD181)</f>
        <v>1</v>
      </c>
      <c r="BF181" s="620">
        <f t="shared" si="288"/>
        <v>1.0021945335366647</v>
      </c>
      <c r="BG181" s="620">
        <f t="shared" si="275"/>
        <v>1.0044033315413177</v>
      </c>
      <c r="BH181" s="620">
        <f t="shared" si="276"/>
        <v>1.0069685106086443</v>
      </c>
      <c r="BI181" s="620">
        <f t="shared" si="277"/>
        <v>1.0100698121010425</v>
      </c>
      <c r="BJ181" s="620">
        <f t="shared" si="278"/>
        <v>1.0138944060192787</v>
      </c>
      <c r="BK181" s="620">
        <f t="shared" si="279"/>
        <v>1.0179368279456764</v>
      </c>
      <c r="BL181" s="620">
        <f t="shared" si="280"/>
        <v>1.0208828747426448</v>
      </c>
      <c r="BM181" s="621" t="str">
        <f t="shared" si="281"/>
        <v>Project</v>
      </c>
    </row>
    <row r="182" spans="1:65" x14ac:dyDescent="0.15">
      <c r="A182" s="91" t="s">
        <v>382</v>
      </c>
      <c r="B182" s="13" t="s">
        <v>2308</v>
      </c>
      <c r="C182" s="13" t="s">
        <v>27</v>
      </c>
      <c r="D182" s="13" t="s">
        <v>55</v>
      </c>
      <c r="E182" s="13" t="s">
        <v>112</v>
      </c>
      <c r="F182" s="14">
        <v>0</v>
      </c>
      <c r="G182" s="14">
        <v>0</v>
      </c>
      <c r="H182" s="14">
        <v>0</v>
      </c>
      <c r="I182" s="14">
        <v>0</v>
      </c>
      <c r="J182" s="14">
        <v>0</v>
      </c>
      <c r="K182" s="14">
        <v>0</v>
      </c>
      <c r="L182" s="14">
        <v>0</v>
      </c>
      <c r="M182" s="15">
        <v>0</v>
      </c>
      <c r="N182" s="804"/>
      <c r="O182" s="14"/>
      <c r="P182" s="15"/>
      <c r="Q182" s="16" t="str">
        <f>IF(ISTEXT('Incurred 2.5% cpi'!Q182),"",'Incurred 2.5% cpi'!Q182/'Incurred 2.5% cpi'!Q$14*Incurred!Q$14)</f>
        <v/>
      </c>
      <c r="R182" s="127">
        <f>IF(ISTEXT('Incurred 2.5% cpi'!R182),"",'Incurred 2.5% cpi'!R182/'Incurred 2.5% cpi'!R$14*Incurred!R$14*BF182)</f>
        <v>657253.25563085021</v>
      </c>
      <c r="S182" s="119">
        <f>IF(ISTEXT('Incurred 2.5% cpi'!S182),"",'Incurred 2.5% cpi'!S182/'Incurred 2.5% cpi'!S$14*Incurred!S$14*BG182)</f>
        <v>626643.37242217758</v>
      </c>
      <c r="T182" s="16" t="str">
        <f>IF(ISTEXT('Incurred 2.5% cpi'!T182),"",'Incurred 2.5% cpi'!T182/'Incurred 2.5% cpi'!T$14*Incurred!T$14*BH182)</f>
        <v/>
      </c>
      <c r="U182" s="16" t="str">
        <f>IF(ISTEXT('Incurred 2.5% cpi'!U182),"",'Incurred 2.5% cpi'!U182/'Incurred 2.5% cpi'!U$14*Incurred!U$14*BI182)</f>
        <v/>
      </c>
      <c r="V182" s="16" t="str">
        <f>IF(ISTEXT('Incurred 2.5% cpi'!V182),"",'Incurred 2.5% cpi'!V182/'Incurred 2.5% cpi'!V$14*Incurred!V$14*BJ182)</f>
        <v/>
      </c>
      <c r="W182" s="127" t="str">
        <f>IF(ISTEXT('Incurred 2.5% cpi'!W182),"",'Incurred 2.5% cpi'!W182/'Incurred 2.5% cpi'!W$14*Incurred!W$14*BK182)</f>
        <v/>
      </c>
      <c r="X182" s="119" t="str">
        <f>IF(ISTEXT('Incurred 2.5% cpi'!X182),"",'Incurred 2.5% cpi'!X182/'Incurred 2.5% cpi'!X$14*Incurred!X$14*BL182)</f>
        <v/>
      </c>
      <c r="Y182" s="95">
        <f t="shared" si="245"/>
        <v>1283896.6280530277</v>
      </c>
      <c r="Z182" s="95">
        <f t="shared" si="268"/>
        <v>1283896.6280530277</v>
      </c>
      <c r="AA182" s="676">
        <f t="shared" si="269"/>
        <v>1402095.4742384716</v>
      </c>
      <c r="AB182" s="676">
        <f t="shared" si="270"/>
        <v>1296844.5171889558</v>
      </c>
      <c r="AC182" s="677">
        <f t="shared" si="284"/>
        <v>1.0811592721058483</v>
      </c>
      <c r="AD182" s="678" t="str">
        <f t="shared" si="271"/>
        <v>2019</v>
      </c>
      <c r="AE182" s="679">
        <v>43399</v>
      </c>
      <c r="AF182" s="678">
        <v>2019</v>
      </c>
      <c r="AG182" s="680"/>
      <c r="AH182" s="676">
        <f t="shared" si="293"/>
        <v>1271790.2492781754</v>
      </c>
      <c r="AI182" s="95">
        <f t="shared" si="272"/>
        <v>626643.37242217758</v>
      </c>
      <c r="AJ182" s="681" t="s">
        <v>3058</v>
      </c>
      <c r="AK182" s="37">
        <f t="shared" si="273"/>
        <v>60250.000000000029</v>
      </c>
      <c r="AL182" s="31">
        <f t="shared" si="307"/>
        <v>0</v>
      </c>
      <c r="AM182" s="31">
        <f t="shared" si="307"/>
        <v>0</v>
      </c>
      <c r="AN182" s="31">
        <f t="shared" si="307"/>
        <v>0</v>
      </c>
      <c r="AO182" s="31">
        <f t="shared" si="307"/>
        <v>1</v>
      </c>
      <c r="AP182" s="31">
        <f t="shared" si="307"/>
        <v>0</v>
      </c>
      <c r="AQ182" s="31">
        <f t="shared" si="307"/>
        <v>0</v>
      </c>
      <c r="AR182" s="31">
        <f t="shared" si="307"/>
        <v>0</v>
      </c>
      <c r="AS182" s="31">
        <f t="shared" si="307"/>
        <v>0</v>
      </c>
      <c r="AT182" s="31">
        <f t="shared" si="307"/>
        <v>0</v>
      </c>
      <c r="AU182" s="31">
        <f t="shared" si="307"/>
        <v>0</v>
      </c>
      <c r="AV182" s="31">
        <f t="shared" si="308"/>
        <v>0</v>
      </c>
      <c r="AW182" s="31">
        <f t="shared" si="308"/>
        <v>0</v>
      </c>
      <c r="AX182" s="31">
        <f t="shared" si="308"/>
        <v>0</v>
      </c>
      <c r="AY182" s="31">
        <f t="shared" si="308"/>
        <v>0</v>
      </c>
      <c r="AZ182" s="31">
        <f t="shared" si="308"/>
        <v>0</v>
      </c>
      <c r="BA182" s="31">
        <f t="shared" si="308"/>
        <v>0</v>
      </c>
      <c r="BB182" s="31">
        <f t="shared" si="308"/>
        <v>0</v>
      </c>
      <c r="BC182" s="31">
        <f t="shared" si="308"/>
        <v>0</v>
      </c>
      <c r="BD182" s="31">
        <f t="shared" si="308"/>
        <v>0</v>
      </c>
      <c r="BE182" s="30">
        <f t="shared" si="309"/>
        <v>1</v>
      </c>
      <c r="BF182" s="620">
        <f t="shared" si="288"/>
        <v>1.0056339263672323</v>
      </c>
      <c r="BG182" s="620">
        <f t="shared" si="275"/>
        <v>1.0113044732558514</v>
      </c>
      <c r="BH182" s="620">
        <f t="shared" si="276"/>
        <v>1.0178899410751536</v>
      </c>
      <c r="BI182" s="620">
        <f t="shared" si="277"/>
        <v>1.0258517716686899</v>
      </c>
      <c r="BJ182" s="620">
        <f t="shared" si="278"/>
        <v>1.0356704780862076</v>
      </c>
      <c r="BK182" s="620">
        <f t="shared" si="279"/>
        <v>1.0460484044646869</v>
      </c>
      <c r="BL182" s="620">
        <f t="shared" si="280"/>
        <v>1.0536116567236462</v>
      </c>
      <c r="BM182" s="621" t="str">
        <f t="shared" si="281"/>
        <v>Project</v>
      </c>
    </row>
    <row r="183" spans="1:65" x14ac:dyDescent="0.15">
      <c r="A183" s="91" t="s">
        <v>383</v>
      </c>
      <c r="B183" s="13" t="s">
        <v>384</v>
      </c>
      <c r="C183" s="13" t="s">
        <v>27</v>
      </c>
      <c r="D183" s="13" t="s">
        <v>55</v>
      </c>
      <c r="E183" s="13" t="s">
        <v>112</v>
      </c>
      <c r="F183" s="14">
        <v>0</v>
      </c>
      <c r="G183" s="14">
        <v>0</v>
      </c>
      <c r="H183" s="14">
        <v>0</v>
      </c>
      <c r="I183" s="14">
        <v>0</v>
      </c>
      <c r="J183" s="14">
        <v>0</v>
      </c>
      <c r="K183" s="14">
        <v>0</v>
      </c>
      <c r="L183" s="14">
        <v>0</v>
      </c>
      <c r="M183" s="15">
        <v>0</v>
      </c>
      <c r="N183" s="804"/>
      <c r="O183" s="14"/>
      <c r="P183" s="15"/>
      <c r="Q183" s="16" t="str">
        <f>IF(ISTEXT('Incurred 2.5% cpi'!Q183),"",'Incurred 2.5% cpi'!Q183/'Incurred 2.5% cpi'!Q$14*Incurred!Q$14)</f>
        <v/>
      </c>
      <c r="R183" s="127" t="str">
        <f>IF(ISTEXT('Incurred 2.5% cpi'!R183),"",'Incurred 2.5% cpi'!R183/'Incurred 2.5% cpi'!R$14*Incurred!R$14*BF183)</f>
        <v/>
      </c>
      <c r="S183" s="119">
        <f>IF(ISTEXT('Incurred 2.5% cpi'!S183),"",'Incurred 2.5% cpi'!S183/'Incurred 2.5% cpi'!S$14*Incurred!S$14*BG183)</f>
        <v>107470.90536521954</v>
      </c>
      <c r="T183" s="16">
        <f>IF(ISTEXT('Incurred 2.5% cpi'!T183),"",'Incurred 2.5% cpi'!T183/'Incurred 2.5% cpi'!T$14*Incurred!T$14*BH183)</f>
        <v>1266444.8617015635</v>
      </c>
      <c r="U183" s="16">
        <f>IF(ISTEXT('Incurred 2.5% cpi'!U183),"",'Incurred 2.5% cpi'!U183/'Incurred 2.5% cpi'!U$14*Incurred!U$14*BI183)</f>
        <v>1120781.1747742654</v>
      </c>
      <c r="V183" s="16">
        <f>IF(ISTEXT('Incurred 2.5% cpi'!V183),"",'Incurred 2.5% cpi'!V183/'Incurred 2.5% cpi'!V$14*Incurred!V$14*BJ183)</f>
        <v>8809.243281934092</v>
      </c>
      <c r="W183" s="127" t="str">
        <f>IF(ISTEXT('Incurred 2.5% cpi'!W183),"",'Incurred 2.5% cpi'!W183/'Incurred 2.5% cpi'!W$14*Incurred!W$14*BK183)</f>
        <v/>
      </c>
      <c r="X183" s="119" t="str">
        <f>IF(ISTEXT('Incurred 2.5% cpi'!X183),"",'Incurred 2.5% cpi'!X183/'Incurred 2.5% cpi'!X$14*Incurred!X$14*BL183)</f>
        <v/>
      </c>
      <c r="Y183" s="95">
        <f t="shared" si="245"/>
        <v>2503506.1851229821</v>
      </c>
      <c r="Z183" s="95">
        <f t="shared" si="268"/>
        <v>2503506.1851229821</v>
      </c>
      <c r="AA183" s="676">
        <f t="shared" si="269"/>
        <v>2633326.7874489063</v>
      </c>
      <c r="AB183" s="676">
        <f t="shared" si="270"/>
        <v>2532561.0215913383</v>
      </c>
      <c r="AC183" s="677">
        <f t="shared" si="284"/>
        <v>1.0397880900000001</v>
      </c>
      <c r="AD183" s="678" t="str">
        <f t="shared" si="271"/>
        <v>2022</v>
      </c>
      <c r="AE183" s="679">
        <v>44246</v>
      </c>
      <c r="AF183" s="678">
        <v>2021</v>
      </c>
      <c r="AG183" s="680"/>
      <c r="AH183" s="676">
        <f t="shared" si="293"/>
        <v>2388595.7789426045</v>
      </c>
      <c r="AI183" s="95">
        <f t="shared" si="272"/>
        <v>8809.243281934092</v>
      </c>
      <c r="AJ183" s="681" t="s">
        <v>3058</v>
      </c>
      <c r="AK183" s="37">
        <f t="shared" si="273"/>
        <v>1769192.0000000023</v>
      </c>
      <c r="AL183" s="31">
        <f t="shared" si="307"/>
        <v>0</v>
      </c>
      <c r="AM183" s="31">
        <f t="shared" si="307"/>
        <v>0</v>
      </c>
      <c r="AN183" s="31">
        <f t="shared" si="307"/>
        <v>0</v>
      </c>
      <c r="AO183" s="31">
        <f t="shared" si="307"/>
        <v>1</v>
      </c>
      <c r="AP183" s="31">
        <f t="shared" si="307"/>
        <v>0</v>
      </c>
      <c r="AQ183" s="31">
        <f t="shared" si="307"/>
        <v>0</v>
      </c>
      <c r="AR183" s="31">
        <f t="shared" si="307"/>
        <v>0</v>
      </c>
      <c r="AS183" s="31">
        <f t="shared" si="307"/>
        <v>0</v>
      </c>
      <c r="AT183" s="31">
        <f t="shared" si="307"/>
        <v>0</v>
      </c>
      <c r="AU183" s="31">
        <f t="shared" si="307"/>
        <v>0</v>
      </c>
      <c r="AV183" s="31">
        <f t="shared" si="308"/>
        <v>0</v>
      </c>
      <c r="AW183" s="31">
        <f t="shared" si="308"/>
        <v>0</v>
      </c>
      <c r="AX183" s="31">
        <f t="shared" si="308"/>
        <v>0</v>
      </c>
      <c r="AY183" s="31">
        <f t="shared" si="308"/>
        <v>0</v>
      </c>
      <c r="AZ183" s="31">
        <f t="shared" si="308"/>
        <v>0</v>
      </c>
      <c r="BA183" s="31">
        <f t="shared" si="308"/>
        <v>0</v>
      </c>
      <c r="BB183" s="31">
        <f t="shared" si="308"/>
        <v>0</v>
      </c>
      <c r="BC183" s="31">
        <f t="shared" si="308"/>
        <v>0</v>
      </c>
      <c r="BD183" s="31">
        <f t="shared" si="308"/>
        <v>0</v>
      </c>
      <c r="BE183" s="30">
        <f t="shared" si="309"/>
        <v>1</v>
      </c>
      <c r="BF183" s="620">
        <f t="shared" si="288"/>
        <v>1.0013050959036223</v>
      </c>
      <c r="BG183" s="620">
        <f t="shared" si="275"/>
        <v>1.0026186749306178</v>
      </c>
      <c r="BH183" s="620">
        <f t="shared" si="276"/>
        <v>1.0041441948813923</v>
      </c>
      <c r="BI183" s="620">
        <f t="shared" si="277"/>
        <v>1.0059885485018787</v>
      </c>
      <c r="BJ183" s="620">
        <f t="shared" si="278"/>
        <v>1.0082630463722984</v>
      </c>
      <c r="BK183" s="620">
        <f t="shared" si="279"/>
        <v>1.0106670872350652</v>
      </c>
      <c r="BL183" s="620">
        <f t="shared" si="280"/>
        <v>1.0124191104064433</v>
      </c>
      <c r="BM183" s="621" t="str">
        <f t="shared" si="281"/>
        <v>Project</v>
      </c>
    </row>
    <row r="184" spans="1:65" x14ac:dyDescent="0.15">
      <c r="A184" s="91" t="s">
        <v>385</v>
      </c>
      <c r="B184" s="13" t="s">
        <v>2309</v>
      </c>
      <c r="C184" s="13" t="s">
        <v>27</v>
      </c>
      <c r="D184" s="13" t="s">
        <v>55</v>
      </c>
      <c r="E184" s="13" t="s">
        <v>112</v>
      </c>
      <c r="F184" s="14">
        <v>0</v>
      </c>
      <c r="G184" s="14">
        <v>0</v>
      </c>
      <c r="H184" s="14">
        <v>0</v>
      </c>
      <c r="I184" s="14">
        <v>0</v>
      </c>
      <c r="J184" s="14">
        <v>0</v>
      </c>
      <c r="K184" s="14">
        <v>0</v>
      </c>
      <c r="L184" s="14">
        <v>0</v>
      </c>
      <c r="M184" s="15">
        <v>0</v>
      </c>
      <c r="N184" s="804"/>
      <c r="O184" s="14"/>
      <c r="P184" s="15"/>
      <c r="Q184" s="16" t="str">
        <f>IF(ISTEXT('Incurred 2.5% cpi'!Q184),"",'Incurred 2.5% cpi'!Q184/'Incurred 2.5% cpi'!Q$14*Incurred!Q$14)</f>
        <v/>
      </c>
      <c r="R184" s="127" t="str">
        <f>IF(ISTEXT('Incurred 2.5% cpi'!R184),"",'Incurred 2.5% cpi'!R184/'Incurred 2.5% cpi'!R$14*Incurred!R$14*BF184)</f>
        <v/>
      </c>
      <c r="S184" s="119" t="str">
        <f>IF(ISTEXT('Incurred 2.5% cpi'!S184),"",'Incurred 2.5% cpi'!S184/'Incurred 2.5% cpi'!S$14*Incurred!S$14*BG184)</f>
        <v/>
      </c>
      <c r="T184" s="16" t="str">
        <f>IF(ISTEXT('Incurred 2.5% cpi'!T184),"",'Incurred 2.5% cpi'!T184/'Incurred 2.5% cpi'!T$14*Incurred!T$14*BH184)</f>
        <v/>
      </c>
      <c r="U184" s="16">
        <f>IF(ISTEXT('Incurred 2.5% cpi'!U184),"",'Incurred 2.5% cpi'!U184/'Incurred 2.5% cpi'!U$14*Incurred!U$14*BI184)</f>
        <v>61052.186818232025</v>
      </c>
      <c r="V184" s="16">
        <f>IF(ISTEXT('Incurred 2.5% cpi'!V184),"",'Incurred 2.5% cpi'!V184/'Incurred 2.5% cpi'!V$14*Incurred!V$14*BJ184)</f>
        <v>809473.00734858541</v>
      </c>
      <c r="W184" s="127">
        <f>IF(ISTEXT('Incurred 2.5% cpi'!W184),"",'Incurred 2.5% cpi'!W184/'Incurred 2.5% cpi'!W$14*Incurred!W$14*BK184)</f>
        <v>422263.46394150372</v>
      </c>
      <c r="X184" s="119" t="str">
        <f>IF(ISTEXT('Incurred 2.5% cpi'!X184),"",'Incurred 2.5% cpi'!X184/'Incurred 2.5% cpi'!X$14*Incurred!X$14*BL184)</f>
        <v/>
      </c>
      <c r="Y184" s="95">
        <f t="shared" si="245"/>
        <v>1292788.6581083213</v>
      </c>
      <c r="Z184" s="95">
        <f t="shared" si="268"/>
        <v>1292788.6581083213</v>
      </c>
      <c r="AA184" s="676">
        <f t="shared" si="269"/>
        <v>1311164.426256909</v>
      </c>
      <c r="AB184" s="676">
        <f t="shared" si="270"/>
        <v>1311164.426256909</v>
      </c>
      <c r="AC184" s="677">
        <f t="shared" si="284"/>
        <v>1</v>
      </c>
      <c r="AD184" s="678" t="str">
        <f t="shared" si="271"/>
        <v>2023</v>
      </c>
      <c r="AE184" s="679">
        <v>44811</v>
      </c>
      <c r="AF184" s="678">
        <v>2023</v>
      </c>
      <c r="AG184" s="680"/>
      <c r="AH184" s="676">
        <f t="shared" si="293"/>
        <v>1189309.974357947</v>
      </c>
      <c r="AI184" s="95">
        <f t="shared" si="272"/>
        <v>422263.46394150372</v>
      </c>
      <c r="AJ184" s="681" t="s">
        <v>3058</v>
      </c>
      <c r="AK184" s="37">
        <f t="shared" si="273"/>
        <v>220000</v>
      </c>
      <c r="AL184" s="31">
        <f t="shared" si="307"/>
        <v>0</v>
      </c>
      <c r="AM184" s="31">
        <f t="shared" si="307"/>
        <v>0</v>
      </c>
      <c r="AN184" s="31">
        <f t="shared" si="307"/>
        <v>0</v>
      </c>
      <c r="AO184" s="31">
        <f t="shared" si="307"/>
        <v>1</v>
      </c>
      <c r="AP184" s="31">
        <f t="shared" si="307"/>
        <v>0</v>
      </c>
      <c r="AQ184" s="31">
        <f t="shared" si="307"/>
        <v>0</v>
      </c>
      <c r="AR184" s="31">
        <f t="shared" si="307"/>
        <v>0</v>
      </c>
      <c r="AS184" s="31">
        <f t="shared" si="307"/>
        <v>0</v>
      </c>
      <c r="AT184" s="31">
        <f t="shared" si="307"/>
        <v>0</v>
      </c>
      <c r="AU184" s="31">
        <f t="shared" si="307"/>
        <v>0</v>
      </c>
      <c r="AV184" s="31">
        <f t="shared" si="308"/>
        <v>0</v>
      </c>
      <c r="AW184" s="31">
        <f t="shared" si="308"/>
        <v>0</v>
      </c>
      <c r="AX184" s="31">
        <f t="shared" si="308"/>
        <v>0</v>
      </c>
      <c r="AY184" s="31">
        <f t="shared" si="308"/>
        <v>0</v>
      </c>
      <c r="AZ184" s="31">
        <f t="shared" si="308"/>
        <v>0</v>
      </c>
      <c r="BA184" s="31">
        <f t="shared" si="308"/>
        <v>0</v>
      </c>
      <c r="BB184" s="31">
        <f t="shared" si="308"/>
        <v>0</v>
      </c>
      <c r="BC184" s="31">
        <f t="shared" si="308"/>
        <v>0</v>
      </c>
      <c r="BD184" s="31">
        <f t="shared" si="308"/>
        <v>0</v>
      </c>
      <c r="BE184" s="30">
        <f t="shared" si="309"/>
        <v>1</v>
      </c>
      <c r="BF184" s="620">
        <f t="shared" si="288"/>
        <v>1.0047443590460903</v>
      </c>
      <c r="BG184" s="620">
        <f t="shared" si="275"/>
        <v>1.00951955642598</v>
      </c>
      <c r="BH184" s="620">
        <f t="shared" si="276"/>
        <v>1.0150652135369715</v>
      </c>
      <c r="BI184" s="620">
        <f t="shared" si="277"/>
        <v>1.0217699129841598</v>
      </c>
      <c r="BJ184" s="620">
        <f t="shared" si="278"/>
        <v>1.0300382973357538</v>
      </c>
      <c r="BK184" s="620">
        <f t="shared" si="279"/>
        <v>1.0387776037597363</v>
      </c>
      <c r="BL184" s="620">
        <f t="shared" si="280"/>
        <v>1.0451466582935969</v>
      </c>
      <c r="BM184" s="621" t="str">
        <f t="shared" si="281"/>
        <v>Project</v>
      </c>
    </row>
    <row r="185" spans="1:65" x14ac:dyDescent="0.15">
      <c r="A185" s="91" t="s">
        <v>386</v>
      </c>
      <c r="B185" s="13" t="s">
        <v>2310</v>
      </c>
      <c r="C185" s="13" t="s">
        <v>27</v>
      </c>
      <c r="D185" s="13" t="s">
        <v>55</v>
      </c>
      <c r="E185" s="13" t="s">
        <v>112</v>
      </c>
      <c r="F185" s="14">
        <v>0</v>
      </c>
      <c r="G185" s="14">
        <v>0</v>
      </c>
      <c r="H185" s="14">
        <v>0</v>
      </c>
      <c r="I185" s="14">
        <v>0</v>
      </c>
      <c r="J185" s="14">
        <v>0</v>
      </c>
      <c r="K185" s="14">
        <v>0</v>
      </c>
      <c r="L185" s="14">
        <v>0</v>
      </c>
      <c r="M185" s="15">
        <v>0</v>
      </c>
      <c r="N185" s="804"/>
      <c r="O185" s="14"/>
      <c r="P185" s="15"/>
      <c r="Q185" s="16" t="str">
        <f>IF(ISTEXT('Incurred 2.5% cpi'!Q185),"",'Incurred 2.5% cpi'!Q185/'Incurred 2.5% cpi'!Q$14*Incurred!Q$14)</f>
        <v/>
      </c>
      <c r="R185" s="127" t="str">
        <f>IF(ISTEXT('Incurred 2.5% cpi'!R185),"",'Incurred 2.5% cpi'!R185/'Incurred 2.5% cpi'!R$14*Incurred!R$14*BF185)</f>
        <v/>
      </c>
      <c r="S185" s="119" t="str">
        <f>IF(ISTEXT('Incurred 2.5% cpi'!S185),"",'Incurred 2.5% cpi'!S185/'Incurred 2.5% cpi'!S$14*Incurred!S$14*BG185)</f>
        <v/>
      </c>
      <c r="T185" s="16" t="str">
        <f>IF(ISTEXT('Incurred 2.5% cpi'!T185),"",'Incurred 2.5% cpi'!T185/'Incurred 2.5% cpi'!T$14*Incurred!T$14*BH185)</f>
        <v/>
      </c>
      <c r="U185" s="16" t="str">
        <f>IF(ISTEXT('Incurred 2.5% cpi'!U185),"",'Incurred 2.5% cpi'!U185/'Incurred 2.5% cpi'!U$14*Incurred!U$14*BI185)</f>
        <v/>
      </c>
      <c r="V185" s="16">
        <f>IF(ISTEXT('Incurred 2.5% cpi'!V185),"",'Incurred 2.5% cpi'!V185/'Incurred 2.5% cpi'!V$14*Incurred!V$14*BJ185)</f>
        <v>1291865.9276551767</v>
      </c>
      <c r="W185" s="127">
        <f>IF(ISTEXT('Incurred 2.5% cpi'!W185),"",'Incurred 2.5% cpi'!W185/'Incurred 2.5% cpi'!W$14*Incurred!W$14*BK185)</f>
        <v>1165272.8066256596</v>
      </c>
      <c r="X185" s="119">
        <f>IF(ISTEXT('Incurred 2.5% cpi'!X185),"",'Incurred 2.5% cpi'!X185/'Incurred 2.5% cpi'!X$14*Incurred!X$14*BL185)</f>
        <v>1137940.8875483279</v>
      </c>
      <c r="Y185" s="95">
        <f t="shared" si="245"/>
        <v>2457138.7342808363</v>
      </c>
      <c r="Z185" s="95">
        <f t="shared" ref="Z185:Z211" si="310">-SUMIFS(F185:W185,F185:W185,"&lt;0")+SUMIFS(F185:W185,F185:W185,"&gt;0")</f>
        <v>2457138.7342808363</v>
      </c>
      <c r="AA185" s="676">
        <f t="shared" ref="AA185:AA206" si="311">IF(ROUND(Y185,0)=0,0,SUMPRODUCT($F$17:$W$17,F185:W185))</f>
        <v>2482588.4930556435</v>
      </c>
      <c r="AB185" s="676">
        <f t="shared" ref="AB185:AB211" si="312">IF(AC185="","",AA185/AC185)</f>
        <v>2482588.4930556435</v>
      </c>
      <c r="AC185" s="677">
        <f t="shared" si="284"/>
        <v>1</v>
      </c>
      <c r="AD185" s="678" t="str">
        <f>IF(AI185=0,"",INDEX($F$21:$X$21,1,MATCH(AI185,F185:X185,0)))</f>
        <v>2024</v>
      </c>
      <c r="AE185" s="679">
        <v>45386</v>
      </c>
      <c r="AF185" s="678">
        <v>2024</v>
      </c>
      <c r="AG185" s="680"/>
      <c r="AH185" s="676">
        <f t="shared" si="293"/>
        <v>2251866.5072742119</v>
      </c>
      <c r="AI185" s="95">
        <f t="shared" ref="AI185:AI211" si="313">IF(ROUND(Z185,0)=0,0,LOOKUP(2,1/(F185:X185&lt;&gt;""),F185:X185))</f>
        <v>1137940.8875483279</v>
      </c>
      <c r="AJ185" s="681" t="s">
        <v>3058</v>
      </c>
      <c r="AK185" s="37">
        <f t="shared" ref="AK185:AK211" si="314">IF(ISNA(VLOOKUP($A185,Estimates,71,FALSE)),0,VLOOKUP($A185,Estimates,71,FALSE))</f>
        <v>0</v>
      </c>
      <c r="AL185" s="31">
        <f t="shared" ref="AL185:AU185" si="315">IF($AK185=0,VLOOKUP(MID($A185,4,5),ProjectSplits,AL$20,FALSE),IF(ISNA(VLOOKUP($A185,Estimates,AL$19,FALSE)),VLOOKUP(MID($A185,4,5),ProjectSplits,AL$20,FALSE),VLOOKUP($A185,Estimates,AL$19,FALSE)))</f>
        <v>0</v>
      </c>
      <c r="AM185" s="31">
        <f t="shared" si="315"/>
        <v>0</v>
      </c>
      <c r="AN185" s="31">
        <f t="shared" si="315"/>
        <v>0</v>
      </c>
      <c r="AO185" s="31">
        <f t="shared" si="315"/>
        <v>1</v>
      </c>
      <c r="AP185" s="31">
        <f t="shared" si="315"/>
        <v>0</v>
      </c>
      <c r="AQ185" s="31">
        <f t="shared" si="315"/>
        <v>0</v>
      </c>
      <c r="AR185" s="31">
        <f t="shared" si="315"/>
        <v>0</v>
      </c>
      <c r="AS185" s="31">
        <f t="shared" si="315"/>
        <v>0</v>
      </c>
      <c r="AT185" s="31">
        <f t="shared" si="315"/>
        <v>0</v>
      </c>
      <c r="AU185" s="31">
        <f t="shared" si="315"/>
        <v>0</v>
      </c>
      <c r="AV185" s="31">
        <f t="shared" ref="AV185:BD185" si="316">IF($AK185=0,VLOOKUP(MID($A185,4,5),ProjectSplits,AV$20,FALSE),IF(ISNA(VLOOKUP($A185,Estimates,AV$19,FALSE)),VLOOKUP(MID($A185,4,5),ProjectSplits,AV$20,FALSE),VLOOKUP($A185,Estimates,AV$19,FALSE)))</f>
        <v>0</v>
      </c>
      <c r="AW185" s="31">
        <f t="shared" si="316"/>
        <v>0</v>
      </c>
      <c r="AX185" s="31">
        <f t="shared" si="316"/>
        <v>0</v>
      </c>
      <c r="AY185" s="31">
        <f t="shared" si="316"/>
        <v>0</v>
      </c>
      <c r="AZ185" s="31">
        <f t="shared" si="316"/>
        <v>0</v>
      </c>
      <c r="BA185" s="31">
        <f t="shared" si="316"/>
        <v>0</v>
      </c>
      <c r="BB185" s="31">
        <f t="shared" si="316"/>
        <v>0</v>
      </c>
      <c r="BC185" s="31">
        <f t="shared" si="316"/>
        <v>0</v>
      </c>
      <c r="BD185" s="31">
        <f t="shared" si="316"/>
        <v>0</v>
      </c>
      <c r="BE185" s="30">
        <f t="shared" ref="BE185" si="317">SUM(AL185:BD185)</f>
        <v>1</v>
      </c>
      <c r="BF185" s="620">
        <f t="shared" si="288"/>
        <v>1.0059304488076128</v>
      </c>
      <c r="BG185" s="620">
        <f t="shared" ref="BG185:BG211" si="318">1+IF(ISNA(VLOOKUP($A185,ProjLabEsc,7,FALSE)),VLOOKUP($D185,CatLabEsc,4,FALSE),VLOOKUP($A185,ProjLabEsc,7,FALSE))*LabEsc19*LabIn</f>
        <v>1.011899445532475</v>
      </c>
      <c r="BH185" s="620">
        <f t="shared" ref="BH185:BH211" si="319">1+IF(ISNA(VLOOKUP($A185,ProjLabEsc,7,FALSE)),VLOOKUP($D185,CatLabEsc,4,FALSE),VLOOKUP($A185,ProjLabEsc,7,FALSE))*LabEsc20*LabIn</f>
        <v>1.0188315169212143</v>
      </c>
      <c r="BI185" s="620">
        <f t="shared" ref="BI185:BI211" si="320">1+IF(ISNA(VLOOKUP($A185,ProjLabEsc,7,FALSE)),VLOOKUP($D185,CatLabEsc,4,FALSE),VLOOKUP($A185,ProjLabEsc,7,FALSE))*LabEsc21*LabIn</f>
        <v>1.0272123912301998</v>
      </c>
      <c r="BJ185" s="620">
        <f t="shared" ref="BJ185:BJ211" si="321">1+IF(ISNA(VLOOKUP($A185,ProjLabEsc,7,FALSE)),VLOOKUP($D185,CatLabEsc,4,FALSE),VLOOKUP($A185,ProjLabEsc,7,FALSE))*LabEsc22*LabIn</f>
        <v>1.0375478716696922</v>
      </c>
      <c r="BK185" s="620">
        <f t="shared" ref="BK185:BK211" si="322">1+IF(ISNA(VLOOKUP($A185,ProjLabEsc,7,FALSE)),VLOOKUP($D185,CatLabEsc,4,FALSE),VLOOKUP($A185,ProjLabEsc,7,FALSE))*LabEsc23*LabIn</f>
        <v>1.0484720046996705</v>
      </c>
      <c r="BL185" s="620">
        <f t="shared" ref="BL185:BL211" si="323">1+IF(ISNA(VLOOKUP($A185,ProjLabEsc,7,FALSE)),VLOOKUP($D185,CatLabEsc,4,FALSE),VLOOKUP($A185,ProjLabEsc,7,FALSE))*LabEsc24*LabIn</f>
        <v>1.0564333228669962</v>
      </c>
      <c r="BM185" s="621" t="str">
        <f t="shared" ref="BM185:BM211" si="324">IF(ISNA(VLOOKUP($A185,ProjLabEsc,7,FALSE)),"Category","Project")</f>
        <v>Project</v>
      </c>
    </row>
    <row r="186" spans="1:65" x14ac:dyDescent="0.15">
      <c r="A186" s="91" t="s">
        <v>388</v>
      </c>
      <c r="B186" s="13" t="s">
        <v>389</v>
      </c>
      <c r="C186" s="13" t="s">
        <v>27</v>
      </c>
      <c r="D186" s="13" t="s">
        <v>40</v>
      </c>
      <c r="E186" s="13" t="s">
        <v>112</v>
      </c>
      <c r="F186" s="14">
        <v>0</v>
      </c>
      <c r="G186" s="14">
        <v>0</v>
      </c>
      <c r="H186" s="14">
        <v>0</v>
      </c>
      <c r="I186" s="14">
        <v>0</v>
      </c>
      <c r="J186" s="14">
        <v>0</v>
      </c>
      <c r="K186" s="14">
        <v>0</v>
      </c>
      <c r="L186" s="14">
        <v>0</v>
      </c>
      <c r="M186" s="15">
        <v>0</v>
      </c>
      <c r="N186" s="804"/>
      <c r="O186" s="14"/>
      <c r="P186" s="15"/>
      <c r="Q186" s="16" t="str">
        <f>IF(ISTEXT('Incurred 2.5% cpi'!Q186),"",'Incurred 2.5% cpi'!Q186/'Incurred 2.5% cpi'!Q$14*Incurred!Q$14)</f>
        <v/>
      </c>
      <c r="R186" s="127" t="str">
        <f>IF(ISTEXT('Incurred 2.5% cpi'!R186),"",'Incurred 2.5% cpi'!R186/'Incurred 2.5% cpi'!R$14*Incurred!R$14*BF186)</f>
        <v/>
      </c>
      <c r="S186" s="119" t="str">
        <f>IF(ISTEXT('Incurred 2.5% cpi'!S186),"",'Incurred 2.5% cpi'!S186/'Incurred 2.5% cpi'!S$14*Incurred!S$14*BG186)</f>
        <v/>
      </c>
      <c r="T186" s="16">
        <f>IF(ISTEXT('Incurred 2.5% cpi'!T186),"",'Incurred 2.5% cpi'!T186/'Incurred 2.5% cpi'!T$14*Incurred!T$14*BH186)</f>
        <v>800285.76408114017</v>
      </c>
      <c r="U186" s="16">
        <f>IF(ISTEXT('Incurred 2.5% cpi'!U186),"",'Incurred 2.5% cpi'!U186/'Incurred 2.5% cpi'!U$14*Incurred!U$14*BI186)</f>
        <v>1706816.9941689824</v>
      </c>
      <c r="V186" s="16">
        <f>IF(ISTEXT('Incurred 2.5% cpi'!V186),"",'Incurred 2.5% cpi'!V186/'Incurred 2.5% cpi'!V$14*Incurred!V$14*BJ186)</f>
        <v>833778.49404550297</v>
      </c>
      <c r="W186" s="127" t="str">
        <f>IF(ISTEXT('Incurred 2.5% cpi'!W186),"",'Incurred 2.5% cpi'!W186/'Incurred 2.5% cpi'!W$14*Incurred!W$14*BK186)</f>
        <v/>
      </c>
      <c r="X186" s="119" t="str">
        <f>IF(ISTEXT('Incurred 2.5% cpi'!X186),"",'Incurred 2.5% cpi'!X186/'Incurred 2.5% cpi'!X$14*Incurred!X$14*BL186)</f>
        <v/>
      </c>
      <c r="Y186" s="95">
        <f t="shared" si="245"/>
        <v>3340881.2522956254</v>
      </c>
      <c r="Z186" s="95">
        <f t="shared" si="310"/>
        <v>3340881.2522956254</v>
      </c>
      <c r="AA186" s="676">
        <f t="shared" si="311"/>
        <v>3473452.4326527622</v>
      </c>
      <c r="AB186" s="676">
        <f t="shared" si="312"/>
        <v>3406347.3890877338</v>
      </c>
      <c r="AC186" s="677">
        <f t="shared" si="284"/>
        <v>1.0197000000000001</v>
      </c>
      <c r="AD186" s="678" t="str">
        <f t="shared" ref="AD186:AD211" si="325">IF(AI186=0,"",INDEX($F$21:$W$21,1,MATCH(AI186,F186:W186,0)))</f>
        <v>2022</v>
      </c>
      <c r="AE186" s="679">
        <v>44489</v>
      </c>
      <c r="AF186" s="678">
        <v>2022</v>
      </c>
      <c r="AG186" s="680"/>
      <c r="AH186" s="676">
        <f t="shared" si="293"/>
        <v>3150643.4592684545</v>
      </c>
      <c r="AI186" s="95">
        <f t="shared" si="313"/>
        <v>833778.49404550297</v>
      </c>
      <c r="AJ186" s="681" t="s">
        <v>3058</v>
      </c>
      <c r="AK186" s="37">
        <f t="shared" si="314"/>
        <v>0</v>
      </c>
      <c r="AL186" s="31">
        <f t="shared" ref="AL186:AU187" si="326">IF($AK186=0,VLOOKUP(MID($A186,4,5),ProjectSplits,AL$20,FALSE),IF(ISNA(VLOOKUP($A186,Estimates,AL$19,FALSE)),VLOOKUP(MID($A186,4,5),ProjectSplits,AL$20,FALSE),VLOOKUP($A186,Estimates,AL$19,FALSE)))</f>
        <v>0</v>
      </c>
      <c r="AM186" s="31">
        <f t="shared" si="326"/>
        <v>0</v>
      </c>
      <c r="AN186" s="31">
        <f t="shared" si="326"/>
        <v>0</v>
      </c>
      <c r="AO186" s="31">
        <f t="shared" si="326"/>
        <v>0</v>
      </c>
      <c r="AP186" s="31">
        <f t="shared" si="326"/>
        <v>0</v>
      </c>
      <c r="AQ186" s="31">
        <f t="shared" si="326"/>
        <v>0</v>
      </c>
      <c r="AR186" s="31">
        <f t="shared" si="326"/>
        <v>0</v>
      </c>
      <c r="AS186" s="31">
        <f t="shared" si="326"/>
        <v>1</v>
      </c>
      <c r="AT186" s="31">
        <f t="shared" si="326"/>
        <v>0</v>
      </c>
      <c r="AU186" s="31">
        <f t="shared" si="326"/>
        <v>0</v>
      </c>
      <c r="AV186" s="31">
        <f t="shared" ref="AV186:BD187" si="327">IF($AK186=0,VLOOKUP(MID($A186,4,5),ProjectSplits,AV$20,FALSE),IF(ISNA(VLOOKUP($A186,Estimates,AV$19,FALSE)),VLOOKUP(MID($A186,4,5),ProjectSplits,AV$20,FALSE),VLOOKUP($A186,Estimates,AV$19,FALSE)))</f>
        <v>0</v>
      </c>
      <c r="AW186" s="31">
        <f t="shared" si="327"/>
        <v>0</v>
      </c>
      <c r="AX186" s="31">
        <f t="shared" si="327"/>
        <v>0</v>
      </c>
      <c r="AY186" s="31">
        <f t="shared" si="327"/>
        <v>0</v>
      </c>
      <c r="AZ186" s="31">
        <f t="shared" si="327"/>
        <v>0</v>
      </c>
      <c r="BA186" s="31">
        <f t="shared" si="327"/>
        <v>0</v>
      </c>
      <c r="BB186" s="31">
        <f t="shared" si="327"/>
        <v>0</v>
      </c>
      <c r="BC186" s="31">
        <f t="shared" si="327"/>
        <v>0</v>
      </c>
      <c r="BD186" s="31">
        <f t="shared" si="327"/>
        <v>0</v>
      </c>
      <c r="BE186" s="30">
        <f t="shared" ref="BE186:BE187" si="328">SUM(AL186:BD186)</f>
        <v>1</v>
      </c>
      <c r="BF186" s="620">
        <f t="shared" si="288"/>
        <v>1.0059304488076128</v>
      </c>
      <c r="BG186" s="620">
        <f t="shared" si="318"/>
        <v>1.011899445532475</v>
      </c>
      <c r="BH186" s="620">
        <f t="shared" si="319"/>
        <v>1.0188315169212143</v>
      </c>
      <c r="BI186" s="620">
        <f t="shared" si="320"/>
        <v>1.0272123912301998</v>
      </c>
      <c r="BJ186" s="620">
        <f t="shared" si="321"/>
        <v>1.0375478716696922</v>
      </c>
      <c r="BK186" s="620">
        <f t="shared" si="322"/>
        <v>1.0484720046996705</v>
      </c>
      <c r="BL186" s="620">
        <f t="shared" si="323"/>
        <v>1.0564333228669962</v>
      </c>
      <c r="BM186" s="621" t="str">
        <f t="shared" si="324"/>
        <v>Project</v>
      </c>
    </row>
    <row r="187" spans="1:65" x14ac:dyDescent="0.15">
      <c r="A187" s="91" t="s">
        <v>390</v>
      </c>
      <c r="B187" s="13" t="s">
        <v>391</v>
      </c>
      <c r="C187" s="13" t="s">
        <v>27</v>
      </c>
      <c r="D187" s="13" t="s">
        <v>55</v>
      </c>
      <c r="E187" s="13" t="s">
        <v>29</v>
      </c>
      <c r="F187" s="14">
        <v>0</v>
      </c>
      <c r="G187" s="14">
        <v>0</v>
      </c>
      <c r="H187" s="14">
        <v>0</v>
      </c>
      <c r="I187" s="14">
        <v>0</v>
      </c>
      <c r="J187" s="14">
        <v>0</v>
      </c>
      <c r="K187" s="14">
        <v>0</v>
      </c>
      <c r="L187" s="14">
        <v>0</v>
      </c>
      <c r="M187" s="15">
        <v>0</v>
      </c>
      <c r="N187" s="804"/>
      <c r="O187" s="14"/>
      <c r="P187" s="15"/>
      <c r="Q187" s="16">
        <f>IF(ISTEXT('Incurred 2.5% cpi'!Q187),"",'Incurred 2.5% cpi'!Q187/'Incurred 2.5% cpi'!Q$14*Incurred!Q$14)</f>
        <v>142519.9</v>
      </c>
      <c r="R187" s="127">
        <f>IF(ISTEXT('Incurred 2.5% cpi'!R187),"",'Incurred 2.5% cpi'!R187/'Incurred 2.5% cpi'!R$14*Incurred!R$14*BF187)</f>
        <v>976396.08031252387</v>
      </c>
      <c r="S187" s="119">
        <f>IF(ISTEXT('Incurred 2.5% cpi'!S187),"",'Incurred 2.5% cpi'!S187/'Incurred 2.5% cpi'!S$14*Incurred!S$14*BG187)</f>
        <v>481623.21387417265</v>
      </c>
      <c r="T187" s="16" t="str">
        <f>IF(ISTEXT('Incurred 2.5% cpi'!T187),"",'Incurred 2.5% cpi'!T187/'Incurred 2.5% cpi'!T$14*Incurred!T$14*BH187)</f>
        <v/>
      </c>
      <c r="U187" s="16" t="str">
        <f>IF(ISTEXT('Incurred 2.5% cpi'!U187),"",'Incurred 2.5% cpi'!U187/'Incurred 2.5% cpi'!U$14*Incurred!U$14*BI187)</f>
        <v/>
      </c>
      <c r="V187" s="16" t="str">
        <f>IF(ISTEXT('Incurred 2.5% cpi'!V187),"",'Incurred 2.5% cpi'!V187/'Incurred 2.5% cpi'!V$14*Incurred!V$14*BJ187)</f>
        <v/>
      </c>
      <c r="W187" s="127" t="str">
        <f>IF(ISTEXT('Incurred 2.5% cpi'!W187),"",'Incurred 2.5% cpi'!W187/'Incurred 2.5% cpi'!W$14*Incurred!W$14*BK187)</f>
        <v/>
      </c>
      <c r="X187" s="119" t="str">
        <f>IF(ISTEXT('Incurred 2.5% cpi'!X187),"",'Incurred 2.5% cpi'!X187/'Incurred 2.5% cpi'!X$14*Incurred!X$14*BL187)</f>
        <v/>
      </c>
      <c r="Y187" s="95">
        <f t="shared" si="245"/>
        <v>1600539.1941866965</v>
      </c>
      <c r="Z187" s="95">
        <f t="shared" si="310"/>
        <v>1600539.1941866965</v>
      </c>
      <c r="AA187" s="676">
        <f t="shared" si="311"/>
        <v>1757364.7077094633</v>
      </c>
      <c r="AB187" s="676">
        <f t="shared" si="312"/>
        <v>1625444.7915768444</v>
      </c>
      <c r="AC187" s="677">
        <f t="shared" si="284"/>
        <v>1.0811592721058483</v>
      </c>
      <c r="AD187" s="678" t="str">
        <f t="shared" si="325"/>
        <v>2019</v>
      </c>
      <c r="AE187" s="679">
        <v>43322</v>
      </c>
      <c r="AF187" s="678">
        <v>2019</v>
      </c>
      <c r="AG187" s="680"/>
      <c r="AH187" s="676">
        <f t="shared" si="293"/>
        <v>1594042.1610050448</v>
      </c>
      <c r="AI187" s="95">
        <f t="shared" si="313"/>
        <v>481623.21387417265</v>
      </c>
      <c r="AJ187" s="681" t="s">
        <v>3058</v>
      </c>
      <c r="AK187" s="37">
        <f t="shared" si="314"/>
        <v>300000.00000000012</v>
      </c>
      <c r="AL187" s="31">
        <f t="shared" si="326"/>
        <v>0</v>
      </c>
      <c r="AM187" s="31">
        <f t="shared" si="326"/>
        <v>0</v>
      </c>
      <c r="AN187" s="31">
        <f t="shared" si="326"/>
        <v>0</v>
      </c>
      <c r="AO187" s="31">
        <f t="shared" si="326"/>
        <v>1</v>
      </c>
      <c r="AP187" s="31">
        <f t="shared" si="326"/>
        <v>0</v>
      </c>
      <c r="AQ187" s="31">
        <f t="shared" si="326"/>
        <v>0</v>
      </c>
      <c r="AR187" s="31">
        <f t="shared" si="326"/>
        <v>0</v>
      </c>
      <c r="AS187" s="31">
        <f t="shared" si="326"/>
        <v>0</v>
      </c>
      <c r="AT187" s="31">
        <f t="shared" si="326"/>
        <v>0</v>
      </c>
      <c r="AU187" s="31">
        <f t="shared" si="326"/>
        <v>0</v>
      </c>
      <c r="AV187" s="31">
        <f t="shared" si="327"/>
        <v>0</v>
      </c>
      <c r="AW187" s="31">
        <f t="shared" si="327"/>
        <v>0</v>
      </c>
      <c r="AX187" s="31">
        <f t="shared" si="327"/>
        <v>0</v>
      </c>
      <c r="AY187" s="31">
        <f t="shared" si="327"/>
        <v>0</v>
      </c>
      <c r="AZ187" s="31">
        <f t="shared" si="327"/>
        <v>0</v>
      </c>
      <c r="BA187" s="31">
        <f t="shared" si="327"/>
        <v>0</v>
      </c>
      <c r="BB187" s="31">
        <f t="shared" si="327"/>
        <v>0</v>
      </c>
      <c r="BC187" s="31">
        <f t="shared" si="327"/>
        <v>0</v>
      </c>
      <c r="BD187" s="31">
        <f t="shared" si="327"/>
        <v>0</v>
      </c>
      <c r="BE187" s="30">
        <f t="shared" si="328"/>
        <v>1</v>
      </c>
      <c r="BF187" s="620">
        <f t="shared" si="288"/>
        <v>1.0046190746045656</v>
      </c>
      <c r="BG187" s="620">
        <f t="shared" si="318"/>
        <v>1.0092681731940607</v>
      </c>
      <c r="BH187" s="620">
        <f t="shared" si="319"/>
        <v>1.0146673859598225</v>
      </c>
      <c r="BI187" s="620">
        <f t="shared" si="320"/>
        <v>1.0211950341936284</v>
      </c>
      <c r="BJ187" s="620">
        <f t="shared" si="321"/>
        <v>1.0292450750544078</v>
      </c>
      <c r="BK187" s="620">
        <f t="shared" si="322"/>
        <v>1.0377536023333034</v>
      </c>
      <c r="BL187" s="620">
        <f t="shared" si="323"/>
        <v>1.0439544690397748</v>
      </c>
      <c r="BM187" s="621" t="str">
        <f t="shared" si="324"/>
        <v>Category</v>
      </c>
    </row>
    <row r="188" spans="1:65" x14ac:dyDescent="0.15">
      <c r="A188" s="91" t="s">
        <v>392</v>
      </c>
      <c r="B188" s="13" t="s">
        <v>2311</v>
      </c>
      <c r="C188" s="13" t="s">
        <v>27</v>
      </c>
      <c r="D188" s="13" t="s">
        <v>55</v>
      </c>
      <c r="E188" s="13" t="s">
        <v>112</v>
      </c>
      <c r="F188" s="14">
        <v>0</v>
      </c>
      <c r="G188" s="14">
        <v>0</v>
      </c>
      <c r="H188" s="14">
        <v>0</v>
      </c>
      <c r="I188" s="14">
        <v>0</v>
      </c>
      <c r="J188" s="14">
        <v>0</v>
      </c>
      <c r="K188" s="14">
        <v>0</v>
      </c>
      <c r="L188" s="14">
        <v>0</v>
      </c>
      <c r="M188" s="15">
        <v>0</v>
      </c>
      <c r="N188" s="804"/>
      <c r="O188" s="14"/>
      <c r="P188" s="15"/>
      <c r="Q188" s="16" t="str">
        <f>IF(ISTEXT('Incurred 2.5% cpi'!Q188),"",'Incurred 2.5% cpi'!Q188/'Incurred 2.5% cpi'!Q$14*Incurred!Q$14)</f>
        <v/>
      </c>
      <c r="R188" s="127" t="str">
        <f>IF(ISTEXT('Incurred 2.5% cpi'!R188),"",'Incurred 2.5% cpi'!R188/'Incurred 2.5% cpi'!R$14*Incurred!R$14*BF188)</f>
        <v/>
      </c>
      <c r="S188" s="119" t="str">
        <f>IF(ISTEXT('Incurred 2.5% cpi'!S188),"",'Incurred 2.5% cpi'!S188/'Incurred 2.5% cpi'!S$14*Incurred!S$14*BG188)</f>
        <v/>
      </c>
      <c r="T188" s="16" t="str">
        <f>IF(ISTEXT('Incurred 2.5% cpi'!T188),"",'Incurred 2.5% cpi'!T188/'Incurred 2.5% cpi'!T$14*Incurred!T$14*BH188)</f>
        <v/>
      </c>
      <c r="U188" s="16" t="str">
        <f>IF(ISTEXT('Incurred 2.5% cpi'!U188),"",'Incurred 2.5% cpi'!U188/'Incurred 2.5% cpi'!U$14*Incurred!U$14*BI188)</f>
        <v/>
      </c>
      <c r="V188" s="16" t="str">
        <f>IF(ISTEXT('Incurred 2.5% cpi'!V188),"",'Incurred 2.5% cpi'!V188/'Incurred 2.5% cpi'!V$14*Incurred!V$14*BJ188)</f>
        <v/>
      </c>
      <c r="W188" s="127">
        <f>IF(ISTEXT('Incurred 2.5% cpi'!W188),"",'Incurred 2.5% cpi'!W188/'Incurred 2.5% cpi'!W$14*Incurred!W$14*BK188)</f>
        <v>395253.34903416439</v>
      </c>
      <c r="X188" s="119">
        <f>IF(ISTEXT('Incurred 2.5% cpi'!X188),"",'Incurred 2.5% cpi'!X188/'Incurred 2.5% cpi'!X$14*Incurred!X$14*BL188)</f>
        <v>659799.87393353262</v>
      </c>
      <c r="Y188" s="95">
        <f t="shared" si="245"/>
        <v>395253.34903416439</v>
      </c>
      <c r="Z188" s="95">
        <f t="shared" si="310"/>
        <v>395253.34903416439</v>
      </c>
      <c r="AA188" s="676">
        <f t="shared" si="311"/>
        <v>395253.34903416439</v>
      </c>
      <c r="AB188" s="676">
        <f t="shared" si="312"/>
        <v>395253.34903416439</v>
      </c>
      <c r="AC188" s="677">
        <f t="shared" si="284"/>
        <v>1</v>
      </c>
      <c r="AD188" s="678" t="str">
        <f>IF(AI188=0,"",INDEX($F$21:$X$21,1,MATCH(AI188,F188:X188,0)))</f>
        <v>2024</v>
      </c>
      <c r="AE188" s="679">
        <v>45380</v>
      </c>
      <c r="AF188" s="678">
        <v>2024</v>
      </c>
      <c r="AG188" s="680"/>
      <c r="AH188" s="676">
        <f t="shared" si="293"/>
        <v>358520.06124562729</v>
      </c>
      <c r="AI188" s="95">
        <f t="shared" si="313"/>
        <v>659799.87393353262</v>
      </c>
      <c r="AJ188" s="681" t="s">
        <v>3058</v>
      </c>
      <c r="AK188" s="37">
        <f t="shared" si="314"/>
        <v>176000.00000000017</v>
      </c>
      <c r="AL188" s="31">
        <f t="shared" ref="AL188:BD188" si="329">IF($AK188=0,VLOOKUP(MID($A188,4,5),ProjectSplits,AL$20,FALSE),IF(ISNA(VLOOKUP($A188,Estimates,AL$19,FALSE)),VLOOKUP(MID($A188,4,5),ProjectSplits,AL$20,FALSE),VLOOKUP($A188,Estimates,AL$19,FALSE)))</f>
        <v>0</v>
      </c>
      <c r="AM188" s="31">
        <f t="shared" si="329"/>
        <v>0</v>
      </c>
      <c r="AN188" s="31">
        <f t="shared" si="329"/>
        <v>0</v>
      </c>
      <c r="AO188" s="31">
        <f t="shared" si="329"/>
        <v>1</v>
      </c>
      <c r="AP188" s="31">
        <f t="shared" si="329"/>
        <v>0</v>
      </c>
      <c r="AQ188" s="31">
        <f t="shared" si="329"/>
        <v>0</v>
      </c>
      <c r="AR188" s="31">
        <f t="shared" si="329"/>
        <v>0</v>
      </c>
      <c r="AS188" s="31">
        <f t="shared" si="329"/>
        <v>0</v>
      </c>
      <c r="AT188" s="31">
        <f t="shared" si="329"/>
        <v>0</v>
      </c>
      <c r="AU188" s="31">
        <f t="shared" si="329"/>
        <v>0</v>
      </c>
      <c r="AV188" s="31">
        <f t="shared" si="329"/>
        <v>0</v>
      </c>
      <c r="AW188" s="31">
        <f t="shared" si="329"/>
        <v>0</v>
      </c>
      <c r="AX188" s="31">
        <f t="shared" si="329"/>
        <v>0</v>
      </c>
      <c r="AY188" s="31">
        <f t="shared" si="329"/>
        <v>0</v>
      </c>
      <c r="AZ188" s="31">
        <f t="shared" si="329"/>
        <v>0</v>
      </c>
      <c r="BA188" s="31">
        <f t="shared" si="329"/>
        <v>0</v>
      </c>
      <c r="BB188" s="31">
        <f t="shared" si="329"/>
        <v>0</v>
      </c>
      <c r="BC188" s="31">
        <f t="shared" si="329"/>
        <v>0</v>
      </c>
      <c r="BD188" s="31">
        <f t="shared" si="329"/>
        <v>0</v>
      </c>
      <c r="BE188" s="30">
        <f>SUM(AL188:BD188)</f>
        <v>1</v>
      </c>
      <c r="BF188" s="620">
        <f t="shared" si="288"/>
        <v>1.0047443590460903</v>
      </c>
      <c r="BG188" s="620">
        <f t="shared" si="318"/>
        <v>1.00951955642598</v>
      </c>
      <c r="BH188" s="620">
        <f t="shared" si="319"/>
        <v>1.0150652135369715</v>
      </c>
      <c r="BI188" s="620">
        <f t="shared" si="320"/>
        <v>1.02176991298416</v>
      </c>
      <c r="BJ188" s="620">
        <f t="shared" si="321"/>
        <v>1.0300382973357538</v>
      </c>
      <c r="BK188" s="620">
        <f t="shared" si="322"/>
        <v>1.0387776037597365</v>
      </c>
      <c r="BL188" s="620">
        <f t="shared" si="323"/>
        <v>1.0451466582935969</v>
      </c>
      <c r="BM188" s="621" t="str">
        <f t="shared" si="324"/>
        <v>Project</v>
      </c>
    </row>
    <row r="189" spans="1:65" x14ac:dyDescent="0.15">
      <c r="A189" s="91" t="s">
        <v>393</v>
      </c>
      <c r="B189" s="13" t="s">
        <v>2312</v>
      </c>
      <c r="C189" s="13" t="s">
        <v>27</v>
      </c>
      <c r="D189" s="13" t="s">
        <v>55</v>
      </c>
      <c r="E189" s="13" t="s">
        <v>112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5">
        <v>0</v>
      </c>
      <c r="N189" s="804"/>
      <c r="O189" s="14"/>
      <c r="P189" s="15"/>
      <c r="Q189" s="16" t="str">
        <f>IF(ISTEXT('Incurred 2.5% cpi'!Q189),"",'Incurred 2.5% cpi'!Q189/'Incurred 2.5% cpi'!Q$14*Incurred!Q$14)</f>
        <v/>
      </c>
      <c r="R189" s="127" t="str">
        <f>IF(ISTEXT('Incurred 2.5% cpi'!R189),"",'Incurred 2.5% cpi'!R189/'Incurred 2.5% cpi'!R$14*Incurred!R$14*BF189)</f>
        <v/>
      </c>
      <c r="S189" s="119" t="str">
        <f>IF(ISTEXT('Incurred 2.5% cpi'!S189),"",'Incurred 2.5% cpi'!S189/'Incurred 2.5% cpi'!S$14*Incurred!S$14*BG189)</f>
        <v/>
      </c>
      <c r="T189" s="16" t="str">
        <f>IF(ISTEXT('Incurred 2.5% cpi'!T189),"",'Incurred 2.5% cpi'!T189/'Incurred 2.5% cpi'!T$14*Incurred!T$14*BH189)</f>
        <v/>
      </c>
      <c r="U189" s="16" t="str">
        <f>IF(ISTEXT('Incurred 2.5% cpi'!U189),"",'Incurred 2.5% cpi'!U189/'Incurred 2.5% cpi'!U$14*Incurred!U$14*BI189)</f>
        <v/>
      </c>
      <c r="V189" s="16">
        <f>IF(ISTEXT('Incurred 2.5% cpi'!V189),"",'Incurred 2.5% cpi'!V189/'Incurred 2.5% cpi'!V$14*Incurred!V$14*BJ189)</f>
        <v>44209.402500069606</v>
      </c>
      <c r="W189" s="127">
        <f>IF(ISTEXT('Incurred 2.5% cpi'!W189),"",'Incurred 2.5% cpi'!W189/'Incurred 2.5% cpi'!W$14*Incurred!W$14*BK189)</f>
        <v>912957.00242406072</v>
      </c>
      <c r="X189" s="119">
        <f>IF(ISTEXT('Incurred 2.5% cpi'!X189),"",'Incurred 2.5% cpi'!X189/'Incurred 2.5% cpi'!X$14*Incurred!X$14*BL189)</f>
        <v>1481575.9474667574</v>
      </c>
      <c r="Y189" s="95">
        <f t="shared" si="245"/>
        <v>957166.4049241303</v>
      </c>
      <c r="Z189" s="95">
        <f t="shared" si="310"/>
        <v>957166.4049241303</v>
      </c>
      <c r="AA189" s="676">
        <f t="shared" si="311"/>
        <v>958037.33015338168</v>
      </c>
      <c r="AB189" s="676">
        <f t="shared" si="312"/>
        <v>958037.33015338168</v>
      </c>
      <c r="AC189" s="677">
        <f t="shared" si="284"/>
        <v>1</v>
      </c>
      <c r="AD189" s="678" t="str">
        <f>IF(AI189=0,"",INDEX($F$21:$X$21,1,MATCH(AI189,F189:X189,0)))</f>
        <v>2024</v>
      </c>
      <c r="AE189" s="679">
        <v>45468</v>
      </c>
      <c r="AF189" s="678">
        <v>2024</v>
      </c>
      <c r="AG189" s="680"/>
      <c r="AH189" s="676">
        <f t="shared" si="293"/>
        <v>869001.11819798592</v>
      </c>
      <c r="AI189" s="95">
        <f t="shared" si="313"/>
        <v>1481575.9474667574</v>
      </c>
      <c r="AJ189" s="681" t="s">
        <v>3058</v>
      </c>
      <c r="AK189" s="37">
        <f t="shared" si="314"/>
        <v>449999.99999999953</v>
      </c>
      <c r="AL189" s="31">
        <f t="shared" ref="AL189:BD189" si="330">IF($AK189=0,VLOOKUP(MID($A189,4,5),ProjectSplits,AL$20,FALSE),IF(ISNA(VLOOKUP($A189,Estimates,AL$19,FALSE)),VLOOKUP(MID($A189,4,5),ProjectSplits,AL$20,FALSE),VLOOKUP($A189,Estimates,AL$19,FALSE)))</f>
        <v>0</v>
      </c>
      <c r="AM189" s="31">
        <f t="shared" si="330"/>
        <v>0</v>
      </c>
      <c r="AN189" s="31">
        <f t="shared" si="330"/>
        <v>0</v>
      </c>
      <c r="AO189" s="31">
        <f t="shared" si="330"/>
        <v>1</v>
      </c>
      <c r="AP189" s="31">
        <f t="shared" si="330"/>
        <v>0</v>
      </c>
      <c r="AQ189" s="31">
        <f t="shared" si="330"/>
        <v>0</v>
      </c>
      <c r="AR189" s="31">
        <f t="shared" si="330"/>
        <v>0</v>
      </c>
      <c r="AS189" s="31">
        <f t="shared" si="330"/>
        <v>0</v>
      </c>
      <c r="AT189" s="31">
        <f t="shared" si="330"/>
        <v>0</v>
      </c>
      <c r="AU189" s="31">
        <f t="shared" si="330"/>
        <v>0</v>
      </c>
      <c r="AV189" s="31">
        <f t="shared" si="330"/>
        <v>0</v>
      </c>
      <c r="AW189" s="31">
        <f t="shared" si="330"/>
        <v>0</v>
      </c>
      <c r="AX189" s="31">
        <f t="shared" si="330"/>
        <v>0</v>
      </c>
      <c r="AY189" s="31">
        <f t="shared" si="330"/>
        <v>0</v>
      </c>
      <c r="AZ189" s="31">
        <f t="shared" si="330"/>
        <v>0</v>
      </c>
      <c r="BA189" s="31">
        <f t="shared" si="330"/>
        <v>0</v>
      </c>
      <c r="BB189" s="31">
        <f t="shared" si="330"/>
        <v>0</v>
      </c>
      <c r="BC189" s="31">
        <f t="shared" si="330"/>
        <v>0</v>
      </c>
      <c r="BD189" s="31">
        <f t="shared" si="330"/>
        <v>0</v>
      </c>
      <c r="BE189" s="30">
        <f>SUM(AL189:BD189)</f>
        <v>1</v>
      </c>
      <c r="BF189" s="620">
        <f t="shared" si="288"/>
        <v>1.0047443590460903</v>
      </c>
      <c r="BG189" s="620">
        <f t="shared" si="318"/>
        <v>1.00951955642598</v>
      </c>
      <c r="BH189" s="620">
        <f t="shared" si="319"/>
        <v>1.0150652135369715</v>
      </c>
      <c r="BI189" s="620">
        <f t="shared" si="320"/>
        <v>1.0217699129841598</v>
      </c>
      <c r="BJ189" s="620">
        <f t="shared" si="321"/>
        <v>1.0300382973357538</v>
      </c>
      <c r="BK189" s="620">
        <f t="shared" si="322"/>
        <v>1.0387776037597363</v>
      </c>
      <c r="BL189" s="620">
        <f t="shared" si="323"/>
        <v>1.0451466582935969</v>
      </c>
      <c r="BM189" s="621" t="str">
        <f t="shared" si="324"/>
        <v>Project</v>
      </c>
    </row>
    <row r="190" spans="1:65" x14ac:dyDescent="0.15">
      <c r="A190" s="12" t="s">
        <v>394</v>
      </c>
      <c r="B190" s="13" t="s">
        <v>395</v>
      </c>
      <c r="C190" s="13" t="s">
        <v>27</v>
      </c>
      <c r="D190" s="13" t="s">
        <v>36</v>
      </c>
      <c r="E190" s="13" t="s">
        <v>112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5">
        <v>0</v>
      </c>
      <c r="N190" s="804"/>
      <c r="O190" s="14"/>
      <c r="P190" s="15"/>
      <c r="Q190" s="16" t="str">
        <f>IF(ISTEXT('Incurred 2.5% cpi'!Q190),"",'Incurred 2.5% cpi'!Q190/'Incurred 2.5% cpi'!Q$14*Incurred!Q$14)</f>
        <v/>
      </c>
      <c r="R190" s="127" t="str">
        <f>IF(ISTEXT('Incurred 2.5% cpi'!R190),"",'Incurred 2.5% cpi'!R190/'Incurred 2.5% cpi'!R$14*Incurred!R$14*BF190)</f>
        <v/>
      </c>
      <c r="S190" s="119">
        <f>IF(ISTEXT('Incurred 2.5% cpi'!S190),"",'Incurred 2.5% cpi'!S190/'Incurred 2.5% cpi'!S$14*Incurred!S$14*BG190)</f>
        <v>656429.43012404488</v>
      </c>
      <c r="T190" s="16" t="str">
        <f>IF(ISTEXT('Incurred 2.5% cpi'!T190),"",'Incurred 2.5% cpi'!T190/'Incurred 2.5% cpi'!T$14*Incurred!T$14*BH190)</f>
        <v/>
      </c>
      <c r="U190" s="16" t="str">
        <f>IF(ISTEXT('Incurred 2.5% cpi'!U190),"",'Incurred 2.5% cpi'!U190/'Incurred 2.5% cpi'!U$14*Incurred!U$14*BI190)</f>
        <v/>
      </c>
      <c r="V190" s="16" t="str">
        <f>IF(ISTEXT('Incurred 2.5% cpi'!V190),"",'Incurred 2.5% cpi'!V190/'Incurred 2.5% cpi'!V$14*Incurred!V$14*BJ190)</f>
        <v/>
      </c>
      <c r="W190" s="127" t="str">
        <f>IF(ISTEXT('Incurred 2.5% cpi'!W190),"",'Incurred 2.5% cpi'!W190/'Incurred 2.5% cpi'!W$14*Incurred!W$14*BK190)</f>
        <v/>
      </c>
      <c r="X190" s="119" t="str">
        <f>IF(ISTEXT('Incurred 2.5% cpi'!X190),"",'Incurred 2.5% cpi'!X190/'Incurred 2.5% cpi'!X$14*Incurred!X$14*BL190)</f>
        <v/>
      </c>
      <c r="Y190" s="95">
        <f t="shared" si="245"/>
        <v>656429.43012404488</v>
      </c>
      <c r="Z190" s="95">
        <f t="shared" si="310"/>
        <v>656429.43012404488</v>
      </c>
      <c r="AA190" s="676">
        <f t="shared" si="311"/>
        <v>709704.76486176916</v>
      </c>
      <c r="AB190" s="676">
        <f t="shared" si="312"/>
        <v>656429.43012404488</v>
      </c>
      <c r="AC190" s="677">
        <f t="shared" ref="AC190:AC220" si="331">IF(AF190="","",IF(AF190&lt;AD190,INDEX($F$17:$W$17,1,MATCH(TEXT(AF190,"000"),$F$21:$W$21)),INDEX($F$17:$W$17,1,MATCH(AD190,$F$21:$W$21))))</f>
        <v>1.0811592721058483</v>
      </c>
      <c r="AD190" s="678" t="str">
        <f t="shared" si="325"/>
        <v>2019</v>
      </c>
      <c r="AE190" s="679">
        <v>43439</v>
      </c>
      <c r="AF190" s="678">
        <v>2019</v>
      </c>
      <c r="AG190" s="680"/>
      <c r="AH190" s="676">
        <f t="shared" si="293"/>
        <v>643747.60235760012</v>
      </c>
      <c r="AI190" s="95">
        <f t="shared" si="313"/>
        <v>656429.43012404488</v>
      </c>
      <c r="AJ190" s="681" t="s">
        <v>3058</v>
      </c>
      <c r="AK190" s="37">
        <f t="shared" si="314"/>
        <v>455000</v>
      </c>
      <c r="AL190" s="31">
        <f t="shared" ref="AL190:AU191" si="332">IF($AK190=0,VLOOKUP(MID($A190,4,5),ProjectSplits,AL$20,FALSE),IF(ISNA(VLOOKUP($A190,Estimates,AL$19,FALSE)),VLOOKUP(MID($A190,4,5),ProjectSplits,AL$20,FALSE),VLOOKUP($A190,Estimates,AL$19,FALSE)))</f>
        <v>1</v>
      </c>
      <c r="AM190" s="31">
        <f t="shared" si="332"/>
        <v>0</v>
      </c>
      <c r="AN190" s="31">
        <f t="shared" si="332"/>
        <v>0</v>
      </c>
      <c r="AO190" s="31">
        <f t="shared" si="332"/>
        <v>0</v>
      </c>
      <c r="AP190" s="31">
        <f t="shared" si="332"/>
        <v>0</v>
      </c>
      <c r="AQ190" s="31">
        <f t="shared" si="332"/>
        <v>0</v>
      </c>
      <c r="AR190" s="31">
        <f t="shared" si="332"/>
        <v>0</v>
      </c>
      <c r="AS190" s="31">
        <f t="shared" si="332"/>
        <v>0</v>
      </c>
      <c r="AT190" s="31">
        <f t="shared" si="332"/>
        <v>0</v>
      </c>
      <c r="AU190" s="31">
        <f t="shared" si="332"/>
        <v>0</v>
      </c>
      <c r="AV190" s="31">
        <f t="shared" ref="AV190:BD191" si="333">IF($AK190=0,VLOOKUP(MID($A190,4,5),ProjectSplits,AV$20,FALSE),IF(ISNA(VLOOKUP($A190,Estimates,AV$19,FALSE)),VLOOKUP(MID($A190,4,5),ProjectSplits,AV$20,FALSE),VLOOKUP($A190,Estimates,AV$19,FALSE)))</f>
        <v>0</v>
      </c>
      <c r="AW190" s="31">
        <f t="shared" si="333"/>
        <v>0</v>
      </c>
      <c r="AX190" s="31">
        <f t="shared" si="333"/>
        <v>0</v>
      </c>
      <c r="AY190" s="31">
        <f t="shared" si="333"/>
        <v>0</v>
      </c>
      <c r="AZ190" s="31">
        <f t="shared" si="333"/>
        <v>0</v>
      </c>
      <c r="BA190" s="31">
        <f t="shared" si="333"/>
        <v>0</v>
      </c>
      <c r="BB190" s="31">
        <f t="shared" si="333"/>
        <v>0</v>
      </c>
      <c r="BC190" s="31">
        <f t="shared" si="333"/>
        <v>0</v>
      </c>
      <c r="BD190" s="31">
        <f t="shared" si="333"/>
        <v>0</v>
      </c>
      <c r="BE190" s="30">
        <f t="shared" ref="BE190:BE191" si="334">SUM(AL190:BD190)</f>
        <v>1</v>
      </c>
      <c r="BF190" s="620">
        <f t="shared" si="288"/>
        <v>1.0017127850937606</v>
      </c>
      <c r="BG190" s="620">
        <f t="shared" si="318"/>
        <v>1.0034367032906306</v>
      </c>
      <c r="BH190" s="620">
        <f t="shared" si="319"/>
        <v>1.0054387690581112</v>
      </c>
      <c r="BI190" s="620">
        <f t="shared" si="320"/>
        <v>1.0078592665709951</v>
      </c>
      <c r="BJ190" s="620">
        <f t="shared" si="321"/>
        <v>1.0108442778927171</v>
      </c>
      <c r="BK190" s="620">
        <f t="shared" si="322"/>
        <v>1.0139992991774447</v>
      </c>
      <c r="BL190" s="620">
        <f t="shared" si="323"/>
        <v>1.0162986238198186</v>
      </c>
      <c r="BM190" s="621" t="str">
        <f t="shared" si="324"/>
        <v>Project</v>
      </c>
    </row>
    <row r="191" spans="1:65" x14ac:dyDescent="0.15">
      <c r="A191" s="12" t="s">
        <v>396</v>
      </c>
      <c r="B191" s="13" t="s">
        <v>397</v>
      </c>
      <c r="C191" s="13" t="s">
        <v>27</v>
      </c>
      <c r="D191" s="13" t="s">
        <v>36</v>
      </c>
      <c r="E191" s="13" t="s">
        <v>112</v>
      </c>
      <c r="F191" s="14">
        <v>0</v>
      </c>
      <c r="G191" s="14">
        <v>0</v>
      </c>
      <c r="H191" s="14">
        <v>0</v>
      </c>
      <c r="I191" s="14">
        <v>0</v>
      </c>
      <c r="J191" s="14">
        <v>0</v>
      </c>
      <c r="K191" s="14">
        <v>0</v>
      </c>
      <c r="L191" s="14">
        <v>0</v>
      </c>
      <c r="M191" s="15">
        <v>0</v>
      </c>
      <c r="N191" s="804"/>
      <c r="O191" s="14"/>
      <c r="P191" s="15"/>
      <c r="Q191" s="16" t="str">
        <f>IF(ISTEXT('Incurred 2.5% cpi'!Q191),"",'Incurred 2.5% cpi'!Q191/'Incurred 2.5% cpi'!Q$14*Incurred!Q$14)</f>
        <v/>
      </c>
      <c r="R191" s="127" t="str">
        <f>IF(ISTEXT('Incurred 2.5% cpi'!R191),"",'Incurred 2.5% cpi'!R191/'Incurred 2.5% cpi'!R$14*Incurred!R$14*BF191)</f>
        <v/>
      </c>
      <c r="S191" s="119" t="str">
        <f>IF(ISTEXT('Incurred 2.5% cpi'!S191),"",'Incurred 2.5% cpi'!S191/'Incurred 2.5% cpi'!S$14*Incurred!S$14*BG191)</f>
        <v/>
      </c>
      <c r="T191" s="16">
        <f>IF(ISTEXT('Incurred 2.5% cpi'!T191),"",'Incurred 2.5% cpi'!T191/'Incurred 2.5% cpi'!T$14*Incurred!T$14*BH191)</f>
        <v>344664.49374639307</v>
      </c>
      <c r="U191" s="16" t="str">
        <f>IF(ISTEXT('Incurred 2.5% cpi'!U191),"",'Incurred 2.5% cpi'!U191/'Incurred 2.5% cpi'!U$14*Incurred!U$14*BI191)</f>
        <v/>
      </c>
      <c r="V191" s="16" t="str">
        <f>IF(ISTEXT('Incurred 2.5% cpi'!V191),"",'Incurred 2.5% cpi'!V191/'Incurred 2.5% cpi'!V$14*Incurred!V$14*BJ191)</f>
        <v/>
      </c>
      <c r="W191" s="127" t="str">
        <f>IF(ISTEXT('Incurred 2.5% cpi'!W191),"",'Incurred 2.5% cpi'!W191/'Incurred 2.5% cpi'!W$14*Incurred!W$14*BK191)</f>
        <v/>
      </c>
      <c r="X191" s="119" t="str">
        <f>IF(ISTEXT('Incurred 2.5% cpi'!X191),"",'Incurred 2.5% cpi'!X191/'Incurred 2.5% cpi'!X$14*Incurred!X$14*BL191)</f>
        <v/>
      </c>
      <c r="Y191" s="95">
        <f t="shared" si="245"/>
        <v>344664.49374639307</v>
      </c>
      <c r="Z191" s="95">
        <f t="shared" si="310"/>
        <v>344664.49374639307</v>
      </c>
      <c r="AA191" s="676">
        <f t="shared" si="311"/>
        <v>365438.08294555359</v>
      </c>
      <c r="AB191" s="676">
        <f t="shared" si="312"/>
        <v>344664.49374639307</v>
      </c>
      <c r="AC191" s="677">
        <f t="shared" si="331"/>
        <v>1.060271915373</v>
      </c>
      <c r="AD191" s="678" t="str">
        <f t="shared" si="325"/>
        <v>2020</v>
      </c>
      <c r="AE191" s="679">
        <v>43832</v>
      </c>
      <c r="AF191" s="678">
        <v>2020</v>
      </c>
      <c r="AG191" s="680"/>
      <c r="AH191" s="676">
        <f t="shared" si="293"/>
        <v>331475.70842669782</v>
      </c>
      <c r="AI191" s="95">
        <f t="shared" si="313"/>
        <v>344664.49374639307</v>
      </c>
      <c r="AJ191" s="681" t="s">
        <v>3058</v>
      </c>
      <c r="AK191" s="37">
        <f t="shared" si="314"/>
        <v>232999.99999999991</v>
      </c>
      <c r="AL191" s="31">
        <f t="shared" si="332"/>
        <v>0.69957081545064381</v>
      </c>
      <c r="AM191" s="31">
        <f t="shared" si="332"/>
        <v>0</v>
      </c>
      <c r="AN191" s="31">
        <f t="shared" si="332"/>
        <v>0</v>
      </c>
      <c r="AO191" s="31">
        <f t="shared" si="332"/>
        <v>0</v>
      </c>
      <c r="AP191" s="31">
        <f t="shared" si="332"/>
        <v>0</v>
      </c>
      <c r="AQ191" s="31">
        <f t="shared" si="332"/>
        <v>0</v>
      </c>
      <c r="AR191" s="31">
        <f t="shared" si="332"/>
        <v>0</v>
      </c>
      <c r="AS191" s="31">
        <f t="shared" si="332"/>
        <v>0.30042918454935619</v>
      </c>
      <c r="AT191" s="31">
        <f t="shared" si="332"/>
        <v>0</v>
      </c>
      <c r="AU191" s="31">
        <f t="shared" si="332"/>
        <v>0</v>
      </c>
      <c r="AV191" s="31">
        <f t="shared" si="333"/>
        <v>0</v>
      </c>
      <c r="AW191" s="31">
        <f t="shared" si="333"/>
        <v>0</v>
      </c>
      <c r="AX191" s="31">
        <f t="shared" si="333"/>
        <v>0</v>
      </c>
      <c r="AY191" s="31">
        <f t="shared" si="333"/>
        <v>0</v>
      </c>
      <c r="AZ191" s="31">
        <f t="shared" si="333"/>
        <v>0</v>
      </c>
      <c r="BA191" s="31">
        <f t="shared" si="333"/>
        <v>0</v>
      </c>
      <c r="BB191" s="31">
        <f t="shared" si="333"/>
        <v>0</v>
      </c>
      <c r="BC191" s="31">
        <f t="shared" si="333"/>
        <v>0</v>
      </c>
      <c r="BD191" s="31">
        <f t="shared" si="333"/>
        <v>0</v>
      </c>
      <c r="BE191" s="30">
        <f t="shared" si="334"/>
        <v>1</v>
      </c>
      <c r="BF191" s="620">
        <f t="shared" ref="BF191:BF220" si="335">1+IF(ISNA(VLOOKUP($A191,ProjLabEsc,7,FALSE)),VLOOKUP(D191,CatLabEsc,4,FALSE),VLOOKUP(A191,ProjLabEsc,7,FALSE))*Labesc18*LabIn</f>
        <v>1.002349913923994</v>
      </c>
      <c r="BG191" s="620">
        <f t="shared" si="318"/>
        <v>1.0047151022884939</v>
      </c>
      <c r="BH191" s="620">
        <f t="shared" si="319"/>
        <v>1.0074619046987279</v>
      </c>
      <c r="BI191" s="620">
        <f t="shared" si="320"/>
        <v>1.0107827888127003</v>
      </c>
      <c r="BJ191" s="620">
        <f t="shared" si="321"/>
        <v>1.0148781768994761</v>
      </c>
      <c r="BK191" s="620">
        <f t="shared" si="322"/>
        <v>1.0192068159531942</v>
      </c>
      <c r="BL191" s="620">
        <f t="shared" si="323"/>
        <v>1.0223614528148648</v>
      </c>
      <c r="BM191" s="621" t="str">
        <f t="shared" si="324"/>
        <v>Project</v>
      </c>
    </row>
    <row r="192" spans="1:65" x14ac:dyDescent="0.15">
      <c r="A192" s="12" t="s">
        <v>398</v>
      </c>
      <c r="B192" s="13" t="s">
        <v>399</v>
      </c>
      <c r="C192" s="13" t="s">
        <v>27</v>
      </c>
      <c r="D192" s="13" t="s">
        <v>36</v>
      </c>
      <c r="E192" s="13" t="s">
        <v>112</v>
      </c>
      <c r="F192" s="14">
        <v>0</v>
      </c>
      <c r="G192" s="14">
        <v>0</v>
      </c>
      <c r="H192" s="14">
        <v>0</v>
      </c>
      <c r="I192" s="14">
        <v>0</v>
      </c>
      <c r="J192" s="14">
        <v>0</v>
      </c>
      <c r="K192" s="14">
        <v>0</v>
      </c>
      <c r="L192" s="14">
        <v>0</v>
      </c>
      <c r="M192" s="15">
        <v>0</v>
      </c>
      <c r="N192" s="804"/>
      <c r="O192" s="14"/>
      <c r="P192" s="15"/>
      <c r="Q192" s="16" t="str">
        <f>IF(ISTEXT('Incurred 2.5% cpi'!Q192),"",'Incurred 2.5% cpi'!Q192/'Incurred 2.5% cpi'!Q$14*Incurred!Q$14)</f>
        <v/>
      </c>
      <c r="R192" s="127" t="str">
        <f>IF(ISTEXT('Incurred 2.5% cpi'!R192),"",'Incurred 2.5% cpi'!R192/'Incurred 2.5% cpi'!R$14*Incurred!R$14*BF192)</f>
        <v/>
      </c>
      <c r="S192" s="119" t="str">
        <f>IF(ISTEXT('Incurred 2.5% cpi'!S192),"",'Incurred 2.5% cpi'!S192/'Incurred 2.5% cpi'!S$14*Incurred!S$14*BG192)</f>
        <v/>
      </c>
      <c r="T192" s="16">
        <f>IF(ISTEXT('Incurred 2.5% cpi'!T192),"",'Incurred 2.5% cpi'!T192/'Incurred 2.5% cpi'!T$14*Incurred!T$14*BH192)</f>
        <v>208313.38461337876</v>
      </c>
      <c r="U192" s="16" t="str">
        <f>IF(ISTEXT('Incurred 2.5% cpi'!U192),"",'Incurred 2.5% cpi'!U192/'Incurred 2.5% cpi'!U$14*Incurred!U$14*BI192)</f>
        <v/>
      </c>
      <c r="V192" s="16" t="str">
        <f>IF(ISTEXT('Incurred 2.5% cpi'!V192),"",'Incurred 2.5% cpi'!V192/'Incurred 2.5% cpi'!V$14*Incurred!V$14*BJ192)</f>
        <v/>
      </c>
      <c r="W192" s="127" t="str">
        <f>IF(ISTEXT('Incurred 2.5% cpi'!W192),"",'Incurred 2.5% cpi'!W192/'Incurred 2.5% cpi'!W$14*Incurred!W$14*BK192)</f>
        <v/>
      </c>
      <c r="X192" s="119" t="str">
        <f>IF(ISTEXT('Incurred 2.5% cpi'!X192),"",'Incurred 2.5% cpi'!X192/'Incurred 2.5% cpi'!X$14*Incurred!X$14*BL192)</f>
        <v/>
      </c>
      <c r="Y192" s="95">
        <f t="shared" si="245"/>
        <v>208313.38461337876</v>
      </c>
      <c r="Z192" s="95">
        <f t="shared" si="310"/>
        <v>208313.38461337876</v>
      </c>
      <c r="AA192" s="676">
        <f t="shared" si="311"/>
        <v>220868.83130185952</v>
      </c>
      <c r="AB192" s="676">
        <f t="shared" si="312"/>
        <v>208313.38461337876</v>
      </c>
      <c r="AC192" s="677">
        <f t="shared" si="331"/>
        <v>1.060271915373</v>
      </c>
      <c r="AD192" s="678" t="str">
        <f t="shared" si="325"/>
        <v>2020</v>
      </c>
      <c r="AE192" s="679">
        <v>43832</v>
      </c>
      <c r="AF192" s="678">
        <v>2020</v>
      </c>
      <c r="AG192" s="680"/>
      <c r="AH192" s="676">
        <f t="shared" si="293"/>
        <v>200342.15299905842</v>
      </c>
      <c r="AI192" s="95">
        <f t="shared" si="313"/>
        <v>208313.38461337876</v>
      </c>
      <c r="AJ192" s="681" t="s">
        <v>3058</v>
      </c>
      <c r="AK192" s="37">
        <f t="shared" si="314"/>
        <v>163000.00000000003</v>
      </c>
      <c r="AL192" s="31">
        <f t="shared" ref="AL192:BD192" si="336">IF($AK192=0,VLOOKUP(MID($A192,4,5),ProjectSplits,AL$20,FALSE),IF(ISNA(VLOOKUP($A192,Estimates,AL$19,FALSE)),VLOOKUP(MID($A192,4,5),ProjectSplits,AL$20,FALSE),VLOOKUP($A192,Estimates,AL$19,FALSE)))</f>
        <v>0</v>
      </c>
      <c r="AM192" s="31">
        <f t="shared" si="336"/>
        <v>0</v>
      </c>
      <c r="AN192" s="31">
        <f t="shared" si="336"/>
        <v>0</v>
      </c>
      <c r="AO192" s="31">
        <f t="shared" si="336"/>
        <v>0</v>
      </c>
      <c r="AP192" s="31">
        <f t="shared" si="336"/>
        <v>0</v>
      </c>
      <c r="AQ192" s="31">
        <f t="shared" si="336"/>
        <v>0</v>
      </c>
      <c r="AR192" s="31">
        <f t="shared" si="336"/>
        <v>0</v>
      </c>
      <c r="AS192" s="31">
        <f t="shared" si="336"/>
        <v>1</v>
      </c>
      <c r="AT192" s="31">
        <f t="shared" si="336"/>
        <v>0</v>
      </c>
      <c r="AU192" s="31">
        <f t="shared" si="336"/>
        <v>0</v>
      </c>
      <c r="AV192" s="31">
        <f t="shared" si="336"/>
        <v>0</v>
      </c>
      <c r="AW192" s="31">
        <f t="shared" si="336"/>
        <v>0</v>
      </c>
      <c r="AX192" s="31">
        <f t="shared" si="336"/>
        <v>0</v>
      </c>
      <c r="AY192" s="31">
        <f t="shared" si="336"/>
        <v>0</v>
      </c>
      <c r="AZ192" s="31">
        <f t="shared" si="336"/>
        <v>0</v>
      </c>
      <c r="BA192" s="31">
        <f t="shared" si="336"/>
        <v>0</v>
      </c>
      <c r="BB192" s="31">
        <f t="shared" si="336"/>
        <v>0</v>
      </c>
      <c r="BC192" s="31">
        <f t="shared" si="336"/>
        <v>0</v>
      </c>
      <c r="BD192" s="31">
        <f t="shared" si="336"/>
        <v>0</v>
      </c>
      <c r="BE192" s="30">
        <f>SUM(AL192:BD192)</f>
        <v>1</v>
      </c>
      <c r="BF192" s="620">
        <f t="shared" si="335"/>
        <v>1.000745054832479</v>
      </c>
      <c r="BG192" s="620">
        <f t="shared" si="318"/>
        <v>1.0014949525213692</v>
      </c>
      <c r="BH192" s="620">
        <f t="shared" si="319"/>
        <v>1.0023658433181399</v>
      </c>
      <c r="BI192" s="620">
        <f t="shared" si="320"/>
        <v>1.0034187502914356</v>
      </c>
      <c r="BJ192" s="620">
        <f t="shared" si="321"/>
        <v>1.0047172185688367</v>
      </c>
      <c r="BK192" s="620">
        <f t="shared" si="322"/>
        <v>1.0060896405167643</v>
      </c>
      <c r="BL192" s="620">
        <f t="shared" si="323"/>
        <v>1.0070898377642061</v>
      </c>
      <c r="BM192" s="621" t="str">
        <f t="shared" si="324"/>
        <v>Project</v>
      </c>
    </row>
    <row r="193" spans="1:65" x14ac:dyDescent="0.15">
      <c r="A193" s="12" t="s">
        <v>400</v>
      </c>
      <c r="B193" s="13" t="s">
        <v>2384</v>
      </c>
      <c r="C193" s="13" t="s">
        <v>27</v>
      </c>
      <c r="D193" s="13" t="s">
        <v>55</v>
      </c>
      <c r="E193" s="13" t="s">
        <v>112</v>
      </c>
      <c r="F193" s="14">
        <v>0</v>
      </c>
      <c r="G193" s="14">
        <v>0</v>
      </c>
      <c r="H193" s="14">
        <v>0</v>
      </c>
      <c r="I193" s="14">
        <v>0</v>
      </c>
      <c r="J193" s="14">
        <v>0</v>
      </c>
      <c r="K193" s="14">
        <v>0</v>
      </c>
      <c r="L193" s="14">
        <v>0</v>
      </c>
      <c r="M193" s="15">
        <v>0</v>
      </c>
      <c r="N193" s="804"/>
      <c r="O193" s="14"/>
      <c r="P193" s="15"/>
      <c r="Q193" s="16" t="str">
        <f>IF(ISTEXT('Incurred 2.5% cpi'!Q193),"",'Incurred 2.5% cpi'!Q193/'Incurred 2.5% cpi'!Q$14*Incurred!Q$14)</f>
        <v/>
      </c>
      <c r="R193" s="127" t="str">
        <f>IF(ISTEXT('Incurred 2.5% cpi'!R193),"",'Incurred 2.5% cpi'!R193/'Incurred 2.5% cpi'!R$14*Incurred!R$14*BF193)</f>
        <v/>
      </c>
      <c r="S193" s="119">
        <f>IF(ISTEXT('Incurred 2.5% cpi'!S193),"",'Incurred 2.5% cpi'!S193/'Incurred 2.5% cpi'!S$14*Incurred!S$14*BG193)</f>
        <v>666077.68556816096</v>
      </c>
      <c r="T193" s="16">
        <f>IF(ISTEXT('Incurred 2.5% cpi'!T193),"",'Incurred 2.5% cpi'!T193/'Incurred 2.5% cpi'!T$14*Incurred!T$14*BH193)</f>
        <v>660347.942625475</v>
      </c>
      <c r="U193" s="16">
        <f>IF(ISTEXT('Incurred 2.5% cpi'!U193),"",'Incurred 2.5% cpi'!U193/'Incurred 2.5% cpi'!U$14*Incurred!U$14*BI193)</f>
        <v>210928.8436016856</v>
      </c>
      <c r="V193" s="16" t="str">
        <f>IF(ISTEXT('Incurred 2.5% cpi'!V193),"",'Incurred 2.5% cpi'!V193/'Incurred 2.5% cpi'!V$14*Incurred!V$14*BJ193)</f>
        <v/>
      </c>
      <c r="W193" s="127" t="str">
        <f>IF(ISTEXT('Incurred 2.5% cpi'!W193),"",'Incurred 2.5% cpi'!W193/'Incurred 2.5% cpi'!W$14*Incurred!W$14*BK193)</f>
        <v/>
      </c>
      <c r="X193" s="119" t="str">
        <f>IF(ISTEXT('Incurred 2.5% cpi'!X193),"",'Incurred 2.5% cpi'!X193/'Incurred 2.5% cpi'!X$14*Incurred!X$14*BL193)</f>
        <v/>
      </c>
      <c r="Y193" s="95">
        <f t="shared" si="245"/>
        <v>1537354.4717953214</v>
      </c>
      <c r="Z193" s="95">
        <f t="shared" si="310"/>
        <v>1537354.4717953214</v>
      </c>
      <c r="AA193" s="676">
        <f t="shared" si="311"/>
        <v>1639605.7430494588</v>
      </c>
      <c r="AB193" s="676">
        <f t="shared" si="312"/>
        <v>1576865.2851654212</v>
      </c>
      <c r="AC193" s="677">
        <f t="shared" si="331"/>
        <v>1.0397880900000001</v>
      </c>
      <c r="AD193" s="678" t="str">
        <f t="shared" si="325"/>
        <v>2021</v>
      </c>
      <c r="AE193" s="679">
        <v>44054</v>
      </c>
      <c r="AF193" s="678">
        <v>2021</v>
      </c>
      <c r="AG193" s="680"/>
      <c r="AH193" s="676">
        <f t="shared" ref="AH193:AH198" si="337">IF(ROUND(Y193,0)=0,0,SUMPRODUCT($F$16:$W$16,F193:W193))</f>
        <v>1487227.2502008933</v>
      </c>
      <c r="AI193" s="95">
        <f t="shared" si="313"/>
        <v>210928.8436016856</v>
      </c>
      <c r="AJ193" s="681" t="s">
        <v>3058</v>
      </c>
      <c r="AK193" s="37">
        <f t="shared" si="314"/>
        <v>336119.99999999959</v>
      </c>
      <c r="AL193" s="31">
        <f t="shared" ref="AL193:AU198" si="338">IF($AK193=0,VLOOKUP(MID($A193,4,5),ProjectSplits,AL$20,FALSE),IF(ISNA(VLOOKUP($A193,Estimates,AL$19,FALSE)),VLOOKUP(MID($A193,4,5),ProjectSplits,AL$20,FALSE),VLOOKUP($A193,Estimates,AL$19,FALSE)))</f>
        <v>0</v>
      </c>
      <c r="AM193" s="31">
        <f t="shared" si="338"/>
        <v>0</v>
      </c>
      <c r="AN193" s="31">
        <f t="shared" si="338"/>
        <v>0</v>
      </c>
      <c r="AO193" s="31">
        <f t="shared" si="338"/>
        <v>1</v>
      </c>
      <c r="AP193" s="31">
        <f t="shared" si="338"/>
        <v>0</v>
      </c>
      <c r="AQ193" s="31">
        <f t="shared" si="338"/>
        <v>0</v>
      </c>
      <c r="AR193" s="31">
        <f t="shared" si="338"/>
        <v>0</v>
      </c>
      <c r="AS193" s="31">
        <f t="shared" si="338"/>
        <v>0</v>
      </c>
      <c r="AT193" s="31">
        <f t="shared" si="338"/>
        <v>0</v>
      </c>
      <c r="AU193" s="31">
        <f t="shared" si="338"/>
        <v>0</v>
      </c>
      <c r="AV193" s="31">
        <f t="shared" ref="AV193:BD198" si="339">IF($AK193=0,VLOOKUP(MID($A193,4,5),ProjectSplits,AV$20,FALSE),IF(ISNA(VLOOKUP($A193,Estimates,AV$19,FALSE)),VLOOKUP(MID($A193,4,5),ProjectSplits,AV$20,FALSE),VLOOKUP($A193,Estimates,AV$19,FALSE)))</f>
        <v>0</v>
      </c>
      <c r="AW193" s="31">
        <f t="shared" si="339"/>
        <v>0</v>
      </c>
      <c r="AX193" s="31">
        <f t="shared" si="339"/>
        <v>0</v>
      </c>
      <c r="AY193" s="31">
        <f t="shared" si="339"/>
        <v>0</v>
      </c>
      <c r="AZ193" s="31">
        <f t="shared" si="339"/>
        <v>0</v>
      </c>
      <c r="BA193" s="31">
        <f t="shared" si="339"/>
        <v>0</v>
      </c>
      <c r="BB193" s="31">
        <f t="shared" si="339"/>
        <v>0</v>
      </c>
      <c r="BC193" s="31">
        <f t="shared" si="339"/>
        <v>0</v>
      </c>
      <c r="BD193" s="31">
        <f t="shared" si="339"/>
        <v>0</v>
      </c>
      <c r="BE193" s="30">
        <f t="shared" ref="BE193:BE198" si="340">SUM(AL193:BD193)</f>
        <v>1</v>
      </c>
      <c r="BF193" s="620">
        <f t="shared" si="335"/>
        <v>1.004507272219447</v>
      </c>
      <c r="BG193" s="620">
        <f t="shared" si="318"/>
        <v>1.0090438417083203</v>
      </c>
      <c r="BH193" s="620">
        <f t="shared" si="319"/>
        <v>1.0143123692358795</v>
      </c>
      <c r="BI193" s="620">
        <f t="shared" si="320"/>
        <v>1.0206820190166983</v>
      </c>
      <c r="BJ193" s="620">
        <f t="shared" si="321"/>
        <v>1.028537212674177</v>
      </c>
      <c r="BK193" s="620">
        <f t="shared" si="322"/>
        <v>1.0368397953158748</v>
      </c>
      <c r="BL193" s="620">
        <f t="shared" si="323"/>
        <v>1.0428905731524025</v>
      </c>
      <c r="BM193" s="621" t="str">
        <f t="shared" si="324"/>
        <v>Project</v>
      </c>
    </row>
    <row r="194" spans="1:65" x14ac:dyDescent="0.15">
      <c r="A194" s="12" t="s">
        <v>401</v>
      </c>
      <c r="B194" s="13" t="s">
        <v>2313</v>
      </c>
      <c r="C194" s="13" t="s">
        <v>27</v>
      </c>
      <c r="D194" s="13" t="s">
        <v>55</v>
      </c>
      <c r="E194" s="13" t="s">
        <v>112</v>
      </c>
      <c r="F194" s="14">
        <v>0</v>
      </c>
      <c r="G194" s="14">
        <v>0</v>
      </c>
      <c r="H194" s="14">
        <v>0</v>
      </c>
      <c r="I194" s="14">
        <v>0</v>
      </c>
      <c r="J194" s="14">
        <v>0</v>
      </c>
      <c r="K194" s="14">
        <v>0</v>
      </c>
      <c r="L194" s="14">
        <v>0</v>
      </c>
      <c r="M194" s="15">
        <v>0</v>
      </c>
      <c r="N194" s="804"/>
      <c r="O194" s="14"/>
      <c r="P194" s="15"/>
      <c r="Q194" s="16" t="str">
        <f>IF(ISTEXT('Incurred 2.5% cpi'!Q194),"",'Incurred 2.5% cpi'!Q194/'Incurred 2.5% cpi'!Q$14*Incurred!Q$14)</f>
        <v/>
      </c>
      <c r="R194" s="127">
        <f>IF(ISTEXT('Incurred 2.5% cpi'!R194),"",'Incurred 2.5% cpi'!R194/'Incurred 2.5% cpi'!R$14*Incurred!R$14*BF194)</f>
        <v>56219.149099085567</v>
      </c>
      <c r="S194" s="119">
        <f>IF(ISTEXT('Incurred 2.5% cpi'!S194),"",'Incurred 2.5% cpi'!S194/'Incurred 2.5% cpi'!S$14*Incurred!S$14*BG194)</f>
        <v>1211782.7411844421</v>
      </c>
      <c r="T194" s="16">
        <f>IF(ISTEXT('Incurred 2.5% cpi'!T194),"",'Incurred 2.5% cpi'!T194/'Incurred 2.5% cpi'!T$14*Incurred!T$14*BH194)</f>
        <v>1209806.5186562017</v>
      </c>
      <c r="U194" s="16">
        <f>IF(ISTEXT('Incurred 2.5% cpi'!U194),"",'Incurred 2.5% cpi'!U194/'Incurred 2.5% cpi'!U$14*Incurred!U$14*BI194)</f>
        <v>34822.027698613769</v>
      </c>
      <c r="V194" s="16" t="str">
        <f>IF(ISTEXT('Incurred 2.5% cpi'!V194),"",'Incurred 2.5% cpi'!V194/'Incurred 2.5% cpi'!V$14*Incurred!V$14*BJ194)</f>
        <v/>
      </c>
      <c r="W194" s="127" t="str">
        <f>IF(ISTEXT('Incurred 2.5% cpi'!W194),"",'Incurred 2.5% cpi'!W194/'Incurred 2.5% cpi'!W$14*Incurred!W$14*BK194)</f>
        <v/>
      </c>
      <c r="X194" s="119" t="str">
        <f>IF(ISTEXT('Incurred 2.5% cpi'!X194),"",'Incurred 2.5% cpi'!X194/'Incurred 2.5% cpi'!X$14*Incurred!X$14*BL194)</f>
        <v/>
      </c>
      <c r="Y194" s="95">
        <f t="shared" si="245"/>
        <v>2512630.4366383431</v>
      </c>
      <c r="Z194" s="95">
        <f t="shared" si="310"/>
        <v>2512630.4366383431</v>
      </c>
      <c r="AA194" s="676">
        <f t="shared" si="311"/>
        <v>2691040.8076948714</v>
      </c>
      <c r="AB194" s="676">
        <f t="shared" si="312"/>
        <v>2538066.6682547866</v>
      </c>
      <c r="AC194" s="677">
        <f t="shared" si="331"/>
        <v>1.060271915373</v>
      </c>
      <c r="AD194" s="678" t="str">
        <f t="shared" si="325"/>
        <v>2021</v>
      </c>
      <c r="AE194" s="679">
        <v>43910</v>
      </c>
      <c r="AF194" s="678">
        <v>2020</v>
      </c>
      <c r="AG194" s="680"/>
      <c r="AH194" s="676">
        <f t="shared" si="337"/>
        <v>2440946.0857113549</v>
      </c>
      <c r="AI194" s="95">
        <f t="shared" si="313"/>
        <v>34822.027698613769</v>
      </c>
      <c r="AJ194" s="681" t="s">
        <v>3058</v>
      </c>
      <c r="AK194" s="37">
        <f t="shared" si="314"/>
        <v>460000.00000000041</v>
      </c>
      <c r="AL194" s="31">
        <f t="shared" si="338"/>
        <v>0</v>
      </c>
      <c r="AM194" s="31">
        <f t="shared" si="338"/>
        <v>0</v>
      </c>
      <c r="AN194" s="31">
        <f t="shared" si="338"/>
        <v>0</v>
      </c>
      <c r="AO194" s="31">
        <f t="shared" si="338"/>
        <v>1</v>
      </c>
      <c r="AP194" s="31">
        <f t="shared" si="338"/>
        <v>0</v>
      </c>
      <c r="AQ194" s="31">
        <f t="shared" si="338"/>
        <v>0</v>
      </c>
      <c r="AR194" s="31">
        <f t="shared" si="338"/>
        <v>0</v>
      </c>
      <c r="AS194" s="31">
        <f t="shared" si="338"/>
        <v>0</v>
      </c>
      <c r="AT194" s="31">
        <f t="shared" si="338"/>
        <v>0</v>
      </c>
      <c r="AU194" s="31">
        <f t="shared" si="338"/>
        <v>0</v>
      </c>
      <c r="AV194" s="31">
        <f t="shared" si="339"/>
        <v>0</v>
      </c>
      <c r="AW194" s="31">
        <f t="shared" si="339"/>
        <v>0</v>
      </c>
      <c r="AX194" s="31">
        <f t="shared" si="339"/>
        <v>0</v>
      </c>
      <c r="AY194" s="31">
        <f t="shared" si="339"/>
        <v>0</v>
      </c>
      <c r="AZ194" s="31">
        <f t="shared" si="339"/>
        <v>0</v>
      </c>
      <c r="BA194" s="31">
        <f t="shared" si="339"/>
        <v>0</v>
      </c>
      <c r="BB194" s="31">
        <f t="shared" si="339"/>
        <v>0</v>
      </c>
      <c r="BC194" s="31">
        <f t="shared" si="339"/>
        <v>0</v>
      </c>
      <c r="BD194" s="31">
        <f t="shared" si="339"/>
        <v>0</v>
      </c>
      <c r="BE194" s="30">
        <f t="shared" si="340"/>
        <v>1</v>
      </c>
      <c r="BF194" s="620">
        <f t="shared" si="335"/>
        <v>1.0047443590460903</v>
      </c>
      <c r="BG194" s="620">
        <f t="shared" si="318"/>
        <v>1.00951955642598</v>
      </c>
      <c r="BH194" s="620">
        <f t="shared" si="319"/>
        <v>1.0150652135369715</v>
      </c>
      <c r="BI194" s="620">
        <f t="shared" si="320"/>
        <v>1.02176991298416</v>
      </c>
      <c r="BJ194" s="620">
        <f t="shared" si="321"/>
        <v>1.0300382973357538</v>
      </c>
      <c r="BK194" s="620">
        <f t="shared" si="322"/>
        <v>1.0387776037597365</v>
      </c>
      <c r="BL194" s="620">
        <f t="shared" si="323"/>
        <v>1.0451466582935969</v>
      </c>
      <c r="BM194" s="621" t="str">
        <f t="shared" si="324"/>
        <v>Project</v>
      </c>
    </row>
    <row r="195" spans="1:65" x14ac:dyDescent="0.15">
      <c r="A195" s="12" t="s">
        <v>402</v>
      </c>
      <c r="B195" s="13" t="s">
        <v>403</v>
      </c>
      <c r="C195" s="13" t="s">
        <v>27</v>
      </c>
      <c r="D195" s="13" t="s">
        <v>55</v>
      </c>
      <c r="E195" s="13" t="s">
        <v>112</v>
      </c>
      <c r="F195" s="14">
        <v>0</v>
      </c>
      <c r="G195" s="14">
        <v>0</v>
      </c>
      <c r="H195" s="14">
        <v>0</v>
      </c>
      <c r="I195" s="14">
        <v>0</v>
      </c>
      <c r="J195" s="14">
        <v>0</v>
      </c>
      <c r="K195" s="14">
        <v>0</v>
      </c>
      <c r="L195" s="14">
        <v>0</v>
      </c>
      <c r="M195" s="15">
        <v>0</v>
      </c>
      <c r="N195" s="804"/>
      <c r="O195" s="14"/>
      <c r="P195" s="15"/>
      <c r="Q195" s="16" t="str">
        <f>IF(ISTEXT('Incurred 2.5% cpi'!Q195),"",'Incurred 2.5% cpi'!Q195/'Incurred 2.5% cpi'!Q$14*Incurred!Q$14)</f>
        <v/>
      </c>
      <c r="R195" s="127" t="str">
        <f>IF(ISTEXT('Incurred 2.5% cpi'!R195),"",'Incurred 2.5% cpi'!R195/'Incurred 2.5% cpi'!R$14*Incurred!R$14*BF195)</f>
        <v/>
      </c>
      <c r="S195" s="119">
        <f>IF(ISTEXT('Incurred 2.5% cpi'!S195),"",'Incurred 2.5% cpi'!S195/'Incurred 2.5% cpi'!S$14*Incurred!S$14*BG195)</f>
        <v>327126.6161518349</v>
      </c>
      <c r="T195" s="16">
        <f>IF(ISTEXT('Incurred 2.5% cpi'!T195),"",'Incurred 2.5% cpi'!T195/'Incurred 2.5% cpi'!T$14*Incurred!T$14*BH195)</f>
        <v>639489.6908332312</v>
      </c>
      <c r="U195" s="16">
        <f>IF(ISTEXT('Incurred 2.5% cpi'!U195),"",'Incurred 2.5% cpi'!U195/'Incurred 2.5% cpi'!U$14*Incurred!U$14*BI195)</f>
        <v>475222.54613666493</v>
      </c>
      <c r="V195" s="16" t="str">
        <f>IF(ISTEXT('Incurred 2.5% cpi'!V195),"",'Incurred 2.5% cpi'!V195/'Incurred 2.5% cpi'!V$14*Incurred!V$14*BJ195)</f>
        <v/>
      </c>
      <c r="W195" s="127" t="str">
        <f>IF(ISTEXT('Incurred 2.5% cpi'!W195),"",'Incurred 2.5% cpi'!W195/'Incurred 2.5% cpi'!W$14*Incurred!W$14*BK195)</f>
        <v/>
      </c>
      <c r="X195" s="119" t="str">
        <f>IF(ISTEXT('Incurred 2.5% cpi'!X195),"",'Incurred 2.5% cpi'!X195/'Incurred 2.5% cpi'!X$14*Incurred!X$14*BL195)</f>
        <v/>
      </c>
      <c r="Y195" s="95">
        <f t="shared" si="245"/>
        <v>1441838.853121731</v>
      </c>
      <c r="Z195" s="95">
        <f t="shared" si="310"/>
        <v>1441838.853121731</v>
      </c>
      <c r="AA195" s="676">
        <f t="shared" si="311"/>
        <v>1525839.6771385844</v>
      </c>
      <c r="AB195" s="676">
        <f t="shared" si="312"/>
        <v>1467452.5432759903</v>
      </c>
      <c r="AC195" s="677">
        <f t="shared" si="331"/>
        <v>1.0397880900000001</v>
      </c>
      <c r="AD195" s="678" t="str">
        <f t="shared" si="325"/>
        <v>2021</v>
      </c>
      <c r="AE195" s="679">
        <v>44207</v>
      </c>
      <c r="AF195" s="678">
        <v>2021</v>
      </c>
      <c r="AG195" s="680"/>
      <c r="AH195" s="676">
        <f t="shared" si="337"/>
        <v>1384034.1538799936</v>
      </c>
      <c r="AI195" s="95">
        <f t="shared" si="313"/>
        <v>475222.54613666493</v>
      </c>
      <c r="AJ195" s="681" t="s">
        <v>3058</v>
      </c>
      <c r="AK195" s="37">
        <f t="shared" si="314"/>
        <v>260000.00000000047</v>
      </c>
      <c r="AL195" s="31">
        <f t="shared" si="338"/>
        <v>0</v>
      </c>
      <c r="AM195" s="31">
        <f t="shared" si="338"/>
        <v>0</v>
      </c>
      <c r="AN195" s="31">
        <f t="shared" si="338"/>
        <v>0</v>
      </c>
      <c r="AO195" s="31">
        <f t="shared" si="338"/>
        <v>1</v>
      </c>
      <c r="AP195" s="31">
        <f t="shared" si="338"/>
        <v>0</v>
      </c>
      <c r="AQ195" s="31">
        <f t="shared" si="338"/>
        <v>0</v>
      </c>
      <c r="AR195" s="31">
        <f t="shared" si="338"/>
        <v>0</v>
      </c>
      <c r="AS195" s="31">
        <f t="shared" si="338"/>
        <v>0</v>
      </c>
      <c r="AT195" s="31">
        <f t="shared" si="338"/>
        <v>0</v>
      </c>
      <c r="AU195" s="31">
        <f t="shared" si="338"/>
        <v>0</v>
      </c>
      <c r="AV195" s="31">
        <f t="shared" si="339"/>
        <v>0</v>
      </c>
      <c r="AW195" s="31">
        <f t="shared" si="339"/>
        <v>0</v>
      </c>
      <c r="AX195" s="31">
        <f t="shared" si="339"/>
        <v>0</v>
      </c>
      <c r="AY195" s="31">
        <f t="shared" si="339"/>
        <v>0</v>
      </c>
      <c r="AZ195" s="31">
        <f t="shared" si="339"/>
        <v>0</v>
      </c>
      <c r="BA195" s="31">
        <f t="shared" si="339"/>
        <v>0</v>
      </c>
      <c r="BB195" s="31">
        <f t="shared" si="339"/>
        <v>0</v>
      </c>
      <c r="BC195" s="31">
        <f t="shared" si="339"/>
        <v>0</v>
      </c>
      <c r="BD195" s="31">
        <f t="shared" si="339"/>
        <v>0</v>
      </c>
      <c r="BE195" s="30">
        <f t="shared" si="340"/>
        <v>1</v>
      </c>
      <c r="BF195" s="620">
        <f t="shared" si="335"/>
        <v>1.0047443590460903</v>
      </c>
      <c r="BG195" s="620">
        <f t="shared" si="318"/>
        <v>1.00951955642598</v>
      </c>
      <c r="BH195" s="620">
        <f t="shared" si="319"/>
        <v>1.0150652135369715</v>
      </c>
      <c r="BI195" s="620">
        <f t="shared" si="320"/>
        <v>1.0217699129841598</v>
      </c>
      <c r="BJ195" s="620">
        <f t="shared" si="321"/>
        <v>1.0300382973357538</v>
      </c>
      <c r="BK195" s="620">
        <f t="shared" si="322"/>
        <v>1.0387776037597363</v>
      </c>
      <c r="BL195" s="620">
        <f t="shared" si="323"/>
        <v>1.0451466582935969</v>
      </c>
      <c r="BM195" s="621" t="str">
        <f t="shared" si="324"/>
        <v>Project</v>
      </c>
    </row>
    <row r="196" spans="1:65" x14ac:dyDescent="0.15">
      <c r="A196" s="12" t="s">
        <v>404</v>
      </c>
      <c r="B196" s="13" t="s">
        <v>405</v>
      </c>
      <c r="C196" s="13" t="s">
        <v>27</v>
      </c>
      <c r="D196" s="13" t="s">
        <v>40</v>
      </c>
      <c r="E196" s="13" t="s">
        <v>112</v>
      </c>
      <c r="F196" s="14">
        <v>0</v>
      </c>
      <c r="G196" s="14">
        <v>0</v>
      </c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5">
        <v>0</v>
      </c>
      <c r="N196" s="804"/>
      <c r="O196" s="14"/>
      <c r="P196" s="15"/>
      <c r="Q196" s="16" t="str">
        <f>IF(ISTEXT('Incurred 2.5% cpi'!Q196),"",'Incurred 2.5% cpi'!Q196/'Incurred 2.5% cpi'!Q$14*Incurred!Q$14)</f>
        <v/>
      </c>
      <c r="R196" s="127" t="str">
        <f>IF(ISTEXT('Incurred 2.5% cpi'!R196),"",'Incurred 2.5% cpi'!R196/'Incurred 2.5% cpi'!R$14*Incurred!R$14*BF196)</f>
        <v/>
      </c>
      <c r="S196" s="119">
        <f>IF(ISTEXT('Incurred 2.5% cpi'!S196),"",'Incurred 2.5% cpi'!S196/'Incurred 2.5% cpi'!S$14*Incurred!S$14*BG196)</f>
        <v>576466.9178340775</v>
      </c>
      <c r="T196" s="16">
        <f>IF(ISTEXT('Incurred 2.5% cpi'!T196),"",'Incurred 2.5% cpi'!T196/'Incurred 2.5% cpi'!T$14*Incurred!T$14*BH196)</f>
        <v>895020.34763548279</v>
      </c>
      <c r="U196" s="16">
        <f>IF(ISTEXT('Incurred 2.5% cpi'!U196),"",'Incurred 2.5% cpi'!U196/'Incurred 2.5% cpi'!U$14*Incurred!U$14*BI196)</f>
        <v>522103.54964005301</v>
      </c>
      <c r="V196" s="16" t="str">
        <f>IF(ISTEXT('Incurred 2.5% cpi'!V196),"",'Incurred 2.5% cpi'!V196/'Incurred 2.5% cpi'!V$14*Incurred!V$14*BJ196)</f>
        <v/>
      </c>
      <c r="W196" s="127" t="str">
        <f>IF(ISTEXT('Incurred 2.5% cpi'!W196),"",'Incurred 2.5% cpi'!W196/'Incurred 2.5% cpi'!W$14*Incurred!W$14*BK196)</f>
        <v/>
      </c>
      <c r="X196" s="119" t="str">
        <f>IF(ISTEXT('Incurred 2.5% cpi'!X196),"",'Incurred 2.5% cpi'!X196/'Incurred 2.5% cpi'!X$14*Incurred!X$14*BL196)</f>
        <v/>
      </c>
      <c r="Y196" s="95">
        <f t="shared" si="245"/>
        <v>1993590.8151096134</v>
      </c>
      <c r="Z196" s="95">
        <f t="shared" si="310"/>
        <v>1993590.8151096134</v>
      </c>
      <c r="AA196" s="676">
        <f t="shared" si="311"/>
        <v>2115094.5442263256</v>
      </c>
      <c r="AB196" s="676">
        <f t="shared" si="312"/>
        <v>2034159.2335668372</v>
      </c>
      <c r="AC196" s="677">
        <f t="shared" si="331"/>
        <v>1.0397880900000001</v>
      </c>
      <c r="AD196" s="678" t="str">
        <f t="shared" si="325"/>
        <v>2021</v>
      </c>
      <c r="AE196" s="679">
        <v>44148</v>
      </c>
      <c r="AF196" s="678">
        <v>2021</v>
      </c>
      <c r="AG196" s="680"/>
      <c r="AH196" s="676">
        <f t="shared" si="337"/>
        <v>1918525.9970327772</v>
      </c>
      <c r="AI196" s="95">
        <f t="shared" si="313"/>
        <v>522103.54964005301</v>
      </c>
      <c r="AJ196" s="681" t="s">
        <v>3058</v>
      </c>
      <c r="AK196" s="37">
        <f t="shared" si="314"/>
        <v>180000.00000000015</v>
      </c>
      <c r="AL196" s="31">
        <f t="shared" si="338"/>
        <v>0</v>
      </c>
      <c r="AM196" s="31">
        <f t="shared" si="338"/>
        <v>0</v>
      </c>
      <c r="AN196" s="31">
        <f t="shared" si="338"/>
        <v>0</v>
      </c>
      <c r="AO196" s="31">
        <f t="shared" si="338"/>
        <v>1</v>
      </c>
      <c r="AP196" s="31">
        <f t="shared" si="338"/>
        <v>0</v>
      </c>
      <c r="AQ196" s="31">
        <f t="shared" si="338"/>
        <v>0</v>
      </c>
      <c r="AR196" s="31">
        <f t="shared" si="338"/>
        <v>0</v>
      </c>
      <c r="AS196" s="31">
        <f t="shared" si="338"/>
        <v>0</v>
      </c>
      <c r="AT196" s="31">
        <f t="shared" si="338"/>
        <v>0</v>
      </c>
      <c r="AU196" s="31">
        <f t="shared" si="338"/>
        <v>0</v>
      </c>
      <c r="AV196" s="31">
        <f t="shared" si="339"/>
        <v>0</v>
      </c>
      <c r="AW196" s="31">
        <f t="shared" si="339"/>
        <v>0</v>
      </c>
      <c r="AX196" s="31">
        <f t="shared" si="339"/>
        <v>0</v>
      </c>
      <c r="AY196" s="31">
        <f t="shared" si="339"/>
        <v>0</v>
      </c>
      <c r="AZ196" s="31">
        <f t="shared" si="339"/>
        <v>0</v>
      </c>
      <c r="BA196" s="31">
        <f t="shared" si="339"/>
        <v>0</v>
      </c>
      <c r="BB196" s="31">
        <f t="shared" si="339"/>
        <v>0</v>
      </c>
      <c r="BC196" s="31">
        <f t="shared" si="339"/>
        <v>0</v>
      </c>
      <c r="BD196" s="31">
        <f t="shared" si="339"/>
        <v>0</v>
      </c>
      <c r="BE196" s="30">
        <f t="shared" si="340"/>
        <v>1</v>
      </c>
      <c r="BF196" s="620">
        <f t="shared" si="335"/>
        <v>1.0053374039268514</v>
      </c>
      <c r="BG196" s="620">
        <f t="shared" si="318"/>
        <v>1.0107095009792275</v>
      </c>
      <c r="BH196" s="620">
        <f t="shared" si="319"/>
        <v>1.0169483652290929</v>
      </c>
      <c r="BI196" s="620">
        <f t="shared" si="320"/>
        <v>1.0244911521071798</v>
      </c>
      <c r="BJ196" s="620">
        <f t="shared" si="321"/>
        <v>1.033793084502723</v>
      </c>
      <c r="BK196" s="620">
        <f t="shared" si="322"/>
        <v>1.0436248042297034</v>
      </c>
      <c r="BL196" s="620">
        <f t="shared" si="323"/>
        <v>1.0507899905802964</v>
      </c>
      <c r="BM196" s="621" t="str">
        <f t="shared" si="324"/>
        <v>Project</v>
      </c>
    </row>
    <row r="197" spans="1:65" x14ac:dyDescent="0.15">
      <c r="A197" s="12" t="s">
        <v>406</v>
      </c>
      <c r="B197" s="13" t="s">
        <v>407</v>
      </c>
      <c r="C197" s="13" t="s">
        <v>27</v>
      </c>
      <c r="D197" s="13" t="s">
        <v>60</v>
      </c>
      <c r="E197" s="13" t="s">
        <v>112</v>
      </c>
      <c r="F197" s="14">
        <v>0</v>
      </c>
      <c r="G197" s="14">
        <v>0</v>
      </c>
      <c r="H197" s="14">
        <v>0</v>
      </c>
      <c r="I197" s="14">
        <v>0</v>
      </c>
      <c r="J197" s="14">
        <v>0</v>
      </c>
      <c r="K197" s="14">
        <v>0</v>
      </c>
      <c r="L197" s="14">
        <v>0</v>
      </c>
      <c r="M197" s="15">
        <v>0</v>
      </c>
      <c r="N197" s="804"/>
      <c r="O197" s="14"/>
      <c r="P197" s="15"/>
      <c r="Q197" s="16" t="str">
        <f>IF(ISTEXT('Incurred 2.5% cpi'!Q197),"",'Incurred 2.5% cpi'!Q197/'Incurred 2.5% cpi'!Q$14*Incurred!Q$14)</f>
        <v/>
      </c>
      <c r="R197" s="127" t="str">
        <f>IF(ISTEXT('Incurred 2.5% cpi'!R197),"",'Incurred 2.5% cpi'!R197/'Incurred 2.5% cpi'!R$14*Incurred!R$14*BF197)</f>
        <v/>
      </c>
      <c r="S197" s="119" t="str">
        <f>IF(ISTEXT('Incurred 2.5% cpi'!S197),"",'Incurred 2.5% cpi'!S197/'Incurred 2.5% cpi'!S$14*Incurred!S$14*BG197)</f>
        <v/>
      </c>
      <c r="T197" s="16">
        <f>IF(ISTEXT('Incurred 2.5% cpi'!T197),"",'Incurred 2.5% cpi'!T197/'Incurred 2.5% cpi'!T$14*Incurred!T$14*BH197)</f>
        <v>2399843.5274897777</v>
      </c>
      <c r="U197" s="16" t="str">
        <f>IF(ISTEXT('Incurred 2.5% cpi'!U197),"",'Incurred 2.5% cpi'!U197/'Incurred 2.5% cpi'!U$14*Incurred!U$14*BI197)</f>
        <v/>
      </c>
      <c r="V197" s="16" t="str">
        <f>IF(ISTEXT('Incurred 2.5% cpi'!V197),"",'Incurred 2.5% cpi'!V197/'Incurred 2.5% cpi'!V$14*Incurred!V$14*BJ197)</f>
        <v/>
      </c>
      <c r="W197" s="127" t="str">
        <f>IF(ISTEXT('Incurred 2.5% cpi'!W197),"",'Incurred 2.5% cpi'!W197/'Incurred 2.5% cpi'!W$14*Incurred!W$14*BK197)</f>
        <v/>
      </c>
      <c r="X197" s="119" t="str">
        <f>IF(ISTEXT('Incurred 2.5% cpi'!X197),"",'Incurred 2.5% cpi'!X197/'Incurred 2.5% cpi'!X$14*Incurred!X$14*BL197)</f>
        <v/>
      </c>
      <c r="Y197" s="95">
        <f t="shared" si="245"/>
        <v>2399843.5274897777</v>
      </c>
      <c r="Z197" s="95">
        <f t="shared" si="310"/>
        <v>2399843.5274897777</v>
      </c>
      <c r="AA197" s="676">
        <f t="shared" si="311"/>
        <v>2544486.6934870835</v>
      </c>
      <c r="AB197" s="676">
        <f t="shared" si="312"/>
        <v>2399843.5274897777</v>
      </c>
      <c r="AC197" s="677">
        <f t="shared" si="331"/>
        <v>1.060271915373</v>
      </c>
      <c r="AD197" s="678" t="str">
        <f t="shared" si="325"/>
        <v>2020</v>
      </c>
      <c r="AE197" s="679">
        <v>43924</v>
      </c>
      <c r="AF197" s="678">
        <v>2020</v>
      </c>
      <c r="AG197" s="680"/>
      <c r="AH197" s="676">
        <f t="shared" si="337"/>
        <v>2308012.1330200825</v>
      </c>
      <c r="AI197" s="95">
        <f t="shared" si="313"/>
        <v>2399843.5274897777</v>
      </c>
      <c r="AJ197" s="681" t="s">
        <v>3058</v>
      </c>
      <c r="AK197" s="37">
        <f t="shared" si="314"/>
        <v>2094358</v>
      </c>
      <c r="AL197" s="31">
        <f t="shared" si="338"/>
        <v>0</v>
      </c>
      <c r="AM197" s="31">
        <f t="shared" si="338"/>
        <v>0</v>
      </c>
      <c r="AN197" s="31">
        <f t="shared" si="338"/>
        <v>0</v>
      </c>
      <c r="AO197" s="31">
        <f t="shared" si="338"/>
        <v>0</v>
      </c>
      <c r="AP197" s="31">
        <f t="shared" si="338"/>
        <v>0</v>
      </c>
      <c r="AQ197" s="31">
        <f t="shared" si="338"/>
        <v>0</v>
      </c>
      <c r="AR197" s="31">
        <f t="shared" si="338"/>
        <v>0</v>
      </c>
      <c r="AS197" s="31">
        <f t="shared" si="338"/>
        <v>0</v>
      </c>
      <c r="AT197" s="31">
        <f t="shared" si="338"/>
        <v>0</v>
      </c>
      <c r="AU197" s="31">
        <f t="shared" si="338"/>
        <v>1</v>
      </c>
      <c r="AV197" s="31">
        <f t="shared" si="339"/>
        <v>0</v>
      </c>
      <c r="AW197" s="31">
        <f t="shared" si="339"/>
        <v>0</v>
      </c>
      <c r="AX197" s="31">
        <f t="shared" si="339"/>
        <v>0</v>
      </c>
      <c r="AY197" s="31">
        <f t="shared" si="339"/>
        <v>0</v>
      </c>
      <c r="AZ197" s="31">
        <f t="shared" si="339"/>
        <v>0</v>
      </c>
      <c r="BA197" s="31">
        <f t="shared" si="339"/>
        <v>0</v>
      </c>
      <c r="BB197" s="31">
        <f t="shared" si="339"/>
        <v>0</v>
      </c>
      <c r="BC197" s="31">
        <f t="shared" si="339"/>
        <v>0</v>
      </c>
      <c r="BD197" s="31">
        <f t="shared" si="339"/>
        <v>0</v>
      </c>
      <c r="BE197" s="30">
        <f t="shared" si="340"/>
        <v>1</v>
      </c>
      <c r="BF197" s="620">
        <f t="shared" si="335"/>
        <v>1.0002847743844534</v>
      </c>
      <c r="BG197" s="620">
        <f t="shared" si="318"/>
        <v>1.0005713998024055</v>
      </c>
      <c r="BH197" s="620">
        <f t="shared" si="319"/>
        <v>1.0009042711291389</v>
      </c>
      <c r="BI197" s="620">
        <f t="shared" si="320"/>
        <v>1.0013067125631596</v>
      </c>
      <c r="BJ197" s="620">
        <f t="shared" si="321"/>
        <v>1.001803012282737</v>
      </c>
      <c r="BK197" s="620">
        <f t="shared" si="322"/>
        <v>1.0023275785272521</v>
      </c>
      <c r="BL197" s="620">
        <f t="shared" si="323"/>
        <v>1.0027098732833635</v>
      </c>
      <c r="BM197" s="621" t="str">
        <f t="shared" si="324"/>
        <v>Project</v>
      </c>
    </row>
    <row r="198" spans="1:65" x14ac:dyDescent="0.15">
      <c r="A198" s="12" t="s">
        <v>408</v>
      </c>
      <c r="B198" s="13" t="s">
        <v>409</v>
      </c>
      <c r="C198" s="13" t="s">
        <v>27</v>
      </c>
      <c r="D198" s="13" t="s">
        <v>55</v>
      </c>
      <c r="E198" s="13" t="s">
        <v>29</v>
      </c>
      <c r="F198" s="14">
        <v>0</v>
      </c>
      <c r="G198" s="14">
        <v>0</v>
      </c>
      <c r="H198" s="14">
        <v>0</v>
      </c>
      <c r="I198" s="14">
        <v>0</v>
      </c>
      <c r="J198" s="14">
        <v>0</v>
      </c>
      <c r="K198" s="14">
        <v>0</v>
      </c>
      <c r="L198" s="14">
        <v>0</v>
      </c>
      <c r="M198" s="15">
        <v>0</v>
      </c>
      <c r="N198" s="804"/>
      <c r="O198" s="14"/>
      <c r="P198" s="15">
        <v>27690.75</v>
      </c>
      <c r="Q198" s="16">
        <f>IF(ISTEXT('Incurred 2.5% cpi'!Q198),"",'Incurred 2.5% cpi'!Q198/'Incurred 2.5% cpi'!Q$14*Incurred!Q$14)</f>
        <v>806308.13</v>
      </c>
      <c r="R198" s="127">
        <f>IF(ISTEXT('Incurred 2.5% cpi'!R198),"",'Incurred 2.5% cpi'!R198/'Incurred 2.5% cpi'!R$14*Incurred!R$14*BF198)</f>
        <v>1309055.7907212728</v>
      </c>
      <c r="S198" s="119" t="str">
        <f>IF(ISTEXT('Incurred 2.5% cpi'!S198),"",'Incurred 2.5% cpi'!S198/'Incurred 2.5% cpi'!S$14*Incurred!S$14*BG198)</f>
        <v/>
      </c>
      <c r="T198" s="16" t="str">
        <f>IF(ISTEXT('Incurred 2.5% cpi'!T198),"",'Incurred 2.5% cpi'!T198/'Incurred 2.5% cpi'!T$14*Incurred!T$14*BH198)</f>
        <v/>
      </c>
      <c r="U198" s="16" t="str">
        <f>IF(ISTEXT('Incurred 2.5% cpi'!U198),"",'Incurred 2.5% cpi'!U198/'Incurred 2.5% cpi'!U$14*Incurred!U$14*BI198)</f>
        <v/>
      </c>
      <c r="V198" s="16" t="str">
        <f>IF(ISTEXT('Incurred 2.5% cpi'!V198),"",'Incurred 2.5% cpi'!V198/'Incurred 2.5% cpi'!V$14*Incurred!V$14*BJ198)</f>
        <v/>
      </c>
      <c r="W198" s="127" t="str">
        <f>IF(ISTEXT('Incurred 2.5% cpi'!W198),"",'Incurred 2.5% cpi'!W198/'Incurred 2.5% cpi'!W$14*Incurred!W$14*BK198)</f>
        <v/>
      </c>
      <c r="X198" s="119" t="str">
        <f>IF(ISTEXT('Incurred 2.5% cpi'!X198),"",'Incurred 2.5% cpi'!X198/'Incurred 2.5% cpi'!X$14*Incurred!X$14*BL198)</f>
        <v/>
      </c>
      <c r="Y198" s="95">
        <f t="shared" si="245"/>
        <v>2143054.6707212729</v>
      </c>
      <c r="Z198" s="95">
        <f t="shared" si="310"/>
        <v>2143054.6707212729</v>
      </c>
      <c r="AA198" s="676">
        <f t="shared" si="311"/>
        <v>2381354.3903765483</v>
      </c>
      <c r="AB198" s="676">
        <f t="shared" si="312"/>
        <v>2160040.7029354405</v>
      </c>
      <c r="AC198" s="677">
        <f t="shared" si="331"/>
        <v>1.1024581097663335</v>
      </c>
      <c r="AD198" s="678" t="str">
        <f t="shared" si="325"/>
        <v>2018</v>
      </c>
      <c r="AE198" s="679">
        <v>42983</v>
      </c>
      <c r="AF198" s="678">
        <v>2018</v>
      </c>
      <c r="AG198" s="680"/>
      <c r="AH198" s="676">
        <f t="shared" si="337"/>
        <v>2160040.7029354405</v>
      </c>
      <c r="AI198" s="95">
        <f t="shared" si="313"/>
        <v>1309055.7907212728</v>
      </c>
      <c r="AJ198" s="681" t="s">
        <v>0</v>
      </c>
      <c r="AK198" s="37">
        <f t="shared" si="314"/>
        <v>107250.0000000001</v>
      </c>
      <c r="AL198" s="31">
        <f t="shared" si="338"/>
        <v>0</v>
      </c>
      <c r="AM198" s="31">
        <f t="shared" si="338"/>
        <v>0</v>
      </c>
      <c r="AN198" s="31">
        <f t="shared" si="338"/>
        <v>0</v>
      </c>
      <c r="AO198" s="31">
        <f t="shared" si="338"/>
        <v>1</v>
      </c>
      <c r="AP198" s="31">
        <f t="shared" si="338"/>
        <v>0</v>
      </c>
      <c r="AQ198" s="31">
        <f t="shared" si="338"/>
        <v>0</v>
      </c>
      <c r="AR198" s="31">
        <f t="shared" si="338"/>
        <v>0</v>
      </c>
      <c r="AS198" s="31">
        <f t="shared" si="338"/>
        <v>0</v>
      </c>
      <c r="AT198" s="31">
        <f t="shared" si="338"/>
        <v>0</v>
      </c>
      <c r="AU198" s="31">
        <f t="shared" si="338"/>
        <v>0</v>
      </c>
      <c r="AV198" s="31">
        <f t="shared" si="339"/>
        <v>0</v>
      </c>
      <c r="AW198" s="31">
        <f t="shared" si="339"/>
        <v>0</v>
      </c>
      <c r="AX198" s="31">
        <f t="shared" si="339"/>
        <v>0</v>
      </c>
      <c r="AY198" s="31">
        <f t="shared" si="339"/>
        <v>0</v>
      </c>
      <c r="AZ198" s="31">
        <f t="shared" si="339"/>
        <v>0</v>
      </c>
      <c r="BA198" s="31">
        <f t="shared" si="339"/>
        <v>0</v>
      </c>
      <c r="BB198" s="31">
        <f t="shared" si="339"/>
        <v>0</v>
      </c>
      <c r="BC198" s="31">
        <f t="shared" si="339"/>
        <v>0</v>
      </c>
      <c r="BD198" s="31">
        <f t="shared" si="339"/>
        <v>0</v>
      </c>
      <c r="BE198" s="30">
        <f t="shared" si="340"/>
        <v>1</v>
      </c>
      <c r="BF198" s="620">
        <f t="shared" si="335"/>
        <v>1.0046190746045656</v>
      </c>
      <c r="BG198" s="620">
        <f t="shared" si="318"/>
        <v>1.0092681731940607</v>
      </c>
      <c r="BH198" s="620">
        <f t="shared" si="319"/>
        <v>1.0146673859598225</v>
      </c>
      <c r="BI198" s="620">
        <f t="shared" si="320"/>
        <v>1.0211950341936284</v>
      </c>
      <c r="BJ198" s="620">
        <f t="shared" si="321"/>
        <v>1.0292450750544078</v>
      </c>
      <c r="BK198" s="620">
        <f t="shared" si="322"/>
        <v>1.0377536023333034</v>
      </c>
      <c r="BL198" s="620">
        <f t="shared" si="323"/>
        <v>1.0439544690397748</v>
      </c>
      <c r="BM198" s="621" t="str">
        <f t="shared" si="324"/>
        <v>Category</v>
      </c>
    </row>
    <row r="199" spans="1:65" x14ac:dyDescent="0.15">
      <c r="A199" s="12" t="s">
        <v>411</v>
      </c>
      <c r="B199" s="13" t="s">
        <v>412</v>
      </c>
      <c r="C199" s="13" t="s">
        <v>27</v>
      </c>
      <c r="D199" s="13" t="s">
        <v>36</v>
      </c>
      <c r="E199" s="13" t="s">
        <v>112</v>
      </c>
      <c r="F199" s="14">
        <v>0</v>
      </c>
      <c r="G199" s="14">
        <v>0</v>
      </c>
      <c r="H199" s="14">
        <v>0</v>
      </c>
      <c r="I199" s="14">
        <v>0</v>
      </c>
      <c r="J199" s="14">
        <v>0</v>
      </c>
      <c r="K199" s="14">
        <v>0</v>
      </c>
      <c r="L199" s="14">
        <v>0</v>
      </c>
      <c r="M199" s="15">
        <v>0</v>
      </c>
      <c r="N199" s="804"/>
      <c r="O199" s="14"/>
      <c r="P199" s="15"/>
      <c r="Q199" s="16" t="str">
        <f>IF(ISTEXT('Incurred 2.5% cpi'!Q199),"",'Incurred 2.5% cpi'!Q199/'Incurred 2.5% cpi'!Q$14*Incurred!Q$14)</f>
        <v/>
      </c>
      <c r="R199" s="127" t="str">
        <f>IF(ISTEXT('Incurred 2.5% cpi'!R199),"",'Incurred 2.5% cpi'!R199/'Incurred 2.5% cpi'!R$14*Incurred!R$14*BF199)</f>
        <v/>
      </c>
      <c r="S199" s="119" t="str">
        <f>IF(ISTEXT('Incurred 2.5% cpi'!S199),"",'Incurred 2.5% cpi'!S199/'Incurred 2.5% cpi'!S$14*Incurred!S$14*BG199)</f>
        <v/>
      </c>
      <c r="T199" s="16" t="str">
        <f>IF(ISTEXT('Incurred 2.5% cpi'!T199),"",'Incurred 2.5% cpi'!T199/'Incurred 2.5% cpi'!T$14*Incurred!T$14*BH199)</f>
        <v/>
      </c>
      <c r="U199" s="16">
        <f>IF(ISTEXT('Incurred 2.5% cpi'!U199),"",'Incurred 2.5% cpi'!U199/'Incurred 2.5% cpi'!U$14*Incurred!U$14*BI199)</f>
        <v>255566.09565183753</v>
      </c>
      <c r="V199" s="16" t="str">
        <f>IF(ISTEXT('Incurred 2.5% cpi'!V199),"",'Incurred 2.5% cpi'!V199/'Incurred 2.5% cpi'!V$14*Incurred!V$14*BJ199)</f>
        <v/>
      </c>
      <c r="W199" s="127" t="str">
        <f>IF(ISTEXT('Incurred 2.5% cpi'!W199),"",'Incurred 2.5% cpi'!W199/'Incurred 2.5% cpi'!W$14*Incurred!W$14*BK199)</f>
        <v/>
      </c>
      <c r="X199" s="119" t="str">
        <f>IF(ISTEXT('Incurred 2.5% cpi'!X199),"",'Incurred 2.5% cpi'!X199/'Incurred 2.5% cpi'!X$14*Incurred!X$14*BL199)</f>
        <v/>
      </c>
      <c r="Y199" s="95">
        <f t="shared" si="245"/>
        <v>255566.09565183753</v>
      </c>
      <c r="Z199" s="95">
        <f t="shared" si="310"/>
        <v>255566.09565183753</v>
      </c>
      <c r="AA199" s="676">
        <f t="shared" si="311"/>
        <v>265734.58246658149</v>
      </c>
      <c r="AB199" s="676">
        <f t="shared" si="312"/>
        <v>255566.09565183756</v>
      </c>
      <c r="AC199" s="677">
        <f t="shared" si="331"/>
        <v>1.0397880900000001</v>
      </c>
      <c r="AD199" s="678" t="str">
        <f t="shared" si="325"/>
        <v>2021</v>
      </c>
      <c r="AE199" s="679">
        <v>44197</v>
      </c>
      <c r="AF199" s="678">
        <v>2021</v>
      </c>
      <c r="AG199" s="680"/>
      <c r="AH199" s="676">
        <f t="shared" ref="AH199:AH220" si="341">IF(ROUND(Y199,0)=0,0,SUMPRODUCT($F$16:$W$16,F199:W199))</f>
        <v>241038.25815468314</v>
      </c>
      <c r="AI199" s="95">
        <f t="shared" si="313"/>
        <v>255566.09565183753</v>
      </c>
      <c r="AJ199" s="681" t="s">
        <v>3058</v>
      </c>
      <c r="AK199" s="37">
        <f t="shared" si="314"/>
        <v>170999.99999999997</v>
      </c>
      <c r="AL199" s="31">
        <f t="shared" ref="AL199:AU200" si="342">IF($AK199=0,VLOOKUP(MID($A199,4,5),ProjectSplits,AL$20,FALSE),IF(ISNA(VLOOKUP($A199,Estimates,AL$19,FALSE)),VLOOKUP(MID($A199,4,5),ProjectSplits,AL$20,FALSE),VLOOKUP($A199,Estimates,AL$19,FALSE)))</f>
        <v>1</v>
      </c>
      <c r="AM199" s="31">
        <f t="shared" si="342"/>
        <v>0</v>
      </c>
      <c r="AN199" s="31">
        <f t="shared" si="342"/>
        <v>0</v>
      </c>
      <c r="AO199" s="31">
        <f t="shared" si="342"/>
        <v>0</v>
      </c>
      <c r="AP199" s="31">
        <f t="shared" si="342"/>
        <v>0</v>
      </c>
      <c r="AQ199" s="31">
        <f t="shared" si="342"/>
        <v>0</v>
      </c>
      <c r="AR199" s="31">
        <f t="shared" si="342"/>
        <v>0</v>
      </c>
      <c r="AS199" s="31">
        <f t="shared" si="342"/>
        <v>0</v>
      </c>
      <c r="AT199" s="31">
        <f t="shared" si="342"/>
        <v>0</v>
      </c>
      <c r="AU199" s="31">
        <f t="shared" si="342"/>
        <v>0</v>
      </c>
      <c r="AV199" s="31">
        <f t="shared" ref="AV199:BD200" si="343">IF($AK199=0,VLOOKUP(MID($A199,4,5),ProjectSplits,AV$20,FALSE),IF(ISNA(VLOOKUP($A199,Estimates,AV$19,FALSE)),VLOOKUP(MID($A199,4,5),ProjectSplits,AV$20,FALSE),VLOOKUP($A199,Estimates,AV$19,FALSE)))</f>
        <v>0</v>
      </c>
      <c r="AW199" s="31">
        <f t="shared" si="343"/>
        <v>0</v>
      </c>
      <c r="AX199" s="31">
        <f t="shared" si="343"/>
        <v>0</v>
      </c>
      <c r="AY199" s="31">
        <f t="shared" si="343"/>
        <v>0</v>
      </c>
      <c r="AZ199" s="31">
        <f t="shared" si="343"/>
        <v>0</v>
      </c>
      <c r="BA199" s="31">
        <f t="shared" si="343"/>
        <v>0</v>
      </c>
      <c r="BB199" s="31">
        <f t="shared" si="343"/>
        <v>0</v>
      </c>
      <c r="BC199" s="31">
        <f t="shared" si="343"/>
        <v>0</v>
      </c>
      <c r="BD199" s="31">
        <f t="shared" si="343"/>
        <v>0</v>
      </c>
      <c r="BE199" s="30">
        <f t="shared" ref="BE199:BE200" si="344">SUM(AL199:BD199)</f>
        <v>1</v>
      </c>
      <c r="BF199" s="620">
        <f t="shared" si="335"/>
        <v>1.0016180795004948</v>
      </c>
      <c r="BG199" s="620">
        <f t="shared" si="318"/>
        <v>1.0032466765177426</v>
      </c>
      <c r="BH199" s="620">
        <f t="shared" si="319"/>
        <v>1.0051380413998887</v>
      </c>
      <c r="BI199" s="620">
        <f t="shared" si="320"/>
        <v>1.0074247015424036</v>
      </c>
      <c r="BJ199" s="620">
        <f t="shared" si="321"/>
        <v>1.0102446616448226</v>
      </c>
      <c r="BK199" s="620">
        <f t="shared" si="322"/>
        <v>1.0132252312930747</v>
      </c>
      <c r="BL199" s="620">
        <f t="shared" si="323"/>
        <v>1.0153974186167272</v>
      </c>
      <c r="BM199" s="621" t="str">
        <f t="shared" si="324"/>
        <v>Project</v>
      </c>
    </row>
    <row r="200" spans="1:65" x14ac:dyDescent="0.15">
      <c r="A200" s="12" t="s">
        <v>413</v>
      </c>
      <c r="B200" s="13" t="s">
        <v>414</v>
      </c>
      <c r="C200" s="13" t="s">
        <v>27</v>
      </c>
      <c r="D200" s="13" t="s">
        <v>36</v>
      </c>
      <c r="E200" s="13" t="s">
        <v>112</v>
      </c>
      <c r="F200" s="14">
        <v>0</v>
      </c>
      <c r="G200" s="14">
        <v>0</v>
      </c>
      <c r="H200" s="14">
        <v>0</v>
      </c>
      <c r="I200" s="14">
        <v>0</v>
      </c>
      <c r="J200" s="14">
        <v>0</v>
      </c>
      <c r="K200" s="14">
        <v>0</v>
      </c>
      <c r="L200" s="14">
        <v>0</v>
      </c>
      <c r="M200" s="15">
        <v>0</v>
      </c>
      <c r="N200" s="804"/>
      <c r="O200" s="14"/>
      <c r="P200" s="15"/>
      <c r="Q200" s="16" t="str">
        <f>IF(ISTEXT('Incurred 2.5% cpi'!Q200),"",'Incurred 2.5% cpi'!Q200/'Incurred 2.5% cpi'!Q$14*Incurred!Q$14)</f>
        <v/>
      </c>
      <c r="R200" s="127" t="str">
        <f>IF(ISTEXT('Incurred 2.5% cpi'!R200),"",'Incurred 2.5% cpi'!R200/'Incurred 2.5% cpi'!R$14*Incurred!R$14*BF200)</f>
        <v/>
      </c>
      <c r="S200" s="119" t="str">
        <f>IF(ISTEXT('Incurred 2.5% cpi'!S200),"",'Incurred 2.5% cpi'!S200/'Incurred 2.5% cpi'!S$14*Incurred!S$14*BG200)</f>
        <v/>
      </c>
      <c r="T200" s="16" t="str">
        <f>IF(ISTEXT('Incurred 2.5% cpi'!T200),"",'Incurred 2.5% cpi'!T200/'Incurred 2.5% cpi'!T$14*Incurred!T$14*BH200)</f>
        <v/>
      </c>
      <c r="U200" s="16">
        <f>IF(ISTEXT('Incurred 2.5% cpi'!U200),"",'Incurred 2.5% cpi'!U200/'Incurred 2.5% cpi'!U$14*Incurred!U$14*BI200)</f>
        <v>366692.57445512363</v>
      </c>
      <c r="V200" s="16" t="str">
        <f>IF(ISTEXT('Incurred 2.5% cpi'!V200),"",'Incurred 2.5% cpi'!V200/'Incurred 2.5% cpi'!V$14*Incurred!V$14*BJ200)</f>
        <v/>
      </c>
      <c r="W200" s="127" t="str">
        <f>IF(ISTEXT('Incurred 2.5% cpi'!W200),"",'Incurred 2.5% cpi'!W200/'Incurred 2.5% cpi'!W$14*Incurred!W$14*BK200)</f>
        <v/>
      </c>
      <c r="X200" s="119" t="str">
        <f>IF(ISTEXT('Incurred 2.5% cpi'!X200),"",'Incurred 2.5% cpi'!X200/'Incurred 2.5% cpi'!X$14*Incurred!X$14*BL200)</f>
        <v/>
      </c>
      <c r="Y200" s="95">
        <f t="shared" si="245"/>
        <v>366692.57445512363</v>
      </c>
      <c r="Z200" s="95">
        <f t="shared" si="310"/>
        <v>366692.57445512363</v>
      </c>
      <c r="AA200" s="676">
        <f t="shared" si="311"/>
        <v>381282.57160987583</v>
      </c>
      <c r="AB200" s="676">
        <f t="shared" si="312"/>
        <v>366692.57445512363</v>
      </c>
      <c r="AC200" s="677">
        <f t="shared" si="331"/>
        <v>1.0397880900000001</v>
      </c>
      <c r="AD200" s="678" t="str">
        <f t="shared" si="325"/>
        <v>2021</v>
      </c>
      <c r="AE200" s="679">
        <v>44197</v>
      </c>
      <c r="AF200" s="678">
        <v>2021</v>
      </c>
      <c r="AG200" s="680"/>
      <c r="AH200" s="676">
        <f t="shared" si="341"/>
        <v>345847.67278884538</v>
      </c>
      <c r="AI200" s="95">
        <f t="shared" si="313"/>
        <v>366692.57445512363</v>
      </c>
      <c r="AJ200" s="681" t="s">
        <v>3058</v>
      </c>
      <c r="AK200" s="37">
        <f t="shared" si="314"/>
        <v>244999.99999999994</v>
      </c>
      <c r="AL200" s="31">
        <f t="shared" si="342"/>
        <v>0.76326530612244892</v>
      </c>
      <c r="AM200" s="31">
        <f t="shared" si="342"/>
        <v>0</v>
      </c>
      <c r="AN200" s="31">
        <f t="shared" si="342"/>
        <v>0</v>
      </c>
      <c r="AO200" s="31">
        <f t="shared" si="342"/>
        <v>0</v>
      </c>
      <c r="AP200" s="31">
        <f t="shared" si="342"/>
        <v>0</v>
      </c>
      <c r="AQ200" s="31">
        <f t="shared" si="342"/>
        <v>0</v>
      </c>
      <c r="AR200" s="31">
        <f t="shared" si="342"/>
        <v>0</v>
      </c>
      <c r="AS200" s="31">
        <f t="shared" si="342"/>
        <v>0.23673469387755106</v>
      </c>
      <c r="AT200" s="31">
        <f t="shared" si="342"/>
        <v>0</v>
      </c>
      <c r="AU200" s="31">
        <f t="shared" si="342"/>
        <v>0</v>
      </c>
      <c r="AV200" s="31">
        <f t="shared" si="343"/>
        <v>0</v>
      </c>
      <c r="AW200" s="31">
        <f t="shared" si="343"/>
        <v>0</v>
      </c>
      <c r="AX200" s="31">
        <f t="shared" si="343"/>
        <v>0</v>
      </c>
      <c r="AY200" s="31">
        <f t="shared" si="343"/>
        <v>0</v>
      </c>
      <c r="AZ200" s="31">
        <f t="shared" si="343"/>
        <v>0</v>
      </c>
      <c r="BA200" s="31">
        <f t="shared" si="343"/>
        <v>0</v>
      </c>
      <c r="BB200" s="31">
        <f t="shared" si="343"/>
        <v>0</v>
      </c>
      <c r="BC200" s="31">
        <f t="shared" si="343"/>
        <v>0</v>
      </c>
      <c r="BD200" s="31">
        <f t="shared" si="343"/>
        <v>0</v>
      </c>
      <c r="BE200" s="30">
        <f t="shared" si="344"/>
        <v>1</v>
      </c>
      <c r="BF200" s="620">
        <f t="shared" si="335"/>
        <v>1.0021608005329248</v>
      </c>
      <c r="BG200" s="620">
        <f t="shared" si="318"/>
        <v>1.0043356462693138</v>
      </c>
      <c r="BH200" s="620">
        <f t="shared" si="319"/>
        <v>1.0068613950004777</v>
      </c>
      <c r="BI200" s="620">
        <f t="shared" si="320"/>
        <v>1.009915025216455</v>
      </c>
      <c r="BJ200" s="620">
        <f t="shared" si="321"/>
        <v>1.0136808298572473</v>
      </c>
      <c r="BK200" s="620">
        <f t="shared" si="322"/>
        <v>1.0176611141896266</v>
      </c>
      <c r="BL200" s="620">
        <f t="shared" si="323"/>
        <v>1.0205618761887285</v>
      </c>
      <c r="BM200" s="621" t="str">
        <f t="shared" si="324"/>
        <v>Project</v>
      </c>
    </row>
    <row r="201" spans="1:65" x14ac:dyDescent="0.15">
      <c r="A201" s="12" t="s">
        <v>415</v>
      </c>
      <c r="B201" s="13" t="s">
        <v>416</v>
      </c>
      <c r="C201" s="13" t="s">
        <v>27</v>
      </c>
      <c r="D201" s="13" t="s">
        <v>36</v>
      </c>
      <c r="E201" s="13" t="s">
        <v>112</v>
      </c>
      <c r="F201" s="14">
        <v>0</v>
      </c>
      <c r="G201" s="14">
        <v>0</v>
      </c>
      <c r="H201" s="14">
        <v>0</v>
      </c>
      <c r="I201" s="14">
        <v>0</v>
      </c>
      <c r="J201" s="14">
        <v>0</v>
      </c>
      <c r="K201" s="14">
        <v>0</v>
      </c>
      <c r="L201" s="14">
        <v>0</v>
      </c>
      <c r="M201" s="15">
        <v>0</v>
      </c>
      <c r="N201" s="804"/>
      <c r="O201" s="14"/>
      <c r="P201" s="15"/>
      <c r="Q201" s="16" t="str">
        <f>IF(ISTEXT('Incurred 2.5% cpi'!Q201),"",'Incurred 2.5% cpi'!Q201/'Incurred 2.5% cpi'!Q$14*Incurred!Q$14)</f>
        <v/>
      </c>
      <c r="R201" s="127" t="str">
        <f>IF(ISTEXT('Incurred 2.5% cpi'!R201),"",'Incurred 2.5% cpi'!R201/'Incurred 2.5% cpi'!R$14*Incurred!R$14*BF201)</f>
        <v/>
      </c>
      <c r="S201" s="119" t="str">
        <f>IF(ISTEXT('Incurred 2.5% cpi'!S201),"",'Incurred 2.5% cpi'!S201/'Incurred 2.5% cpi'!S$14*Incurred!S$14*BG201)</f>
        <v/>
      </c>
      <c r="T201" s="16" t="str">
        <f>IF(ISTEXT('Incurred 2.5% cpi'!T201),"",'Incurred 2.5% cpi'!T201/'Incurred 2.5% cpi'!T$14*Incurred!T$14*BH201)</f>
        <v/>
      </c>
      <c r="U201" s="16">
        <f>IF(ISTEXT('Incurred 2.5% cpi'!U201),"",'Incurred 2.5% cpi'!U201/'Incurred 2.5% cpi'!U$14*Incurred!U$14*BI201)</f>
        <v>171759.34283595733</v>
      </c>
      <c r="V201" s="16" t="str">
        <f>IF(ISTEXT('Incurred 2.5% cpi'!V201),"",'Incurred 2.5% cpi'!V201/'Incurred 2.5% cpi'!V$14*Incurred!V$14*BJ201)</f>
        <v/>
      </c>
      <c r="W201" s="127" t="str">
        <f>IF(ISTEXT('Incurred 2.5% cpi'!W201),"",'Incurred 2.5% cpi'!W201/'Incurred 2.5% cpi'!W$14*Incurred!W$14*BK201)</f>
        <v/>
      </c>
      <c r="X201" s="119" t="str">
        <f>IF(ISTEXT('Incurred 2.5% cpi'!X201),"",'Incurred 2.5% cpi'!X201/'Incurred 2.5% cpi'!X$14*Incurred!X$14*BL201)</f>
        <v/>
      </c>
      <c r="Y201" s="95">
        <f t="shared" ref="Y201:Y264" si="345">SUM(F201:W201)</f>
        <v>171759.34283595733</v>
      </c>
      <c r="Z201" s="95">
        <f t="shared" si="310"/>
        <v>171759.34283595733</v>
      </c>
      <c r="AA201" s="676">
        <f t="shared" si="311"/>
        <v>178593.31902705526</v>
      </c>
      <c r="AB201" s="676">
        <f t="shared" si="312"/>
        <v>171759.34283595733</v>
      </c>
      <c r="AC201" s="677">
        <f t="shared" si="331"/>
        <v>1.0397880900000001</v>
      </c>
      <c r="AD201" s="678" t="str">
        <f t="shared" si="325"/>
        <v>2021</v>
      </c>
      <c r="AE201" s="679">
        <v>44197</v>
      </c>
      <c r="AF201" s="678">
        <v>2021</v>
      </c>
      <c r="AG201" s="680"/>
      <c r="AH201" s="676">
        <f t="shared" si="341"/>
        <v>161995.56014414754</v>
      </c>
      <c r="AI201" s="95">
        <f t="shared" si="313"/>
        <v>171759.34283595733</v>
      </c>
      <c r="AJ201" s="681" t="s">
        <v>3058</v>
      </c>
      <c r="AK201" s="37">
        <f t="shared" si="314"/>
        <v>114500</v>
      </c>
      <c r="AL201" s="31">
        <f t="shared" ref="AL201:BD201" si="346">IF($AK201=0,VLOOKUP(MID($A201,4,5),ProjectSplits,AL$20,FALSE),IF(ISNA(VLOOKUP($A201,Estimates,AL$19,FALSE)),VLOOKUP(MID($A201,4,5),ProjectSplits,AL$20,FALSE),VLOOKUP($A201,Estimates,AL$19,FALSE)))</f>
        <v>1</v>
      </c>
      <c r="AM201" s="31">
        <f t="shared" si="346"/>
        <v>0</v>
      </c>
      <c r="AN201" s="31">
        <f t="shared" si="346"/>
        <v>0</v>
      </c>
      <c r="AO201" s="31">
        <f t="shared" si="346"/>
        <v>0</v>
      </c>
      <c r="AP201" s="31">
        <f t="shared" si="346"/>
        <v>0</v>
      </c>
      <c r="AQ201" s="31">
        <f t="shared" si="346"/>
        <v>0</v>
      </c>
      <c r="AR201" s="31">
        <f t="shared" si="346"/>
        <v>0</v>
      </c>
      <c r="AS201" s="31">
        <f t="shared" si="346"/>
        <v>0</v>
      </c>
      <c r="AT201" s="31">
        <f t="shared" si="346"/>
        <v>0</v>
      </c>
      <c r="AU201" s="31">
        <f t="shared" si="346"/>
        <v>0</v>
      </c>
      <c r="AV201" s="31">
        <f t="shared" si="346"/>
        <v>0</v>
      </c>
      <c r="AW201" s="31">
        <f t="shared" si="346"/>
        <v>0</v>
      </c>
      <c r="AX201" s="31">
        <f t="shared" si="346"/>
        <v>0</v>
      </c>
      <c r="AY201" s="31">
        <f t="shared" si="346"/>
        <v>0</v>
      </c>
      <c r="AZ201" s="31">
        <f t="shared" si="346"/>
        <v>0</v>
      </c>
      <c r="BA201" s="31">
        <f t="shared" si="346"/>
        <v>0</v>
      </c>
      <c r="BB201" s="31">
        <f t="shared" si="346"/>
        <v>0</v>
      </c>
      <c r="BC201" s="31">
        <f t="shared" si="346"/>
        <v>0</v>
      </c>
      <c r="BD201" s="31">
        <f t="shared" si="346"/>
        <v>0</v>
      </c>
      <c r="BE201" s="30">
        <f>SUM(AL201:BD201)</f>
        <v>1</v>
      </c>
      <c r="BF201" s="620">
        <f t="shared" si="335"/>
        <v>1.001702308201347</v>
      </c>
      <c r="BG201" s="620">
        <f t="shared" si="318"/>
        <v>1.0034156814060027</v>
      </c>
      <c r="BH201" s="620">
        <f t="shared" si="319"/>
        <v>1.0054055007873326</v>
      </c>
      <c r="BI201" s="620">
        <f t="shared" si="320"/>
        <v>1.0078111924193605</v>
      </c>
      <c r="BJ201" s="620">
        <f t="shared" si="321"/>
        <v>1.0107779447997913</v>
      </c>
      <c r="BK201" s="620">
        <f t="shared" si="322"/>
        <v>1.013913667213526</v>
      </c>
      <c r="BL201" s="620">
        <f t="shared" si="323"/>
        <v>1.0161989271743528</v>
      </c>
      <c r="BM201" s="621" t="str">
        <f t="shared" si="324"/>
        <v>Project</v>
      </c>
    </row>
    <row r="202" spans="1:65" x14ac:dyDescent="0.15">
      <c r="A202" s="12" t="s">
        <v>418</v>
      </c>
      <c r="B202" s="13" t="s">
        <v>419</v>
      </c>
      <c r="C202" s="13" t="s">
        <v>27</v>
      </c>
      <c r="D202" s="13" t="s">
        <v>36</v>
      </c>
      <c r="E202" s="13" t="s">
        <v>112</v>
      </c>
      <c r="F202" s="14">
        <v>0</v>
      </c>
      <c r="G202" s="14">
        <v>0</v>
      </c>
      <c r="H202" s="14">
        <v>0</v>
      </c>
      <c r="I202" s="14">
        <v>0</v>
      </c>
      <c r="J202" s="14">
        <v>0</v>
      </c>
      <c r="K202" s="14">
        <v>0</v>
      </c>
      <c r="L202" s="14">
        <v>0</v>
      </c>
      <c r="M202" s="15">
        <v>0</v>
      </c>
      <c r="N202" s="804"/>
      <c r="O202" s="14"/>
      <c r="P202" s="15"/>
      <c r="Q202" s="16" t="str">
        <f>IF(ISTEXT('Incurred 2.5% cpi'!Q202),"",'Incurred 2.5% cpi'!Q202/'Incurred 2.5% cpi'!Q$14*Incurred!Q$14)</f>
        <v/>
      </c>
      <c r="R202" s="127" t="str">
        <f>IF(ISTEXT('Incurred 2.5% cpi'!R202),"",'Incurred 2.5% cpi'!R202/'Incurred 2.5% cpi'!R$14*Incurred!R$14*BF202)</f>
        <v/>
      </c>
      <c r="S202" s="119" t="str">
        <f>IF(ISTEXT('Incurred 2.5% cpi'!S202),"",'Incurred 2.5% cpi'!S202/'Incurred 2.5% cpi'!S$14*Incurred!S$14*BG202)</f>
        <v/>
      </c>
      <c r="T202" s="16" t="str">
        <f>IF(ISTEXT('Incurred 2.5% cpi'!T202),"",'Incurred 2.5% cpi'!T202/'Incurred 2.5% cpi'!T$14*Incurred!T$14*BH202)</f>
        <v/>
      </c>
      <c r="U202" s="16">
        <f>IF(ISTEXT('Incurred 2.5% cpi'!U202),"",'Incurred 2.5% cpi'!U202/'Incurred 2.5% cpi'!U$14*Incurred!U$14*BI202)</f>
        <v>275834.51491327636</v>
      </c>
      <c r="V202" s="16" t="str">
        <f>IF(ISTEXT('Incurred 2.5% cpi'!V202),"",'Incurred 2.5% cpi'!V202/'Incurred 2.5% cpi'!V$14*Incurred!V$14*BJ202)</f>
        <v/>
      </c>
      <c r="W202" s="127" t="str">
        <f>IF(ISTEXT('Incurred 2.5% cpi'!W202),"",'Incurred 2.5% cpi'!W202/'Incurred 2.5% cpi'!W$14*Incurred!W$14*BK202)</f>
        <v/>
      </c>
      <c r="X202" s="119" t="str">
        <f>IF(ISTEXT('Incurred 2.5% cpi'!X202),"",'Incurred 2.5% cpi'!X202/'Incurred 2.5% cpi'!X$14*Incurred!X$14*BL202)</f>
        <v/>
      </c>
      <c r="Y202" s="95">
        <f t="shared" si="345"/>
        <v>275834.51491327636</v>
      </c>
      <c r="Z202" s="95">
        <f t="shared" si="310"/>
        <v>275834.51491327636</v>
      </c>
      <c r="AA202" s="676">
        <f t="shared" si="311"/>
        <v>286809.44341775216</v>
      </c>
      <c r="AB202" s="676">
        <f t="shared" si="312"/>
        <v>275834.51491327636</v>
      </c>
      <c r="AC202" s="677">
        <f t="shared" si="331"/>
        <v>1.0397880900000001</v>
      </c>
      <c r="AD202" s="678" t="str">
        <f t="shared" si="325"/>
        <v>2021</v>
      </c>
      <c r="AE202" s="679">
        <v>44229</v>
      </c>
      <c r="AF202" s="678">
        <v>2021</v>
      </c>
      <c r="AG202" s="680"/>
      <c r="AH202" s="676">
        <f t="shared" si="341"/>
        <v>260154.5046265219</v>
      </c>
      <c r="AI202" s="95">
        <f t="shared" si="313"/>
        <v>275834.51491327636</v>
      </c>
      <c r="AJ202" s="681" t="s">
        <v>3058</v>
      </c>
      <c r="AK202" s="37">
        <f t="shared" si="314"/>
        <v>217000</v>
      </c>
      <c r="AL202" s="31">
        <f t="shared" ref="AL202:AU202" si="347">IF($AK202=0,VLOOKUP(MID($A202,4,5),ProjectSplits,AL$20,FALSE),IF(ISNA(VLOOKUP($A202,Estimates,AL$19,FALSE)),VLOOKUP(MID($A202,4,5),ProjectSplits,AL$20,FALSE),VLOOKUP($A202,Estimates,AL$19,FALSE)))</f>
        <v>0</v>
      </c>
      <c r="AM202" s="31">
        <f t="shared" si="347"/>
        <v>0</v>
      </c>
      <c r="AN202" s="31">
        <f t="shared" si="347"/>
        <v>0</v>
      </c>
      <c r="AO202" s="31">
        <f t="shared" si="347"/>
        <v>0</v>
      </c>
      <c r="AP202" s="31">
        <f t="shared" si="347"/>
        <v>0</v>
      </c>
      <c r="AQ202" s="31">
        <f t="shared" si="347"/>
        <v>0</v>
      </c>
      <c r="AR202" s="31">
        <f t="shared" si="347"/>
        <v>0</v>
      </c>
      <c r="AS202" s="31">
        <f t="shared" si="347"/>
        <v>1</v>
      </c>
      <c r="AT202" s="31">
        <f t="shared" si="347"/>
        <v>0</v>
      </c>
      <c r="AU202" s="31">
        <f t="shared" si="347"/>
        <v>0</v>
      </c>
      <c r="AV202" s="31">
        <f t="shared" ref="AV202:BD202" si="348">IF($AK202=0,VLOOKUP(MID($A202,4,5),ProjectSplits,AV$20,FALSE),IF(ISNA(VLOOKUP($A202,Estimates,AV$19,FALSE)),VLOOKUP(MID($A202,4,5),ProjectSplits,AV$20,FALSE),VLOOKUP($A202,Estimates,AV$19,FALSE)))</f>
        <v>0</v>
      </c>
      <c r="AW202" s="31">
        <f t="shared" si="348"/>
        <v>0</v>
      </c>
      <c r="AX202" s="31">
        <f t="shared" si="348"/>
        <v>0</v>
      </c>
      <c r="AY202" s="31">
        <f t="shared" si="348"/>
        <v>0</v>
      </c>
      <c r="AZ202" s="31">
        <f t="shared" si="348"/>
        <v>0</v>
      </c>
      <c r="BA202" s="31">
        <f t="shared" si="348"/>
        <v>0</v>
      </c>
      <c r="BB202" s="31">
        <f t="shared" si="348"/>
        <v>0</v>
      </c>
      <c r="BC202" s="31">
        <f t="shared" si="348"/>
        <v>0</v>
      </c>
      <c r="BD202" s="31">
        <f t="shared" si="348"/>
        <v>0</v>
      </c>
      <c r="BE202" s="30">
        <f t="shared" ref="BE202" si="349">SUM(AL202:BD202)</f>
        <v>1</v>
      </c>
      <c r="BF202" s="620">
        <f t="shared" si="335"/>
        <v>1.000745054832479</v>
      </c>
      <c r="BG202" s="620">
        <f t="shared" si="318"/>
        <v>1.0014949525213692</v>
      </c>
      <c r="BH202" s="620">
        <f t="shared" si="319"/>
        <v>1.0023658433181399</v>
      </c>
      <c r="BI202" s="620">
        <f t="shared" si="320"/>
        <v>1.0034187502914356</v>
      </c>
      <c r="BJ202" s="620">
        <f t="shared" si="321"/>
        <v>1.0047172185688367</v>
      </c>
      <c r="BK202" s="620">
        <f t="shared" si="322"/>
        <v>1.0060896405167643</v>
      </c>
      <c r="BL202" s="620">
        <f t="shared" si="323"/>
        <v>1.0070898377642061</v>
      </c>
      <c r="BM202" s="621" t="str">
        <f t="shared" si="324"/>
        <v>Project</v>
      </c>
    </row>
    <row r="203" spans="1:65" x14ac:dyDescent="0.15">
      <c r="A203" s="12" t="s">
        <v>420</v>
      </c>
      <c r="B203" s="13" t="s">
        <v>421</v>
      </c>
      <c r="C203" s="13" t="s">
        <v>27</v>
      </c>
      <c r="D203" s="13" t="s">
        <v>40</v>
      </c>
      <c r="E203" s="13" t="s">
        <v>112</v>
      </c>
      <c r="F203" s="14">
        <v>0</v>
      </c>
      <c r="G203" s="14">
        <v>0</v>
      </c>
      <c r="H203" s="14">
        <v>0</v>
      </c>
      <c r="I203" s="14">
        <v>0</v>
      </c>
      <c r="J203" s="14">
        <v>0</v>
      </c>
      <c r="K203" s="14">
        <v>0</v>
      </c>
      <c r="L203" s="14">
        <v>0</v>
      </c>
      <c r="M203" s="15">
        <v>0</v>
      </c>
      <c r="N203" s="804"/>
      <c r="O203" s="14"/>
      <c r="P203" s="15"/>
      <c r="Q203" s="16" t="str">
        <f>IF(ISTEXT('Incurred 2.5% cpi'!Q203),"",'Incurred 2.5% cpi'!Q203/'Incurred 2.5% cpi'!Q$14*Incurred!Q$14)</f>
        <v/>
      </c>
      <c r="R203" s="127" t="str">
        <f>IF(ISTEXT('Incurred 2.5% cpi'!R203),"",'Incurred 2.5% cpi'!R203/'Incurred 2.5% cpi'!R$14*Incurred!R$14*BF203)</f>
        <v/>
      </c>
      <c r="S203" s="119">
        <f>IF(ISTEXT('Incurred 2.5% cpi'!S203),"",'Incurred 2.5% cpi'!S203/'Incurred 2.5% cpi'!S$14*Incurred!S$14*BG203)</f>
        <v>574559.73473110714</v>
      </c>
      <c r="T203" s="16">
        <f>IF(ISTEXT('Incurred 2.5% cpi'!T203),"",'Incurred 2.5% cpi'!T203/'Incurred 2.5% cpi'!T$14*Incurred!T$14*BH203)</f>
        <v>1257532.8657175845</v>
      </c>
      <c r="U203" s="16">
        <f>IF(ISTEXT('Incurred 2.5% cpi'!U203),"",'Incurred 2.5% cpi'!U203/'Incurred 2.5% cpi'!U$14*Incurred!U$14*BI203)</f>
        <v>2045915.6468796781</v>
      </c>
      <c r="V203" s="16">
        <f>IF(ISTEXT('Incurred 2.5% cpi'!V203),"",'Incurred 2.5% cpi'!V203/'Incurred 2.5% cpi'!V$14*Incurred!V$14*BJ203)</f>
        <v>2092816.7846464734</v>
      </c>
      <c r="W203" s="127">
        <f>IF(ISTEXT('Incurred 2.5% cpi'!W203),"",'Incurred 2.5% cpi'!W203/'Incurred 2.5% cpi'!W$14*Incurred!W$14*BK203)</f>
        <v>1299704.3866339265</v>
      </c>
      <c r="X203" s="119" t="str">
        <f>IF(ISTEXT('Incurred 2.5% cpi'!X203),"",'Incurred 2.5% cpi'!X203/'Incurred 2.5% cpi'!X$14*Incurred!X$14*BL203)</f>
        <v/>
      </c>
      <c r="Y203" s="95">
        <f t="shared" si="345"/>
        <v>7270529.4186087698</v>
      </c>
      <c r="Z203" s="95">
        <f t="shared" si="310"/>
        <v>7270529.4186087698</v>
      </c>
      <c r="AA203" s="676">
        <f t="shared" si="311"/>
        <v>7515585.749470165</v>
      </c>
      <c r="AB203" s="676">
        <f t="shared" si="312"/>
        <v>7515585.749470165</v>
      </c>
      <c r="AC203" s="677">
        <f t="shared" si="331"/>
        <v>1</v>
      </c>
      <c r="AD203" s="678" t="str">
        <f t="shared" si="325"/>
        <v>2023</v>
      </c>
      <c r="AE203" s="679">
        <v>44909</v>
      </c>
      <c r="AF203" s="678">
        <v>2023</v>
      </c>
      <c r="AG203" s="680"/>
      <c r="AH203" s="676">
        <f t="shared" si="341"/>
        <v>6817116.8436169401</v>
      </c>
      <c r="AI203" s="95">
        <f t="shared" si="313"/>
        <v>1299704.3866339265</v>
      </c>
      <c r="AJ203" s="681" t="s">
        <v>3058</v>
      </c>
      <c r="AK203" s="37">
        <f t="shared" si="314"/>
        <v>5155050.0829000007</v>
      </c>
      <c r="AL203" s="31">
        <f t="shared" ref="AL203:BD203" si="350">IF($AK203=0,VLOOKUP(MID($A203,4,5),ProjectSplits,AL$20,FALSE),IF(ISNA(VLOOKUP($A203,Estimates,AL$19,FALSE)),VLOOKUP(MID($A203,4,5),ProjectSplits,AL$20,FALSE),VLOOKUP($A203,Estimates,AL$19,FALSE)))</f>
        <v>0</v>
      </c>
      <c r="AM203" s="31">
        <f t="shared" si="350"/>
        <v>0</v>
      </c>
      <c r="AN203" s="31">
        <f t="shared" si="350"/>
        <v>1</v>
      </c>
      <c r="AO203" s="31">
        <f t="shared" si="350"/>
        <v>0</v>
      </c>
      <c r="AP203" s="31">
        <f t="shared" si="350"/>
        <v>0</v>
      </c>
      <c r="AQ203" s="31">
        <f t="shared" si="350"/>
        <v>0</v>
      </c>
      <c r="AR203" s="31">
        <f t="shared" si="350"/>
        <v>0</v>
      </c>
      <c r="AS203" s="31">
        <f t="shared" si="350"/>
        <v>0</v>
      </c>
      <c r="AT203" s="31">
        <f t="shared" si="350"/>
        <v>0</v>
      </c>
      <c r="AU203" s="31">
        <f t="shared" si="350"/>
        <v>0</v>
      </c>
      <c r="AV203" s="31">
        <f t="shared" si="350"/>
        <v>0</v>
      </c>
      <c r="AW203" s="31">
        <f t="shared" si="350"/>
        <v>0</v>
      </c>
      <c r="AX203" s="31">
        <f t="shared" si="350"/>
        <v>0</v>
      </c>
      <c r="AY203" s="31">
        <f t="shared" si="350"/>
        <v>0</v>
      </c>
      <c r="AZ203" s="31">
        <f t="shared" si="350"/>
        <v>0</v>
      </c>
      <c r="BA203" s="31">
        <f t="shared" si="350"/>
        <v>0</v>
      </c>
      <c r="BB203" s="31">
        <f t="shared" si="350"/>
        <v>0</v>
      </c>
      <c r="BC203" s="31">
        <f t="shared" si="350"/>
        <v>0</v>
      </c>
      <c r="BD203" s="31">
        <f t="shared" si="350"/>
        <v>0</v>
      </c>
      <c r="BE203" s="30">
        <f>SUM(AL203:BD203)</f>
        <v>1</v>
      </c>
      <c r="BF203" s="620">
        <f t="shared" si="335"/>
        <v>1.0012071273104262</v>
      </c>
      <c r="BG203" s="620">
        <f t="shared" si="318"/>
        <v>1.00242210094837</v>
      </c>
      <c r="BH203" s="620">
        <f t="shared" si="319"/>
        <v>1.0038331059098209</v>
      </c>
      <c r="BI203" s="620">
        <f t="shared" si="320"/>
        <v>1.0055390109082147</v>
      </c>
      <c r="BJ203" s="620">
        <f t="shared" si="321"/>
        <v>1.0076427708612339</v>
      </c>
      <c r="BK203" s="620">
        <f t="shared" si="322"/>
        <v>1.0098663495061229</v>
      </c>
      <c r="BL203" s="620">
        <f t="shared" si="323"/>
        <v>1.011486854951585</v>
      </c>
      <c r="BM203" s="621" t="str">
        <f t="shared" si="324"/>
        <v>Project</v>
      </c>
    </row>
    <row r="204" spans="1:65" x14ac:dyDescent="0.15">
      <c r="A204" s="12" t="s">
        <v>422</v>
      </c>
      <c r="B204" s="13" t="s">
        <v>423</v>
      </c>
      <c r="C204" s="13" t="s">
        <v>27</v>
      </c>
      <c r="D204" s="13" t="s">
        <v>55</v>
      </c>
      <c r="E204" s="13" t="s">
        <v>112</v>
      </c>
      <c r="F204" s="14">
        <v>0</v>
      </c>
      <c r="G204" s="14">
        <v>0</v>
      </c>
      <c r="H204" s="14">
        <v>0</v>
      </c>
      <c r="I204" s="14">
        <v>0</v>
      </c>
      <c r="J204" s="14">
        <v>0</v>
      </c>
      <c r="K204" s="14">
        <v>0</v>
      </c>
      <c r="L204" s="14">
        <v>0</v>
      </c>
      <c r="M204" s="15">
        <v>0</v>
      </c>
      <c r="N204" s="804"/>
      <c r="O204" s="14"/>
      <c r="P204" s="15"/>
      <c r="Q204" s="16" t="str">
        <f>IF(ISTEXT('Incurred 2.5% cpi'!Q204),"",'Incurred 2.5% cpi'!Q204/'Incurred 2.5% cpi'!Q$14*Incurred!Q$14)</f>
        <v/>
      </c>
      <c r="R204" s="127" t="str">
        <f>IF(ISTEXT('Incurred 2.5% cpi'!R204),"",'Incurred 2.5% cpi'!R204/'Incurred 2.5% cpi'!R$14*Incurred!R$14*BF204)</f>
        <v/>
      </c>
      <c r="S204" s="119" t="str">
        <f>IF(ISTEXT('Incurred 2.5% cpi'!S204),"",'Incurred 2.5% cpi'!S204/'Incurred 2.5% cpi'!S$14*Incurred!S$14*BG204)</f>
        <v/>
      </c>
      <c r="T204" s="16">
        <f>IF(ISTEXT('Incurred 2.5% cpi'!T204),"",'Incurred 2.5% cpi'!T204/'Incurred 2.5% cpi'!T$14*Incurred!T$14*BH204)</f>
        <v>32731.156056676351</v>
      </c>
      <c r="U204" s="16">
        <f>IF(ISTEXT('Incurred 2.5% cpi'!U204),"",'Incurred 2.5% cpi'!U204/'Incurred 2.5% cpi'!U$14*Incurred!U$14*BI204)</f>
        <v>836578.70660189958</v>
      </c>
      <c r="V204" s="16">
        <f>IF(ISTEXT('Incurred 2.5% cpi'!V204),"",'Incurred 2.5% cpi'!V204/'Incurred 2.5% cpi'!V$14*Incurred!V$14*BJ204)</f>
        <v>940834.91206564638</v>
      </c>
      <c r="W204" s="127">
        <f>IF(ISTEXT('Incurred 2.5% cpi'!W204),"",'Incurred 2.5% cpi'!W204/'Incurred 2.5% cpi'!W$14*Incurred!W$14*BK204)</f>
        <v>279166.39601340285</v>
      </c>
      <c r="X204" s="119" t="str">
        <f>IF(ISTEXT('Incurred 2.5% cpi'!X204),"",'Incurred 2.5% cpi'!X204/'Incurred 2.5% cpi'!X$14*Incurred!X$14*BL204)</f>
        <v/>
      </c>
      <c r="Y204" s="95">
        <f t="shared" si="345"/>
        <v>2089311.1707376251</v>
      </c>
      <c r="Z204" s="95">
        <f t="shared" si="310"/>
        <v>2089311.1707376251</v>
      </c>
      <c r="AA204" s="676">
        <f t="shared" si="311"/>
        <v>2143104.2568435869</v>
      </c>
      <c r="AB204" s="676">
        <f t="shared" si="312"/>
        <v>2143104.2568435869</v>
      </c>
      <c r="AC204" s="677">
        <f t="shared" si="331"/>
        <v>1</v>
      </c>
      <c r="AD204" s="678" t="str">
        <f t="shared" si="325"/>
        <v>2023</v>
      </c>
      <c r="AE204" s="679">
        <v>44776</v>
      </c>
      <c r="AF204" s="678">
        <v>2023</v>
      </c>
      <c r="AG204" s="680"/>
      <c r="AH204" s="676">
        <f t="shared" si="341"/>
        <v>1943932.5974007472</v>
      </c>
      <c r="AI204" s="95">
        <f t="shared" si="313"/>
        <v>279166.39601340285</v>
      </c>
      <c r="AJ204" s="681" t="s">
        <v>3058</v>
      </c>
      <c r="AK204" s="37">
        <f t="shared" si="314"/>
        <v>180000.00000000015</v>
      </c>
      <c r="AL204" s="31">
        <f t="shared" ref="AL204:AU206" si="351">IF($AK204=0,VLOOKUP(MID($A204,4,5),ProjectSplits,AL$20,FALSE),IF(ISNA(VLOOKUP($A204,Estimates,AL$19,FALSE)),VLOOKUP(MID($A204,4,5),ProjectSplits,AL$20,FALSE),VLOOKUP($A204,Estimates,AL$19,FALSE)))</f>
        <v>0</v>
      </c>
      <c r="AM204" s="31">
        <f t="shared" si="351"/>
        <v>0</v>
      </c>
      <c r="AN204" s="31">
        <f t="shared" si="351"/>
        <v>0</v>
      </c>
      <c r="AO204" s="31">
        <f t="shared" si="351"/>
        <v>1</v>
      </c>
      <c r="AP204" s="31">
        <f t="shared" si="351"/>
        <v>0</v>
      </c>
      <c r="AQ204" s="31">
        <f t="shared" si="351"/>
        <v>0</v>
      </c>
      <c r="AR204" s="31">
        <f t="shared" si="351"/>
        <v>0</v>
      </c>
      <c r="AS204" s="31">
        <f t="shared" si="351"/>
        <v>0</v>
      </c>
      <c r="AT204" s="31">
        <f t="shared" si="351"/>
        <v>0</v>
      </c>
      <c r="AU204" s="31">
        <f t="shared" si="351"/>
        <v>0</v>
      </c>
      <c r="AV204" s="31">
        <f t="shared" ref="AV204:BD206" si="352">IF($AK204=0,VLOOKUP(MID($A204,4,5),ProjectSplits,AV$20,FALSE),IF(ISNA(VLOOKUP($A204,Estimates,AV$19,FALSE)),VLOOKUP(MID($A204,4,5),ProjectSplits,AV$20,FALSE),VLOOKUP($A204,Estimates,AV$19,FALSE)))</f>
        <v>0</v>
      </c>
      <c r="AW204" s="31">
        <f t="shared" si="352"/>
        <v>0</v>
      </c>
      <c r="AX204" s="31">
        <f t="shared" si="352"/>
        <v>0</v>
      </c>
      <c r="AY204" s="31">
        <f t="shared" si="352"/>
        <v>0</v>
      </c>
      <c r="AZ204" s="31">
        <f t="shared" si="352"/>
        <v>0</v>
      </c>
      <c r="BA204" s="31">
        <f t="shared" si="352"/>
        <v>0</v>
      </c>
      <c r="BB204" s="31">
        <f t="shared" si="352"/>
        <v>0</v>
      </c>
      <c r="BC204" s="31">
        <f t="shared" si="352"/>
        <v>0</v>
      </c>
      <c r="BD204" s="31">
        <f t="shared" si="352"/>
        <v>0</v>
      </c>
      <c r="BE204" s="30">
        <f t="shared" ref="BE204:BE206" si="353">SUM(AL204:BD204)</f>
        <v>1</v>
      </c>
      <c r="BF204" s="620">
        <f t="shared" si="335"/>
        <v>1.0053374039268514</v>
      </c>
      <c r="BG204" s="620">
        <f t="shared" si="318"/>
        <v>1.0107095009792275</v>
      </c>
      <c r="BH204" s="620">
        <f t="shared" si="319"/>
        <v>1.0169483652290929</v>
      </c>
      <c r="BI204" s="620">
        <f t="shared" si="320"/>
        <v>1.0244911521071798</v>
      </c>
      <c r="BJ204" s="620">
        <f t="shared" si="321"/>
        <v>1.033793084502723</v>
      </c>
      <c r="BK204" s="620">
        <f t="shared" si="322"/>
        <v>1.0436248042297034</v>
      </c>
      <c r="BL204" s="620">
        <f t="shared" si="323"/>
        <v>1.0507899905802964</v>
      </c>
      <c r="BM204" s="621" t="str">
        <f t="shared" si="324"/>
        <v>Project</v>
      </c>
    </row>
    <row r="205" spans="1:65" x14ac:dyDescent="0.15">
      <c r="A205" s="12" t="s">
        <v>424</v>
      </c>
      <c r="B205" s="13" t="s">
        <v>425</v>
      </c>
      <c r="C205" s="13" t="s">
        <v>27</v>
      </c>
      <c r="D205" s="13" t="s">
        <v>36</v>
      </c>
      <c r="E205" s="13" t="s">
        <v>112</v>
      </c>
      <c r="F205" s="14">
        <v>0</v>
      </c>
      <c r="G205" s="14">
        <v>0</v>
      </c>
      <c r="H205" s="14">
        <v>0</v>
      </c>
      <c r="I205" s="14">
        <v>0</v>
      </c>
      <c r="J205" s="14">
        <v>0</v>
      </c>
      <c r="K205" s="14">
        <v>0</v>
      </c>
      <c r="L205" s="14">
        <v>0</v>
      </c>
      <c r="M205" s="15">
        <v>0</v>
      </c>
      <c r="N205" s="804"/>
      <c r="O205" s="14"/>
      <c r="P205" s="15"/>
      <c r="Q205" s="16" t="str">
        <f>IF(ISTEXT('Incurred 2.5% cpi'!Q205),"",'Incurred 2.5% cpi'!Q205/'Incurred 2.5% cpi'!Q$14*Incurred!Q$14)</f>
        <v/>
      </c>
      <c r="R205" s="127" t="str">
        <f>IF(ISTEXT('Incurred 2.5% cpi'!R205),"",'Incurred 2.5% cpi'!R205/'Incurred 2.5% cpi'!R$14*Incurred!R$14*BF205)</f>
        <v/>
      </c>
      <c r="S205" s="119" t="str">
        <f>IF(ISTEXT('Incurred 2.5% cpi'!S205),"",'Incurred 2.5% cpi'!S205/'Incurred 2.5% cpi'!S$14*Incurred!S$14*BG205)</f>
        <v/>
      </c>
      <c r="T205" s="16" t="str">
        <f>IF(ISTEXT('Incurred 2.5% cpi'!T205),"",'Incurred 2.5% cpi'!T205/'Incurred 2.5% cpi'!T$14*Incurred!T$14*BH205)</f>
        <v/>
      </c>
      <c r="U205" s="16" t="str">
        <f>IF(ISTEXT('Incurred 2.5% cpi'!U205),"",'Incurred 2.5% cpi'!U205/'Incurred 2.5% cpi'!U$14*Incurred!U$14*BI205)</f>
        <v/>
      </c>
      <c r="V205" s="16">
        <f>IF(ISTEXT('Incurred 2.5% cpi'!V205),"",'Incurred 2.5% cpi'!V205/'Incurred 2.5% cpi'!V$14*Incurred!V$14*BJ205)</f>
        <v>376020.49735432776</v>
      </c>
      <c r="W205" s="127" t="str">
        <f>IF(ISTEXT('Incurred 2.5% cpi'!W205),"",'Incurred 2.5% cpi'!W205/'Incurred 2.5% cpi'!W$14*Incurred!W$14*BK205)</f>
        <v/>
      </c>
      <c r="X205" s="119" t="str">
        <f>IF(ISTEXT('Incurred 2.5% cpi'!X205),"",'Incurred 2.5% cpi'!X205/'Incurred 2.5% cpi'!X$14*Incurred!X$14*BL205)</f>
        <v/>
      </c>
      <c r="Y205" s="95">
        <f t="shared" si="345"/>
        <v>376020.49735432776</v>
      </c>
      <c r="Z205" s="95">
        <f t="shared" si="310"/>
        <v>376020.49735432776</v>
      </c>
      <c r="AA205" s="676">
        <f t="shared" si="311"/>
        <v>383428.10115220805</v>
      </c>
      <c r="AB205" s="676">
        <f t="shared" si="312"/>
        <v>376020.49735432776</v>
      </c>
      <c r="AC205" s="677">
        <f t="shared" si="331"/>
        <v>1.0197000000000001</v>
      </c>
      <c r="AD205" s="678" t="str">
        <f t="shared" si="325"/>
        <v>2022</v>
      </c>
      <c r="AE205" s="679">
        <v>44564</v>
      </c>
      <c r="AF205" s="678">
        <v>2022</v>
      </c>
      <c r="AG205" s="680"/>
      <c r="AH205" s="676">
        <f t="shared" si="341"/>
        <v>347793.8052752642</v>
      </c>
      <c r="AI205" s="95">
        <f t="shared" si="313"/>
        <v>376020.49735432776</v>
      </c>
      <c r="AJ205" s="681" t="s">
        <v>3058</v>
      </c>
      <c r="AK205" s="37">
        <f t="shared" si="314"/>
        <v>244999.99999999997</v>
      </c>
      <c r="AL205" s="31">
        <f t="shared" si="351"/>
        <v>1</v>
      </c>
      <c r="AM205" s="31">
        <f t="shared" si="351"/>
        <v>0</v>
      </c>
      <c r="AN205" s="31">
        <f t="shared" si="351"/>
        <v>0</v>
      </c>
      <c r="AO205" s="31">
        <f t="shared" si="351"/>
        <v>0</v>
      </c>
      <c r="AP205" s="31">
        <f t="shared" si="351"/>
        <v>0</v>
      </c>
      <c r="AQ205" s="31">
        <f t="shared" si="351"/>
        <v>0</v>
      </c>
      <c r="AR205" s="31">
        <f t="shared" si="351"/>
        <v>0</v>
      </c>
      <c r="AS205" s="31">
        <f t="shared" si="351"/>
        <v>0</v>
      </c>
      <c r="AT205" s="31">
        <f t="shared" si="351"/>
        <v>0</v>
      </c>
      <c r="AU205" s="31">
        <f t="shared" si="351"/>
        <v>0</v>
      </c>
      <c r="AV205" s="31">
        <f t="shared" si="352"/>
        <v>0</v>
      </c>
      <c r="AW205" s="31">
        <f t="shared" si="352"/>
        <v>0</v>
      </c>
      <c r="AX205" s="31">
        <f t="shared" si="352"/>
        <v>0</v>
      </c>
      <c r="AY205" s="31">
        <f t="shared" si="352"/>
        <v>0</v>
      </c>
      <c r="AZ205" s="31">
        <f t="shared" si="352"/>
        <v>0</v>
      </c>
      <c r="BA205" s="31">
        <f t="shared" si="352"/>
        <v>0</v>
      </c>
      <c r="BB205" s="31">
        <f t="shared" si="352"/>
        <v>0</v>
      </c>
      <c r="BC205" s="31">
        <f t="shared" si="352"/>
        <v>0</v>
      </c>
      <c r="BD205" s="31">
        <f t="shared" si="352"/>
        <v>0</v>
      </c>
      <c r="BE205" s="30">
        <f t="shared" si="353"/>
        <v>1</v>
      </c>
      <c r="BF205" s="620">
        <f t="shared" si="335"/>
        <v>1.0016515807987929</v>
      </c>
      <c r="BG205" s="620">
        <f t="shared" si="318"/>
        <v>1.0033138968727779</v>
      </c>
      <c r="BH205" s="620">
        <f t="shared" si="319"/>
        <v>1.005244421251777</v>
      </c>
      <c r="BI205" s="620">
        <f t="shared" si="320"/>
        <v>1.007578425225987</v>
      </c>
      <c r="BJ205" s="620">
        <f t="shared" si="321"/>
        <v>1.0104567707937377</v>
      </c>
      <c r="BK205" s="620">
        <f t="shared" si="322"/>
        <v>1.0134990512249606</v>
      </c>
      <c r="BL205" s="620">
        <f t="shared" si="323"/>
        <v>1.0157162122940111</v>
      </c>
      <c r="BM205" s="621" t="str">
        <f t="shared" si="324"/>
        <v>Project</v>
      </c>
    </row>
    <row r="206" spans="1:65" x14ac:dyDescent="0.15">
      <c r="A206" s="12" t="s">
        <v>426</v>
      </c>
      <c r="B206" s="13" t="s">
        <v>427</v>
      </c>
      <c r="C206" s="13" t="s">
        <v>27</v>
      </c>
      <c r="D206" s="13" t="s">
        <v>36</v>
      </c>
      <c r="E206" s="13" t="s">
        <v>112</v>
      </c>
      <c r="F206" s="14">
        <v>0</v>
      </c>
      <c r="G206" s="14">
        <v>0</v>
      </c>
      <c r="H206" s="14">
        <v>0</v>
      </c>
      <c r="I206" s="14">
        <v>0</v>
      </c>
      <c r="J206" s="14">
        <v>0</v>
      </c>
      <c r="K206" s="14">
        <v>0</v>
      </c>
      <c r="L206" s="14">
        <v>0</v>
      </c>
      <c r="M206" s="15">
        <v>0</v>
      </c>
      <c r="N206" s="804"/>
      <c r="O206" s="14"/>
      <c r="P206" s="15"/>
      <c r="Q206" s="16" t="str">
        <f>IF(ISTEXT('Incurred 2.5% cpi'!Q206),"",'Incurred 2.5% cpi'!Q206/'Incurred 2.5% cpi'!Q$14*Incurred!Q$14)</f>
        <v/>
      </c>
      <c r="R206" s="127" t="str">
        <f>IF(ISTEXT('Incurred 2.5% cpi'!R206),"",'Incurred 2.5% cpi'!R206/'Incurred 2.5% cpi'!R$14*Incurred!R$14*BF206)</f>
        <v/>
      </c>
      <c r="S206" s="119" t="str">
        <f>IF(ISTEXT('Incurred 2.5% cpi'!S206),"",'Incurred 2.5% cpi'!S206/'Incurred 2.5% cpi'!S$14*Incurred!S$14*BG206)</f>
        <v/>
      </c>
      <c r="T206" s="16" t="str">
        <f>IF(ISTEXT('Incurred 2.5% cpi'!T206),"",'Incurred 2.5% cpi'!T206/'Incurred 2.5% cpi'!T$14*Incurred!T$14*BH206)</f>
        <v/>
      </c>
      <c r="U206" s="16" t="str">
        <f>IF(ISTEXT('Incurred 2.5% cpi'!U206),"",'Incurred 2.5% cpi'!U206/'Incurred 2.5% cpi'!U$14*Incurred!U$14*BI206)</f>
        <v/>
      </c>
      <c r="V206" s="16">
        <f>IF(ISTEXT('Incurred 2.5% cpi'!V206),"",'Incurred 2.5% cpi'!V206/'Incurred 2.5% cpi'!V$14*Incurred!V$14*BJ206)</f>
        <v>392543.71899012552</v>
      </c>
      <c r="W206" s="127" t="str">
        <f>IF(ISTEXT('Incurred 2.5% cpi'!W206),"",'Incurred 2.5% cpi'!W206/'Incurred 2.5% cpi'!W$14*Incurred!W$14*BK206)</f>
        <v/>
      </c>
      <c r="X206" s="119" t="str">
        <f>IF(ISTEXT('Incurred 2.5% cpi'!X206),"",'Incurred 2.5% cpi'!X206/'Incurred 2.5% cpi'!X$14*Incurred!X$14*BL206)</f>
        <v/>
      </c>
      <c r="Y206" s="95">
        <f t="shared" si="345"/>
        <v>392543.71899012552</v>
      </c>
      <c r="Z206" s="95">
        <f t="shared" si="310"/>
        <v>392543.71899012552</v>
      </c>
      <c r="AA206" s="676">
        <f t="shared" si="311"/>
        <v>400276.830254231</v>
      </c>
      <c r="AB206" s="676">
        <f t="shared" si="312"/>
        <v>392543.71899012552</v>
      </c>
      <c r="AC206" s="677">
        <f t="shared" si="331"/>
        <v>1.0197000000000001</v>
      </c>
      <c r="AD206" s="678" t="str">
        <f t="shared" si="325"/>
        <v>2022</v>
      </c>
      <c r="AE206" s="679">
        <v>44565</v>
      </c>
      <c r="AF206" s="678">
        <v>2022</v>
      </c>
      <c r="AG206" s="680"/>
      <c r="AH206" s="676">
        <f t="shared" si="341"/>
        <v>363076.67992851889</v>
      </c>
      <c r="AI206" s="95">
        <f t="shared" si="313"/>
        <v>392543.71899012552</v>
      </c>
      <c r="AJ206" s="681" t="s">
        <v>3058</v>
      </c>
      <c r="AK206" s="37">
        <f t="shared" si="314"/>
        <v>255999.99999999994</v>
      </c>
      <c r="AL206" s="31">
        <f t="shared" si="351"/>
        <v>0.76171875000000011</v>
      </c>
      <c r="AM206" s="31">
        <f t="shared" si="351"/>
        <v>0</v>
      </c>
      <c r="AN206" s="31">
        <f t="shared" si="351"/>
        <v>0</v>
      </c>
      <c r="AO206" s="31">
        <f t="shared" si="351"/>
        <v>0</v>
      </c>
      <c r="AP206" s="31">
        <f t="shared" si="351"/>
        <v>0</v>
      </c>
      <c r="AQ206" s="31">
        <f t="shared" si="351"/>
        <v>0</v>
      </c>
      <c r="AR206" s="31">
        <f t="shared" si="351"/>
        <v>0</v>
      </c>
      <c r="AS206" s="31">
        <f t="shared" si="351"/>
        <v>0.23828125</v>
      </c>
      <c r="AT206" s="31">
        <f t="shared" si="351"/>
        <v>0</v>
      </c>
      <c r="AU206" s="31">
        <f t="shared" si="351"/>
        <v>0</v>
      </c>
      <c r="AV206" s="31">
        <f t="shared" si="352"/>
        <v>0</v>
      </c>
      <c r="AW206" s="31">
        <f t="shared" si="352"/>
        <v>0</v>
      </c>
      <c r="AX206" s="31">
        <f t="shared" si="352"/>
        <v>0</v>
      </c>
      <c r="AY206" s="31">
        <f t="shared" si="352"/>
        <v>0</v>
      </c>
      <c r="AZ206" s="31">
        <f t="shared" si="352"/>
        <v>0</v>
      </c>
      <c r="BA206" s="31">
        <f t="shared" si="352"/>
        <v>0</v>
      </c>
      <c r="BB206" s="31">
        <f t="shared" si="352"/>
        <v>0</v>
      </c>
      <c r="BC206" s="31">
        <f t="shared" si="352"/>
        <v>0</v>
      </c>
      <c r="BD206" s="31">
        <f t="shared" si="352"/>
        <v>0</v>
      </c>
      <c r="BE206" s="30">
        <f t="shared" si="353"/>
        <v>1</v>
      </c>
      <c r="BF206" s="620">
        <f t="shared" si="335"/>
        <v>1.0021743515463577</v>
      </c>
      <c r="BG206" s="620">
        <f t="shared" si="318"/>
        <v>1.0043628363777666</v>
      </c>
      <c r="BH206" s="620">
        <f t="shared" si="319"/>
        <v>1.0069044248194738</v>
      </c>
      <c r="BI206" s="620">
        <f t="shared" si="320"/>
        <v>1.0099772052454981</v>
      </c>
      <c r="BJ206" s="620">
        <f t="shared" si="321"/>
        <v>1.0137666263508807</v>
      </c>
      <c r="BK206" s="620">
        <f t="shared" si="322"/>
        <v>1.0177718722128564</v>
      </c>
      <c r="BL206" s="620">
        <f t="shared" si="323"/>
        <v>1.0206908257406142</v>
      </c>
      <c r="BM206" s="621" t="str">
        <f t="shared" si="324"/>
        <v>Project</v>
      </c>
    </row>
    <row r="207" spans="1:65" x14ac:dyDescent="0.15">
      <c r="A207" s="12" t="s">
        <v>428</v>
      </c>
      <c r="B207" s="13" t="s">
        <v>429</v>
      </c>
      <c r="C207" s="13" t="s">
        <v>27</v>
      </c>
      <c r="D207" s="13" t="s">
        <v>36</v>
      </c>
      <c r="E207" s="13" t="s">
        <v>112</v>
      </c>
      <c r="F207" s="14">
        <v>0</v>
      </c>
      <c r="G207" s="14">
        <v>0</v>
      </c>
      <c r="H207" s="14">
        <v>0</v>
      </c>
      <c r="I207" s="14">
        <v>0</v>
      </c>
      <c r="J207" s="14">
        <v>0</v>
      </c>
      <c r="K207" s="14">
        <v>0</v>
      </c>
      <c r="L207" s="14">
        <v>0</v>
      </c>
      <c r="M207" s="15">
        <v>0</v>
      </c>
      <c r="N207" s="804"/>
      <c r="O207" s="14"/>
      <c r="P207" s="15"/>
      <c r="Q207" s="16" t="str">
        <f>IF(ISTEXT('Incurred 2.5% cpi'!Q207),"",'Incurred 2.5% cpi'!Q207/'Incurred 2.5% cpi'!Q$14*Incurred!Q$14)</f>
        <v/>
      </c>
      <c r="R207" s="127" t="str">
        <f>IF(ISTEXT('Incurred 2.5% cpi'!R207),"",'Incurred 2.5% cpi'!R207/'Incurred 2.5% cpi'!R$14*Incurred!R$14*BF207)</f>
        <v/>
      </c>
      <c r="S207" s="119" t="str">
        <f>IF(ISTEXT('Incurred 2.5% cpi'!S207),"",'Incurred 2.5% cpi'!S207/'Incurred 2.5% cpi'!S$14*Incurred!S$14*BG207)</f>
        <v/>
      </c>
      <c r="T207" s="16" t="str">
        <f>IF(ISTEXT('Incurred 2.5% cpi'!T207),"",'Incurred 2.5% cpi'!T207/'Incurred 2.5% cpi'!T$14*Incurred!T$14*BH207)</f>
        <v/>
      </c>
      <c r="U207" s="16" t="str">
        <f>IF(ISTEXT('Incurred 2.5% cpi'!U207),"",'Incurred 2.5% cpi'!U207/'Incurred 2.5% cpi'!U$14*Incurred!U$14*BI207)</f>
        <v/>
      </c>
      <c r="V207" s="16">
        <f>IF(ISTEXT('Incurred 2.5% cpi'!V207),"",'Incurred 2.5% cpi'!V207/'Incurred 2.5% cpi'!V$14*Incurred!V$14*BJ207)</f>
        <v>264679.03510183276</v>
      </c>
      <c r="W207" s="127" t="str">
        <f>IF(ISTEXT('Incurred 2.5% cpi'!W207),"",'Incurred 2.5% cpi'!W207/'Incurred 2.5% cpi'!W$14*Incurred!W$14*BK207)</f>
        <v/>
      </c>
      <c r="X207" s="119" t="str">
        <f>IF(ISTEXT('Incurred 2.5% cpi'!X207),"",'Incurred 2.5% cpi'!X207/'Incurred 2.5% cpi'!X$14*Incurred!X$14*BL207)</f>
        <v/>
      </c>
      <c r="Y207" s="95">
        <f t="shared" si="345"/>
        <v>264679.03510183276</v>
      </c>
      <c r="Z207" s="95">
        <f t="shared" si="310"/>
        <v>264679.03510183276</v>
      </c>
      <c r="AA207" s="676">
        <f t="shared" ref="AA207:AA220" si="354">IF(ROUND(Y207,0)=0,0,SUMPRODUCT($F$17:$W$17,F207:W207))</f>
        <v>269893.21209333889</v>
      </c>
      <c r="AB207" s="676">
        <f t="shared" si="312"/>
        <v>264679.03510183276</v>
      </c>
      <c r="AC207" s="677">
        <f t="shared" si="331"/>
        <v>1.0197000000000001</v>
      </c>
      <c r="AD207" s="678" t="str">
        <f t="shared" si="325"/>
        <v>2022</v>
      </c>
      <c r="AE207" s="679">
        <v>44564</v>
      </c>
      <c r="AF207" s="678">
        <v>2022</v>
      </c>
      <c r="AG207" s="680"/>
      <c r="AH207" s="676">
        <f t="shared" si="341"/>
        <v>244810.40114126683</v>
      </c>
      <c r="AI207" s="95">
        <f t="shared" si="313"/>
        <v>264679.03510183276</v>
      </c>
      <c r="AJ207" s="681" t="s">
        <v>3058</v>
      </c>
      <c r="AK207" s="37">
        <f t="shared" si="314"/>
        <v>203999.99999999994</v>
      </c>
      <c r="AL207" s="31">
        <f t="shared" ref="AL207:AU210" si="355">IF($AK207=0,VLOOKUP(MID($A207,4,5),ProjectSplits,AL$20,FALSE),IF(ISNA(VLOOKUP($A207,Estimates,AL$19,FALSE)),VLOOKUP(MID($A207,4,5),ProjectSplits,AL$20,FALSE),VLOOKUP($A207,Estimates,AL$19,FALSE)))</f>
        <v>0</v>
      </c>
      <c r="AM207" s="31">
        <f t="shared" si="355"/>
        <v>0</v>
      </c>
      <c r="AN207" s="31">
        <f t="shared" si="355"/>
        <v>0</v>
      </c>
      <c r="AO207" s="31">
        <f t="shared" si="355"/>
        <v>0</v>
      </c>
      <c r="AP207" s="31">
        <f t="shared" si="355"/>
        <v>0</v>
      </c>
      <c r="AQ207" s="31">
        <f t="shared" si="355"/>
        <v>0</v>
      </c>
      <c r="AR207" s="31">
        <f t="shared" si="355"/>
        <v>0</v>
      </c>
      <c r="AS207" s="31">
        <f t="shared" si="355"/>
        <v>1</v>
      </c>
      <c r="AT207" s="31">
        <f t="shared" si="355"/>
        <v>0</v>
      </c>
      <c r="AU207" s="31">
        <f t="shared" si="355"/>
        <v>0</v>
      </c>
      <c r="AV207" s="31">
        <f t="shared" ref="AV207:BD210" si="356">IF($AK207=0,VLOOKUP(MID($A207,4,5),ProjectSplits,AV$20,FALSE),IF(ISNA(VLOOKUP($A207,Estimates,AV$19,FALSE)),VLOOKUP(MID($A207,4,5),ProjectSplits,AV$20,FALSE),VLOOKUP($A207,Estimates,AV$19,FALSE)))</f>
        <v>0</v>
      </c>
      <c r="AW207" s="31">
        <f t="shared" si="356"/>
        <v>0</v>
      </c>
      <c r="AX207" s="31">
        <f t="shared" si="356"/>
        <v>0</v>
      </c>
      <c r="AY207" s="31">
        <f t="shared" si="356"/>
        <v>0</v>
      </c>
      <c r="AZ207" s="31">
        <f t="shared" si="356"/>
        <v>0</v>
      </c>
      <c r="BA207" s="31">
        <f t="shared" si="356"/>
        <v>0</v>
      </c>
      <c r="BB207" s="31">
        <f t="shared" si="356"/>
        <v>0</v>
      </c>
      <c r="BC207" s="31">
        <f t="shared" si="356"/>
        <v>0</v>
      </c>
      <c r="BD207" s="31">
        <f t="shared" si="356"/>
        <v>0</v>
      </c>
      <c r="BE207" s="30">
        <f t="shared" ref="BE207:BE210" si="357">SUM(AL207:BD207)</f>
        <v>1</v>
      </c>
      <c r="BF207" s="620">
        <f t="shared" si="335"/>
        <v>1.000745054832479</v>
      </c>
      <c r="BG207" s="620">
        <f t="shared" si="318"/>
        <v>1.0014949525213692</v>
      </c>
      <c r="BH207" s="620">
        <f t="shared" si="319"/>
        <v>1.0023658433181399</v>
      </c>
      <c r="BI207" s="620">
        <f t="shared" si="320"/>
        <v>1.0034187502914356</v>
      </c>
      <c r="BJ207" s="620">
        <f t="shared" si="321"/>
        <v>1.0047172185688367</v>
      </c>
      <c r="BK207" s="620">
        <f t="shared" si="322"/>
        <v>1.0060896405167643</v>
      </c>
      <c r="BL207" s="620">
        <f t="shared" si="323"/>
        <v>1.0070898377642061</v>
      </c>
      <c r="BM207" s="621" t="str">
        <f t="shared" si="324"/>
        <v>Project</v>
      </c>
    </row>
    <row r="208" spans="1:65" x14ac:dyDescent="0.15">
      <c r="A208" s="12" t="s">
        <v>430</v>
      </c>
      <c r="B208" s="13" t="s">
        <v>2385</v>
      </c>
      <c r="C208" s="13" t="s">
        <v>27</v>
      </c>
      <c r="D208" s="13" t="s">
        <v>55</v>
      </c>
      <c r="E208" s="13" t="s">
        <v>112</v>
      </c>
      <c r="F208" s="14">
        <v>0</v>
      </c>
      <c r="G208" s="14">
        <v>0</v>
      </c>
      <c r="H208" s="14">
        <v>0</v>
      </c>
      <c r="I208" s="14">
        <v>0</v>
      </c>
      <c r="J208" s="14">
        <v>0</v>
      </c>
      <c r="K208" s="14">
        <v>0</v>
      </c>
      <c r="L208" s="14">
        <v>0</v>
      </c>
      <c r="M208" s="15">
        <v>0</v>
      </c>
      <c r="N208" s="804"/>
      <c r="O208" s="14"/>
      <c r="P208" s="15"/>
      <c r="Q208" s="16" t="str">
        <f>IF(ISTEXT('Incurred 2.5% cpi'!Q208),"",'Incurred 2.5% cpi'!Q208/'Incurred 2.5% cpi'!Q$14*Incurred!Q$14)</f>
        <v/>
      </c>
      <c r="R208" s="127" t="str">
        <f>IF(ISTEXT('Incurred 2.5% cpi'!R208),"",'Incurred 2.5% cpi'!R208/'Incurred 2.5% cpi'!R$14*Incurred!R$14*BF208)</f>
        <v/>
      </c>
      <c r="S208" s="119" t="str">
        <f>IF(ISTEXT('Incurred 2.5% cpi'!S208),"",'Incurred 2.5% cpi'!S208/'Incurred 2.5% cpi'!S$14*Incurred!S$14*BG208)</f>
        <v/>
      </c>
      <c r="T208" s="16" t="str">
        <f>IF(ISTEXT('Incurred 2.5% cpi'!T208),"",'Incurred 2.5% cpi'!T208/'Incurred 2.5% cpi'!T$14*Incurred!T$14*BH208)</f>
        <v/>
      </c>
      <c r="U208" s="16">
        <f>IF(ISTEXT('Incurred 2.5% cpi'!U208),"",'Incurred 2.5% cpi'!U208/'Incurred 2.5% cpi'!U$14*Incurred!U$14*BI208)</f>
        <v>715057.88036128611</v>
      </c>
      <c r="V208" s="16">
        <f>IF(ISTEXT('Incurred 2.5% cpi'!V208),"",'Incurred 2.5% cpi'!V208/'Incurred 2.5% cpi'!V$14*Incurred!V$14*BJ208)</f>
        <v>632632.46731198882</v>
      </c>
      <c r="W208" s="127">
        <f>IF(ISTEXT('Incurred 2.5% cpi'!W208),"",'Incurred 2.5% cpi'!W208/'Incurred 2.5% cpi'!W$14*Incurred!W$14*BK208)</f>
        <v>28775.254788470051</v>
      </c>
      <c r="X208" s="119" t="str">
        <f>IF(ISTEXT('Incurred 2.5% cpi'!X208),"",'Incurred 2.5% cpi'!X208/'Incurred 2.5% cpi'!X$14*Incurred!X$14*BL208)</f>
        <v/>
      </c>
      <c r="Y208" s="95">
        <f t="shared" si="345"/>
        <v>1376465.602461745</v>
      </c>
      <c r="Z208" s="95">
        <f t="shared" si="310"/>
        <v>1376465.602461745</v>
      </c>
      <c r="AA208" s="676">
        <f t="shared" si="354"/>
        <v>1417379.2493668152</v>
      </c>
      <c r="AB208" s="676">
        <f t="shared" si="312"/>
        <v>1389996.3218268265</v>
      </c>
      <c r="AC208" s="677">
        <f t="shared" si="331"/>
        <v>1.0197000000000001</v>
      </c>
      <c r="AD208" s="678" t="str">
        <f t="shared" si="325"/>
        <v>2023</v>
      </c>
      <c r="AE208" s="679">
        <v>44657</v>
      </c>
      <c r="AF208" s="678">
        <v>2022</v>
      </c>
      <c r="AG208" s="680"/>
      <c r="AH208" s="676">
        <f t="shared" si="341"/>
        <v>1285653.6106095039</v>
      </c>
      <c r="AI208" s="95">
        <f t="shared" si="313"/>
        <v>28775.254788470051</v>
      </c>
      <c r="AJ208" s="681" t="s">
        <v>3058</v>
      </c>
      <c r="AK208" s="37">
        <f t="shared" si="314"/>
        <v>287759.99999999988</v>
      </c>
      <c r="AL208" s="31">
        <f t="shared" si="355"/>
        <v>0</v>
      </c>
      <c r="AM208" s="31">
        <f t="shared" si="355"/>
        <v>0</v>
      </c>
      <c r="AN208" s="31">
        <f t="shared" si="355"/>
        <v>0</v>
      </c>
      <c r="AO208" s="31">
        <f t="shared" si="355"/>
        <v>1</v>
      </c>
      <c r="AP208" s="31">
        <f t="shared" si="355"/>
        <v>0</v>
      </c>
      <c r="AQ208" s="31">
        <f t="shared" si="355"/>
        <v>0</v>
      </c>
      <c r="AR208" s="31">
        <f t="shared" si="355"/>
        <v>0</v>
      </c>
      <c r="AS208" s="31">
        <f t="shared" si="355"/>
        <v>0</v>
      </c>
      <c r="AT208" s="31">
        <f t="shared" si="355"/>
        <v>0</v>
      </c>
      <c r="AU208" s="31">
        <f t="shared" si="355"/>
        <v>0</v>
      </c>
      <c r="AV208" s="31">
        <f t="shared" si="356"/>
        <v>0</v>
      </c>
      <c r="AW208" s="31">
        <f t="shared" si="356"/>
        <v>0</v>
      </c>
      <c r="AX208" s="31">
        <f t="shared" si="356"/>
        <v>0</v>
      </c>
      <c r="AY208" s="31">
        <f t="shared" si="356"/>
        <v>0</v>
      </c>
      <c r="AZ208" s="31">
        <f t="shared" si="356"/>
        <v>0</v>
      </c>
      <c r="BA208" s="31">
        <f t="shared" si="356"/>
        <v>0</v>
      </c>
      <c r="BB208" s="31">
        <f t="shared" si="356"/>
        <v>0</v>
      </c>
      <c r="BC208" s="31">
        <f t="shared" si="356"/>
        <v>0</v>
      </c>
      <c r="BD208" s="31">
        <f t="shared" si="356"/>
        <v>0</v>
      </c>
      <c r="BE208" s="30">
        <f t="shared" si="357"/>
        <v>1</v>
      </c>
      <c r="BF208" s="620">
        <f t="shared" si="335"/>
        <v>1.0045071410937858</v>
      </c>
      <c r="BG208" s="620">
        <f t="shared" si="318"/>
        <v>1.009043578604681</v>
      </c>
      <c r="BH208" s="620">
        <f t="shared" si="319"/>
        <v>1.014311952860123</v>
      </c>
      <c r="BI208" s="620">
        <f t="shared" si="320"/>
        <v>1.0206814173349519</v>
      </c>
      <c r="BJ208" s="620">
        <f t="shared" si="321"/>
        <v>1.0285363824689662</v>
      </c>
      <c r="BK208" s="620">
        <f t="shared" si="322"/>
        <v>1.0368387235717496</v>
      </c>
      <c r="BL208" s="620">
        <f t="shared" si="323"/>
        <v>1.0428893253789171</v>
      </c>
      <c r="BM208" s="621" t="str">
        <f t="shared" si="324"/>
        <v>Project</v>
      </c>
    </row>
    <row r="209" spans="1:65" x14ac:dyDescent="0.15">
      <c r="A209" s="91" t="s">
        <v>431</v>
      </c>
      <c r="B209" s="13" t="s">
        <v>2315</v>
      </c>
      <c r="C209" s="13" t="s">
        <v>27</v>
      </c>
      <c r="D209" s="13" t="s">
        <v>55</v>
      </c>
      <c r="E209" s="13" t="s">
        <v>112</v>
      </c>
      <c r="F209" s="14">
        <v>0</v>
      </c>
      <c r="G209" s="14">
        <v>0</v>
      </c>
      <c r="H209" s="14">
        <v>0</v>
      </c>
      <c r="I209" s="14">
        <v>0</v>
      </c>
      <c r="J209" s="14">
        <v>0</v>
      </c>
      <c r="K209" s="14">
        <v>0</v>
      </c>
      <c r="L209" s="14">
        <v>0</v>
      </c>
      <c r="M209" s="15">
        <v>0</v>
      </c>
      <c r="N209" s="804"/>
      <c r="O209" s="14"/>
      <c r="P209" s="15"/>
      <c r="Q209" s="16" t="str">
        <f>IF(ISTEXT('Incurred 2.5% cpi'!Q209),"",'Incurred 2.5% cpi'!Q209/'Incurred 2.5% cpi'!Q$14*Incurred!Q$14)</f>
        <v/>
      </c>
      <c r="R209" s="127" t="str">
        <f>IF(ISTEXT('Incurred 2.5% cpi'!R209),"",'Incurred 2.5% cpi'!R209/'Incurred 2.5% cpi'!R$14*Incurred!R$14*BF209)</f>
        <v/>
      </c>
      <c r="S209" s="119" t="str">
        <f>IF(ISTEXT('Incurred 2.5% cpi'!S209),"",'Incurred 2.5% cpi'!S209/'Incurred 2.5% cpi'!S$14*Incurred!S$14*BG209)</f>
        <v/>
      </c>
      <c r="T209" s="16" t="str">
        <f>IF(ISTEXT('Incurred 2.5% cpi'!T209),"",'Incurred 2.5% cpi'!T209/'Incurred 2.5% cpi'!T$14*Incurred!T$14*BH209)</f>
        <v/>
      </c>
      <c r="U209" s="16">
        <f>IF(ISTEXT('Incurred 2.5% cpi'!U209),"",'Incurred 2.5% cpi'!U209/'Incurred 2.5% cpi'!U$14*Incurred!U$14*BI209)</f>
        <v>326042.97783563659</v>
      </c>
      <c r="V209" s="16">
        <f>IF(ISTEXT('Incurred 2.5% cpi'!V209),"",'Incurred 2.5% cpi'!V209/'Incurred 2.5% cpi'!V$14*Incurred!V$14*BJ209)</f>
        <v>710691.66731672303</v>
      </c>
      <c r="W209" s="127">
        <f>IF(ISTEXT('Incurred 2.5% cpi'!W209),"",'Incurred 2.5% cpi'!W209/'Incurred 2.5% cpi'!W$14*Incurred!W$14*BK209)</f>
        <v>483200.57913070964</v>
      </c>
      <c r="X209" s="119" t="str">
        <f>IF(ISTEXT('Incurred 2.5% cpi'!X209),"",'Incurred 2.5% cpi'!X209/'Incurred 2.5% cpi'!X$14*Incurred!X$14*BL209)</f>
        <v/>
      </c>
      <c r="Y209" s="95">
        <f t="shared" si="345"/>
        <v>1519935.2242830694</v>
      </c>
      <c r="Z209" s="95">
        <f t="shared" si="310"/>
        <v>1519935.2242830694</v>
      </c>
      <c r="AA209" s="676">
        <f t="shared" si="354"/>
        <v>1546908.477475201</v>
      </c>
      <c r="AB209" s="676">
        <f t="shared" si="312"/>
        <v>1546908.477475201</v>
      </c>
      <c r="AC209" s="677">
        <f t="shared" si="331"/>
        <v>1</v>
      </c>
      <c r="AD209" s="678" t="str">
        <f t="shared" si="325"/>
        <v>2023</v>
      </c>
      <c r="AE209" s="679">
        <v>44950</v>
      </c>
      <c r="AF209" s="678">
        <v>2023</v>
      </c>
      <c r="AG209" s="680"/>
      <c r="AH209" s="676">
        <f t="shared" si="341"/>
        <v>1403144.9029868981</v>
      </c>
      <c r="AI209" s="95">
        <f t="shared" si="313"/>
        <v>483200.57913070964</v>
      </c>
      <c r="AJ209" s="681" t="s">
        <v>3058</v>
      </c>
      <c r="AK209" s="37">
        <f t="shared" si="314"/>
        <v>259899.99999999994</v>
      </c>
      <c r="AL209" s="31">
        <f t="shared" si="355"/>
        <v>0</v>
      </c>
      <c r="AM209" s="31">
        <f t="shared" si="355"/>
        <v>0</v>
      </c>
      <c r="AN209" s="31">
        <f t="shared" si="355"/>
        <v>0</v>
      </c>
      <c r="AO209" s="31">
        <f t="shared" si="355"/>
        <v>1</v>
      </c>
      <c r="AP209" s="31">
        <f t="shared" si="355"/>
        <v>0</v>
      </c>
      <c r="AQ209" s="31">
        <f t="shared" si="355"/>
        <v>0</v>
      </c>
      <c r="AR209" s="31">
        <f t="shared" si="355"/>
        <v>0</v>
      </c>
      <c r="AS209" s="31">
        <f t="shared" si="355"/>
        <v>0</v>
      </c>
      <c r="AT209" s="31">
        <f t="shared" si="355"/>
        <v>0</v>
      </c>
      <c r="AU209" s="31">
        <f t="shared" si="355"/>
        <v>0</v>
      </c>
      <c r="AV209" s="31">
        <f t="shared" si="356"/>
        <v>0</v>
      </c>
      <c r="AW209" s="31">
        <f t="shared" si="356"/>
        <v>0</v>
      </c>
      <c r="AX209" s="31">
        <f t="shared" si="356"/>
        <v>0</v>
      </c>
      <c r="AY209" s="31">
        <f t="shared" si="356"/>
        <v>0</v>
      </c>
      <c r="AZ209" s="31">
        <f t="shared" si="356"/>
        <v>0</v>
      </c>
      <c r="BA209" s="31">
        <f t="shared" si="356"/>
        <v>0</v>
      </c>
      <c r="BB209" s="31">
        <f t="shared" si="356"/>
        <v>0</v>
      </c>
      <c r="BC209" s="31">
        <f t="shared" si="356"/>
        <v>0</v>
      </c>
      <c r="BD209" s="31">
        <f t="shared" si="356"/>
        <v>0</v>
      </c>
      <c r="BE209" s="30">
        <f t="shared" si="357"/>
        <v>1</v>
      </c>
      <c r="BF209" s="620">
        <f t="shared" si="335"/>
        <v>1.0047443590460903</v>
      </c>
      <c r="BG209" s="620">
        <f t="shared" si="318"/>
        <v>1.00951955642598</v>
      </c>
      <c r="BH209" s="620">
        <f t="shared" si="319"/>
        <v>1.0150652135369715</v>
      </c>
      <c r="BI209" s="620">
        <f t="shared" si="320"/>
        <v>1.0217699129841598</v>
      </c>
      <c r="BJ209" s="620">
        <f t="shared" si="321"/>
        <v>1.0300382973357538</v>
      </c>
      <c r="BK209" s="620">
        <f t="shared" si="322"/>
        <v>1.0387776037597363</v>
      </c>
      <c r="BL209" s="620">
        <f t="shared" si="323"/>
        <v>1.0451466582935969</v>
      </c>
      <c r="BM209" s="621" t="str">
        <f t="shared" si="324"/>
        <v>Project</v>
      </c>
    </row>
    <row r="210" spans="1:65" x14ac:dyDescent="0.15">
      <c r="A210" s="91" t="s">
        <v>432</v>
      </c>
      <c r="B210" s="13" t="s">
        <v>433</v>
      </c>
      <c r="C210" s="13" t="s">
        <v>27</v>
      </c>
      <c r="D210" s="13" t="s">
        <v>40</v>
      </c>
      <c r="E210" s="13" t="s">
        <v>112</v>
      </c>
      <c r="F210" s="14">
        <v>0</v>
      </c>
      <c r="G210" s="14">
        <v>0</v>
      </c>
      <c r="H210" s="14">
        <v>0</v>
      </c>
      <c r="I210" s="14">
        <v>0</v>
      </c>
      <c r="J210" s="14">
        <v>0</v>
      </c>
      <c r="K210" s="14">
        <v>0</v>
      </c>
      <c r="L210" s="14">
        <v>0</v>
      </c>
      <c r="M210" s="15">
        <v>0</v>
      </c>
      <c r="N210" s="804"/>
      <c r="O210" s="14"/>
      <c r="P210" s="15"/>
      <c r="Q210" s="16" t="str">
        <f>IF(ISTEXT('Incurred 2.5% cpi'!Q210),"",'Incurred 2.5% cpi'!Q210/'Incurred 2.5% cpi'!Q$14*Incurred!Q$14)</f>
        <v/>
      </c>
      <c r="R210" s="127" t="str">
        <f>IF(ISTEXT('Incurred 2.5% cpi'!R210),"",'Incurred 2.5% cpi'!R210/'Incurred 2.5% cpi'!R$14*Incurred!R$14*BF210)</f>
        <v/>
      </c>
      <c r="S210" s="119" t="str">
        <f>IF(ISTEXT('Incurred 2.5% cpi'!S210),"",'Incurred 2.5% cpi'!S210/'Incurred 2.5% cpi'!S$14*Incurred!S$14*BG210)</f>
        <v/>
      </c>
      <c r="T210" s="16">
        <f>IF(ISTEXT('Incurred 2.5% cpi'!T210),"",'Incurred 2.5% cpi'!T210/'Incurred 2.5% cpi'!T$14*Incurred!T$14*BH210)</f>
        <v>182409.81502617366</v>
      </c>
      <c r="U210" s="16">
        <f>IF(ISTEXT('Incurred 2.5% cpi'!U210),"",'Incurred 2.5% cpi'!U210/'Incurred 2.5% cpi'!U$14*Incurred!U$14*BI210)</f>
        <v>838067.97977876826</v>
      </c>
      <c r="V210" s="16" t="str">
        <f>IF(ISTEXT('Incurred 2.5% cpi'!V210),"",'Incurred 2.5% cpi'!V210/'Incurred 2.5% cpi'!V$14*Incurred!V$14*BJ210)</f>
        <v/>
      </c>
      <c r="W210" s="127" t="str">
        <f>IF(ISTEXT('Incurred 2.5% cpi'!W210),"",'Incurred 2.5% cpi'!W210/'Incurred 2.5% cpi'!W$14*Incurred!W$14*BK210)</f>
        <v/>
      </c>
      <c r="X210" s="119" t="str">
        <f>IF(ISTEXT('Incurred 2.5% cpi'!X210),"",'Incurred 2.5% cpi'!X210/'Incurred 2.5% cpi'!X$14*Incurred!X$14*BL210)</f>
        <v/>
      </c>
      <c r="Y210" s="95">
        <f t="shared" si="345"/>
        <v>1020477.7948049419</v>
      </c>
      <c r="Z210" s="95">
        <f t="shared" si="310"/>
        <v>1020477.7948049419</v>
      </c>
      <c r="AA210" s="676">
        <f t="shared" si="354"/>
        <v>1064817.10794496</v>
      </c>
      <c r="AB210" s="676">
        <f t="shared" si="312"/>
        <v>1024071.2681609576</v>
      </c>
      <c r="AC210" s="677">
        <f t="shared" si="331"/>
        <v>1.0397880900000001</v>
      </c>
      <c r="AD210" s="678" t="str">
        <f t="shared" si="325"/>
        <v>2021</v>
      </c>
      <c r="AE210" s="679">
        <v>44202</v>
      </c>
      <c r="AF210" s="678">
        <v>2021</v>
      </c>
      <c r="AG210" s="680"/>
      <c r="AH210" s="676">
        <f t="shared" si="341"/>
        <v>965857.20447069732</v>
      </c>
      <c r="AI210" s="95">
        <f t="shared" si="313"/>
        <v>838067.97977876826</v>
      </c>
      <c r="AJ210" s="681" t="s">
        <v>3058</v>
      </c>
      <c r="AK210" s="37">
        <f t="shared" si="314"/>
        <v>0</v>
      </c>
      <c r="AL210" s="31">
        <f t="shared" si="355"/>
        <v>0</v>
      </c>
      <c r="AM210" s="31">
        <f t="shared" si="355"/>
        <v>0</v>
      </c>
      <c r="AN210" s="31">
        <f t="shared" si="355"/>
        <v>0</v>
      </c>
      <c r="AO210" s="31">
        <f t="shared" si="355"/>
        <v>1</v>
      </c>
      <c r="AP210" s="31">
        <f t="shared" si="355"/>
        <v>0</v>
      </c>
      <c r="AQ210" s="31">
        <f t="shared" si="355"/>
        <v>0</v>
      </c>
      <c r="AR210" s="31">
        <f t="shared" si="355"/>
        <v>0</v>
      </c>
      <c r="AS210" s="31">
        <f t="shared" si="355"/>
        <v>0</v>
      </c>
      <c r="AT210" s="31">
        <f t="shared" si="355"/>
        <v>0</v>
      </c>
      <c r="AU210" s="31">
        <f t="shared" si="355"/>
        <v>0</v>
      </c>
      <c r="AV210" s="31">
        <f t="shared" si="356"/>
        <v>0</v>
      </c>
      <c r="AW210" s="31">
        <f t="shared" si="356"/>
        <v>0</v>
      </c>
      <c r="AX210" s="31">
        <f t="shared" si="356"/>
        <v>0</v>
      </c>
      <c r="AY210" s="31">
        <f t="shared" si="356"/>
        <v>0</v>
      </c>
      <c r="AZ210" s="31">
        <f t="shared" si="356"/>
        <v>0</v>
      </c>
      <c r="BA210" s="31">
        <f t="shared" si="356"/>
        <v>0</v>
      </c>
      <c r="BB210" s="31">
        <f t="shared" si="356"/>
        <v>0</v>
      </c>
      <c r="BC210" s="31">
        <f t="shared" si="356"/>
        <v>0</v>
      </c>
      <c r="BD210" s="31">
        <f t="shared" si="356"/>
        <v>0</v>
      </c>
      <c r="BE210" s="30">
        <f t="shared" si="357"/>
        <v>1</v>
      </c>
      <c r="BF210" s="620">
        <f t="shared" si="335"/>
        <v>1.0059304488076128</v>
      </c>
      <c r="BG210" s="620">
        <f t="shared" si="318"/>
        <v>1.011899445532475</v>
      </c>
      <c r="BH210" s="620">
        <f t="shared" si="319"/>
        <v>1.0188315169212143</v>
      </c>
      <c r="BI210" s="620">
        <f t="shared" si="320"/>
        <v>1.0272123912301998</v>
      </c>
      <c r="BJ210" s="620">
        <f t="shared" si="321"/>
        <v>1.0375478716696922</v>
      </c>
      <c r="BK210" s="620">
        <f t="shared" si="322"/>
        <v>1.0484720046996705</v>
      </c>
      <c r="BL210" s="620">
        <f t="shared" si="323"/>
        <v>1.0564333228669962</v>
      </c>
      <c r="BM210" s="621" t="str">
        <f t="shared" si="324"/>
        <v>Project</v>
      </c>
    </row>
    <row r="211" spans="1:65" x14ac:dyDescent="0.15">
      <c r="A211" s="91" t="s">
        <v>434</v>
      </c>
      <c r="B211" s="13" t="s">
        <v>435</v>
      </c>
      <c r="C211" s="13" t="s">
        <v>27</v>
      </c>
      <c r="D211" s="13" t="s">
        <v>40</v>
      </c>
      <c r="E211" s="13" t="s">
        <v>112</v>
      </c>
      <c r="F211" s="14">
        <v>0</v>
      </c>
      <c r="G211" s="14">
        <v>0</v>
      </c>
      <c r="H211" s="14">
        <v>0</v>
      </c>
      <c r="I211" s="14">
        <v>0</v>
      </c>
      <c r="J211" s="14">
        <v>0</v>
      </c>
      <c r="K211" s="14">
        <v>0</v>
      </c>
      <c r="L211" s="14">
        <v>0</v>
      </c>
      <c r="M211" s="15">
        <v>0</v>
      </c>
      <c r="N211" s="804"/>
      <c r="O211" s="14"/>
      <c r="P211" s="15"/>
      <c r="Q211" s="16" t="str">
        <f>IF(ISTEXT('Incurred 2.5% cpi'!Q211),"",'Incurred 2.5% cpi'!Q211/'Incurred 2.5% cpi'!Q$14*Incurred!Q$14)</f>
        <v/>
      </c>
      <c r="R211" s="127">
        <f>IF(ISTEXT('Incurred 2.5% cpi'!R211),"",'Incurred 2.5% cpi'!R211/'Incurred 2.5% cpi'!R$14*Incurred!R$14*BF211)</f>
        <v>21274.052147986698</v>
      </c>
      <c r="S211" s="119">
        <f>IF(ISTEXT('Incurred 2.5% cpi'!S211),"",'Incurred 2.5% cpi'!S211/'Incurred 2.5% cpi'!S$14*Incurred!S$14*BG211)</f>
        <v>1873689.3834518753</v>
      </c>
      <c r="T211" s="16">
        <f>IF(ISTEXT('Incurred 2.5% cpi'!T211),"",'Incurred 2.5% cpi'!T211/'Incurred 2.5% cpi'!T$14*Incurred!T$14*BH211)</f>
        <v>2679261.6514567793</v>
      </c>
      <c r="U211" s="16">
        <f>IF(ISTEXT('Incurred 2.5% cpi'!U211),"",'Incurred 2.5% cpi'!U211/'Incurred 2.5% cpi'!U$14*Incurred!U$14*BI211)</f>
        <v>571590.64347630332</v>
      </c>
      <c r="V211" s="16" t="str">
        <f>IF(ISTEXT('Incurred 2.5% cpi'!V211),"",'Incurred 2.5% cpi'!V211/'Incurred 2.5% cpi'!V$14*Incurred!V$14*BJ211)</f>
        <v/>
      </c>
      <c r="W211" s="127" t="str">
        <f>IF(ISTEXT('Incurred 2.5% cpi'!W211),"",'Incurred 2.5% cpi'!W211/'Incurred 2.5% cpi'!W$14*Incurred!W$14*BK211)</f>
        <v/>
      </c>
      <c r="X211" s="119" t="str">
        <f>IF(ISTEXT('Incurred 2.5% cpi'!X211),"",'Incurred 2.5% cpi'!X211/'Incurred 2.5% cpi'!X$14*Incurred!X$14*BL211)</f>
        <v/>
      </c>
      <c r="Y211" s="95">
        <f t="shared" si="345"/>
        <v>5145815.7305329451</v>
      </c>
      <c r="Z211" s="95">
        <f t="shared" si="310"/>
        <v>5145815.7305329451</v>
      </c>
      <c r="AA211" s="676">
        <f t="shared" si="354"/>
        <v>5484289.4277010281</v>
      </c>
      <c r="AB211" s="676">
        <f t="shared" si="312"/>
        <v>5274429.9347581752</v>
      </c>
      <c r="AC211" s="677">
        <f t="shared" si="331"/>
        <v>1.0397880900000001</v>
      </c>
      <c r="AD211" s="678" t="str">
        <f t="shared" si="325"/>
        <v>2021</v>
      </c>
      <c r="AE211" s="679">
        <v>44040</v>
      </c>
      <c r="AF211" s="678">
        <v>2021</v>
      </c>
      <c r="AG211" s="680"/>
      <c r="AH211" s="676">
        <f t="shared" si="341"/>
        <v>4974601.1926597608</v>
      </c>
      <c r="AI211" s="95">
        <f t="shared" si="313"/>
        <v>571590.64347630332</v>
      </c>
      <c r="AJ211" s="681" t="s">
        <v>3058</v>
      </c>
      <c r="AK211" s="37">
        <f t="shared" si="314"/>
        <v>2432639.9249999993</v>
      </c>
      <c r="AL211" s="31">
        <f t="shared" ref="AL211:AU214" si="358">IF($AK211=0,VLOOKUP(MID($A211,4,5),ProjectSplits,AL$20,FALSE),IF(ISNA(VLOOKUP($A211,Estimates,AL$19,FALSE)),VLOOKUP(MID($A211,4,5),ProjectSplits,AL$20,FALSE),VLOOKUP($A211,Estimates,AL$19,FALSE)))</f>
        <v>0</v>
      </c>
      <c r="AM211" s="31">
        <f t="shared" si="358"/>
        <v>0.12332278275832378</v>
      </c>
      <c r="AN211" s="31">
        <f t="shared" si="358"/>
        <v>0.50480138362441784</v>
      </c>
      <c r="AO211" s="31">
        <f t="shared" si="358"/>
        <v>0</v>
      </c>
      <c r="AP211" s="31">
        <f t="shared" si="358"/>
        <v>0</v>
      </c>
      <c r="AQ211" s="31">
        <f t="shared" si="358"/>
        <v>0</v>
      </c>
      <c r="AR211" s="31">
        <f t="shared" si="358"/>
        <v>0</v>
      </c>
      <c r="AS211" s="31">
        <f t="shared" si="358"/>
        <v>0</v>
      </c>
      <c r="AT211" s="31">
        <f t="shared" si="358"/>
        <v>0</v>
      </c>
      <c r="AU211" s="31">
        <f t="shared" si="358"/>
        <v>0</v>
      </c>
      <c r="AV211" s="31">
        <f t="shared" ref="AV211:BD214" si="359">IF($AK211=0,VLOOKUP(MID($A211,4,5),ProjectSplits,AV$20,FALSE),IF(ISNA(VLOOKUP($A211,Estimates,AV$19,FALSE)),VLOOKUP(MID($A211,4,5),ProjectSplits,AV$20,FALSE),VLOOKUP($A211,Estimates,AV$19,FALSE)))</f>
        <v>0</v>
      </c>
      <c r="AW211" s="31">
        <f t="shared" si="359"/>
        <v>0</v>
      </c>
      <c r="AX211" s="31">
        <f t="shared" si="359"/>
        <v>0</v>
      </c>
      <c r="AY211" s="31">
        <f t="shared" si="359"/>
        <v>0</v>
      </c>
      <c r="AZ211" s="31">
        <f t="shared" si="359"/>
        <v>0.37187583361725846</v>
      </c>
      <c r="BA211" s="31">
        <f t="shared" si="359"/>
        <v>0</v>
      </c>
      <c r="BB211" s="31">
        <f t="shared" si="359"/>
        <v>0</v>
      </c>
      <c r="BC211" s="31">
        <f t="shared" si="359"/>
        <v>0</v>
      </c>
      <c r="BD211" s="31">
        <f t="shared" si="359"/>
        <v>0</v>
      </c>
      <c r="BE211" s="30">
        <f t="shared" ref="BE211:BE214" si="360">SUM(AL211:BD211)</f>
        <v>1</v>
      </c>
      <c r="BF211" s="620">
        <f t="shared" si="335"/>
        <v>1.0030533653093701</v>
      </c>
      <c r="BG211" s="620">
        <f t="shared" si="318"/>
        <v>1.0061265774932511</v>
      </c>
      <c r="BH211" s="620">
        <f t="shared" si="319"/>
        <v>1.0096956406429547</v>
      </c>
      <c r="BI211" s="620">
        <f t="shared" si="320"/>
        <v>1.0140106379909459</v>
      </c>
      <c r="BJ211" s="620">
        <f t="shared" si="321"/>
        <v>1.0193319886093191</v>
      </c>
      <c r="BK211" s="620">
        <f t="shared" si="322"/>
        <v>1.0249564143333658</v>
      </c>
      <c r="BL211" s="620">
        <f t="shared" si="323"/>
        <v>1.0290553979849513</v>
      </c>
      <c r="BM211" s="621" t="str">
        <f t="shared" si="324"/>
        <v>Project</v>
      </c>
    </row>
    <row r="212" spans="1:65" x14ac:dyDescent="0.15">
      <c r="A212" s="91" t="s">
        <v>436</v>
      </c>
      <c r="B212" s="13" t="s">
        <v>437</v>
      </c>
      <c r="C212" s="13" t="s">
        <v>27</v>
      </c>
      <c r="D212" s="13" t="s">
        <v>36</v>
      </c>
      <c r="E212" s="13" t="s">
        <v>112</v>
      </c>
      <c r="F212" s="14">
        <v>0</v>
      </c>
      <c r="G212" s="14">
        <v>0</v>
      </c>
      <c r="H212" s="14">
        <v>0</v>
      </c>
      <c r="I212" s="14">
        <v>0</v>
      </c>
      <c r="J212" s="14">
        <v>0</v>
      </c>
      <c r="K212" s="14">
        <v>0</v>
      </c>
      <c r="L212" s="14">
        <v>0</v>
      </c>
      <c r="M212" s="15">
        <v>0</v>
      </c>
      <c r="N212" s="804"/>
      <c r="O212" s="14"/>
      <c r="P212" s="15"/>
      <c r="Q212" s="16" t="str">
        <f>IF(ISTEXT('Incurred 2.5% cpi'!Q212),"",'Incurred 2.5% cpi'!Q212/'Incurred 2.5% cpi'!Q$14*Incurred!Q$14)</f>
        <v/>
      </c>
      <c r="R212" s="127" t="str">
        <f>IF(ISTEXT('Incurred 2.5% cpi'!R212),"",'Incurred 2.5% cpi'!R212/'Incurred 2.5% cpi'!R$14*Incurred!R$14*BF212)</f>
        <v/>
      </c>
      <c r="S212" s="119" t="str">
        <f>IF(ISTEXT('Incurred 2.5% cpi'!S212),"",'Incurred 2.5% cpi'!S212/'Incurred 2.5% cpi'!S$14*Incurred!S$14*BG212)</f>
        <v/>
      </c>
      <c r="T212" s="16" t="str">
        <f>IF(ISTEXT('Incurred 2.5% cpi'!T212),"",'Incurred 2.5% cpi'!T212/'Incurred 2.5% cpi'!T$14*Incurred!T$14*BH212)</f>
        <v/>
      </c>
      <c r="U212" s="16" t="str">
        <f>IF(ISTEXT('Incurred 2.5% cpi'!U212),"",'Incurred 2.5% cpi'!U212/'Incurred 2.5% cpi'!U$14*Incurred!U$14*BI212)</f>
        <v/>
      </c>
      <c r="V212" s="16" t="str">
        <f>IF(ISTEXT('Incurred 2.5% cpi'!V212),"",'Incurred 2.5% cpi'!V212/'Incurred 2.5% cpi'!V$14*Incurred!V$14*BJ212)</f>
        <v/>
      </c>
      <c r="W212" s="127">
        <f>IF(ISTEXT('Incurred 2.5% cpi'!W212),"",'Incurred 2.5% cpi'!W212/'Incurred 2.5% cpi'!W$14*Incurred!W$14*BK212)</f>
        <v>296732.30807418388</v>
      </c>
      <c r="X212" s="119">
        <f>IF(ISTEXT('Incurred 2.5% cpi'!X212),"",'Incurred 2.5% cpi'!X212/'Incurred 2.5% cpi'!X$14*Incurred!X$14*BL212)</f>
        <v>134712.3775915131</v>
      </c>
      <c r="Y212" s="95">
        <f t="shared" si="345"/>
        <v>296732.30807418388</v>
      </c>
      <c r="Z212" s="95">
        <f t="shared" ref="Z212:Z235" si="361">-SUMIFS(F212:W212,F212:W212,"&lt;0")+SUMIFS(F212:W212,F212:W212,"&gt;0")</f>
        <v>296732.30807418388</v>
      </c>
      <c r="AA212" s="676">
        <f t="shared" si="354"/>
        <v>296732.30807418388</v>
      </c>
      <c r="AB212" s="676">
        <f t="shared" ref="AB212:AB257" si="362">IF(AC212="","",AA212/AC212)</f>
        <v>296732.30807418388</v>
      </c>
      <c r="AC212" s="677">
        <f t="shared" si="331"/>
        <v>1</v>
      </c>
      <c r="AD212" s="678" t="str">
        <f>IF(AI212=0,"",INDEX($F$21:$X$21,1,MATCH(AI212,F212:X212,0)))</f>
        <v>2024</v>
      </c>
      <c r="AE212" s="679">
        <v>45134</v>
      </c>
      <c r="AF212" s="678">
        <v>2024</v>
      </c>
      <c r="AG212" s="680"/>
      <c r="AH212" s="676">
        <f t="shared" si="341"/>
        <v>269155.1773673073</v>
      </c>
      <c r="AI212" s="95">
        <f t="shared" ref="AI212:AI257" si="363">IF(ROUND(Z212,0)=0,0,LOOKUP(2,1/(F212:X212&lt;&gt;""),F212:X212))</f>
        <v>134712.3775915131</v>
      </c>
      <c r="AJ212" s="681" t="s">
        <v>3058</v>
      </c>
      <c r="AK212" s="37">
        <f t="shared" ref="AK212:AK257" si="364">IF(ISNA(VLOOKUP($A212,Estimates,71,FALSE)),0,VLOOKUP($A212,Estimates,71,FALSE))</f>
        <v>275500.00000000035</v>
      </c>
      <c r="AL212" s="31">
        <f t="shared" si="358"/>
        <v>0.69872958257713258</v>
      </c>
      <c r="AM212" s="31">
        <f t="shared" si="358"/>
        <v>0</v>
      </c>
      <c r="AN212" s="31">
        <f t="shared" si="358"/>
        <v>0</v>
      </c>
      <c r="AO212" s="31">
        <f t="shared" si="358"/>
        <v>0</v>
      </c>
      <c r="AP212" s="31">
        <f t="shared" si="358"/>
        <v>0</v>
      </c>
      <c r="AQ212" s="31">
        <f t="shared" si="358"/>
        <v>0</v>
      </c>
      <c r="AR212" s="31">
        <f t="shared" si="358"/>
        <v>0</v>
      </c>
      <c r="AS212" s="31">
        <f t="shared" si="358"/>
        <v>0.30127041742286753</v>
      </c>
      <c r="AT212" s="31">
        <f t="shared" si="358"/>
        <v>0</v>
      </c>
      <c r="AU212" s="31">
        <f t="shared" si="358"/>
        <v>0</v>
      </c>
      <c r="AV212" s="31">
        <f t="shared" si="359"/>
        <v>0</v>
      </c>
      <c r="AW212" s="31">
        <f t="shared" si="359"/>
        <v>0</v>
      </c>
      <c r="AX212" s="31">
        <f t="shared" si="359"/>
        <v>0</v>
      </c>
      <c r="AY212" s="31">
        <f t="shared" si="359"/>
        <v>0</v>
      </c>
      <c r="AZ212" s="31">
        <f t="shared" si="359"/>
        <v>0</v>
      </c>
      <c r="BA212" s="31">
        <f t="shared" si="359"/>
        <v>0</v>
      </c>
      <c r="BB212" s="31">
        <f t="shared" si="359"/>
        <v>0</v>
      </c>
      <c r="BC212" s="31">
        <f t="shared" si="359"/>
        <v>0</v>
      </c>
      <c r="BD212" s="31">
        <f t="shared" si="359"/>
        <v>0</v>
      </c>
      <c r="BE212" s="30">
        <f t="shared" si="360"/>
        <v>1</v>
      </c>
      <c r="BF212" s="620">
        <f t="shared" si="335"/>
        <v>1.0023539528458716</v>
      </c>
      <c r="BG212" s="620">
        <f t="shared" ref="BG212:BG257" si="365">1+IF(ISNA(VLOOKUP($A212,ProjLabEsc,7,FALSE)),VLOOKUP($D212,CatLabEsc,4,FALSE),VLOOKUP($A212,ProjLabEsc,7,FALSE))*LabEsc19*LabIn</f>
        <v>1.0047232063852412</v>
      </c>
      <c r="BH212" s="620">
        <f t="shared" ref="BH212:BH257" si="366">1+IF(ISNA(VLOOKUP($A212,ProjLabEsc,7,FALSE)),VLOOKUP($D212,CatLabEsc,4,FALSE),VLOOKUP($A212,ProjLabEsc,7,FALSE))*LabEsc20*LabIn</f>
        <v>1.0074747298706745</v>
      </c>
      <c r="BI212" s="620">
        <f t="shared" ref="BI212:BI257" si="367">1+IF(ISNA(VLOOKUP($A212,ProjLabEsc,7,FALSE)),VLOOKUP($D212,CatLabEsc,4,FALSE),VLOOKUP($A212,ProjLabEsc,7,FALSE))*LabEsc21*LabIn</f>
        <v>1.0108013217645635</v>
      </c>
      <c r="BJ212" s="620">
        <f t="shared" ref="BJ212:BJ257" si="368">1+IF(ISNA(VLOOKUP($A212,ProjLabEsc,7,FALSE)),VLOOKUP($D212,CatLabEsc,4,FALSE),VLOOKUP($A212,ProjLabEsc,7,FALSE))*LabEsc22*LabIn</f>
        <v>1.0149037488123716</v>
      </c>
      <c r="BK212" s="620">
        <f t="shared" ref="BK212:BK257" si="369">1+IF(ISNA(VLOOKUP($A212,ProjLabEsc,7,FALSE)),VLOOKUP($D212,CatLabEsc,4,FALSE),VLOOKUP($A212,ProjLabEsc,7,FALSE))*LabEsc23*LabIn</f>
        <v>1.0192398277279482</v>
      </c>
      <c r="BL212" s="620">
        <f t="shared" ref="BL212:BL257" si="370">1+IF(ISNA(VLOOKUP($A212,ProjLabEsc,7,FALSE)),VLOOKUP($D212,CatLabEsc,4,FALSE),VLOOKUP($A212,ProjLabEsc,7,FALSE))*LabEsc24*LabIn</f>
        <v>1.0223998866315522</v>
      </c>
      <c r="BM212" s="621" t="str">
        <f t="shared" ref="BM212:BM257" si="371">IF(ISNA(VLOOKUP($A212,ProjLabEsc,7,FALSE)),"Category","Project")</f>
        <v>Project</v>
      </c>
    </row>
    <row r="213" spans="1:65" x14ac:dyDescent="0.15">
      <c r="A213" s="12" t="s">
        <v>438</v>
      </c>
      <c r="B213" s="13" t="s">
        <v>439</v>
      </c>
      <c r="C213" s="13" t="s">
        <v>27</v>
      </c>
      <c r="D213" s="13" t="s">
        <v>36</v>
      </c>
      <c r="E213" s="13" t="s">
        <v>112</v>
      </c>
      <c r="F213" s="14">
        <v>0</v>
      </c>
      <c r="G213" s="14">
        <v>0</v>
      </c>
      <c r="H213" s="14">
        <v>0</v>
      </c>
      <c r="I213" s="14">
        <v>0</v>
      </c>
      <c r="J213" s="14">
        <v>0</v>
      </c>
      <c r="K213" s="14">
        <v>0</v>
      </c>
      <c r="L213" s="14">
        <v>0</v>
      </c>
      <c r="M213" s="15">
        <v>0</v>
      </c>
      <c r="N213" s="804"/>
      <c r="O213" s="14"/>
      <c r="P213" s="15"/>
      <c r="Q213" s="16" t="str">
        <f>IF(ISTEXT('Incurred 2.5% cpi'!Q213),"",'Incurred 2.5% cpi'!Q213/'Incurred 2.5% cpi'!Q$14*Incurred!Q$14)</f>
        <v/>
      </c>
      <c r="R213" s="127" t="str">
        <f>IF(ISTEXT('Incurred 2.5% cpi'!R213),"",'Incurred 2.5% cpi'!R213/'Incurred 2.5% cpi'!R$14*Incurred!R$14*BF213)</f>
        <v/>
      </c>
      <c r="S213" s="119" t="str">
        <f>IF(ISTEXT('Incurred 2.5% cpi'!S213),"",'Incurred 2.5% cpi'!S213/'Incurred 2.5% cpi'!S$14*Incurred!S$14*BG213)</f>
        <v/>
      </c>
      <c r="T213" s="16" t="str">
        <f>IF(ISTEXT('Incurred 2.5% cpi'!T213),"",'Incurred 2.5% cpi'!T213/'Incurred 2.5% cpi'!T$14*Incurred!T$14*BH213)</f>
        <v/>
      </c>
      <c r="U213" s="16" t="str">
        <f>IF(ISTEXT('Incurred 2.5% cpi'!U213),"",'Incurred 2.5% cpi'!U213/'Incurred 2.5% cpi'!U$14*Incurred!U$14*BI213)</f>
        <v/>
      </c>
      <c r="V213" s="16" t="str">
        <f>IF(ISTEXT('Incurred 2.5% cpi'!V213),"",'Incurred 2.5% cpi'!V213/'Incurred 2.5% cpi'!V$14*Incurred!V$14*BJ213)</f>
        <v/>
      </c>
      <c r="W213" s="127">
        <f>IF(ISTEXT('Incurred 2.5% cpi'!W213),"",'Incurred 2.5% cpi'!W213/'Incurred 2.5% cpi'!W$14*Incurred!W$14*BK213)</f>
        <v>161739.24229706635</v>
      </c>
      <c r="X213" s="119">
        <f>IF(ISTEXT('Incurred 2.5% cpi'!X213),"",'Incurred 2.5% cpi'!X213/'Incurred 2.5% cpi'!X$14*Incurred!X$14*BL213)</f>
        <v>60.981566180311198</v>
      </c>
      <c r="Y213" s="95">
        <f t="shared" si="345"/>
        <v>161739.24229706635</v>
      </c>
      <c r="Z213" s="95">
        <f t="shared" si="361"/>
        <v>161739.24229706635</v>
      </c>
      <c r="AA213" s="676">
        <f t="shared" si="354"/>
        <v>161739.24229706635</v>
      </c>
      <c r="AB213" s="676">
        <f t="shared" si="362"/>
        <v>161739.24229706635</v>
      </c>
      <c r="AC213" s="677">
        <f t="shared" si="331"/>
        <v>1</v>
      </c>
      <c r="AD213" s="678" t="str">
        <f t="shared" ref="AD213:AD218" si="372">IF(AI213=0,"",INDEX($F$21:$X$21,1,MATCH(AI213,F213:X213,0)))</f>
        <v>2024</v>
      </c>
      <c r="AE213" s="679">
        <v>45050</v>
      </c>
      <c r="AF213" s="678">
        <v>2023</v>
      </c>
      <c r="AG213" s="680"/>
      <c r="AH213" s="676">
        <f t="shared" si="341"/>
        <v>146707.8348503845</v>
      </c>
      <c r="AI213" s="95">
        <f t="shared" si="363"/>
        <v>60.981566180311198</v>
      </c>
      <c r="AJ213" s="681" t="s">
        <v>3058</v>
      </c>
      <c r="AK213" s="37">
        <f t="shared" si="364"/>
        <v>122000.00000000007</v>
      </c>
      <c r="AL213" s="31">
        <f t="shared" si="358"/>
        <v>0</v>
      </c>
      <c r="AM213" s="31">
        <f t="shared" si="358"/>
        <v>0</v>
      </c>
      <c r="AN213" s="31">
        <f t="shared" si="358"/>
        <v>0</v>
      </c>
      <c r="AO213" s="31">
        <f t="shared" si="358"/>
        <v>0</v>
      </c>
      <c r="AP213" s="31">
        <f t="shared" si="358"/>
        <v>0</v>
      </c>
      <c r="AQ213" s="31">
        <f t="shared" si="358"/>
        <v>0</v>
      </c>
      <c r="AR213" s="31">
        <f t="shared" si="358"/>
        <v>0</v>
      </c>
      <c r="AS213" s="31">
        <f t="shared" si="358"/>
        <v>1</v>
      </c>
      <c r="AT213" s="31">
        <f t="shared" si="358"/>
        <v>0</v>
      </c>
      <c r="AU213" s="31">
        <f t="shared" si="358"/>
        <v>0</v>
      </c>
      <c r="AV213" s="31">
        <f t="shared" si="359"/>
        <v>0</v>
      </c>
      <c r="AW213" s="31">
        <f t="shared" si="359"/>
        <v>0</v>
      </c>
      <c r="AX213" s="31">
        <f t="shared" si="359"/>
        <v>0</v>
      </c>
      <c r="AY213" s="31">
        <f t="shared" si="359"/>
        <v>0</v>
      </c>
      <c r="AZ213" s="31">
        <f t="shared" si="359"/>
        <v>0</v>
      </c>
      <c r="BA213" s="31">
        <f t="shared" si="359"/>
        <v>0</v>
      </c>
      <c r="BB213" s="31">
        <f t="shared" si="359"/>
        <v>0</v>
      </c>
      <c r="BC213" s="31">
        <f t="shared" si="359"/>
        <v>0</v>
      </c>
      <c r="BD213" s="31">
        <f t="shared" si="359"/>
        <v>0</v>
      </c>
      <c r="BE213" s="30">
        <f t="shared" si="360"/>
        <v>1</v>
      </c>
      <c r="BF213" s="620">
        <f t="shared" si="335"/>
        <v>1.000745054832479</v>
      </c>
      <c r="BG213" s="620">
        <f t="shared" si="365"/>
        <v>1.0014949525213692</v>
      </c>
      <c r="BH213" s="620">
        <f t="shared" si="366"/>
        <v>1.0023658433181399</v>
      </c>
      <c r="BI213" s="620">
        <f t="shared" si="367"/>
        <v>1.0034187502914356</v>
      </c>
      <c r="BJ213" s="620">
        <f t="shared" si="368"/>
        <v>1.0047172185688367</v>
      </c>
      <c r="BK213" s="620">
        <f t="shared" si="369"/>
        <v>1.0060896405167643</v>
      </c>
      <c r="BL213" s="620">
        <f t="shared" si="370"/>
        <v>1.0070898377642061</v>
      </c>
      <c r="BM213" s="621" t="str">
        <f t="shared" si="371"/>
        <v>Project</v>
      </c>
    </row>
    <row r="214" spans="1:65" x14ac:dyDescent="0.15">
      <c r="A214" s="12" t="s">
        <v>440</v>
      </c>
      <c r="B214" s="13" t="s">
        <v>441</v>
      </c>
      <c r="C214" s="13" t="s">
        <v>27</v>
      </c>
      <c r="D214" s="13" t="s">
        <v>36</v>
      </c>
      <c r="E214" s="13" t="s">
        <v>112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0</v>
      </c>
      <c r="M214" s="15">
        <v>0</v>
      </c>
      <c r="N214" s="804"/>
      <c r="O214" s="14"/>
      <c r="P214" s="15"/>
      <c r="Q214" s="16" t="str">
        <f>IF(ISTEXT('Incurred 2.5% cpi'!Q214),"",'Incurred 2.5% cpi'!Q214/'Incurred 2.5% cpi'!Q$14*Incurred!Q$14)</f>
        <v/>
      </c>
      <c r="R214" s="127" t="str">
        <f>IF(ISTEXT('Incurred 2.5% cpi'!R214),"",'Incurred 2.5% cpi'!R214/'Incurred 2.5% cpi'!R$14*Incurred!R$14*BF214)</f>
        <v/>
      </c>
      <c r="S214" s="119" t="str">
        <f>IF(ISTEXT('Incurred 2.5% cpi'!S214),"",'Incurred 2.5% cpi'!S214/'Incurred 2.5% cpi'!S$14*Incurred!S$14*BG214)</f>
        <v/>
      </c>
      <c r="T214" s="16" t="str">
        <f>IF(ISTEXT('Incurred 2.5% cpi'!T214),"",'Incurred 2.5% cpi'!T214/'Incurred 2.5% cpi'!T$14*Incurred!T$14*BH214)</f>
        <v/>
      </c>
      <c r="U214" s="16" t="str">
        <f>IF(ISTEXT('Incurred 2.5% cpi'!U214),"",'Incurred 2.5% cpi'!U214/'Incurred 2.5% cpi'!U$14*Incurred!U$14*BI214)</f>
        <v/>
      </c>
      <c r="V214" s="16" t="str">
        <f>IF(ISTEXT('Incurred 2.5% cpi'!V214),"",'Incurred 2.5% cpi'!V214/'Incurred 2.5% cpi'!V$14*Incurred!V$14*BJ214)</f>
        <v/>
      </c>
      <c r="W214" s="127">
        <f>IF(ISTEXT('Incurred 2.5% cpi'!W214),"",'Incurred 2.5% cpi'!W214/'Incurred 2.5% cpi'!W$14*Incurred!W$14*BK214)</f>
        <v>137914.25332440686</v>
      </c>
      <c r="X214" s="119">
        <f>IF(ISTEXT('Incurred 2.5% cpi'!X214),"",'Incurred 2.5% cpi'!X214/'Incurred 2.5% cpi'!X$14*Incurred!X$14*BL214)</f>
        <v>62575.558461318069</v>
      </c>
      <c r="Y214" s="95">
        <f t="shared" si="345"/>
        <v>137914.25332440686</v>
      </c>
      <c r="Z214" s="95">
        <f t="shared" si="361"/>
        <v>137914.25332440686</v>
      </c>
      <c r="AA214" s="676">
        <f t="shared" si="354"/>
        <v>137914.25332440686</v>
      </c>
      <c r="AB214" s="676">
        <f t="shared" si="362"/>
        <v>137914.25332440686</v>
      </c>
      <c r="AC214" s="677">
        <f t="shared" si="331"/>
        <v>1</v>
      </c>
      <c r="AD214" s="678" t="str">
        <f t="shared" si="372"/>
        <v>2024</v>
      </c>
      <c r="AE214" s="679">
        <v>45134</v>
      </c>
      <c r="AF214" s="678">
        <v>2024</v>
      </c>
      <c r="AG214" s="680"/>
      <c r="AH214" s="676">
        <f t="shared" si="341"/>
        <v>125097.04641171159</v>
      </c>
      <c r="AI214" s="95">
        <f t="shared" si="363"/>
        <v>62575.558461318069</v>
      </c>
      <c r="AJ214" s="681" t="s">
        <v>3058</v>
      </c>
      <c r="AK214" s="37">
        <f t="shared" si="364"/>
        <v>128500.00000000017</v>
      </c>
      <c r="AL214" s="31">
        <f t="shared" si="358"/>
        <v>0</v>
      </c>
      <c r="AM214" s="31">
        <f t="shared" si="358"/>
        <v>0</v>
      </c>
      <c r="AN214" s="31">
        <f t="shared" si="358"/>
        <v>0</v>
      </c>
      <c r="AO214" s="31">
        <f t="shared" si="358"/>
        <v>0</v>
      </c>
      <c r="AP214" s="31">
        <f t="shared" si="358"/>
        <v>0</v>
      </c>
      <c r="AQ214" s="31">
        <f t="shared" si="358"/>
        <v>0</v>
      </c>
      <c r="AR214" s="31">
        <f t="shared" si="358"/>
        <v>0</v>
      </c>
      <c r="AS214" s="31">
        <f t="shared" si="358"/>
        <v>1</v>
      </c>
      <c r="AT214" s="31">
        <f t="shared" si="358"/>
        <v>0</v>
      </c>
      <c r="AU214" s="31">
        <f t="shared" si="358"/>
        <v>0</v>
      </c>
      <c r="AV214" s="31">
        <f t="shared" si="359"/>
        <v>0</v>
      </c>
      <c r="AW214" s="31">
        <f t="shared" si="359"/>
        <v>0</v>
      </c>
      <c r="AX214" s="31">
        <f t="shared" si="359"/>
        <v>0</v>
      </c>
      <c r="AY214" s="31">
        <f t="shared" si="359"/>
        <v>0</v>
      </c>
      <c r="AZ214" s="31">
        <f t="shared" si="359"/>
        <v>0</v>
      </c>
      <c r="BA214" s="31">
        <f t="shared" si="359"/>
        <v>0</v>
      </c>
      <c r="BB214" s="31">
        <f t="shared" si="359"/>
        <v>0</v>
      </c>
      <c r="BC214" s="31">
        <f t="shared" si="359"/>
        <v>0</v>
      </c>
      <c r="BD214" s="31">
        <f t="shared" si="359"/>
        <v>0</v>
      </c>
      <c r="BE214" s="30">
        <f t="shared" si="360"/>
        <v>1</v>
      </c>
      <c r="BF214" s="620">
        <f t="shared" si="335"/>
        <v>1.0019134970774137</v>
      </c>
      <c r="BG214" s="620">
        <f t="shared" si="365"/>
        <v>1.0038394318858308</v>
      </c>
      <c r="BH214" s="620">
        <f t="shared" si="366"/>
        <v>1.0060761088681442</v>
      </c>
      <c r="BI214" s="620">
        <f t="shared" si="367"/>
        <v>1.0087802513397612</v>
      </c>
      <c r="BJ214" s="620">
        <f t="shared" si="368"/>
        <v>1.0121150599278141</v>
      </c>
      <c r="BK214" s="620">
        <f t="shared" si="369"/>
        <v>1.0156398010231777</v>
      </c>
      <c r="BL214" s="620">
        <f t="shared" si="370"/>
        <v>1.0182085710336335</v>
      </c>
      <c r="BM214" s="621" t="str">
        <f t="shared" si="371"/>
        <v>Project</v>
      </c>
    </row>
    <row r="215" spans="1:65" x14ac:dyDescent="0.15">
      <c r="A215" s="12" t="s">
        <v>442</v>
      </c>
      <c r="B215" s="13" t="s">
        <v>443</v>
      </c>
      <c r="C215" s="13" t="s">
        <v>27</v>
      </c>
      <c r="D215" s="13" t="s">
        <v>55</v>
      </c>
      <c r="E215" s="13" t="s">
        <v>112</v>
      </c>
      <c r="F215" s="14">
        <v>0</v>
      </c>
      <c r="G215" s="14">
        <v>0</v>
      </c>
      <c r="H215" s="14">
        <v>0</v>
      </c>
      <c r="I215" s="14">
        <v>0</v>
      </c>
      <c r="J215" s="14">
        <v>0</v>
      </c>
      <c r="K215" s="14">
        <v>0</v>
      </c>
      <c r="L215" s="14">
        <v>0</v>
      </c>
      <c r="M215" s="15">
        <v>0</v>
      </c>
      <c r="N215" s="804"/>
      <c r="O215" s="14"/>
      <c r="P215" s="15"/>
      <c r="Q215" s="16" t="str">
        <f>IF(ISTEXT('Incurred 2.5% cpi'!Q215),"",'Incurred 2.5% cpi'!Q215/'Incurred 2.5% cpi'!Q$14*Incurred!Q$14)</f>
        <v/>
      </c>
      <c r="R215" s="127" t="str">
        <f>IF(ISTEXT('Incurred 2.5% cpi'!R215),"",'Incurred 2.5% cpi'!R215/'Incurred 2.5% cpi'!R$14*Incurred!R$14*BF215)</f>
        <v/>
      </c>
      <c r="S215" s="119" t="str">
        <f>IF(ISTEXT('Incurred 2.5% cpi'!S215),"",'Incurred 2.5% cpi'!S215/'Incurred 2.5% cpi'!S$14*Incurred!S$14*BG215)</f>
        <v/>
      </c>
      <c r="T215" s="16" t="str">
        <f>IF(ISTEXT('Incurred 2.5% cpi'!T215),"",'Incurred 2.5% cpi'!T215/'Incurred 2.5% cpi'!T$14*Incurred!T$14*BH215)</f>
        <v/>
      </c>
      <c r="U215" s="16" t="str">
        <f>IF(ISTEXT('Incurred 2.5% cpi'!U215),"",'Incurred 2.5% cpi'!U215/'Incurred 2.5% cpi'!U$14*Incurred!U$14*BI215)</f>
        <v/>
      </c>
      <c r="V215" s="16">
        <f>IF(ISTEXT('Incurred 2.5% cpi'!V215),"",'Incurred 2.5% cpi'!V215/'Incurred 2.5% cpi'!V$14*Incurred!V$14*BJ215)</f>
        <v>35446.547205084797</v>
      </c>
      <c r="W215" s="127">
        <f>IF(ISTEXT('Incurred 2.5% cpi'!W215),"",'Incurred 2.5% cpi'!W215/'Incurred 2.5% cpi'!W$14*Incurred!W$14*BK215)</f>
        <v>890366.96837924095</v>
      </c>
      <c r="X215" s="119">
        <f>IF(ISTEXT('Incurred 2.5% cpi'!X215),"",'Incurred 2.5% cpi'!X215/'Incurred 2.5% cpi'!X$14*Incurred!X$14*BL215)</f>
        <v>967075.78916789277</v>
      </c>
      <c r="Y215" s="95">
        <f t="shared" si="345"/>
        <v>925813.51558432577</v>
      </c>
      <c r="Z215" s="95">
        <f t="shared" si="361"/>
        <v>925813.51558432577</v>
      </c>
      <c r="AA215" s="676">
        <f t="shared" si="354"/>
        <v>926511.81256426591</v>
      </c>
      <c r="AB215" s="676">
        <f t="shared" si="362"/>
        <v>926511.81256426591</v>
      </c>
      <c r="AC215" s="677">
        <f t="shared" si="331"/>
        <v>1</v>
      </c>
      <c r="AD215" s="678" t="str">
        <f t="shared" si="372"/>
        <v>2024</v>
      </c>
      <c r="AE215" s="679">
        <v>45505</v>
      </c>
      <c r="AF215" s="678">
        <v>2025</v>
      </c>
      <c r="AG215" s="680"/>
      <c r="AH215" s="676">
        <f t="shared" si="341"/>
        <v>840405.457909544</v>
      </c>
      <c r="AI215" s="95">
        <f t="shared" si="363"/>
        <v>967075.78916789277</v>
      </c>
      <c r="AJ215" s="681" t="s">
        <v>3058</v>
      </c>
      <c r="AK215" s="37">
        <f t="shared" si="364"/>
        <v>179999.99999999977</v>
      </c>
      <c r="AL215" s="31">
        <f t="shared" ref="AL215:BD215" si="373">IF($AK215=0,VLOOKUP(MID($A215,4,5),ProjectSplits,AL$20,FALSE),IF(ISNA(VLOOKUP($A215,Estimates,AL$19,FALSE)),VLOOKUP(MID($A215,4,5),ProjectSplits,AL$20,FALSE),VLOOKUP($A215,Estimates,AL$19,FALSE)))</f>
        <v>0</v>
      </c>
      <c r="AM215" s="31">
        <f t="shared" si="373"/>
        <v>0</v>
      </c>
      <c r="AN215" s="31">
        <f t="shared" si="373"/>
        <v>0</v>
      </c>
      <c r="AO215" s="31">
        <f t="shared" si="373"/>
        <v>1</v>
      </c>
      <c r="AP215" s="31">
        <f t="shared" si="373"/>
        <v>0</v>
      </c>
      <c r="AQ215" s="31">
        <f t="shared" si="373"/>
        <v>0</v>
      </c>
      <c r="AR215" s="31">
        <f t="shared" si="373"/>
        <v>0</v>
      </c>
      <c r="AS215" s="31">
        <f t="shared" si="373"/>
        <v>0</v>
      </c>
      <c r="AT215" s="31">
        <f t="shared" si="373"/>
        <v>0</v>
      </c>
      <c r="AU215" s="31">
        <f t="shared" si="373"/>
        <v>0</v>
      </c>
      <c r="AV215" s="31">
        <f t="shared" si="373"/>
        <v>0</v>
      </c>
      <c r="AW215" s="31">
        <f t="shared" si="373"/>
        <v>0</v>
      </c>
      <c r="AX215" s="31">
        <f t="shared" si="373"/>
        <v>0</v>
      </c>
      <c r="AY215" s="31">
        <f t="shared" si="373"/>
        <v>0</v>
      </c>
      <c r="AZ215" s="31">
        <f t="shared" si="373"/>
        <v>0</v>
      </c>
      <c r="BA215" s="31">
        <f t="shared" si="373"/>
        <v>0</v>
      </c>
      <c r="BB215" s="31">
        <f t="shared" si="373"/>
        <v>0</v>
      </c>
      <c r="BC215" s="31">
        <f t="shared" si="373"/>
        <v>0</v>
      </c>
      <c r="BD215" s="31">
        <f t="shared" si="373"/>
        <v>0</v>
      </c>
      <c r="BE215" s="30">
        <f>SUM(AL215:BD215)</f>
        <v>1</v>
      </c>
      <c r="BF215" s="620">
        <f t="shared" si="335"/>
        <v>1.0053374039268514</v>
      </c>
      <c r="BG215" s="620">
        <f t="shared" si="365"/>
        <v>1.0107095009792275</v>
      </c>
      <c r="BH215" s="620">
        <f t="shared" si="366"/>
        <v>1.0169483652290929</v>
      </c>
      <c r="BI215" s="620">
        <f t="shared" si="367"/>
        <v>1.0244911521071798</v>
      </c>
      <c r="BJ215" s="620">
        <f t="shared" si="368"/>
        <v>1.033793084502723</v>
      </c>
      <c r="BK215" s="620">
        <f t="shared" si="369"/>
        <v>1.0436248042297034</v>
      </c>
      <c r="BL215" s="620">
        <f t="shared" si="370"/>
        <v>1.0507899905802964</v>
      </c>
      <c r="BM215" s="621" t="str">
        <f t="shared" si="371"/>
        <v>Project</v>
      </c>
    </row>
    <row r="216" spans="1:65" x14ac:dyDescent="0.15">
      <c r="A216" s="12" t="s">
        <v>444</v>
      </c>
      <c r="B216" s="13" t="s">
        <v>2386</v>
      </c>
      <c r="C216" s="13" t="s">
        <v>27</v>
      </c>
      <c r="D216" s="13" t="s">
        <v>55</v>
      </c>
      <c r="E216" s="13" t="s">
        <v>112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0</v>
      </c>
      <c r="M216" s="15">
        <v>0</v>
      </c>
      <c r="N216" s="804"/>
      <c r="O216" s="14"/>
      <c r="P216" s="15"/>
      <c r="Q216" s="16" t="str">
        <f>IF(ISTEXT('Incurred 2.5% cpi'!Q216),"",'Incurred 2.5% cpi'!Q216/'Incurred 2.5% cpi'!Q$14*Incurred!Q$14)</f>
        <v/>
      </c>
      <c r="R216" s="127" t="str">
        <f>IF(ISTEXT('Incurred 2.5% cpi'!R216),"",'Incurred 2.5% cpi'!R216/'Incurred 2.5% cpi'!R$14*Incurred!R$14*BF216)</f>
        <v/>
      </c>
      <c r="S216" s="119" t="str">
        <f>IF(ISTEXT('Incurred 2.5% cpi'!S216),"",'Incurred 2.5% cpi'!S216/'Incurred 2.5% cpi'!S$14*Incurred!S$14*BG216)</f>
        <v/>
      </c>
      <c r="T216" s="16" t="str">
        <f>IF(ISTEXT('Incurred 2.5% cpi'!T216),"",'Incurred 2.5% cpi'!T216/'Incurred 2.5% cpi'!T$14*Incurred!T$14*BH216)</f>
        <v/>
      </c>
      <c r="U216" s="16" t="str">
        <f>IF(ISTEXT('Incurred 2.5% cpi'!U216),"",'Incurred 2.5% cpi'!U216/'Incurred 2.5% cpi'!U$14*Incurred!U$14*BI216)</f>
        <v/>
      </c>
      <c r="V216" s="16" t="str">
        <f>IF(ISTEXT('Incurred 2.5% cpi'!V216),"",'Incurred 2.5% cpi'!V216/'Incurred 2.5% cpi'!V$14*Incurred!V$14*BJ216)</f>
        <v/>
      </c>
      <c r="W216" s="127">
        <f>IF(ISTEXT('Incurred 2.5% cpi'!W216),"",'Incurred 2.5% cpi'!W216/'Incurred 2.5% cpi'!W$14*Incurred!W$14*BK216)</f>
        <v>721024.36107832275</v>
      </c>
      <c r="X216" s="119">
        <f>IF(ISTEXT('Incurred 2.5% cpi'!X216),"",'Incurred 2.5% cpi'!X216/'Incurred 2.5% cpi'!X$14*Incurred!X$14*BL216)</f>
        <v>686827.33098547452</v>
      </c>
      <c r="Y216" s="95">
        <f t="shared" si="345"/>
        <v>721024.36107832275</v>
      </c>
      <c r="Z216" s="95">
        <f t="shared" si="361"/>
        <v>721024.36107832275</v>
      </c>
      <c r="AA216" s="676">
        <f t="shared" si="354"/>
        <v>721024.36107832275</v>
      </c>
      <c r="AB216" s="676">
        <f t="shared" si="362"/>
        <v>721024.36107832275</v>
      </c>
      <c r="AC216" s="677">
        <f t="shared" si="331"/>
        <v>1</v>
      </c>
      <c r="AD216" s="678" t="str">
        <f t="shared" si="372"/>
        <v>2024</v>
      </c>
      <c r="AE216" s="679">
        <v>45386</v>
      </c>
      <c r="AF216" s="678">
        <v>2024</v>
      </c>
      <c r="AG216" s="680"/>
      <c r="AH216" s="676">
        <f t="shared" si="341"/>
        <v>654015.19993457547</v>
      </c>
      <c r="AI216" s="95">
        <f t="shared" si="363"/>
        <v>686827.33098547452</v>
      </c>
      <c r="AJ216" s="681" t="s">
        <v>3058</v>
      </c>
      <c r="AK216" s="37">
        <f t="shared" si="364"/>
        <v>287760.00000000023</v>
      </c>
      <c r="AL216" s="31">
        <f t="shared" ref="AL216:AU219" si="374">IF($AK216=0,VLOOKUP(MID($A216,4,5),ProjectSplits,AL$20,FALSE),IF(ISNA(VLOOKUP($A216,Estimates,AL$19,FALSE)),VLOOKUP(MID($A216,4,5),ProjectSplits,AL$20,FALSE),VLOOKUP($A216,Estimates,AL$19,FALSE)))</f>
        <v>0</v>
      </c>
      <c r="AM216" s="31">
        <f t="shared" si="374"/>
        <v>0</v>
      </c>
      <c r="AN216" s="31">
        <f t="shared" si="374"/>
        <v>0</v>
      </c>
      <c r="AO216" s="31">
        <f t="shared" si="374"/>
        <v>1</v>
      </c>
      <c r="AP216" s="31">
        <f t="shared" si="374"/>
        <v>0</v>
      </c>
      <c r="AQ216" s="31">
        <f t="shared" si="374"/>
        <v>0</v>
      </c>
      <c r="AR216" s="31">
        <f t="shared" si="374"/>
        <v>0</v>
      </c>
      <c r="AS216" s="31">
        <f t="shared" si="374"/>
        <v>0</v>
      </c>
      <c r="AT216" s="31">
        <f t="shared" si="374"/>
        <v>0</v>
      </c>
      <c r="AU216" s="31">
        <f t="shared" si="374"/>
        <v>0</v>
      </c>
      <c r="AV216" s="31">
        <f t="shared" ref="AV216:BD219" si="375">IF($AK216=0,VLOOKUP(MID($A216,4,5),ProjectSplits,AV$20,FALSE),IF(ISNA(VLOOKUP($A216,Estimates,AV$19,FALSE)),VLOOKUP(MID($A216,4,5),ProjectSplits,AV$20,FALSE),VLOOKUP($A216,Estimates,AV$19,FALSE)))</f>
        <v>0</v>
      </c>
      <c r="AW216" s="31">
        <f t="shared" si="375"/>
        <v>0</v>
      </c>
      <c r="AX216" s="31">
        <f t="shared" si="375"/>
        <v>0</v>
      </c>
      <c r="AY216" s="31">
        <f t="shared" si="375"/>
        <v>0</v>
      </c>
      <c r="AZ216" s="31">
        <f t="shared" si="375"/>
        <v>0</v>
      </c>
      <c r="BA216" s="31">
        <f t="shared" si="375"/>
        <v>0</v>
      </c>
      <c r="BB216" s="31">
        <f t="shared" si="375"/>
        <v>0</v>
      </c>
      <c r="BC216" s="31">
        <f t="shared" si="375"/>
        <v>0</v>
      </c>
      <c r="BD216" s="31">
        <f t="shared" si="375"/>
        <v>0</v>
      </c>
      <c r="BE216" s="30">
        <f t="shared" ref="BE216:BE219" si="376">SUM(AL216:BD216)</f>
        <v>1</v>
      </c>
      <c r="BF216" s="620">
        <f t="shared" si="335"/>
        <v>1.0045071410937858</v>
      </c>
      <c r="BG216" s="620">
        <f t="shared" si="365"/>
        <v>1.009043578604681</v>
      </c>
      <c r="BH216" s="620">
        <f t="shared" si="366"/>
        <v>1.014311952860123</v>
      </c>
      <c r="BI216" s="620">
        <f t="shared" si="367"/>
        <v>1.0206814173349519</v>
      </c>
      <c r="BJ216" s="620">
        <f t="shared" si="368"/>
        <v>1.0285363824689662</v>
      </c>
      <c r="BK216" s="620">
        <f t="shared" si="369"/>
        <v>1.0368387235717496</v>
      </c>
      <c r="BL216" s="620">
        <f t="shared" si="370"/>
        <v>1.0428893253789171</v>
      </c>
      <c r="BM216" s="621" t="str">
        <f t="shared" si="371"/>
        <v>Project</v>
      </c>
    </row>
    <row r="217" spans="1:65" x14ac:dyDescent="0.15">
      <c r="A217" s="12" t="s">
        <v>445</v>
      </c>
      <c r="B217" s="13" t="s">
        <v>2316</v>
      </c>
      <c r="C217" s="13" t="s">
        <v>27</v>
      </c>
      <c r="D217" s="13" t="s">
        <v>55</v>
      </c>
      <c r="E217" s="13" t="s">
        <v>112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5">
        <v>0</v>
      </c>
      <c r="N217" s="804"/>
      <c r="O217" s="14"/>
      <c r="P217" s="15"/>
      <c r="Q217" s="16" t="str">
        <f>IF(ISTEXT('Incurred 2.5% cpi'!Q217),"",'Incurred 2.5% cpi'!Q217/'Incurred 2.5% cpi'!Q$14*Incurred!Q$14)</f>
        <v/>
      </c>
      <c r="R217" s="127" t="str">
        <f>IF(ISTEXT('Incurred 2.5% cpi'!R217),"",'Incurred 2.5% cpi'!R217/'Incurred 2.5% cpi'!R$14*Incurred!R$14*BF217)</f>
        <v/>
      </c>
      <c r="S217" s="119" t="str">
        <f>IF(ISTEXT('Incurred 2.5% cpi'!S217),"",'Incurred 2.5% cpi'!S217/'Incurred 2.5% cpi'!S$14*Incurred!S$14*BG217)</f>
        <v/>
      </c>
      <c r="T217" s="16">
        <f>IF(ISTEXT('Incurred 2.5% cpi'!T217),"",'Incurred 2.5% cpi'!T217/'Incurred 2.5% cpi'!T$14*Incurred!T$14*BH217)</f>
        <v>25659.720373063898</v>
      </c>
      <c r="U217" s="16">
        <f>IF(ISTEXT('Incurred 2.5% cpi'!U217),"",'Incurred 2.5% cpi'!U217/'Incurred 2.5% cpi'!U$14*Incurred!U$14*BI217)</f>
        <v>1068579.8825142882</v>
      </c>
      <c r="V217" s="16">
        <f>IF(ISTEXT('Incurred 2.5% cpi'!V217),"",'Incurred 2.5% cpi'!V217/'Incurred 2.5% cpi'!V$14*Incurred!V$14*BJ217)</f>
        <v>1555599.9692897073</v>
      </c>
      <c r="W217" s="127" t="str">
        <f>IF(ISTEXT('Incurred 2.5% cpi'!W217),"",'Incurred 2.5% cpi'!W217/'Incurred 2.5% cpi'!W$14*Incurred!W$14*BK217)</f>
        <v/>
      </c>
      <c r="X217" s="119" t="str">
        <f>IF(ISTEXT('Incurred 2.5% cpi'!X217),"",'Incurred 2.5% cpi'!X217/'Incurred 2.5% cpi'!X$14*Incurred!X$14*BL217)</f>
        <v/>
      </c>
      <c r="Y217" s="95">
        <f t="shared" si="345"/>
        <v>2649839.572177059</v>
      </c>
      <c r="Z217" s="95">
        <f t="shared" si="361"/>
        <v>2649839.572177059</v>
      </c>
      <c r="AA217" s="676">
        <f t="shared" si="354"/>
        <v>2724548.2046045549</v>
      </c>
      <c r="AB217" s="676">
        <f t="shared" si="362"/>
        <v>2671911.5471261693</v>
      </c>
      <c r="AC217" s="677">
        <f t="shared" si="331"/>
        <v>1.0197000000000001</v>
      </c>
      <c r="AD217" s="678" t="str">
        <f t="shared" si="372"/>
        <v>2022</v>
      </c>
      <c r="AE217" s="679">
        <v>44582</v>
      </c>
      <c r="AF217" s="678">
        <v>2022</v>
      </c>
      <c r="AG217" s="680"/>
      <c r="AH217" s="676">
        <f t="shared" si="341"/>
        <v>2471339.437270795</v>
      </c>
      <c r="AI217" s="95">
        <f t="shared" si="363"/>
        <v>1555599.9692897073</v>
      </c>
      <c r="AJ217" s="681" t="s">
        <v>3058</v>
      </c>
      <c r="AK217" s="37">
        <f t="shared" si="364"/>
        <v>459999.99999999948</v>
      </c>
      <c r="AL217" s="31">
        <f t="shared" si="374"/>
        <v>0</v>
      </c>
      <c r="AM217" s="31">
        <f t="shared" si="374"/>
        <v>0</v>
      </c>
      <c r="AN217" s="31">
        <f t="shared" si="374"/>
        <v>0</v>
      </c>
      <c r="AO217" s="31">
        <f t="shared" si="374"/>
        <v>1</v>
      </c>
      <c r="AP217" s="31">
        <f t="shared" si="374"/>
        <v>0</v>
      </c>
      <c r="AQ217" s="31">
        <f t="shared" si="374"/>
        <v>0</v>
      </c>
      <c r="AR217" s="31">
        <f t="shared" si="374"/>
        <v>0</v>
      </c>
      <c r="AS217" s="31">
        <f t="shared" si="374"/>
        <v>0</v>
      </c>
      <c r="AT217" s="31">
        <f t="shared" si="374"/>
        <v>0</v>
      </c>
      <c r="AU217" s="31">
        <f t="shared" si="374"/>
        <v>0</v>
      </c>
      <c r="AV217" s="31">
        <f t="shared" si="375"/>
        <v>0</v>
      </c>
      <c r="AW217" s="31">
        <f t="shared" si="375"/>
        <v>0</v>
      </c>
      <c r="AX217" s="31">
        <f t="shared" si="375"/>
        <v>0</v>
      </c>
      <c r="AY217" s="31">
        <f t="shared" si="375"/>
        <v>0</v>
      </c>
      <c r="AZ217" s="31">
        <f t="shared" si="375"/>
        <v>0</v>
      </c>
      <c r="BA217" s="31">
        <f t="shared" si="375"/>
        <v>0</v>
      </c>
      <c r="BB217" s="31">
        <f t="shared" si="375"/>
        <v>0</v>
      </c>
      <c r="BC217" s="31">
        <f t="shared" si="375"/>
        <v>0</v>
      </c>
      <c r="BD217" s="31">
        <f t="shared" si="375"/>
        <v>0</v>
      </c>
      <c r="BE217" s="30">
        <f t="shared" si="376"/>
        <v>1</v>
      </c>
      <c r="BF217" s="620">
        <f t="shared" si="335"/>
        <v>1.0047443590460903</v>
      </c>
      <c r="BG217" s="620">
        <f t="shared" si="365"/>
        <v>1.00951955642598</v>
      </c>
      <c r="BH217" s="620">
        <f t="shared" si="366"/>
        <v>1.0150652135369715</v>
      </c>
      <c r="BI217" s="620">
        <f t="shared" si="367"/>
        <v>1.0217699129841598</v>
      </c>
      <c r="BJ217" s="620">
        <f t="shared" si="368"/>
        <v>1.0300382973357538</v>
      </c>
      <c r="BK217" s="620">
        <f t="shared" si="369"/>
        <v>1.0387776037597363</v>
      </c>
      <c r="BL217" s="620">
        <f t="shared" si="370"/>
        <v>1.0451466582935969</v>
      </c>
      <c r="BM217" s="621" t="str">
        <f t="shared" si="371"/>
        <v>Project</v>
      </c>
    </row>
    <row r="218" spans="1:65" x14ac:dyDescent="0.15">
      <c r="A218" s="12" t="s">
        <v>446</v>
      </c>
      <c r="B218" s="13" t="s">
        <v>2317</v>
      </c>
      <c r="C218" s="13" t="s">
        <v>27</v>
      </c>
      <c r="D218" s="13" t="s">
        <v>55</v>
      </c>
      <c r="E218" s="13" t="s">
        <v>112</v>
      </c>
      <c r="F218" s="14">
        <v>0</v>
      </c>
      <c r="G218" s="14">
        <v>0</v>
      </c>
      <c r="H218" s="14">
        <v>0</v>
      </c>
      <c r="I218" s="14">
        <v>0</v>
      </c>
      <c r="J218" s="14">
        <v>0</v>
      </c>
      <c r="K218" s="14">
        <v>0</v>
      </c>
      <c r="L218" s="14">
        <v>0</v>
      </c>
      <c r="M218" s="15">
        <v>0</v>
      </c>
      <c r="N218" s="804"/>
      <c r="O218" s="14"/>
      <c r="P218" s="15"/>
      <c r="Q218" s="16" t="str">
        <f>IF(ISTEXT('Incurred 2.5% cpi'!Q218),"",'Incurred 2.5% cpi'!Q218/'Incurred 2.5% cpi'!Q$14*Incurred!Q$14)</f>
        <v/>
      </c>
      <c r="R218" s="127" t="str">
        <f>IF(ISTEXT('Incurred 2.5% cpi'!R218),"",'Incurred 2.5% cpi'!R218/'Incurred 2.5% cpi'!R$14*Incurred!R$14*BF218)</f>
        <v/>
      </c>
      <c r="S218" s="119" t="str">
        <f>IF(ISTEXT('Incurred 2.5% cpi'!S218),"",'Incurred 2.5% cpi'!S218/'Incurred 2.5% cpi'!S$14*Incurred!S$14*BG218)</f>
        <v/>
      </c>
      <c r="T218" s="16">
        <f>IF(ISTEXT('Incurred 2.5% cpi'!T218),"",'Incurred 2.5% cpi'!T218/'Incurred 2.5% cpi'!T$14*Incurred!T$14*BH218)</f>
        <v>79069.160074310552</v>
      </c>
      <c r="U218" s="16">
        <f>IF(ISTEXT('Incurred 2.5% cpi'!U218),"",'Incurred 2.5% cpi'!U218/'Incurred 2.5% cpi'!U$14*Incurred!U$14*BI218)</f>
        <v>688525.49017800437</v>
      </c>
      <c r="V218" s="16">
        <f>IF(ISTEXT('Incurred 2.5% cpi'!V218),"",'Incurred 2.5% cpi'!V218/'Incurred 2.5% cpi'!V$14*Incurred!V$14*BJ218)</f>
        <v>913458.24961207225</v>
      </c>
      <c r="W218" s="127">
        <f>IF(ISTEXT('Incurred 2.5% cpi'!W218),"",'Incurred 2.5% cpi'!W218/'Incurred 2.5% cpi'!W$14*Incurred!W$14*BK218)</f>
        <v>832911.58619777858</v>
      </c>
      <c r="X218" s="119">
        <f>IF(ISTEXT('Incurred 2.5% cpi'!X218),"",'Incurred 2.5% cpi'!X218/'Incurred 2.5% cpi'!X$14*Incurred!X$14*BL218)</f>
        <v>6659.2782380344615</v>
      </c>
      <c r="Y218" s="95">
        <f t="shared" si="345"/>
        <v>2513964.4860621658</v>
      </c>
      <c r="Z218" s="95">
        <f t="shared" si="361"/>
        <v>2513964.4860621658</v>
      </c>
      <c r="AA218" s="676">
        <f t="shared" si="354"/>
        <v>2564120.377474633</v>
      </c>
      <c r="AB218" s="676">
        <f t="shared" si="362"/>
        <v>2564120.377474633</v>
      </c>
      <c r="AC218" s="677">
        <f t="shared" si="331"/>
        <v>1</v>
      </c>
      <c r="AD218" s="678" t="str">
        <f t="shared" si="372"/>
        <v>2024</v>
      </c>
      <c r="AE218" s="679">
        <v>44993</v>
      </c>
      <c r="AF218" s="678">
        <v>2023</v>
      </c>
      <c r="AG218" s="680"/>
      <c r="AH218" s="676">
        <f t="shared" si="341"/>
        <v>2325821.1398327868</v>
      </c>
      <c r="AI218" s="95">
        <f t="shared" si="363"/>
        <v>6659.2782380344615</v>
      </c>
      <c r="AJ218" s="681" t="s">
        <v>3058</v>
      </c>
      <c r="AK218" s="37">
        <f t="shared" si="364"/>
        <v>432300.00000000058</v>
      </c>
      <c r="AL218" s="31">
        <f t="shared" si="374"/>
        <v>0</v>
      </c>
      <c r="AM218" s="31">
        <f t="shared" si="374"/>
        <v>0</v>
      </c>
      <c r="AN218" s="31">
        <f t="shared" si="374"/>
        <v>0</v>
      </c>
      <c r="AO218" s="31">
        <f t="shared" si="374"/>
        <v>1</v>
      </c>
      <c r="AP218" s="31">
        <f t="shared" si="374"/>
        <v>0</v>
      </c>
      <c r="AQ218" s="31">
        <f t="shared" si="374"/>
        <v>0</v>
      </c>
      <c r="AR218" s="31">
        <f t="shared" si="374"/>
        <v>0</v>
      </c>
      <c r="AS218" s="31">
        <f t="shared" si="374"/>
        <v>0</v>
      </c>
      <c r="AT218" s="31">
        <f t="shared" si="374"/>
        <v>0</v>
      </c>
      <c r="AU218" s="31">
        <f t="shared" si="374"/>
        <v>0</v>
      </c>
      <c r="AV218" s="31">
        <f t="shared" si="375"/>
        <v>0</v>
      </c>
      <c r="AW218" s="31">
        <f t="shared" si="375"/>
        <v>0</v>
      </c>
      <c r="AX218" s="31">
        <f t="shared" si="375"/>
        <v>0</v>
      </c>
      <c r="AY218" s="31">
        <f t="shared" si="375"/>
        <v>0</v>
      </c>
      <c r="AZ218" s="31">
        <f t="shared" si="375"/>
        <v>0</v>
      </c>
      <c r="BA218" s="31">
        <f t="shared" si="375"/>
        <v>0</v>
      </c>
      <c r="BB218" s="31">
        <f t="shared" si="375"/>
        <v>0</v>
      </c>
      <c r="BC218" s="31">
        <f t="shared" si="375"/>
        <v>0</v>
      </c>
      <c r="BD218" s="31">
        <f t="shared" si="375"/>
        <v>0</v>
      </c>
      <c r="BE218" s="30">
        <f t="shared" si="376"/>
        <v>1</v>
      </c>
      <c r="BF218" s="620">
        <f t="shared" si="335"/>
        <v>1.0047448133904682</v>
      </c>
      <c r="BG218" s="620">
        <f t="shared" si="365"/>
        <v>1.0095204680679744</v>
      </c>
      <c r="BH218" s="620">
        <f t="shared" si="366"/>
        <v>1.0150666562597939</v>
      </c>
      <c r="BI218" s="620">
        <f t="shared" si="367"/>
        <v>1.0217719977837032</v>
      </c>
      <c r="BJ218" s="620">
        <f t="shared" si="368"/>
        <v>1.030041173958578</v>
      </c>
      <c r="BK218" s="620">
        <f t="shared" si="369"/>
        <v>1.0387813173037761</v>
      </c>
      <c r="BL218" s="620">
        <f t="shared" si="370"/>
        <v>1.0451509817712636</v>
      </c>
      <c r="BM218" s="621" t="str">
        <f t="shared" si="371"/>
        <v>Project</v>
      </c>
    </row>
    <row r="219" spans="1:65" x14ac:dyDescent="0.15">
      <c r="A219" s="12" t="s">
        <v>447</v>
      </c>
      <c r="B219" s="13" t="s">
        <v>2319</v>
      </c>
      <c r="C219" s="13" t="s">
        <v>27</v>
      </c>
      <c r="D219" s="13" t="s">
        <v>55</v>
      </c>
      <c r="E219" s="13" t="s">
        <v>112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5">
        <v>0</v>
      </c>
      <c r="N219" s="804"/>
      <c r="O219" s="14"/>
      <c r="P219" s="15"/>
      <c r="Q219" s="16" t="str">
        <f>IF(ISTEXT('Incurred 2.5% cpi'!Q219),"",'Incurred 2.5% cpi'!Q219/'Incurred 2.5% cpi'!Q$14*Incurred!Q$14)</f>
        <v/>
      </c>
      <c r="R219" s="127" t="str">
        <f>IF(ISTEXT('Incurred 2.5% cpi'!R219),"",'Incurred 2.5% cpi'!R219/'Incurred 2.5% cpi'!R$14*Incurred!R$14*BF219)</f>
        <v/>
      </c>
      <c r="S219" s="119" t="str">
        <f>IF(ISTEXT('Incurred 2.5% cpi'!S219),"",'Incurred 2.5% cpi'!S219/'Incurred 2.5% cpi'!S$14*Incurred!S$14*BG219)</f>
        <v/>
      </c>
      <c r="T219" s="16" t="str">
        <f>IF(ISTEXT('Incurred 2.5% cpi'!T219),"",'Incurred 2.5% cpi'!T219/'Incurred 2.5% cpi'!T$14*Incurred!T$14*BH219)</f>
        <v/>
      </c>
      <c r="U219" s="16" t="str">
        <f>IF(ISTEXT('Incurred 2.5% cpi'!U219),"",'Incurred 2.5% cpi'!U219/'Incurred 2.5% cpi'!U$14*Incurred!U$14*BI219)</f>
        <v/>
      </c>
      <c r="V219" s="16">
        <f>IF(ISTEXT('Incurred 2.5% cpi'!V219),"",'Incurred 2.5% cpi'!V219/'Incurred 2.5% cpi'!V$14*Incurred!V$14*BJ219)</f>
        <v>241688.11452646638</v>
      </c>
      <c r="W219" s="127">
        <f>IF(ISTEXT('Incurred 2.5% cpi'!W219),"",'Incurred 2.5% cpi'!W219/'Incurred 2.5% cpi'!W$14*Incurred!W$14*BK219)</f>
        <v>231768.34943270378</v>
      </c>
      <c r="X219" s="119" t="str">
        <f>IF(ISTEXT('Incurred 2.5% cpi'!X219),"",'Incurred 2.5% cpi'!X219/'Incurred 2.5% cpi'!X$14*Incurred!X$14*BL219)</f>
        <v/>
      </c>
      <c r="Y219" s="95">
        <f t="shared" si="345"/>
        <v>473456.46395917016</v>
      </c>
      <c r="Z219" s="95">
        <f t="shared" si="361"/>
        <v>473456.46395917016</v>
      </c>
      <c r="AA219" s="676">
        <f t="shared" si="354"/>
        <v>478217.71981534152</v>
      </c>
      <c r="AB219" s="676">
        <f t="shared" si="362"/>
        <v>478217.71981534152</v>
      </c>
      <c r="AC219" s="677">
        <f t="shared" si="331"/>
        <v>1</v>
      </c>
      <c r="AD219" s="678" t="str">
        <f t="shared" ref="AD219:AD257" si="377">IF(AI219=0,"",INDEX($F$21:$W$21,1,MATCH(AI219,F219:W219,0)))</f>
        <v>2023</v>
      </c>
      <c r="AE219" s="679">
        <v>45020</v>
      </c>
      <c r="AF219" s="678">
        <v>2023</v>
      </c>
      <c r="AG219" s="680"/>
      <c r="AH219" s="676">
        <f t="shared" si="341"/>
        <v>433774.05053213314</v>
      </c>
      <c r="AI219" s="95">
        <f t="shared" si="363"/>
        <v>231768.34943270378</v>
      </c>
      <c r="AJ219" s="681" t="s">
        <v>3058</v>
      </c>
      <c r="AK219" s="37">
        <f t="shared" si="364"/>
        <v>80000</v>
      </c>
      <c r="AL219" s="31">
        <f t="shared" si="374"/>
        <v>0</v>
      </c>
      <c r="AM219" s="31">
        <f t="shared" si="374"/>
        <v>0</v>
      </c>
      <c r="AN219" s="31">
        <f t="shared" si="374"/>
        <v>0</v>
      </c>
      <c r="AO219" s="31">
        <f t="shared" si="374"/>
        <v>1</v>
      </c>
      <c r="AP219" s="31">
        <f t="shared" si="374"/>
        <v>0</v>
      </c>
      <c r="AQ219" s="31">
        <f t="shared" si="374"/>
        <v>0</v>
      </c>
      <c r="AR219" s="31">
        <f t="shared" si="374"/>
        <v>0</v>
      </c>
      <c r="AS219" s="31">
        <f t="shared" si="374"/>
        <v>0</v>
      </c>
      <c r="AT219" s="31">
        <f t="shared" si="374"/>
        <v>0</v>
      </c>
      <c r="AU219" s="31">
        <f t="shared" si="374"/>
        <v>0</v>
      </c>
      <c r="AV219" s="31">
        <f t="shared" si="375"/>
        <v>0</v>
      </c>
      <c r="AW219" s="31">
        <f t="shared" si="375"/>
        <v>0</v>
      </c>
      <c r="AX219" s="31">
        <f t="shared" si="375"/>
        <v>0</v>
      </c>
      <c r="AY219" s="31">
        <f t="shared" si="375"/>
        <v>0</v>
      </c>
      <c r="AZ219" s="31">
        <f t="shared" si="375"/>
        <v>0</v>
      </c>
      <c r="BA219" s="31">
        <f t="shared" si="375"/>
        <v>0</v>
      </c>
      <c r="BB219" s="31">
        <f t="shared" si="375"/>
        <v>0</v>
      </c>
      <c r="BC219" s="31">
        <f t="shared" si="375"/>
        <v>0</v>
      </c>
      <c r="BD219" s="31">
        <f t="shared" si="375"/>
        <v>0</v>
      </c>
      <c r="BE219" s="30">
        <f t="shared" si="376"/>
        <v>1</v>
      </c>
      <c r="BF219" s="620">
        <f t="shared" si="335"/>
        <v>1.0047443590460903</v>
      </c>
      <c r="BG219" s="620">
        <f t="shared" si="365"/>
        <v>1.00951955642598</v>
      </c>
      <c r="BH219" s="620">
        <f t="shared" si="366"/>
        <v>1.0150652135369715</v>
      </c>
      <c r="BI219" s="620">
        <f t="shared" si="367"/>
        <v>1.02176991298416</v>
      </c>
      <c r="BJ219" s="620">
        <f t="shared" si="368"/>
        <v>1.0300382973357538</v>
      </c>
      <c r="BK219" s="620">
        <f t="shared" si="369"/>
        <v>1.0387776037597365</v>
      </c>
      <c r="BL219" s="620">
        <f t="shared" si="370"/>
        <v>1.0451466582935969</v>
      </c>
      <c r="BM219" s="621" t="str">
        <f t="shared" si="371"/>
        <v>Project</v>
      </c>
    </row>
    <row r="220" spans="1:65" x14ac:dyDescent="0.15">
      <c r="A220" s="12" t="s">
        <v>449</v>
      </c>
      <c r="B220" s="13" t="s">
        <v>2320</v>
      </c>
      <c r="C220" s="13" t="s">
        <v>27</v>
      </c>
      <c r="D220" s="13" t="s">
        <v>40</v>
      </c>
      <c r="E220" s="13" t="s">
        <v>112</v>
      </c>
      <c r="F220" s="14">
        <v>0</v>
      </c>
      <c r="G220" s="14">
        <v>0</v>
      </c>
      <c r="H220" s="14">
        <v>0</v>
      </c>
      <c r="I220" s="14">
        <v>0</v>
      </c>
      <c r="J220" s="14">
        <v>0</v>
      </c>
      <c r="K220" s="14">
        <v>0</v>
      </c>
      <c r="L220" s="14">
        <v>0</v>
      </c>
      <c r="M220" s="15">
        <v>0</v>
      </c>
      <c r="N220" s="804"/>
      <c r="O220" s="14"/>
      <c r="P220" s="15"/>
      <c r="Q220" s="16" t="str">
        <f>IF(ISTEXT('Incurred 2.5% cpi'!Q220),"",'Incurred 2.5% cpi'!Q220/'Incurred 2.5% cpi'!Q$14*Incurred!Q$14)</f>
        <v/>
      </c>
      <c r="R220" s="127" t="str">
        <f>IF(ISTEXT('Incurred 2.5% cpi'!R220),"",'Incurred 2.5% cpi'!R220/'Incurred 2.5% cpi'!R$14*Incurred!R$14*BF220)</f>
        <v/>
      </c>
      <c r="S220" s="119" t="str">
        <f>IF(ISTEXT('Incurred 2.5% cpi'!S220),"",'Incurred 2.5% cpi'!S220/'Incurred 2.5% cpi'!S$14*Incurred!S$14*BG220)</f>
        <v/>
      </c>
      <c r="T220" s="16">
        <f>IF(ISTEXT('Incurred 2.5% cpi'!T220),"",'Incurred 2.5% cpi'!T220/'Incurred 2.5% cpi'!T$14*Incurred!T$14*BH220)</f>
        <v>151857.03709350163</v>
      </c>
      <c r="U220" s="16">
        <f>IF(ISTEXT('Incurred 2.5% cpi'!U220),"",'Incurred 2.5% cpi'!U220/'Incurred 2.5% cpi'!U$14*Incurred!U$14*BI220)</f>
        <v>361672.33875451953</v>
      </c>
      <c r="V220" s="16">
        <f>IF(ISTEXT('Incurred 2.5% cpi'!V220),"",'Incurred 2.5% cpi'!V220/'Incurred 2.5% cpi'!V$14*Incurred!V$14*BJ220)</f>
        <v>271161.05630484316</v>
      </c>
      <c r="W220" s="127">
        <f>IF(ISTEXT('Incurred 2.5% cpi'!W220),"",'Incurred 2.5% cpi'!W220/'Incurred 2.5% cpi'!W$14*Incurred!W$14*BK220)</f>
        <v>197356.64862951278</v>
      </c>
      <c r="X220" s="119" t="str">
        <f>IF(ISTEXT('Incurred 2.5% cpi'!X220),"",'Incurred 2.5% cpi'!X220/'Incurred 2.5% cpi'!X$14*Incurred!X$14*BL220)</f>
        <v/>
      </c>
      <c r="Y220" s="95">
        <f t="shared" si="345"/>
        <v>982047.08078237704</v>
      </c>
      <c r="Z220" s="95">
        <f t="shared" si="361"/>
        <v>982047.08078237704</v>
      </c>
      <c r="AA220" s="676">
        <f t="shared" si="354"/>
        <v>1010931.9196449519</v>
      </c>
      <c r="AB220" s="676">
        <f t="shared" si="362"/>
        <v>1010931.9196449519</v>
      </c>
      <c r="AC220" s="677">
        <f t="shared" si="331"/>
        <v>1</v>
      </c>
      <c r="AD220" s="678" t="str">
        <f t="shared" si="377"/>
        <v>2023</v>
      </c>
      <c r="AE220" s="679">
        <v>44922</v>
      </c>
      <c r="AF220" s="678">
        <v>2023</v>
      </c>
      <c r="AG220" s="680"/>
      <c r="AH220" s="676">
        <f t="shared" si="341"/>
        <v>916979.89310380188</v>
      </c>
      <c r="AI220" s="95">
        <f t="shared" si="363"/>
        <v>197356.64862951278</v>
      </c>
      <c r="AJ220" s="681" t="s">
        <v>3058</v>
      </c>
      <c r="AK220" s="37">
        <f t="shared" si="364"/>
        <v>160000.00000000009</v>
      </c>
      <c r="AL220" s="31">
        <f t="shared" ref="AL220:BD220" si="378">IF($AK220=0,VLOOKUP(MID($A220,4,5),ProjectSplits,AL$20,FALSE),IF(ISNA(VLOOKUP($A220,Estimates,AL$19,FALSE)),VLOOKUP(MID($A220,4,5),ProjectSplits,AL$20,FALSE),VLOOKUP($A220,Estimates,AL$19,FALSE)))</f>
        <v>0</v>
      </c>
      <c r="AM220" s="31">
        <f t="shared" si="378"/>
        <v>0</v>
      </c>
      <c r="AN220" s="31">
        <f t="shared" si="378"/>
        <v>0</v>
      </c>
      <c r="AO220" s="31">
        <f t="shared" si="378"/>
        <v>1</v>
      </c>
      <c r="AP220" s="31">
        <f t="shared" si="378"/>
        <v>0</v>
      </c>
      <c r="AQ220" s="31">
        <f t="shared" si="378"/>
        <v>0</v>
      </c>
      <c r="AR220" s="31">
        <f t="shared" si="378"/>
        <v>0</v>
      </c>
      <c r="AS220" s="31">
        <f t="shared" si="378"/>
        <v>0</v>
      </c>
      <c r="AT220" s="31">
        <f t="shared" si="378"/>
        <v>0</v>
      </c>
      <c r="AU220" s="31">
        <f t="shared" si="378"/>
        <v>0</v>
      </c>
      <c r="AV220" s="31">
        <f t="shared" si="378"/>
        <v>0</v>
      </c>
      <c r="AW220" s="31">
        <f t="shared" si="378"/>
        <v>0</v>
      </c>
      <c r="AX220" s="31">
        <f t="shared" si="378"/>
        <v>0</v>
      </c>
      <c r="AY220" s="31">
        <f t="shared" si="378"/>
        <v>0</v>
      </c>
      <c r="AZ220" s="31">
        <f t="shared" si="378"/>
        <v>0</v>
      </c>
      <c r="BA220" s="31">
        <f t="shared" si="378"/>
        <v>0</v>
      </c>
      <c r="BB220" s="31">
        <f t="shared" si="378"/>
        <v>0</v>
      </c>
      <c r="BC220" s="31">
        <f t="shared" si="378"/>
        <v>0</v>
      </c>
      <c r="BD220" s="31">
        <f t="shared" si="378"/>
        <v>0</v>
      </c>
      <c r="BE220" s="30">
        <f>SUM(AL220:BD220)</f>
        <v>1</v>
      </c>
      <c r="BF220" s="620">
        <f t="shared" si="335"/>
        <v>1.0047446842747898</v>
      </c>
      <c r="BG220" s="620">
        <f t="shared" si="365"/>
        <v>1.0095202089973658</v>
      </c>
      <c r="BH220" s="620">
        <f t="shared" si="366"/>
        <v>1.015066246266527</v>
      </c>
      <c r="BI220" s="620">
        <f t="shared" si="367"/>
        <v>1.0217714053249423</v>
      </c>
      <c r="BJ220" s="620">
        <f t="shared" si="368"/>
        <v>1.030040356479315</v>
      </c>
      <c r="BK220" s="620">
        <f t="shared" si="369"/>
        <v>1.0387802619880711</v>
      </c>
      <c r="BL220" s="620">
        <f t="shared" si="370"/>
        <v>1.0451497531244955</v>
      </c>
      <c r="BM220" s="621" t="str">
        <f t="shared" si="371"/>
        <v>Project</v>
      </c>
    </row>
    <row r="221" spans="1:65" x14ac:dyDescent="0.15">
      <c r="A221" s="12" t="s">
        <v>450</v>
      </c>
      <c r="B221" s="13" t="s">
        <v>451</v>
      </c>
      <c r="C221" s="13" t="s">
        <v>27</v>
      </c>
      <c r="D221" s="13" t="s">
        <v>28</v>
      </c>
      <c r="E221" s="13" t="s">
        <v>32</v>
      </c>
      <c r="F221" s="14">
        <v>0</v>
      </c>
      <c r="G221" s="14">
        <v>0</v>
      </c>
      <c r="H221" s="14">
        <v>0</v>
      </c>
      <c r="I221" s="14">
        <v>0</v>
      </c>
      <c r="J221" s="14">
        <v>0</v>
      </c>
      <c r="K221" s="14">
        <v>0</v>
      </c>
      <c r="L221" s="14">
        <v>0</v>
      </c>
      <c r="M221" s="15">
        <v>0</v>
      </c>
      <c r="N221" s="804">
        <v>227479.92</v>
      </c>
      <c r="O221" s="14">
        <v>915419.84</v>
      </c>
      <c r="P221" s="15">
        <v>110131.04</v>
      </c>
      <c r="Q221" s="16" t="str">
        <f>IF(ISTEXT('Incurred 2.5% cpi'!Q221),"",'Incurred 2.5% cpi'!Q221/'Incurred 2.5% cpi'!Q$14*Incurred!Q$14)</f>
        <v/>
      </c>
      <c r="R221" s="127" t="str">
        <f>IF(ISTEXT('Incurred 2.5% cpi'!R221),"",'Incurred 2.5% cpi'!R221/'Incurred 2.5% cpi'!R$14*Incurred!R$14*BF221)</f>
        <v/>
      </c>
      <c r="S221" s="119" t="str">
        <f>IF(ISTEXT('Incurred 2.5% cpi'!S221),"",'Incurred 2.5% cpi'!S221/'Incurred 2.5% cpi'!S$14*Incurred!S$14*BG221)</f>
        <v/>
      </c>
      <c r="T221" s="16" t="str">
        <f>IF(ISTEXT('Incurred 2.5% cpi'!T221),"",'Incurred 2.5% cpi'!T221/'Incurred 2.5% cpi'!T$14*Incurred!T$14*BH221)</f>
        <v/>
      </c>
      <c r="U221" s="16" t="str">
        <f>IF(ISTEXT('Incurred 2.5% cpi'!U221),"",'Incurred 2.5% cpi'!U221/'Incurred 2.5% cpi'!U$14*Incurred!U$14*BI221)</f>
        <v/>
      </c>
      <c r="V221" s="16" t="str">
        <f>IF(ISTEXT('Incurred 2.5% cpi'!V221),"",'Incurred 2.5% cpi'!V221/'Incurred 2.5% cpi'!V$14*Incurred!V$14*BJ221)</f>
        <v/>
      </c>
      <c r="W221" s="127" t="str">
        <f>IF(ISTEXT('Incurred 2.5% cpi'!W221),"",'Incurred 2.5% cpi'!W221/'Incurred 2.5% cpi'!W$14*Incurred!W$14*BK221)</f>
        <v/>
      </c>
      <c r="X221" s="119" t="str">
        <f>IF(ISTEXT('Incurred 2.5% cpi'!X221),"",'Incurred 2.5% cpi'!X221/'Incurred 2.5% cpi'!X$14*Incurred!X$14*BL221)</f>
        <v/>
      </c>
      <c r="Y221" s="95">
        <f t="shared" si="345"/>
        <v>1253030.8</v>
      </c>
      <c r="Z221" s="95">
        <f t="shared" si="361"/>
        <v>1253030.8</v>
      </c>
      <c r="AA221" s="676">
        <f t="shared" ref="AA221:AA236" si="379">IF(ROUND(Y221,0)=0,0,SUMPRODUCT($F$17:$W$17,F221:W221))</f>
        <v>1457060.8876998201</v>
      </c>
      <c r="AB221" s="676">
        <f t="shared" si="362"/>
        <v>1254627.3691844817</v>
      </c>
      <c r="AC221" s="677">
        <f t="shared" ref="AC221:AC270" si="380">IF(AF221="","",IF(AF221&lt;AD221,INDEX($F$17:$W$17,1,MATCH(TEXT(AF221,"000"),$F$21:$W$21)),INDEX($F$17:$W$17,1,MATCH(AD221,$F$21:$W$21))))</f>
        <v>1.161349515790431</v>
      </c>
      <c r="AD221" s="678" t="str">
        <f t="shared" si="377"/>
        <v>2016</v>
      </c>
      <c r="AE221" s="679">
        <v>41943</v>
      </c>
      <c r="AF221" s="678">
        <v>2015</v>
      </c>
      <c r="AG221" s="680"/>
      <c r="AH221" s="676">
        <f t="shared" ref="AH221:AH236" si="381">IF(ROUND(Y221,0)=0,0,SUMPRODUCT($F$16:$W$16,F221:W221))</f>
        <v>1321647.3939392078</v>
      </c>
      <c r="AI221" s="95">
        <f t="shared" si="363"/>
        <v>110131.04</v>
      </c>
      <c r="AJ221" s="681" t="s">
        <v>0</v>
      </c>
      <c r="AK221" s="37">
        <f t="shared" si="364"/>
        <v>0</v>
      </c>
      <c r="AL221" s="31">
        <f t="shared" ref="AL221:AU230" si="382">IF($AK221=0,VLOOKUP(MID($A221,4,5),ProjectSplits,AL$20,FALSE),IF(ISNA(VLOOKUP($A221,Estimates,AL$19,FALSE)),VLOOKUP(MID($A221,4,5),ProjectSplits,AL$20,FALSE),VLOOKUP($A221,Estimates,AL$19,FALSE)))</f>
        <v>0</v>
      </c>
      <c r="AM221" s="31">
        <f t="shared" si="382"/>
        <v>0</v>
      </c>
      <c r="AN221" s="31">
        <f t="shared" si="382"/>
        <v>0</v>
      </c>
      <c r="AO221" s="31">
        <f t="shared" si="382"/>
        <v>0</v>
      </c>
      <c r="AP221" s="31">
        <f t="shared" si="382"/>
        <v>0</v>
      </c>
      <c r="AQ221" s="31">
        <f t="shared" si="382"/>
        <v>0</v>
      </c>
      <c r="AR221" s="31">
        <f t="shared" si="382"/>
        <v>0</v>
      </c>
      <c r="AS221" s="31">
        <f t="shared" si="382"/>
        <v>0</v>
      </c>
      <c r="AT221" s="31">
        <f t="shared" si="382"/>
        <v>0</v>
      </c>
      <c r="AU221" s="31">
        <f t="shared" si="382"/>
        <v>0</v>
      </c>
      <c r="AV221" s="31">
        <f t="shared" ref="AV221:BD230" si="383">IF($AK221=0,VLOOKUP(MID($A221,4,5),ProjectSplits,AV$20,FALSE),IF(ISNA(VLOOKUP($A221,Estimates,AV$19,FALSE)),VLOOKUP(MID($A221,4,5),ProjectSplits,AV$20,FALSE),VLOOKUP($A221,Estimates,AV$19,FALSE)))</f>
        <v>0</v>
      </c>
      <c r="AW221" s="31">
        <f t="shared" si="383"/>
        <v>0</v>
      </c>
      <c r="AX221" s="31">
        <f t="shared" si="383"/>
        <v>0</v>
      </c>
      <c r="AY221" s="31">
        <f t="shared" si="383"/>
        <v>0</v>
      </c>
      <c r="AZ221" s="31">
        <f t="shared" si="383"/>
        <v>1</v>
      </c>
      <c r="BA221" s="31">
        <f t="shared" si="383"/>
        <v>0</v>
      </c>
      <c r="BB221" s="31">
        <f t="shared" si="383"/>
        <v>0</v>
      </c>
      <c r="BC221" s="31">
        <f t="shared" si="383"/>
        <v>0</v>
      </c>
      <c r="BD221" s="31">
        <f t="shared" si="383"/>
        <v>0</v>
      </c>
      <c r="BE221" s="30">
        <f t="shared" ref="BE221:BE236" si="384">SUM(AL221:BD221)</f>
        <v>1</v>
      </c>
      <c r="BF221" s="620">
        <f t="shared" ref="BF221:BF271" si="385">1+IF(ISNA(VLOOKUP($A221,ProjLabEsc,7,FALSE)),VLOOKUP(D221,CatLabEsc,4,FALSE),VLOOKUP(A221,ProjLabEsc,7,FALSE))*Labesc18*LabIn</f>
        <v>1.0030444840366091</v>
      </c>
      <c r="BG221" s="620">
        <f t="shared" si="365"/>
        <v>1.0061087572194563</v>
      </c>
      <c r="BH221" s="620">
        <f t="shared" si="366"/>
        <v>1.0096674390946898</v>
      </c>
      <c r="BI221" s="620">
        <f t="shared" si="367"/>
        <v>1.0139698854818469</v>
      </c>
      <c r="BJ221" s="620">
        <f t="shared" si="368"/>
        <v>1.0192757579764089</v>
      </c>
      <c r="BK221" s="620">
        <f t="shared" si="369"/>
        <v>1.0248838240271385</v>
      </c>
      <c r="BL221" s="620">
        <f t="shared" si="370"/>
        <v>1.0289708850333266</v>
      </c>
      <c r="BM221" s="621" t="str">
        <f t="shared" si="371"/>
        <v>Category</v>
      </c>
    </row>
    <row r="222" spans="1:65" x14ac:dyDescent="0.15">
      <c r="A222" s="12" t="s">
        <v>452</v>
      </c>
      <c r="B222" s="13" t="s">
        <v>2387</v>
      </c>
      <c r="C222" s="13" t="s">
        <v>27</v>
      </c>
      <c r="D222" s="13" t="s">
        <v>107</v>
      </c>
      <c r="E222" s="13" t="s">
        <v>32</v>
      </c>
      <c r="F222" s="14">
        <v>0</v>
      </c>
      <c r="G222" s="14">
        <v>0</v>
      </c>
      <c r="H222" s="14">
        <v>0</v>
      </c>
      <c r="I222" s="14">
        <v>0</v>
      </c>
      <c r="J222" s="14">
        <v>0</v>
      </c>
      <c r="K222" s="14">
        <v>0</v>
      </c>
      <c r="L222" s="14">
        <v>0</v>
      </c>
      <c r="M222" s="15">
        <v>0</v>
      </c>
      <c r="N222" s="804"/>
      <c r="O222" s="14">
        <v>290805.39</v>
      </c>
      <c r="P222" s="15">
        <v>29718.66</v>
      </c>
      <c r="Q222" s="16">
        <f>IF(ISTEXT('Incurred 2.5% cpi'!Q222),"",'Incurred 2.5% cpi'!Q222/'Incurred 2.5% cpi'!Q$14*Incurred!Q$14)</f>
        <v>2639.76</v>
      </c>
      <c r="R222" s="127" t="str">
        <f>IF(ISTEXT('Incurred 2.5% cpi'!R222),"",'Incurred 2.5% cpi'!R222/'Incurred 2.5% cpi'!R$14*Incurred!R$14*BF222)</f>
        <v/>
      </c>
      <c r="S222" s="119" t="str">
        <f>IF(ISTEXT('Incurred 2.5% cpi'!S222),"",'Incurred 2.5% cpi'!S222/'Incurred 2.5% cpi'!S$14*Incurred!S$14*BG222)</f>
        <v/>
      </c>
      <c r="T222" s="16" t="str">
        <f>IF(ISTEXT('Incurred 2.5% cpi'!T222),"",'Incurred 2.5% cpi'!T222/'Incurred 2.5% cpi'!T$14*Incurred!T$14*BH222)</f>
        <v/>
      </c>
      <c r="U222" s="16" t="str">
        <f>IF(ISTEXT('Incurred 2.5% cpi'!U222),"",'Incurred 2.5% cpi'!U222/'Incurred 2.5% cpi'!U$14*Incurred!U$14*BI222)</f>
        <v/>
      </c>
      <c r="V222" s="16" t="str">
        <f>IF(ISTEXT('Incurred 2.5% cpi'!V222),"",'Incurred 2.5% cpi'!V222/'Incurred 2.5% cpi'!V$14*Incurred!V$14*BJ222)</f>
        <v/>
      </c>
      <c r="W222" s="127" t="str">
        <f>IF(ISTEXT('Incurred 2.5% cpi'!W222),"",'Incurred 2.5% cpi'!W222/'Incurred 2.5% cpi'!W$14*Incurred!W$14*BK222)</f>
        <v/>
      </c>
      <c r="X222" s="119" t="str">
        <f>IF(ISTEXT('Incurred 2.5% cpi'!X222),"",'Incurred 2.5% cpi'!X222/'Incurred 2.5% cpi'!X$14*Incurred!X$14*BL222)</f>
        <v/>
      </c>
      <c r="Y222" s="95">
        <f t="shared" si="345"/>
        <v>323163.81</v>
      </c>
      <c r="Z222" s="95">
        <f t="shared" si="361"/>
        <v>323163.81</v>
      </c>
      <c r="AA222" s="676">
        <f t="shared" si="379"/>
        <v>374761.43302230252</v>
      </c>
      <c r="AB222" s="676">
        <f t="shared" si="362"/>
        <v>333365.28695593833</v>
      </c>
      <c r="AC222" s="677">
        <f t="shared" si="380"/>
        <v>1.1241765345287305</v>
      </c>
      <c r="AD222" s="678" t="str">
        <f t="shared" si="377"/>
        <v>2017</v>
      </c>
      <c r="AE222" s="679">
        <v>42584</v>
      </c>
      <c r="AF222" s="678">
        <v>2017</v>
      </c>
      <c r="AG222" s="680"/>
      <c r="AH222" s="676">
        <f t="shared" si="381"/>
        <v>339932.58310897026</v>
      </c>
      <c r="AI222" s="95">
        <f t="shared" si="363"/>
        <v>2639.76</v>
      </c>
      <c r="AJ222" s="681" t="s">
        <v>0</v>
      </c>
      <c r="AK222" s="37">
        <f t="shared" si="364"/>
        <v>0</v>
      </c>
      <c r="AL222" s="31">
        <f t="shared" si="382"/>
        <v>0</v>
      </c>
      <c r="AM222" s="31">
        <f t="shared" si="382"/>
        <v>0</v>
      </c>
      <c r="AN222" s="31">
        <f t="shared" si="382"/>
        <v>0</v>
      </c>
      <c r="AO222" s="31">
        <f t="shared" si="382"/>
        <v>1</v>
      </c>
      <c r="AP222" s="31">
        <f t="shared" si="382"/>
        <v>0</v>
      </c>
      <c r="AQ222" s="31">
        <f t="shared" si="382"/>
        <v>0</v>
      </c>
      <c r="AR222" s="31">
        <f t="shared" si="382"/>
        <v>0</v>
      </c>
      <c r="AS222" s="31">
        <f t="shared" si="382"/>
        <v>0</v>
      </c>
      <c r="AT222" s="31">
        <f t="shared" si="382"/>
        <v>0</v>
      </c>
      <c r="AU222" s="31">
        <f t="shared" si="382"/>
        <v>0</v>
      </c>
      <c r="AV222" s="31">
        <f t="shared" si="383"/>
        <v>0</v>
      </c>
      <c r="AW222" s="31">
        <f t="shared" si="383"/>
        <v>0</v>
      </c>
      <c r="AX222" s="31">
        <f t="shared" si="383"/>
        <v>0</v>
      </c>
      <c r="AY222" s="31">
        <f t="shared" si="383"/>
        <v>0</v>
      </c>
      <c r="AZ222" s="31">
        <f t="shared" si="383"/>
        <v>0</v>
      </c>
      <c r="BA222" s="31">
        <f t="shared" si="383"/>
        <v>0</v>
      </c>
      <c r="BB222" s="31">
        <f t="shared" si="383"/>
        <v>0</v>
      </c>
      <c r="BC222" s="31">
        <f t="shared" si="383"/>
        <v>0</v>
      </c>
      <c r="BD222" s="31">
        <f t="shared" si="383"/>
        <v>0</v>
      </c>
      <c r="BE222" s="30">
        <f t="shared" si="384"/>
        <v>1</v>
      </c>
      <c r="BF222" s="620">
        <f t="shared" si="385"/>
        <v>1.0028412957077109</v>
      </c>
      <c r="BG222" s="620">
        <f t="shared" si="365"/>
        <v>1.0057010598375218</v>
      </c>
      <c r="BH222" s="620">
        <f t="shared" si="366"/>
        <v>1.0090222359105849</v>
      </c>
      <c r="BI222" s="620">
        <f t="shared" si="367"/>
        <v>1.0130375377829182</v>
      </c>
      <c r="BJ222" s="620">
        <f t="shared" si="368"/>
        <v>1.0179892972808102</v>
      </c>
      <c r="BK222" s="620">
        <f t="shared" si="369"/>
        <v>1.0232230819901049</v>
      </c>
      <c r="BL222" s="620">
        <f t="shared" si="370"/>
        <v>1.027037373263896</v>
      </c>
      <c r="BM222" s="621" t="str">
        <f t="shared" si="371"/>
        <v>Category</v>
      </c>
    </row>
    <row r="223" spans="1:65" x14ac:dyDescent="0.15">
      <c r="A223" s="12" t="s">
        <v>454</v>
      </c>
      <c r="B223" s="13" t="s">
        <v>2388</v>
      </c>
      <c r="C223" s="13" t="s">
        <v>27</v>
      </c>
      <c r="D223" s="13" t="s">
        <v>54</v>
      </c>
      <c r="E223" s="13" t="s">
        <v>45</v>
      </c>
      <c r="F223" s="14">
        <v>0</v>
      </c>
      <c r="G223" s="14">
        <v>0</v>
      </c>
      <c r="H223" s="14">
        <v>0</v>
      </c>
      <c r="I223" s="14">
        <v>0</v>
      </c>
      <c r="J223" s="14">
        <v>0</v>
      </c>
      <c r="K223" s="14">
        <v>0</v>
      </c>
      <c r="L223" s="14">
        <v>0</v>
      </c>
      <c r="M223" s="15">
        <v>0</v>
      </c>
      <c r="N223" s="804"/>
      <c r="O223" s="14"/>
      <c r="P223" s="15"/>
      <c r="Q223" s="16">
        <f>IF(ISTEXT('Incurred 2.5% cpi'!Q223),"",'Incurred 2.5% cpi'!Q223/'Incurred 2.5% cpi'!Q$14*Incurred!Q$14)</f>
        <v>10662.66</v>
      </c>
      <c r="R223" s="127">
        <f>IF(ISTEXT('Incurred 2.5% cpi'!R223),"",'Incurred 2.5% cpi'!R223/'Incurred 2.5% cpi'!R$14*Incurred!R$14*BF223)</f>
        <v>398864.28927430825</v>
      </c>
      <c r="S223" s="119">
        <f>IF(ISTEXT('Incurred 2.5% cpi'!S223),"",'Incurred 2.5% cpi'!S223/'Incurred 2.5% cpi'!S$14*Incurred!S$14*BG223)</f>
        <v>47467.970378813916</v>
      </c>
      <c r="T223" s="16" t="str">
        <f>IF(ISTEXT('Incurred 2.5% cpi'!T223),"",'Incurred 2.5% cpi'!T223/'Incurred 2.5% cpi'!T$14*Incurred!T$14*BH223)</f>
        <v/>
      </c>
      <c r="U223" s="16" t="str">
        <f>IF(ISTEXT('Incurred 2.5% cpi'!U223),"",'Incurred 2.5% cpi'!U223/'Incurred 2.5% cpi'!U$14*Incurred!U$14*BI223)</f>
        <v/>
      </c>
      <c r="V223" s="16" t="str">
        <f>IF(ISTEXT('Incurred 2.5% cpi'!V223),"",'Incurred 2.5% cpi'!V223/'Incurred 2.5% cpi'!V$14*Incurred!V$14*BJ223)</f>
        <v/>
      </c>
      <c r="W223" s="127" t="str">
        <f>IF(ISTEXT('Incurred 2.5% cpi'!W223),"",'Incurred 2.5% cpi'!W223/'Incurred 2.5% cpi'!W$14*Incurred!W$14*BK223)</f>
        <v/>
      </c>
      <c r="X223" s="119" t="str">
        <f>IF(ISTEXT('Incurred 2.5% cpi'!X223),"",'Incurred 2.5% cpi'!X223/'Incurred 2.5% cpi'!X$14*Incurred!X$14*BL223)</f>
        <v/>
      </c>
      <c r="Y223" s="95">
        <f t="shared" si="345"/>
        <v>456994.91965312214</v>
      </c>
      <c r="Z223" s="95">
        <f t="shared" si="361"/>
        <v>456994.91965312214</v>
      </c>
      <c r="AA223" s="676">
        <f t="shared" si="379"/>
        <v>503038.31887740444</v>
      </c>
      <c r="AB223" s="676">
        <f t="shared" si="362"/>
        <v>465276.79302754544</v>
      </c>
      <c r="AC223" s="677">
        <f t="shared" si="380"/>
        <v>1.0811592721058483</v>
      </c>
      <c r="AD223" s="678" t="str">
        <f t="shared" si="377"/>
        <v>2019</v>
      </c>
      <c r="AE223" s="679">
        <v>43251</v>
      </c>
      <c r="AF223" s="678">
        <v>2019</v>
      </c>
      <c r="AG223" s="680"/>
      <c r="AH223" s="676">
        <f t="shared" si="381"/>
        <v>456287.92098415754</v>
      </c>
      <c r="AI223" s="95">
        <f t="shared" si="363"/>
        <v>47467.970378813916</v>
      </c>
      <c r="AJ223" s="681" t="s">
        <v>0</v>
      </c>
      <c r="AK223" s="37">
        <f t="shared" si="364"/>
        <v>0</v>
      </c>
      <c r="AL223" s="31">
        <f t="shared" si="382"/>
        <v>0</v>
      </c>
      <c r="AM223" s="31">
        <f t="shared" si="382"/>
        <v>0</v>
      </c>
      <c r="AN223" s="31">
        <f t="shared" si="382"/>
        <v>0</v>
      </c>
      <c r="AO223" s="31">
        <f t="shared" si="382"/>
        <v>0</v>
      </c>
      <c r="AP223" s="31">
        <f t="shared" si="382"/>
        <v>0</v>
      </c>
      <c r="AQ223" s="31">
        <f t="shared" si="382"/>
        <v>0</v>
      </c>
      <c r="AR223" s="31">
        <f t="shared" si="382"/>
        <v>1</v>
      </c>
      <c r="AS223" s="31">
        <f t="shared" si="382"/>
        <v>0</v>
      </c>
      <c r="AT223" s="31">
        <f t="shared" si="382"/>
        <v>0</v>
      </c>
      <c r="AU223" s="31">
        <f t="shared" si="382"/>
        <v>0</v>
      </c>
      <c r="AV223" s="31">
        <f t="shared" si="383"/>
        <v>0</v>
      </c>
      <c r="AW223" s="31">
        <f t="shared" si="383"/>
        <v>0</v>
      </c>
      <c r="AX223" s="31">
        <f t="shared" si="383"/>
        <v>0</v>
      </c>
      <c r="AY223" s="31">
        <f t="shared" si="383"/>
        <v>0</v>
      </c>
      <c r="AZ223" s="31">
        <f t="shared" si="383"/>
        <v>0</v>
      </c>
      <c r="BA223" s="31">
        <f t="shared" si="383"/>
        <v>0</v>
      </c>
      <c r="BB223" s="31">
        <f t="shared" si="383"/>
        <v>0</v>
      </c>
      <c r="BC223" s="31">
        <f t="shared" si="383"/>
        <v>0</v>
      </c>
      <c r="BD223" s="31">
        <f t="shared" si="383"/>
        <v>0</v>
      </c>
      <c r="BE223" s="30">
        <f t="shared" si="384"/>
        <v>1</v>
      </c>
      <c r="BF223" s="620">
        <f t="shared" si="385"/>
        <v>1.0030818160192299</v>
      </c>
      <c r="BG223" s="620">
        <f t="shared" si="365"/>
        <v>1.006183663842585</v>
      </c>
      <c r="BH223" s="620">
        <f t="shared" si="366"/>
        <v>1.0097859828820543</v>
      </c>
      <c r="BI223" s="620">
        <f t="shared" si="367"/>
        <v>1.0141411866007726</v>
      </c>
      <c r="BJ223" s="620">
        <f t="shared" si="368"/>
        <v>1.0195121206090012</v>
      </c>
      <c r="BK223" s="620">
        <f t="shared" si="369"/>
        <v>1.0251889537223347</v>
      </c>
      <c r="BL223" s="620">
        <f t="shared" si="370"/>
        <v>1.0293261309677997</v>
      </c>
      <c r="BM223" s="621" t="str">
        <f t="shared" si="371"/>
        <v>Category</v>
      </c>
    </row>
    <row r="224" spans="1:65" x14ac:dyDescent="0.15">
      <c r="A224" s="91" t="s">
        <v>455</v>
      </c>
      <c r="B224" s="13" t="s">
        <v>456</v>
      </c>
      <c r="C224" s="13" t="s">
        <v>27</v>
      </c>
      <c r="D224" s="13" t="s">
        <v>40</v>
      </c>
      <c r="E224" s="13" t="s">
        <v>29</v>
      </c>
      <c r="F224" s="14">
        <v>0</v>
      </c>
      <c r="G224" s="14">
        <v>0</v>
      </c>
      <c r="H224" s="14">
        <v>0</v>
      </c>
      <c r="I224" s="14">
        <v>0</v>
      </c>
      <c r="J224" s="14">
        <v>0</v>
      </c>
      <c r="K224" s="14">
        <v>0</v>
      </c>
      <c r="L224" s="14">
        <v>0</v>
      </c>
      <c r="M224" s="15">
        <v>0</v>
      </c>
      <c r="N224" s="804"/>
      <c r="O224" s="14">
        <v>27587.72</v>
      </c>
      <c r="P224" s="15">
        <v>206586.78</v>
      </c>
      <c r="Q224" s="16">
        <f>IF(ISTEXT('Incurred 2.5% cpi'!Q224),"",'Incurred 2.5% cpi'!Q224/'Incurred 2.5% cpi'!Q$14*Incurred!Q$14)</f>
        <v>136145.79999999999</v>
      </c>
      <c r="R224" s="127" t="str">
        <f>IF(ISTEXT('Incurred 2.5% cpi'!R224),"",'Incurred 2.5% cpi'!R224/'Incurred 2.5% cpi'!R$14*Incurred!R$14*BF224)</f>
        <v/>
      </c>
      <c r="S224" s="119" t="str">
        <f>IF(ISTEXT('Incurred 2.5% cpi'!S224),"",'Incurred 2.5% cpi'!S224/'Incurred 2.5% cpi'!S$14*Incurred!S$14*BG224)</f>
        <v/>
      </c>
      <c r="T224" s="16" t="str">
        <f>IF(ISTEXT('Incurred 2.5% cpi'!T224),"",'Incurred 2.5% cpi'!T224/'Incurred 2.5% cpi'!T$14*Incurred!T$14*BH224)</f>
        <v/>
      </c>
      <c r="U224" s="16" t="str">
        <f>IF(ISTEXT('Incurred 2.5% cpi'!U224),"",'Incurred 2.5% cpi'!U224/'Incurred 2.5% cpi'!U$14*Incurred!U$14*BI224)</f>
        <v/>
      </c>
      <c r="V224" s="16" t="str">
        <f>IF(ISTEXT('Incurred 2.5% cpi'!V224),"",'Incurred 2.5% cpi'!V224/'Incurred 2.5% cpi'!V$14*Incurred!V$14*BJ224)</f>
        <v/>
      </c>
      <c r="W224" s="127" t="str">
        <f>IF(ISTEXT('Incurred 2.5% cpi'!W224),"",'Incurred 2.5% cpi'!W224/'Incurred 2.5% cpi'!W$14*Incurred!W$14*BK224)</f>
        <v/>
      </c>
      <c r="X224" s="119" t="str">
        <f>IF(ISTEXT('Incurred 2.5% cpi'!X224),"",'Incurred 2.5% cpi'!X224/'Incurred 2.5% cpi'!X$14*Incurred!X$14*BL224)</f>
        <v/>
      </c>
      <c r="Y224" s="95">
        <f t="shared" si="345"/>
        <v>370320.3</v>
      </c>
      <c r="Z224" s="95">
        <f t="shared" si="361"/>
        <v>370320.3</v>
      </c>
      <c r="AA224" s="676">
        <f t="shared" si="379"/>
        <v>421906.0375235239</v>
      </c>
      <c r="AB224" s="676">
        <f t="shared" si="362"/>
        <v>375302.29867357307</v>
      </c>
      <c r="AC224" s="677">
        <f t="shared" si="380"/>
        <v>1.1241765345287305</v>
      </c>
      <c r="AD224" s="678" t="str">
        <f t="shared" si="377"/>
        <v>2017</v>
      </c>
      <c r="AE224" s="679">
        <v>42520</v>
      </c>
      <c r="AF224" s="678">
        <v>2017</v>
      </c>
      <c r="AG224" s="680"/>
      <c r="AH224" s="676">
        <f t="shared" si="381"/>
        <v>382695.75395744247</v>
      </c>
      <c r="AI224" s="95">
        <f t="shared" si="363"/>
        <v>136145.79999999999</v>
      </c>
      <c r="AJ224" s="681" t="s">
        <v>0</v>
      </c>
      <c r="AK224" s="37">
        <f t="shared" si="364"/>
        <v>0</v>
      </c>
      <c r="AL224" s="31">
        <f t="shared" si="382"/>
        <v>0</v>
      </c>
      <c r="AM224" s="31">
        <f t="shared" si="382"/>
        <v>0</v>
      </c>
      <c r="AN224" s="31">
        <f t="shared" si="382"/>
        <v>0</v>
      </c>
      <c r="AO224" s="31">
        <f t="shared" si="382"/>
        <v>0</v>
      </c>
      <c r="AP224" s="31">
        <f t="shared" si="382"/>
        <v>0</v>
      </c>
      <c r="AQ224" s="31">
        <f t="shared" si="382"/>
        <v>0</v>
      </c>
      <c r="AR224" s="31">
        <f t="shared" si="382"/>
        <v>1</v>
      </c>
      <c r="AS224" s="31">
        <f t="shared" si="382"/>
        <v>0</v>
      </c>
      <c r="AT224" s="31">
        <f t="shared" si="382"/>
        <v>0</v>
      </c>
      <c r="AU224" s="31">
        <f t="shared" si="382"/>
        <v>0</v>
      </c>
      <c r="AV224" s="31">
        <f t="shared" si="383"/>
        <v>0</v>
      </c>
      <c r="AW224" s="31">
        <f t="shared" si="383"/>
        <v>0</v>
      </c>
      <c r="AX224" s="31">
        <f t="shared" si="383"/>
        <v>0</v>
      </c>
      <c r="AY224" s="31">
        <f t="shared" si="383"/>
        <v>0</v>
      </c>
      <c r="AZ224" s="31">
        <f t="shared" si="383"/>
        <v>0</v>
      </c>
      <c r="BA224" s="31">
        <f t="shared" si="383"/>
        <v>0</v>
      </c>
      <c r="BB224" s="31">
        <f t="shared" si="383"/>
        <v>0</v>
      </c>
      <c r="BC224" s="31">
        <f t="shared" si="383"/>
        <v>0</v>
      </c>
      <c r="BD224" s="31">
        <f t="shared" si="383"/>
        <v>0</v>
      </c>
      <c r="BE224" s="30">
        <f t="shared" si="384"/>
        <v>1</v>
      </c>
      <c r="BF224" s="620">
        <f t="shared" si="385"/>
        <v>1.0034498951996242</v>
      </c>
      <c r="BG224" s="620">
        <f t="shared" si="365"/>
        <v>1.0069222147180459</v>
      </c>
      <c r="BH224" s="620">
        <f t="shared" si="366"/>
        <v>1.0109547796356901</v>
      </c>
      <c r="BI224" s="620">
        <f t="shared" si="367"/>
        <v>1.0158301506211216</v>
      </c>
      <c r="BJ224" s="620">
        <f t="shared" si="368"/>
        <v>1.0218425664619335</v>
      </c>
      <c r="BK224" s="620">
        <f t="shared" si="369"/>
        <v>1.0281974167140426</v>
      </c>
      <c r="BL224" s="620">
        <f t="shared" si="370"/>
        <v>1.0328287210586446</v>
      </c>
      <c r="BM224" s="621" t="str">
        <f t="shared" si="371"/>
        <v>Category</v>
      </c>
    </row>
    <row r="225" spans="1:65" x14ac:dyDescent="0.15">
      <c r="A225" s="91" t="s">
        <v>457</v>
      </c>
      <c r="B225" s="13" t="s">
        <v>458</v>
      </c>
      <c r="C225" s="13" t="s">
        <v>27</v>
      </c>
      <c r="D225" s="13" t="s">
        <v>55</v>
      </c>
      <c r="E225" s="13" t="s">
        <v>112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0</v>
      </c>
      <c r="M225" s="15">
        <v>0</v>
      </c>
      <c r="N225" s="804"/>
      <c r="O225" s="14"/>
      <c r="P225" s="15"/>
      <c r="Q225" s="16" t="str">
        <f>IF(ISTEXT('Incurred 2.5% cpi'!Q225),"",'Incurred 2.5% cpi'!Q225/'Incurred 2.5% cpi'!Q$14*Incurred!Q$14)</f>
        <v/>
      </c>
      <c r="R225" s="127">
        <f>IF(ISTEXT('Incurred 2.5% cpi'!R225),"",'Incurred 2.5% cpi'!R225/'Incurred 2.5% cpi'!R$14*Incurred!R$14*BF225)</f>
        <v>96683.172816025864</v>
      </c>
      <c r="S225" s="119">
        <f>IF(ISTEXT('Incurred 2.5% cpi'!S225),"",'Incurred 2.5% cpi'!S225/'Incurred 2.5% cpi'!S$14*Incurred!S$14*BG225)</f>
        <v>146411.85413058332</v>
      </c>
      <c r="T225" s="16">
        <f>IF(ISTEXT('Incurred 2.5% cpi'!T225),"",'Incurred 2.5% cpi'!T225/'Incurred 2.5% cpi'!T$14*Incurred!T$14*BH225)</f>
        <v>334069.20990672422</v>
      </c>
      <c r="U225" s="16">
        <f>IF(ISTEXT('Incurred 2.5% cpi'!U225),"",'Incurred 2.5% cpi'!U225/'Incurred 2.5% cpi'!U$14*Incurred!U$14*BI225)</f>
        <v>80049.496189150348</v>
      </c>
      <c r="V225" s="16" t="str">
        <f>IF(ISTEXT('Incurred 2.5% cpi'!V225),"",'Incurred 2.5% cpi'!V225/'Incurred 2.5% cpi'!V$14*Incurred!V$14*BJ225)</f>
        <v/>
      </c>
      <c r="W225" s="127" t="str">
        <f>IF(ISTEXT('Incurred 2.5% cpi'!W225),"",'Incurred 2.5% cpi'!W225/'Incurred 2.5% cpi'!W$14*Incurred!W$14*BK225)</f>
        <v/>
      </c>
      <c r="X225" s="119" t="str">
        <f>IF(ISTEXT('Incurred 2.5% cpi'!X225),"",'Incurred 2.5% cpi'!X225/'Incurred 2.5% cpi'!X$14*Incurred!X$14*BL225)</f>
        <v/>
      </c>
      <c r="Y225" s="95">
        <f t="shared" si="345"/>
        <v>657213.7330424838</v>
      </c>
      <c r="Z225" s="95">
        <f t="shared" si="361"/>
        <v>657213.7330424838</v>
      </c>
      <c r="AA225" s="676">
        <f t="shared" si="379"/>
        <v>702322.39539138286</v>
      </c>
      <c r="AB225" s="676">
        <f t="shared" si="362"/>
        <v>675447.62451682135</v>
      </c>
      <c r="AC225" s="677">
        <f t="shared" si="380"/>
        <v>1.0397880900000001</v>
      </c>
      <c r="AD225" s="678" t="str">
        <f t="shared" si="377"/>
        <v>2021</v>
      </c>
      <c r="AE225" s="679">
        <v>44028</v>
      </c>
      <c r="AF225" s="678">
        <v>2021</v>
      </c>
      <c r="AG225" s="680"/>
      <c r="AH225" s="676">
        <f t="shared" si="381"/>
        <v>637051.32119735656</v>
      </c>
      <c r="AI225" s="95">
        <f t="shared" si="363"/>
        <v>80049.496189150348</v>
      </c>
      <c r="AJ225" s="681" t="s">
        <v>3058</v>
      </c>
      <c r="AK225" s="37">
        <f t="shared" si="364"/>
        <v>0</v>
      </c>
      <c r="AL225" s="31">
        <f t="shared" si="382"/>
        <v>0</v>
      </c>
      <c r="AM225" s="31">
        <f t="shared" si="382"/>
        <v>0</v>
      </c>
      <c r="AN225" s="31">
        <f t="shared" si="382"/>
        <v>0</v>
      </c>
      <c r="AO225" s="31">
        <f t="shared" si="382"/>
        <v>1</v>
      </c>
      <c r="AP225" s="31">
        <f t="shared" si="382"/>
        <v>0</v>
      </c>
      <c r="AQ225" s="31">
        <f t="shared" si="382"/>
        <v>0</v>
      </c>
      <c r="AR225" s="31">
        <f t="shared" si="382"/>
        <v>0</v>
      </c>
      <c r="AS225" s="31">
        <f t="shared" si="382"/>
        <v>0</v>
      </c>
      <c r="AT225" s="31">
        <f t="shared" si="382"/>
        <v>0</v>
      </c>
      <c r="AU225" s="31">
        <f t="shared" si="382"/>
        <v>0</v>
      </c>
      <c r="AV225" s="31">
        <f t="shared" si="383"/>
        <v>0</v>
      </c>
      <c r="AW225" s="31">
        <f t="shared" si="383"/>
        <v>0</v>
      </c>
      <c r="AX225" s="31">
        <f t="shared" si="383"/>
        <v>0</v>
      </c>
      <c r="AY225" s="31">
        <f t="shared" si="383"/>
        <v>0</v>
      </c>
      <c r="AZ225" s="31">
        <f t="shared" si="383"/>
        <v>0</v>
      </c>
      <c r="BA225" s="31">
        <f t="shared" si="383"/>
        <v>0</v>
      </c>
      <c r="BB225" s="31">
        <f t="shared" si="383"/>
        <v>0</v>
      </c>
      <c r="BC225" s="31">
        <f t="shared" si="383"/>
        <v>0</v>
      </c>
      <c r="BD225" s="31">
        <f t="shared" si="383"/>
        <v>0</v>
      </c>
      <c r="BE225" s="30">
        <f t="shared" si="384"/>
        <v>1</v>
      </c>
      <c r="BF225" s="620">
        <f t="shared" si="385"/>
        <v>1.0046190746045656</v>
      </c>
      <c r="BG225" s="620">
        <f t="shared" si="365"/>
        <v>1.0092681731940607</v>
      </c>
      <c r="BH225" s="620">
        <f t="shared" si="366"/>
        <v>1.0146673859598225</v>
      </c>
      <c r="BI225" s="620">
        <f t="shared" si="367"/>
        <v>1.0211950341936284</v>
      </c>
      <c r="BJ225" s="620">
        <f t="shared" si="368"/>
        <v>1.0292450750544078</v>
      </c>
      <c r="BK225" s="620">
        <f t="shared" si="369"/>
        <v>1.0377536023333034</v>
      </c>
      <c r="BL225" s="620">
        <f t="shared" si="370"/>
        <v>1.0439544690397748</v>
      </c>
      <c r="BM225" s="621" t="str">
        <f t="shared" si="371"/>
        <v>Category</v>
      </c>
    </row>
    <row r="226" spans="1:65" x14ac:dyDescent="0.15">
      <c r="A226" s="91" t="s">
        <v>459</v>
      </c>
      <c r="B226" s="13" t="s">
        <v>460</v>
      </c>
      <c r="C226" s="13" t="s">
        <v>27</v>
      </c>
      <c r="D226" s="13" t="s">
        <v>40</v>
      </c>
      <c r="E226" s="13" t="s">
        <v>112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5">
        <v>0</v>
      </c>
      <c r="N226" s="804"/>
      <c r="O226" s="14"/>
      <c r="P226" s="15"/>
      <c r="Q226" s="16" t="str">
        <f>IF(ISTEXT('Incurred 2.5% cpi'!Q226),"",'Incurred 2.5% cpi'!Q226/'Incurred 2.5% cpi'!Q$14*Incurred!Q$14)</f>
        <v/>
      </c>
      <c r="R226" s="127" t="str">
        <f>IF(ISTEXT('Incurred 2.5% cpi'!R226),"",'Incurred 2.5% cpi'!R226/'Incurred 2.5% cpi'!R$14*Incurred!R$14*BF226)</f>
        <v/>
      </c>
      <c r="S226" s="119">
        <f>IF(ISTEXT('Incurred 2.5% cpi'!S226),"",'Incurred 2.5% cpi'!S226/'Incurred 2.5% cpi'!S$14*Incurred!S$14*BG226)</f>
        <v>109074.48181402254</v>
      </c>
      <c r="T226" s="16">
        <f>IF(ISTEXT('Incurred 2.5% cpi'!T226),"",'Incurred 2.5% cpi'!T226/'Incurred 2.5% cpi'!T$14*Incurred!T$14*BH226)</f>
        <v>294756.34355322103</v>
      </c>
      <c r="U226" s="16">
        <f>IF(ISTEXT('Incurred 2.5% cpi'!U226),"",'Incurred 2.5% cpi'!U226/'Incurred 2.5% cpi'!U$14*Incurred!U$14*BI226)</f>
        <v>152682.7811686832</v>
      </c>
      <c r="V226" s="16" t="str">
        <f>IF(ISTEXT('Incurred 2.5% cpi'!V226),"",'Incurred 2.5% cpi'!V226/'Incurred 2.5% cpi'!V$14*Incurred!V$14*BJ226)</f>
        <v/>
      </c>
      <c r="W226" s="127" t="str">
        <f>IF(ISTEXT('Incurred 2.5% cpi'!W226),"",'Incurred 2.5% cpi'!W226/'Incurred 2.5% cpi'!W$14*Incurred!W$14*BK226)</f>
        <v/>
      </c>
      <c r="X226" s="119" t="str">
        <f>IF(ISTEXT('Incurred 2.5% cpi'!X226),"",'Incurred 2.5% cpi'!X226/'Incurred 2.5% cpi'!X$14*Incurred!X$14*BL226)</f>
        <v/>
      </c>
      <c r="Y226" s="95">
        <f t="shared" si="345"/>
        <v>556513.60653592669</v>
      </c>
      <c r="Z226" s="95">
        <f t="shared" si="361"/>
        <v>556513.60653592669</v>
      </c>
      <c r="AA226" s="676">
        <f t="shared" si="379"/>
        <v>589206.49771816004</v>
      </c>
      <c r="AB226" s="676">
        <f t="shared" si="362"/>
        <v>566660.17180304497</v>
      </c>
      <c r="AC226" s="677">
        <f t="shared" si="380"/>
        <v>1.0397880900000001</v>
      </c>
      <c r="AD226" s="678" t="str">
        <f t="shared" si="377"/>
        <v>2021</v>
      </c>
      <c r="AE226" s="679">
        <v>44084</v>
      </c>
      <c r="AF226" s="678">
        <v>2021</v>
      </c>
      <c r="AG226" s="680"/>
      <c r="AH226" s="676">
        <f t="shared" si="381"/>
        <v>534447.96904169233</v>
      </c>
      <c r="AI226" s="95">
        <f t="shared" si="363"/>
        <v>152682.7811686832</v>
      </c>
      <c r="AJ226" s="681" t="s">
        <v>3058</v>
      </c>
      <c r="AK226" s="37">
        <f t="shared" si="364"/>
        <v>0</v>
      </c>
      <c r="AL226" s="31">
        <f t="shared" si="382"/>
        <v>0</v>
      </c>
      <c r="AM226" s="31">
        <f t="shared" si="382"/>
        <v>0</v>
      </c>
      <c r="AN226" s="31">
        <f t="shared" si="382"/>
        <v>0</v>
      </c>
      <c r="AO226" s="31">
        <f t="shared" si="382"/>
        <v>1</v>
      </c>
      <c r="AP226" s="31">
        <f t="shared" si="382"/>
        <v>0</v>
      </c>
      <c r="AQ226" s="31">
        <f t="shared" si="382"/>
        <v>0</v>
      </c>
      <c r="AR226" s="31">
        <f t="shared" si="382"/>
        <v>0</v>
      </c>
      <c r="AS226" s="31">
        <f t="shared" si="382"/>
        <v>0</v>
      </c>
      <c r="AT226" s="31">
        <f t="shared" si="382"/>
        <v>0</v>
      </c>
      <c r="AU226" s="31">
        <f t="shared" si="382"/>
        <v>0</v>
      </c>
      <c r="AV226" s="31">
        <f t="shared" si="383"/>
        <v>0</v>
      </c>
      <c r="AW226" s="31">
        <f t="shared" si="383"/>
        <v>0</v>
      </c>
      <c r="AX226" s="31">
        <f t="shared" si="383"/>
        <v>0</v>
      </c>
      <c r="AY226" s="31">
        <f t="shared" si="383"/>
        <v>0</v>
      </c>
      <c r="AZ226" s="31">
        <f t="shared" si="383"/>
        <v>0</v>
      </c>
      <c r="BA226" s="31">
        <f t="shared" si="383"/>
        <v>0</v>
      </c>
      <c r="BB226" s="31">
        <f t="shared" si="383"/>
        <v>0</v>
      </c>
      <c r="BC226" s="31">
        <f t="shared" si="383"/>
        <v>0</v>
      </c>
      <c r="BD226" s="31">
        <f t="shared" si="383"/>
        <v>0</v>
      </c>
      <c r="BE226" s="30">
        <f t="shared" si="384"/>
        <v>1</v>
      </c>
      <c r="BF226" s="620">
        <f t="shared" si="385"/>
        <v>1.0059304488076128</v>
      </c>
      <c r="BG226" s="620">
        <f t="shared" si="365"/>
        <v>1.011899445532475</v>
      </c>
      <c r="BH226" s="620">
        <f t="shared" si="366"/>
        <v>1.0188315169212143</v>
      </c>
      <c r="BI226" s="620">
        <f t="shared" si="367"/>
        <v>1.0272123912301998</v>
      </c>
      <c r="BJ226" s="620">
        <f t="shared" si="368"/>
        <v>1.0375478716696922</v>
      </c>
      <c r="BK226" s="620">
        <f t="shared" si="369"/>
        <v>1.0484720046996705</v>
      </c>
      <c r="BL226" s="620">
        <f t="shared" si="370"/>
        <v>1.0564333228669962</v>
      </c>
      <c r="BM226" s="621" t="str">
        <f t="shared" si="371"/>
        <v>Project</v>
      </c>
    </row>
    <row r="227" spans="1:65" x14ac:dyDescent="0.15">
      <c r="A227" s="91" t="s">
        <v>461</v>
      </c>
      <c r="B227" s="13" t="s">
        <v>462</v>
      </c>
      <c r="C227" s="13" t="s">
        <v>27</v>
      </c>
      <c r="D227" s="13" t="s">
        <v>54</v>
      </c>
      <c r="E227" s="13" t="s">
        <v>29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0</v>
      </c>
      <c r="M227" s="15">
        <v>0</v>
      </c>
      <c r="N227" s="804"/>
      <c r="O227" s="14">
        <v>37898.5</v>
      </c>
      <c r="P227" s="15">
        <v>285581.27</v>
      </c>
      <c r="Q227" s="16">
        <f>IF(ISTEXT('Incurred 2.5% cpi'!Q227),"",'Incurred 2.5% cpi'!Q227/'Incurred 2.5% cpi'!Q$14*Incurred!Q$14)</f>
        <v>65369.72</v>
      </c>
      <c r="R227" s="127" t="str">
        <f>IF(ISTEXT('Incurred 2.5% cpi'!R227),"",'Incurred 2.5% cpi'!R227/'Incurred 2.5% cpi'!R$14*Incurred!R$14*BF227)</f>
        <v/>
      </c>
      <c r="S227" s="119" t="str">
        <f>IF(ISTEXT('Incurred 2.5% cpi'!S227),"",'Incurred 2.5% cpi'!S227/'Incurred 2.5% cpi'!S$14*Incurred!S$14*BG227)</f>
        <v/>
      </c>
      <c r="T227" s="16" t="str">
        <f>IF(ISTEXT('Incurred 2.5% cpi'!T227),"",'Incurred 2.5% cpi'!T227/'Incurred 2.5% cpi'!T$14*Incurred!T$14*BH227)</f>
        <v/>
      </c>
      <c r="U227" s="16" t="str">
        <f>IF(ISTEXT('Incurred 2.5% cpi'!U227),"",'Incurred 2.5% cpi'!U227/'Incurred 2.5% cpi'!U$14*Incurred!U$14*BI227)</f>
        <v/>
      </c>
      <c r="V227" s="16" t="str">
        <f>IF(ISTEXT('Incurred 2.5% cpi'!V227),"",'Incurred 2.5% cpi'!V227/'Incurred 2.5% cpi'!V$14*Incurred!V$14*BJ227)</f>
        <v/>
      </c>
      <c r="W227" s="127" t="str">
        <f>IF(ISTEXT('Incurred 2.5% cpi'!W227),"",'Incurred 2.5% cpi'!W227/'Incurred 2.5% cpi'!W$14*Incurred!W$14*BK227)</f>
        <v/>
      </c>
      <c r="X227" s="119" t="str">
        <f>IF(ISTEXT('Incurred 2.5% cpi'!X227),"",'Incurred 2.5% cpi'!X227/'Incurred 2.5% cpi'!X$14*Incurred!X$14*BL227)</f>
        <v/>
      </c>
      <c r="Y227" s="95">
        <f t="shared" si="345"/>
        <v>388849.49</v>
      </c>
      <c r="Z227" s="95">
        <f t="shared" si="361"/>
        <v>388849.49</v>
      </c>
      <c r="AA227" s="676">
        <f t="shared" si="379"/>
        <v>444868.83447177865</v>
      </c>
      <c r="AB227" s="676">
        <f t="shared" si="362"/>
        <v>395728.62518276414</v>
      </c>
      <c r="AC227" s="677">
        <f t="shared" si="380"/>
        <v>1.1241765345287305</v>
      </c>
      <c r="AD227" s="678" t="str">
        <f t="shared" si="377"/>
        <v>2017</v>
      </c>
      <c r="AE227" s="679">
        <v>42727</v>
      </c>
      <c r="AF227" s="678">
        <v>2017</v>
      </c>
      <c r="AG227" s="680"/>
      <c r="AH227" s="676">
        <f t="shared" si="381"/>
        <v>403524.47909886454</v>
      </c>
      <c r="AI227" s="95">
        <f t="shared" si="363"/>
        <v>65369.72</v>
      </c>
      <c r="AJ227" s="681" t="s">
        <v>0</v>
      </c>
      <c r="AK227" s="37">
        <f t="shared" si="364"/>
        <v>0</v>
      </c>
      <c r="AL227" s="31">
        <f t="shared" si="382"/>
        <v>0</v>
      </c>
      <c r="AM227" s="31">
        <f t="shared" si="382"/>
        <v>0</v>
      </c>
      <c r="AN227" s="31">
        <f t="shared" si="382"/>
        <v>0</v>
      </c>
      <c r="AO227" s="31">
        <f t="shared" si="382"/>
        <v>1</v>
      </c>
      <c r="AP227" s="31">
        <f t="shared" si="382"/>
        <v>0</v>
      </c>
      <c r="AQ227" s="31">
        <f t="shared" si="382"/>
        <v>0</v>
      </c>
      <c r="AR227" s="31">
        <f t="shared" si="382"/>
        <v>0</v>
      </c>
      <c r="AS227" s="31">
        <f t="shared" si="382"/>
        <v>0</v>
      </c>
      <c r="AT227" s="31">
        <f t="shared" si="382"/>
        <v>0</v>
      </c>
      <c r="AU227" s="31">
        <f t="shared" si="382"/>
        <v>0</v>
      </c>
      <c r="AV227" s="31">
        <f t="shared" si="383"/>
        <v>0</v>
      </c>
      <c r="AW227" s="31">
        <f t="shared" si="383"/>
        <v>0</v>
      </c>
      <c r="AX227" s="31">
        <f t="shared" si="383"/>
        <v>0</v>
      </c>
      <c r="AY227" s="31">
        <f t="shared" si="383"/>
        <v>0</v>
      </c>
      <c r="AZ227" s="31">
        <f t="shared" si="383"/>
        <v>0</v>
      </c>
      <c r="BA227" s="31">
        <f t="shared" si="383"/>
        <v>0</v>
      </c>
      <c r="BB227" s="31">
        <f t="shared" si="383"/>
        <v>0</v>
      </c>
      <c r="BC227" s="31">
        <f t="shared" si="383"/>
        <v>0</v>
      </c>
      <c r="BD227" s="31">
        <f t="shared" si="383"/>
        <v>0</v>
      </c>
      <c r="BE227" s="30">
        <f t="shared" si="384"/>
        <v>1</v>
      </c>
      <c r="BF227" s="620">
        <f t="shared" si="385"/>
        <v>1.0030818160192299</v>
      </c>
      <c r="BG227" s="620">
        <f t="shared" si="365"/>
        <v>1.006183663842585</v>
      </c>
      <c r="BH227" s="620">
        <f t="shared" si="366"/>
        <v>1.0097859828820543</v>
      </c>
      <c r="BI227" s="620">
        <f t="shared" si="367"/>
        <v>1.0141411866007726</v>
      </c>
      <c r="BJ227" s="620">
        <f t="shared" si="368"/>
        <v>1.0195121206090012</v>
      </c>
      <c r="BK227" s="620">
        <f t="shared" si="369"/>
        <v>1.0251889537223347</v>
      </c>
      <c r="BL227" s="620">
        <f t="shared" si="370"/>
        <v>1.0293261309677997</v>
      </c>
      <c r="BM227" s="621" t="str">
        <f t="shared" si="371"/>
        <v>Category</v>
      </c>
    </row>
    <row r="228" spans="1:65" x14ac:dyDescent="0.15">
      <c r="A228" s="91" t="s">
        <v>463</v>
      </c>
      <c r="B228" s="13" t="s">
        <v>464</v>
      </c>
      <c r="C228" s="13" t="s">
        <v>27</v>
      </c>
      <c r="D228" s="13" t="s">
        <v>40</v>
      </c>
      <c r="E228" s="13" t="s">
        <v>112</v>
      </c>
      <c r="F228" s="14">
        <v>0</v>
      </c>
      <c r="G228" s="14">
        <v>0</v>
      </c>
      <c r="H228" s="14">
        <v>0</v>
      </c>
      <c r="I228" s="14">
        <v>0</v>
      </c>
      <c r="J228" s="14">
        <v>0</v>
      </c>
      <c r="K228" s="14">
        <v>0</v>
      </c>
      <c r="L228" s="14">
        <v>0</v>
      </c>
      <c r="M228" s="15">
        <v>0</v>
      </c>
      <c r="N228" s="804"/>
      <c r="O228" s="14"/>
      <c r="P228" s="15"/>
      <c r="Q228" s="16" t="str">
        <f>IF(ISTEXT('Incurred 2.5% cpi'!Q228),"",'Incurred 2.5% cpi'!Q228/'Incurred 2.5% cpi'!Q$14*Incurred!Q$14)</f>
        <v/>
      </c>
      <c r="R228" s="127" t="str">
        <f>IF(ISTEXT('Incurred 2.5% cpi'!R228),"",'Incurred 2.5% cpi'!R228/'Incurred 2.5% cpi'!R$14*Incurred!R$14*BF228)</f>
        <v/>
      </c>
      <c r="S228" s="119" t="str">
        <f>IF(ISTEXT('Incurred 2.5% cpi'!S228),"",'Incurred 2.5% cpi'!S228/'Incurred 2.5% cpi'!S$14*Incurred!S$14*BG228)</f>
        <v/>
      </c>
      <c r="T228" s="16" t="str">
        <f>IF(ISTEXT('Incurred 2.5% cpi'!T228),"",'Incurred 2.5% cpi'!T228/'Incurred 2.5% cpi'!T$14*Incurred!T$14*BH228)</f>
        <v/>
      </c>
      <c r="U228" s="16" t="str">
        <f>IF(ISTEXT('Incurred 2.5% cpi'!U228),"",'Incurred 2.5% cpi'!U228/'Incurred 2.5% cpi'!U$14*Incurred!U$14*BI228)</f>
        <v/>
      </c>
      <c r="V228" s="16">
        <f>IF(ISTEXT('Incurred 2.5% cpi'!V228),"",'Incurred 2.5% cpi'!V228/'Incurred 2.5% cpi'!V$14*Incurred!V$14*BJ228)</f>
        <v>232782.73140487442</v>
      </c>
      <c r="W228" s="127">
        <f>IF(ISTEXT('Incurred 2.5% cpi'!W228),"",'Incurred 2.5% cpi'!W228/'Incurred 2.5% cpi'!W$14*Incurred!W$14*BK228)</f>
        <v>849991.67694577621</v>
      </c>
      <c r="X228" s="119" t="str">
        <f>IF(ISTEXT('Incurred 2.5% cpi'!X228),"",'Incurred 2.5% cpi'!X228/'Incurred 2.5% cpi'!X$14*Incurred!X$14*BL228)</f>
        <v/>
      </c>
      <c r="Y228" s="95">
        <f t="shared" si="345"/>
        <v>1082774.4083506507</v>
      </c>
      <c r="Z228" s="95">
        <f t="shared" si="361"/>
        <v>1082774.4083506507</v>
      </c>
      <c r="AA228" s="676">
        <f t="shared" si="379"/>
        <v>1087360.2281593266</v>
      </c>
      <c r="AB228" s="676">
        <f t="shared" si="362"/>
        <v>1087360.2281593266</v>
      </c>
      <c r="AC228" s="677">
        <f t="shared" si="380"/>
        <v>1</v>
      </c>
      <c r="AD228" s="678" t="str">
        <f t="shared" si="377"/>
        <v>2023</v>
      </c>
      <c r="AE228" s="679">
        <v>44939</v>
      </c>
      <c r="AF228" s="678">
        <v>2023</v>
      </c>
      <c r="AG228" s="680"/>
      <c r="AH228" s="676">
        <f t="shared" si="381"/>
        <v>986305.25597910758</v>
      </c>
      <c r="AI228" s="95">
        <f t="shared" si="363"/>
        <v>849991.67694577621</v>
      </c>
      <c r="AJ228" s="681" t="s">
        <v>3058</v>
      </c>
      <c r="AK228" s="37">
        <f t="shared" si="364"/>
        <v>0</v>
      </c>
      <c r="AL228" s="31">
        <f t="shared" si="382"/>
        <v>0</v>
      </c>
      <c r="AM228" s="31">
        <f t="shared" si="382"/>
        <v>0</v>
      </c>
      <c r="AN228" s="31">
        <f t="shared" si="382"/>
        <v>0</v>
      </c>
      <c r="AO228" s="31">
        <f t="shared" si="382"/>
        <v>1</v>
      </c>
      <c r="AP228" s="31">
        <f t="shared" si="382"/>
        <v>0</v>
      </c>
      <c r="AQ228" s="31">
        <f t="shared" si="382"/>
        <v>0</v>
      </c>
      <c r="AR228" s="31">
        <f t="shared" si="382"/>
        <v>0</v>
      </c>
      <c r="AS228" s="31">
        <f t="shared" si="382"/>
        <v>0</v>
      </c>
      <c r="AT228" s="31">
        <f t="shared" si="382"/>
        <v>0</v>
      </c>
      <c r="AU228" s="31">
        <f t="shared" si="382"/>
        <v>0</v>
      </c>
      <c r="AV228" s="31">
        <f t="shared" si="383"/>
        <v>0</v>
      </c>
      <c r="AW228" s="31">
        <f t="shared" si="383"/>
        <v>0</v>
      </c>
      <c r="AX228" s="31">
        <f t="shared" si="383"/>
        <v>0</v>
      </c>
      <c r="AY228" s="31">
        <f t="shared" si="383"/>
        <v>0</v>
      </c>
      <c r="AZ228" s="31">
        <f t="shared" si="383"/>
        <v>0</v>
      </c>
      <c r="BA228" s="31">
        <f t="shared" si="383"/>
        <v>0</v>
      </c>
      <c r="BB228" s="31">
        <f t="shared" si="383"/>
        <v>0</v>
      </c>
      <c r="BC228" s="31">
        <f t="shared" si="383"/>
        <v>0</v>
      </c>
      <c r="BD228" s="31">
        <f t="shared" si="383"/>
        <v>0</v>
      </c>
      <c r="BE228" s="30">
        <f t="shared" si="384"/>
        <v>1</v>
      </c>
      <c r="BF228" s="620">
        <f t="shared" si="385"/>
        <v>1.0059304488076128</v>
      </c>
      <c r="BG228" s="620">
        <f t="shared" si="365"/>
        <v>1.011899445532475</v>
      </c>
      <c r="BH228" s="620">
        <f t="shared" si="366"/>
        <v>1.0188315169212143</v>
      </c>
      <c r="BI228" s="620">
        <f t="shared" si="367"/>
        <v>1.0272123912301998</v>
      </c>
      <c r="BJ228" s="620">
        <f t="shared" si="368"/>
        <v>1.0375478716696922</v>
      </c>
      <c r="BK228" s="620">
        <f t="shared" si="369"/>
        <v>1.0484720046996705</v>
      </c>
      <c r="BL228" s="620">
        <f t="shared" si="370"/>
        <v>1.0564333228669962</v>
      </c>
      <c r="BM228" s="621" t="str">
        <f t="shared" si="371"/>
        <v>Project</v>
      </c>
    </row>
    <row r="229" spans="1:65" x14ac:dyDescent="0.15">
      <c r="A229" s="91" t="s">
        <v>465</v>
      </c>
      <c r="B229" s="13" t="s">
        <v>466</v>
      </c>
      <c r="C229" s="13" t="s">
        <v>27</v>
      </c>
      <c r="D229" s="13" t="s">
        <v>40</v>
      </c>
      <c r="E229" s="13" t="s">
        <v>112</v>
      </c>
      <c r="F229" s="14">
        <v>0</v>
      </c>
      <c r="G229" s="14">
        <v>0</v>
      </c>
      <c r="H229" s="14">
        <v>0</v>
      </c>
      <c r="I229" s="14">
        <v>0</v>
      </c>
      <c r="J229" s="14">
        <v>0</v>
      </c>
      <c r="K229" s="14">
        <v>0</v>
      </c>
      <c r="L229" s="14">
        <v>0</v>
      </c>
      <c r="M229" s="15">
        <v>0</v>
      </c>
      <c r="N229" s="804"/>
      <c r="O229" s="14"/>
      <c r="P229" s="15"/>
      <c r="Q229" s="16" t="str">
        <f>IF(ISTEXT('Incurred 2.5% cpi'!Q229),"",'Incurred 2.5% cpi'!Q229/'Incurred 2.5% cpi'!Q$14*Incurred!Q$14)</f>
        <v/>
      </c>
      <c r="R229" s="127" t="str">
        <f>IF(ISTEXT('Incurred 2.5% cpi'!R229),"",'Incurred 2.5% cpi'!R229/'Incurred 2.5% cpi'!R$14*Incurred!R$14*BF229)</f>
        <v/>
      </c>
      <c r="S229" s="119" t="str">
        <f>IF(ISTEXT('Incurred 2.5% cpi'!S229),"",'Incurred 2.5% cpi'!S229/'Incurred 2.5% cpi'!S$14*Incurred!S$14*BG229)</f>
        <v/>
      </c>
      <c r="T229" s="16" t="str">
        <f>IF(ISTEXT('Incurred 2.5% cpi'!T229),"",'Incurred 2.5% cpi'!T229/'Incurred 2.5% cpi'!T$14*Incurred!T$14*BH229)</f>
        <v/>
      </c>
      <c r="U229" s="16">
        <f>IF(ISTEXT('Incurred 2.5% cpi'!U229),"",'Incurred 2.5% cpi'!U229/'Incurred 2.5% cpi'!U$14*Incurred!U$14*BI229)</f>
        <v>179330.50886029599</v>
      </c>
      <c r="V229" s="16">
        <f>IF(ISTEXT('Incurred 2.5% cpi'!V229),"",'Incurred 2.5% cpi'!V229/'Incurred 2.5% cpi'!V$14*Incurred!V$14*BJ229)</f>
        <v>684905.83450039907</v>
      </c>
      <c r="W229" s="127">
        <f>IF(ISTEXT('Incurred 2.5% cpi'!W229),"",'Incurred 2.5% cpi'!W229/'Incurred 2.5% cpi'!W$14*Incurred!W$14*BK229)</f>
        <v>919837.04863743158</v>
      </c>
      <c r="X229" s="119" t="str">
        <f>IF(ISTEXT('Incurred 2.5% cpi'!X229),"",'Incurred 2.5% cpi'!X229/'Incurred 2.5% cpi'!X$14*Incurred!X$14*BL229)</f>
        <v/>
      </c>
      <c r="Y229" s="95">
        <f t="shared" si="345"/>
        <v>1784073.3919981266</v>
      </c>
      <c r="Z229" s="95">
        <f t="shared" si="361"/>
        <v>1784073.3919981266</v>
      </c>
      <c r="AA229" s="676">
        <f t="shared" si="379"/>
        <v>1804701.2553640637</v>
      </c>
      <c r="AB229" s="676">
        <f t="shared" si="362"/>
        <v>1804701.2553640637</v>
      </c>
      <c r="AC229" s="677">
        <f t="shared" si="380"/>
        <v>1</v>
      </c>
      <c r="AD229" s="678" t="str">
        <f t="shared" si="377"/>
        <v>2023</v>
      </c>
      <c r="AE229" s="679">
        <v>44923</v>
      </c>
      <c r="AF229" s="678">
        <v>2023</v>
      </c>
      <c r="AG229" s="680"/>
      <c r="AH229" s="676">
        <f t="shared" si="381"/>
        <v>1636979.4365670467</v>
      </c>
      <c r="AI229" s="95">
        <f t="shared" si="363"/>
        <v>919837.04863743158</v>
      </c>
      <c r="AJ229" s="681" t="s">
        <v>3058</v>
      </c>
      <c r="AK229" s="37">
        <f t="shared" si="364"/>
        <v>0</v>
      </c>
      <c r="AL229" s="31">
        <f t="shared" si="382"/>
        <v>0</v>
      </c>
      <c r="AM229" s="31">
        <f t="shared" si="382"/>
        <v>0</v>
      </c>
      <c r="AN229" s="31">
        <f t="shared" si="382"/>
        <v>0</v>
      </c>
      <c r="AO229" s="443">
        <f t="shared" si="382"/>
        <v>0</v>
      </c>
      <c r="AP229" s="443">
        <f t="shared" si="382"/>
        <v>0</v>
      </c>
      <c r="AQ229" s="443">
        <f t="shared" si="382"/>
        <v>0</v>
      </c>
      <c r="AR229" s="443">
        <f t="shared" si="382"/>
        <v>1</v>
      </c>
      <c r="AS229" s="31">
        <f t="shared" si="382"/>
        <v>0</v>
      </c>
      <c r="AT229" s="31">
        <f t="shared" si="382"/>
        <v>0</v>
      </c>
      <c r="AU229" s="31">
        <f t="shared" si="382"/>
        <v>0</v>
      </c>
      <c r="AV229" s="31">
        <f t="shared" si="383"/>
        <v>0</v>
      </c>
      <c r="AW229" s="31">
        <f t="shared" si="383"/>
        <v>0</v>
      </c>
      <c r="AX229" s="31">
        <f t="shared" si="383"/>
        <v>0</v>
      </c>
      <c r="AY229" s="31">
        <f t="shared" si="383"/>
        <v>0</v>
      </c>
      <c r="AZ229" s="31">
        <f t="shared" si="383"/>
        <v>0</v>
      </c>
      <c r="BA229" s="31">
        <f t="shared" si="383"/>
        <v>0</v>
      </c>
      <c r="BB229" s="31">
        <f t="shared" si="383"/>
        <v>0</v>
      </c>
      <c r="BC229" s="31">
        <f t="shared" si="383"/>
        <v>0</v>
      </c>
      <c r="BD229" s="31">
        <f t="shared" si="383"/>
        <v>0</v>
      </c>
      <c r="BE229" s="30">
        <f t="shared" si="384"/>
        <v>1</v>
      </c>
      <c r="BF229" s="620">
        <f t="shared" si="385"/>
        <v>1.0059304488076128</v>
      </c>
      <c r="BG229" s="620">
        <f t="shared" si="365"/>
        <v>1.011899445532475</v>
      </c>
      <c r="BH229" s="620">
        <f t="shared" si="366"/>
        <v>1.0188315169212143</v>
      </c>
      <c r="BI229" s="620">
        <f t="shared" si="367"/>
        <v>1.0272123912301998</v>
      </c>
      <c r="BJ229" s="620">
        <f t="shared" si="368"/>
        <v>1.0375478716696922</v>
      </c>
      <c r="BK229" s="620">
        <f t="shared" si="369"/>
        <v>1.0484720046996705</v>
      </c>
      <c r="BL229" s="620">
        <f t="shared" si="370"/>
        <v>1.0564333228669962</v>
      </c>
      <c r="BM229" s="621" t="str">
        <f t="shared" si="371"/>
        <v>Project</v>
      </c>
    </row>
    <row r="230" spans="1:65" x14ac:dyDescent="0.15">
      <c r="A230" s="91" t="s">
        <v>467</v>
      </c>
      <c r="B230" s="13" t="s">
        <v>2321</v>
      </c>
      <c r="C230" s="13" t="s">
        <v>27</v>
      </c>
      <c r="D230" s="13" t="s">
        <v>55</v>
      </c>
      <c r="E230" s="13" t="s">
        <v>29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5">
        <v>0</v>
      </c>
      <c r="N230" s="804"/>
      <c r="O230" s="14"/>
      <c r="P230" s="15"/>
      <c r="Q230" s="16">
        <f>IF(ISTEXT('Incurred 2.5% cpi'!Q230),"",'Incurred 2.5% cpi'!Q230/'Incurred 2.5% cpi'!Q$14*Incurred!Q$14)</f>
        <v>194734.22</v>
      </c>
      <c r="R230" s="127">
        <f>IF(ISTEXT('Incurred 2.5% cpi'!R230),"",'Incurred 2.5% cpi'!R230/'Incurred 2.5% cpi'!R$14*Incurred!R$14*BF230)</f>
        <v>136384.95964733654</v>
      </c>
      <c r="S230" s="119" t="str">
        <f>IF(ISTEXT('Incurred 2.5% cpi'!S230),"",'Incurred 2.5% cpi'!S230/'Incurred 2.5% cpi'!S$14*Incurred!S$14*BG230)</f>
        <v/>
      </c>
      <c r="T230" s="16" t="str">
        <f>IF(ISTEXT('Incurred 2.5% cpi'!T230),"",'Incurred 2.5% cpi'!T230/'Incurred 2.5% cpi'!T$14*Incurred!T$14*BH230)</f>
        <v/>
      </c>
      <c r="U230" s="16" t="str">
        <f>IF(ISTEXT('Incurred 2.5% cpi'!U230),"",'Incurred 2.5% cpi'!U230/'Incurred 2.5% cpi'!U$14*Incurred!U$14*BI230)</f>
        <v/>
      </c>
      <c r="V230" s="16" t="str">
        <f>IF(ISTEXT('Incurred 2.5% cpi'!V230),"",'Incurred 2.5% cpi'!V230/'Incurred 2.5% cpi'!V$14*Incurred!V$14*BJ230)</f>
        <v/>
      </c>
      <c r="W230" s="127" t="str">
        <f>IF(ISTEXT('Incurred 2.5% cpi'!W230),"",'Incurred 2.5% cpi'!W230/'Incurred 2.5% cpi'!W$14*Incurred!W$14*BK230)</f>
        <v/>
      </c>
      <c r="X230" s="119" t="str">
        <f>IF(ISTEXT('Incurred 2.5% cpi'!X230),"",'Incurred 2.5% cpi'!X230/'Incurred 2.5% cpi'!X$14*Incurred!X$14*BL230)</f>
        <v/>
      </c>
      <c r="Y230" s="95">
        <f t="shared" si="345"/>
        <v>331119.17964733654</v>
      </c>
      <c r="Z230" s="95">
        <f t="shared" si="361"/>
        <v>331119.17964733654</v>
      </c>
      <c r="AA230" s="676">
        <f t="shared" si="379"/>
        <v>369274.34540711576</v>
      </c>
      <c r="AB230" s="676">
        <f t="shared" si="362"/>
        <v>334955.44378133659</v>
      </c>
      <c r="AC230" s="677">
        <f t="shared" si="380"/>
        <v>1.1024581097663335</v>
      </c>
      <c r="AD230" s="678" t="str">
        <f t="shared" si="377"/>
        <v>2018</v>
      </c>
      <c r="AE230" s="679">
        <v>42982</v>
      </c>
      <c r="AF230" s="678">
        <v>2018</v>
      </c>
      <c r="AG230" s="680"/>
      <c r="AH230" s="676">
        <f t="shared" si="381"/>
        <v>334955.44378133654</v>
      </c>
      <c r="AI230" s="95">
        <f t="shared" si="363"/>
        <v>136384.95964733654</v>
      </c>
      <c r="AJ230" s="681" t="s">
        <v>0</v>
      </c>
      <c r="AK230" s="37">
        <f t="shared" si="364"/>
        <v>0</v>
      </c>
      <c r="AL230" s="31">
        <f t="shared" si="382"/>
        <v>0</v>
      </c>
      <c r="AM230" s="31">
        <f t="shared" si="382"/>
        <v>0</v>
      </c>
      <c r="AN230" s="31">
        <f t="shared" si="382"/>
        <v>0</v>
      </c>
      <c r="AO230" s="31">
        <f t="shared" si="382"/>
        <v>1</v>
      </c>
      <c r="AP230" s="31">
        <f t="shared" si="382"/>
        <v>0</v>
      </c>
      <c r="AQ230" s="31">
        <f t="shared" si="382"/>
        <v>0</v>
      </c>
      <c r="AR230" s="31">
        <f t="shared" si="382"/>
        <v>0</v>
      </c>
      <c r="AS230" s="31">
        <f t="shared" si="382"/>
        <v>0</v>
      </c>
      <c r="AT230" s="31">
        <f t="shared" si="382"/>
        <v>0</v>
      </c>
      <c r="AU230" s="31">
        <f t="shared" si="382"/>
        <v>0</v>
      </c>
      <c r="AV230" s="31">
        <f t="shared" si="383"/>
        <v>0</v>
      </c>
      <c r="AW230" s="31">
        <f t="shared" si="383"/>
        <v>0</v>
      </c>
      <c r="AX230" s="31">
        <f t="shared" si="383"/>
        <v>0</v>
      </c>
      <c r="AY230" s="31">
        <f t="shared" si="383"/>
        <v>0</v>
      </c>
      <c r="AZ230" s="31">
        <f t="shared" si="383"/>
        <v>0</v>
      </c>
      <c r="BA230" s="31">
        <f t="shared" si="383"/>
        <v>0</v>
      </c>
      <c r="BB230" s="31">
        <f t="shared" si="383"/>
        <v>0</v>
      </c>
      <c r="BC230" s="31">
        <f t="shared" si="383"/>
        <v>0</v>
      </c>
      <c r="BD230" s="31">
        <f t="shared" si="383"/>
        <v>0</v>
      </c>
      <c r="BE230" s="30">
        <f t="shared" si="384"/>
        <v>1</v>
      </c>
      <c r="BF230" s="620">
        <f t="shared" si="385"/>
        <v>1.0046190746045656</v>
      </c>
      <c r="BG230" s="620">
        <f t="shared" si="365"/>
        <v>1.0092681731940607</v>
      </c>
      <c r="BH230" s="620">
        <f t="shared" si="366"/>
        <v>1.0146673859598225</v>
      </c>
      <c r="BI230" s="620">
        <f t="shared" si="367"/>
        <v>1.0211950341936284</v>
      </c>
      <c r="BJ230" s="620">
        <f t="shared" si="368"/>
        <v>1.0292450750544078</v>
      </c>
      <c r="BK230" s="620">
        <f t="shared" si="369"/>
        <v>1.0377536023333034</v>
      </c>
      <c r="BL230" s="620">
        <f t="shared" si="370"/>
        <v>1.0439544690397748</v>
      </c>
      <c r="BM230" s="621" t="str">
        <f t="shared" si="371"/>
        <v>Category</v>
      </c>
    </row>
    <row r="231" spans="1:65" x14ac:dyDescent="0.15">
      <c r="A231" s="91" t="s">
        <v>468</v>
      </c>
      <c r="B231" s="13" t="s">
        <v>469</v>
      </c>
      <c r="C231" s="13" t="s">
        <v>27</v>
      </c>
      <c r="D231" s="13" t="s">
        <v>55</v>
      </c>
      <c r="E231" s="13" t="s">
        <v>29</v>
      </c>
      <c r="F231" s="14">
        <v>0</v>
      </c>
      <c r="G231" s="14">
        <v>0</v>
      </c>
      <c r="H231" s="14">
        <v>0</v>
      </c>
      <c r="I231" s="14">
        <v>0</v>
      </c>
      <c r="J231" s="14">
        <v>0</v>
      </c>
      <c r="K231" s="14">
        <v>0</v>
      </c>
      <c r="L231" s="14">
        <v>0</v>
      </c>
      <c r="M231" s="15">
        <v>0</v>
      </c>
      <c r="N231" s="804"/>
      <c r="O231" s="14"/>
      <c r="P231" s="15">
        <v>49993.08</v>
      </c>
      <c r="Q231" s="16">
        <f>IF(ISTEXT('Incurred 2.5% cpi'!Q231),"",'Incurred 2.5% cpi'!Q231/'Incurred 2.5% cpi'!Q$14*Incurred!Q$14)</f>
        <v>1711645.16</v>
      </c>
      <c r="R231" s="127">
        <f>IF(ISTEXT('Incurred 2.5% cpi'!R231),"",'Incurred 2.5% cpi'!R231/'Incurred 2.5% cpi'!R$14*Incurred!R$14*BF231)</f>
        <v>138139.1894345792</v>
      </c>
      <c r="S231" s="119" t="str">
        <f>IF(ISTEXT('Incurred 2.5% cpi'!S231),"",'Incurred 2.5% cpi'!S231/'Incurred 2.5% cpi'!S$14*Incurred!S$14*BG231)</f>
        <v/>
      </c>
      <c r="T231" s="16" t="str">
        <f>IF(ISTEXT('Incurred 2.5% cpi'!T231),"",'Incurred 2.5% cpi'!T231/'Incurred 2.5% cpi'!T$14*Incurred!T$14*BH231)</f>
        <v/>
      </c>
      <c r="U231" s="16" t="str">
        <f>IF(ISTEXT('Incurred 2.5% cpi'!U231),"",'Incurred 2.5% cpi'!U231/'Incurred 2.5% cpi'!U$14*Incurred!U$14*BI231)</f>
        <v/>
      </c>
      <c r="V231" s="16" t="str">
        <f>IF(ISTEXT('Incurred 2.5% cpi'!V231),"",'Incurred 2.5% cpi'!V231/'Incurred 2.5% cpi'!V$14*Incurred!V$14*BJ231)</f>
        <v/>
      </c>
      <c r="W231" s="127" t="str">
        <f>IF(ISTEXT('Incurred 2.5% cpi'!W231),"",'Incurred 2.5% cpi'!W231/'Incurred 2.5% cpi'!W$14*Incurred!W$14*BK231)</f>
        <v/>
      </c>
      <c r="X231" s="119" t="str">
        <f>IF(ISTEXT('Incurred 2.5% cpi'!X231),"",'Incurred 2.5% cpi'!X231/'Incurred 2.5% cpi'!X$14*Incurred!X$14*BL231)</f>
        <v/>
      </c>
      <c r="Y231" s="95">
        <f t="shared" si="345"/>
        <v>1899777.4294345791</v>
      </c>
      <c r="Z231" s="95">
        <f t="shared" si="361"/>
        <v>1899777.4294345791</v>
      </c>
      <c r="AA231" s="676">
        <f t="shared" si="379"/>
        <v>2133792.2020394607</v>
      </c>
      <c r="AB231" s="676">
        <f t="shared" si="362"/>
        <v>1935485.9682529969</v>
      </c>
      <c r="AC231" s="677">
        <f t="shared" si="380"/>
        <v>1.1024581097663335</v>
      </c>
      <c r="AD231" s="678" t="str">
        <f t="shared" si="377"/>
        <v>2018</v>
      </c>
      <c r="AE231" s="679">
        <v>42923</v>
      </c>
      <c r="AF231" s="678">
        <v>2018</v>
      </c>
      <c r="AG231" s="680"/>
      <c r="AH231" s="676">
        <f t="shared" si="381"/>
        <v>1935485.9682529962</v>
      </c>
      <c r="AI231" s="95">
        <f t="shared" si="363"/>
        <v>138139.1894345792</v>
      </c>
      <c r="AJ231" s="681" t="s">
        <v>0</v>
      </c>
      <c r="AK231" s="37">
        <f t="shared" si="364"/>
        <v>0</v>
      </c>
      <c r="AL231" s="31">
        <f t="shared" ref="AL231:AU236" si="386">IF($AK231=0,VLOOKUP(MID($A231,4,5),ProjectSplits,AL$20,FALSE),IF(ISNA(VLOOKUP($A231,Estimates,AL$19,FALSE)),VLOOKUP(MID($A231,4,5),ProjectSplits,AL$20,FALSE),VLOOKUP($A231,Estimates,AL$19,FALSE)))</f>
        <v>0</v>
      </c>
      <c r="AM231" s="31">
        <f t="shared" si="386"/>
        <v>0</v>
      </c>
      <c r="AN231" s="31">
        <f t="shared" si="386"/>
        <v>0</v>
      </c>
      <c r="AO231" s="31">
        <f t="shared" si="386"/>
        <v>1</v>
      </c>
      <c r="AP231" s="31">
        <f t="shared" si="386"/>
        <v>0</v>
      </c>
      <c r="AQ231" s="31">
        <f t="shared" si="386"/>
        <v>0</v>
      </c>
      <c r="AR231" s="31">
        <f t="shared" si="386"/>
        <v>0</v>
      </c>
      <c r="AS231" s="31">
        <f t="shared" si="386"/>
        <v>0</v>
      </c>
      <c r="AT231" s="31">
        <f t="shared" si="386"/>
        <v>0</v>
      </c>
      <c r="AU231" s="31">
        <f t="shared" si="386"/>
        <v>0</v>
      </c>
      <c r="AV231" s="31">
        <f t="shared" ref="AV231:BD236" si="387">IF($AK231=0,VLOOKUP(MID($A231,4,5),ProjectSplits,AV$20,FALSE),IF(ISNA(VLOOKUP($A231,Estimates,AV$19,FALSE)),VLOOKUP(MID($A231,4,5),ProjectSplits,AV$20,FALSE),VLOOKUP($A231,Estimates,AV$19,FALSE)))</f>
        <v>0</v>
      </c>
      <c r="AW231" s="31">
        <f t="shared" si="387"/>
        <v>0</v>
      </c>
      <c r="AX231" s="31">
        <f t="shared" si="387"/>
        <v>0</v>
      </c>
      <c r="AY231" s="31">
        <f t="shared" si="387"/>
        <v>0</v>
      </c>
      <c r="AZ231" s="31">
        <f t="shared" si="387"/>
        <v>0</v>
      </c>
      <c r="BA231" s="31">
        <f t="shared" si="387"/>
        <v>0</v>
      </c>
      <c r="BB231" s="31">
        <f t="shared" si="387"/>
        <v>0</v>
      </c>
      <c r="BC231" s="31">
        <f t="shared" si="387"/>
        <v>0</v>
      </c>
      <c r="BD231" s="31">
        <f t="shared" si="387"/>
        <v>0</v>
      </c>
      <c r="BE231" s="30">
        <f t="shared" si="384"/>
        <v>1</v>
      </c>
      <c r="BF231" s="620">
        <f t="shared" si="385"/>
        <v>1.0046190746045656</v>
      </c>
      <c r="BG231" s="620">
        <f t="shared" si="365"/>
        <v>1.0092681731940607</v>
      </c>
      <c r="BH231" s="620">
        <f t="shared" si="366"/>
        <v>1.0146673859598225</v>
      </c>
      <c r="BI231" s="620">
        <f t="shared" si="367"/>
        <v>1.0211950341936284</v>
      </c>
      <c r="BJ231" s="620">
        <f t="shared" si="368"/>
        <v>1.0292450750544078</v>
      </c>
      <c r="BK231" s="620">
        <f t="shared" si="369"/>
        <v>1.0377536023333034</v>
      </c>
      <c r="BL231" s="620">
        <f t="shared" si="370"/>
        <v>1.0439544690397748</v>
      </c>
      <c r="BM231" s="621" t="str">
        <f t="shared" si="371"/>
        <v>Category</v>
      </c>
    </row>
    <row r="232" spans="1:65" x14ac:dyDescent="0.15">
      <c r="A232" s="91" t="s">
        <v>470</v>
      </c>
      <c r="B232" s="13" t="s">
        <v>471</v>
      </c>
      <c r="C232" s="13" t="s">
        <v>27</v>
      </c>
      <c r="D232" s="13" t="s">
        <v>40</v>
      </c>
      <c r="E232" s="13" t="s">
        <v>112</v>
      </c>
      <c r="F232" s="14">
        <v>0</v>
      </c>
      <c r="G232" s="14">
        <v>0</v>
      </c>
      <c r="H232" s="14">
        <v>0</v>
      </c>
      <c r="I232" s="14">
        <v>0</v>
      </c>
      <c r="J232" s="14">
        <v>0</v>
      </c>
      <c r="K232" s="14">
        <v>0</v>
      </c>
      <c r="L232" s="14">
        <v>0</v>
      </c>
      <c r="M232" s="15">
        <v>0</v>
      </c>
      <c r="N232" s="804"/>
      <c r="O232" s="14"/>
      <c r="P232" s="15"/>
      <c r="Q232" s="16" t="str">
        <f>IF(ISTEXT('Incurred 2.5% cpi'!Q232),"",'Incurred 2.5% cpi'!Q232/'Incurred 2.5% cpi'!Q$14*Incurred!Q$14)</f>
        <v/>
      </c>
      <c r="R232" s="127" t="str">
        <f>IF(ISTEXT('Incurred 2.5% cpi'!R232),"",'Incurred 2.5% cpi'!R232/'Incurred 2.5% cpi'!R$14*Incurred!R$14*BF232)</f>
        <v/>
      </c>
      <c r="S232" s="119">
        <f>IF(ISTEXT('Incurred 2.5% cpi'!S232),"",'Incurred 2.5% cpi'!S232/'Incurred 2.5% cpi'!S$14*Incurred!S$14*BG232)</f>
        <v>221615.55431239543</v>
      </c>
      <c r="T232" s="16">
        <f>IF(ISTEXT('Incurred 2.5% cpi'!T232),"",'Incurred 2.5% cpi'!T232/'Incurred 2.5% cpi'!T$14*Incurred!T$14*BH232)</f>
        <v>773033.90653943806</v>
      </c>
      <c r="U232" s="16" t="str">
        <f>IF(ISTEXT('Incurred 2.5% cpi'!U232),"",'Incurred 2.5% cpi'!U232/'Incurred 2.5% cpi'!U$14*Incurred!U$14*BI232)</f>
        <v/>
      </c>
      <c r="V232" s="16" t="str">
        <f>IF(ISTEXT('Incurred 2.5% cpi'!V232),"",'Incurred 2.5% cpi'!V232/'Incurred 2.5% cpi'!V$14*Incurred!V$14*BJ232)</f>
        <v/>
      </c>
      <c r="W232" s="127" t="str">
        <f>IF(ISTEXT('Incurred 2.5% cpi'!W232),"",'Incurred 2.5% cpi'!W232/'Incurred 2.5% cpi'!W$14*Incurred!W$14*BK232)</f>
        <v/>
      </c>
      <c r="X232" s="119" t="str">
        <f>IF(ISTEXT('Incurred 2.5% cpi'!X232),"",'Incurred 2.5% cpi'!X232/'Incurred 2.5% cpi'!X$14*Incurred!X$14*BL232)</f>
        <v/>
      </c>
      <c r="Y232" s="95">
        <f t="shared" si="345"/>
        <v>994649.46085183346</v>
      </c>
      <c r="Z232" s="95">
        <f t="shared" si="361"/>
        <v>994649.46085183346</v>
      </c>
      <c r="AA232" s="676">
        <f t="shared" si="379"/>
        <v>1059227.8521225662</v>
      </c>
      <c r="AB232" s="676">
        <f t="shared" si="362"/>
        <v>999015.28727178765</v>
      </c>
      <c r="AC232" s="677">
        <f t="shared" si="380"/>
        <v>1.060271915373</v>
      </c>
      <c r="AD232" s="678" t="str">
        <f t="shared" si="377"/>
        <v>2020</v>
      </c>
      <c r="AE232" s="679">
        <v>43754</v>
      </c>
      <c r="AF232" s="678">
        <v>2020</v>
      </c>
      <c r="AG232" s="680"/>
      <c r="AH232" s="676">
        <f t="shared" si="381"/>
        <v>960787.39204618847</v>
      </c>
      <c r="AI232" s="95">
        <f t="shared" si="363"/>
        <v>773033.90653943806</v>
      </c>
      <c r="AJ232" s="681" t="s">
        <v>3058</v>
      </c>
      <c r="AK232" s="37">
        <f t="shared" si="364"/>
        <v>0</v>
      </c>
      <c r="AL232" s="31">
        <f t="shared" si="386"/>
        <v>0</v>
      </c>
      <c r="AM232" s="31">
        <f t="shared" si="386"/>
        <v>0</v>
      </c>
      <c r="AN232" s="31">
        <f t="shared" si="386"/>
        <v>0</v>
      </c>
      <c r="AO232" s="31">
        <f t="shared" si="386"/>
        <v>1</v>
      </c>
      <c r="AP232" s="31">
        <f t="shared" si="386"/>
        <v>0</v>
      </c>
      <c r="AQ232" s="31">
        <f t="shared" si="386"/>
        <v>0</v>
      </c>
      <c r="AR232" s="31">
        <f t="shared" si="386"/>
        <v>0</v>
      </c>
      <c r="AS232" s="31">
        <f t="shared" si="386"/>
        <v>0</v>
      </c>
      <c r="AT232" s="31">
        <f t="shared" si="386"/>
        <v>0</v>
      </c>
      <c r="AU232" s="31">
        <f t="shared" si="386"/>
        <v>0</v>
      </c>
      <c r="AV232" s="31">
        <f t="shared" si="387"/>
        <v>0</v>
      </c>
      <c r="AW232" s="31">
        <f t="shared" si="387"/>
        <v>0</v>
      </c>
      <c r="AX232" s="31">
        <f t="shared" si="387"/>
        <v>0</v>
      </c>
      <c r="AY232" s="31">
        <f t="shared" si="387"/>
        <v>0</v>
      </c>
      <c r="AZ232" s="31">
        <f t="shared" si="387"/>
        <v>0</v>
      </c>
      <c r="BA232" s="31">
        <f t="shared" si="387"/>
        <v>0</v>
      </c>
      <c r="BB232" s="31">
        <f t="shared" si="387"/>
        <v>0</v>
      </c>
      <c r="BC232" s="31">
        <f t="shared" si="387"/>
        <v>0</v>
      </c>
      <c r="BD232" s="31">
        <f t="shared" si="387"/>
        <v>0</v>
      </c>
      <c r="BE232" s="30">
        <f t="shared" si="384"/>
        <v>1</v>
      </c>
      <c r="BF232" s="620">
        <f t="shared" si="385"/>
        <v>1.0059304488076128</v>
      </c>
      <c r="BG232" s="620">
        <f t="shared" si="365"/>
        <v>1.011899445532475</v>
      </c>
      <c r="BH232" s="620">
        <f t="shared" si="366"/>
        <v>1.0188315169212143</v>
      </c>
      <c r="BI232" s="620">
        <f t="shared" si="367"/>
        <v>1.0272123912301998</v>
      </c>
      <c r="BJ232" s="620">
        <f t="shared" si="368"/>
        <v>1.0375478716696922</v>
      </c>
      <c r="BK232" s="620">
        <f t="shared" si="369"/>
        <v>1.0484720046996705</v>
      </c>
      <c r="BL232" s="620">
        <f t="shared" si="370"/>
        <v>1.0564333228669962</v>
      </c>
      <c r="BM232" s="621" t="str">
        <f t="shared" si="371"/>
        <v>Project</v>
      </c>
    </row>
    <row r="233" spans="1:65" x14ac:dyDescent="0.15">
      <c r="A233" s="91" t="s">
        <v>472</v>
      </c>
      <c r="B233" s="13" t="s">
        <v>2322</v>
      </c>
      <c r="C233" s="13" t="s">
        <v>27</v>
      </c>
      <c r="D233" s="13" t="s">
        <v>55</v>
      </c>
      <c r="E233" s="13" t="s">
        <v>29</v>
      </c>
      <c r="F233" s="14">
        <v>0</v>
      </c>
      <c r="G233" s="14">
        <v>0</v>
      </c>
      <c r="H233" s="14">
        <v>0</v>
      </c>
      <c r="I233" s="14">
        <v>0</v>
      </c>
      <c r="J233" s="14">
        <v>0</v>
      </c>
      <c r="K233" s="14">
        <v>0</v>
      </c>
      <c r="L233" s="14">
        <v>0</v>
      </c>
      <c r="M233" s="15">
        <v>0</v>
      </c>
      <c r="N233" s="804"/>
      <c r="O233" s="14"/>
      <c r="P233" s="15"/>
      <c r="Q233" s="16">
        <f>IF(ISTEXT('Incurred 2.5% cpi'!Q233),"",'Incurred 2.5% cpi'!Q233/'Incurred 2.5% cpi'!Q$14*Incurred!Q$14)</f>
        <v>441323.12</v>
      </c>
      <c r="R233" s="127">
        <f>IF(ISTEXT('Incurred 2.5% cpi'!R233),"",'Incurred 2.5% cpi'!R233/'Incurred 2.5% cpi'!R$14*Incurred!R$14*BF233)</f>
        <v>19662.506902274668</v>
      </c>
      <c r="S233" s="119" t="str">
        <f>IF(ISTEXT('Incurred 2.5% cpi'!S233),"",'Incurred 2.5% cpi'!S233/'Incurred 2.5% cpi'!S$14*Incurred!S$14*BG233)</f>
        <v/>
      </c>
      <c r="T233" s="16" t="str">
        <f>IF(ISTEXT('Incurred 2.5% cpi'!T233),"",'Incurred 2.5% cpi'!T233/'Incurred 2.5% cpi'!T$14*Incurred!T$14*BH233)</f>
        <v/>
      </c>
      <c r="U233" s="16" t="str">
        <f>IF(ISTEXT('Incurred 2.5% cpi'!U233),"",'Incurred 2.5% cpi'!U233/'Incurred 2.5% cpi'!U$14*Incurred!U$14*BI233)</f>
        <v/>
      </c>
      <c r="V233" s="16" t="str">
        <f>IF(ISTEXT('Incurred 2.5% cpi'!V233),"",'Incurred 2.5% cpi'!V233/'Incurred 2.5% cpi'!V$14*Incurred!V$14*BJ233)</f>
        <v/>
      </c>
      <c r="W233" s="127" t="str">
        <f>IF(ISTEXT('Incurred 2.5% cpi'!W233),"",'Incurred 2.5% cpi'!W233/'Incurred 2.5% cpi'!W$14*Incurred!W$14*BK233)</f>
        <v/>
      </c>
      <c r="X233" s="119" t="str">
        <f>IF(ISTEXT('Incurred 2.5% cpi'!X233),"",'Incurred 2.5% cpi'!X233/'Incurred 2.5% cpi'!X$14*Incurred!X$14*BL233)</f>
        <v/>
      </c>
      <c r="Y233" s="95">
        <f t="shared" si="345"/>
        <v>460985.62690227467</v>
      </c>
      <c r="Z233" s="95">
        <f t="shared" si="361"/>
        <v>460985.62690227467</v>
      </c>
      <c r="AA233" s="676">
        <f t="shared" si="379"/>
        <v>517802.18584175629</v>
      </c>
      <c r="AB233" s="676">
        <f t="shared" si="362"/>
        <v>460605.75891563663</v>
      </c>
      <c r="AC233" s="677">
        <f t="shared" si="380"/>
        <v>1.1241765345287305</v>
      </c>
      <c r="AD233" s="678" t="str">
        <f t="shared" si="377"/>
        <v>2018</v>
      </c>
      <c r="AE233" s="679">
        <v>42909</v>
      </c>
      <c r="AF233" s="678">
        <v>2017</v>
      </c>
      <c r="AG233" s="680"/>
      <c r="AH233" s="676">
        <f t="shared" si="381"/>
        <v>469679.69236627471</v>
      </c>
      <c r="AI233" s="95">
        <f t="shared" si="363"/>
        <v>19662.506902274668</v>
      </c>
      <c r="AJ233" s="681" t="s">
        <v>0</v>
      </c>
      <c r="AK233" s="37">
        <f t="shared" si="364"/>
        <v>0</v>
      </c>
      <c r="AL233" s="31">
        <f t="shared" si="386"/>
        <v>0</v>
      </c>
      <c r="AM233" s="31">
        <f t="shared" si="386"/>
        <v>0</v>
      </c>
      <c r="AN233" s="31">
        <f t="shared" si="386"/>
        <v>0</v>
      </c>
      <c r="AO233" s="31">
        <f t="shared" si="386"/>
        <v>1</v>
      </c>
      <c r="AP233" s="31">
        <f t="shared" si="386"/>
        <v>0</v>
      </c>
      <c r="AQ233" s="31">
        <f t="shared" si="386"/>
        <v>0</v>
      </c>
      <c r="AR233" s="31">
        <f t="shared" si="386"/>
        <v>0</v>
      </c>
      <c r="AS233" s="31">
        <f t="shared" si="386"/>
        <v>0</v>
      </c>
      <c r="AT233" s="31">
        <f t="shared" si="386"/>
        <v>0</v>
      </c>
      <c r="AU233" s="31">
        <f t="shared" si="386"/>
        <v>0</v>
      </c>
      <c r="AV233" s="31">
        <f t="shared" si="387"/>
        <v>0</v>
      </c>
      <c r="AW233" s="31">
        <f t="shared" si="387"/>
        <v>0</v>
      </c>
      <c r="AX233" s="31">
        <f t="shared" si="387"/>
        <v>0</v>
      </c>
      <c r="AY233" s="31">
        <f t="shared" si="387"/>
        <v>0</v>
      </c>
      <c r="AZ233" s="31">
        <f t="shared" si="387"/>
        <v>0</v>
      </c>
      <c r="BA233" s="31">
        <f t="shared" si="387"/>
        <v>0</v>
      </c>
      <c r="BB233" s="31">
        <f t="shared" si="387"/>
        <v>0</v>
      </c>
      <c r="BC233" s="31">
        <f t="shared" si="387"/>
        <v>0</v>
      </c>
      <c r="BD233" s="31">
        <f t="shared" si="387"/>
        <v>0</v>
      </c>
      <c r="BE233" s="30">
        <f t="shared" si="384"/>
        <v>1</v>
      </c>
      <c r="BF233" s="620">
        <f t="shared" si="385"/>
        <v>1.0046190746045656</v>
      </c>
      <c r="BG233" s="620">
        <f t="shared" si="365"/>
        <v>1.0092681731940607</v>
      </c>
      <c r="BH233" s="620">
        <f t="shared" si="366"/>
        <v>1.0146673859598225</v>
      </c>
      <c r="BI233" s="620">
        <f t="shared" si="367"/>
        <v>1.0211950341936284</v>
      </c>
      <c r="BJ233" s="620">
        <f t="shared" si="368"/>
        <v>1.0292450750544078</v>
      </c>
      <c r="BK233" s="620">
        <f t="shared" si="369"/>
        <v>1.0377536023333034</v>
      </c>
      <c r="BL233" s="620">
        <f t="shared" si="370"/>
        <v>1.0439544690397748</v>
      </c>
      <c r="BM233" s="621" t="str">
        <f t="shared" si="371"/>
        <v>Category</v>
      </c>
    </row>
    <row r="234" spans="1:65" x14ac:dyDescent="0.15">
      <c r="A234" s="12" t="s">
        <v>473</v>
      </c>
      <c r="B234" s="13" t="s">
        <v>474</v>
      </c>
      <c r="C234" s="13" t="s">
        <v>27</v>
      </c>
      <c r="D234" s="13" t="s">
        <v>55</v>
      </c>
      <c r="E234" s="13" t="s">
        <v>112</v>
      </c>
      <c r="F234" s="14">
        <v>0</v>
      </c>
      <c r="G234" s="14">
        <v>0</v>
      </c>
      <c r="H234" s="14">
        <v>0</v>
      </c>
      <c r="I234" s="14">
        <v>0</v>
      </c>
      <c r="J234" s="14">
        <v>0</v>
      </c>
      <c r="K234" s="14">
        <v>0</v>
      </c>
      <c r="L234" s="14">
        <v>0</v>
      </c>
      <c r="M234" s="15">
        <v>0</v>
      </c>
      <c r="N234" s="804"/>
      <c r="O234" s="14"/>
      <c r="P234" s="15"/>
      <c r="Q234" s="16" t="str">
        <f>IF(ISTEXT('Incurred 2.5% cpi'!Q234),"",'Incurred 2.5% cpi'!Q234/'Incurred 2.5% cpi'!Q$14*Incurred!Q$14)</f>
        <v/>
      </c>
      <c r="R234" s="127" t="str">
        <f>IF(ISTEXT('Incurred 2.5% cpi'!R234),"",'Incurred 2.5% cpi'!R234/'Incurred 2.5% cpi'!R$14*Incurred!R$14*BF234)</f>
        <v/>
      </c>
      <c r="S234" s="119">
        <f>IF(ISTEXT('Incurred 2.5% cpi'!S234),"",'Incurred 2.5% cpi'!S234/'Incurred 2.5% cpi'!S$14*Incurred!S$14*BG234)</f>
        <v>303449.00345999235</v>
      </c>
      <c r="T234" s="16">
        <f>IF(ISTEXT('Incurred 2.5% cpi'!T234),"",'Incurred 2.5% cpi'!T234/'Incurred 2.5% cpi'!T$14*Incurred!T$14*BH234)</f>
        <v>243525.89287377888</v>
      </c>
      <c r="U234" s="16" t="str">
        <f>IF(ISTEXT('Incurred 2.5% cpi'!U234),"",'Incurred 2.5% cpi'!U234/'Incurred 2.5% cpi'!U$14*Incurred!U$14*BI234)</f>
        <v/>
      </c>
      <c r="V234" s="16" t="str">
        <f>IF(ISTEXT('Incurred 2.5% cpi'!V234),"",'Incurred 2.5% cpi'!V234/'Incurred 2.5% cpi'!V$14*Incurred!V$14*BJ234)</f>
        <v/>
      </c>
      <c r="W234" s="127" t="str">
        <f>IF(ISTEXT('Incurred 2.5% cpi'!W234),"",'Incurred 2.5% cpi'!W234/'Incurred 2.5% cpi'!W$14*Incurred!W$14*BK234)</f>
        <v/>
      </c>
      <c r="X234" s="119" t="str">
        <f>IF(ISTEXT('Incurred 2.5% cpi'!X234),"",'Incurred 2.5% cpi'!X234/'Incurred 2.5% cpi'!X$14*Incurred!X$14*BL234)</f>
        <v/>
      </c>
      <c r="Y234" s="95">
        <f t="shared" si="345"/>
        <v>546974.89633377129</v>
      </c>
      <c r="Z234" s="95">
        <f t="shared" si="361"/>
        <v>546974.89633377129</v>
      </c>
      <c r="AA234" s="676">
        <f t="shared" si="379"/>
        <v>586280.36858225195</v>
      </c>
      <c r="AB234" s="676">
        <f t="shared" si="362"/>
        <v>552952.84170193318</v>
      </c>
      <c r="AC234" s="677">
        <f t="shared" si="380"/>
        <v>1.060271915373</v>
      </c>
      <c r="AD234" s="678" t="str">
        <f t="shared" si="377"/>
        <v>2020</v>
      </c>
      <c r="AE234" s="679">
        <v>43671</v>
      </c>
      <c r="AF234" s="678">
        <v>2020</v>
      </c>
      <c r="AG234" s="680"/>
      <c r="AH234" s="676">
        <f t="shared" si="381"/>
        <v>531793.78281004645</v>
      </c>
      <c r="AI234" s="95">
        <f t="shared" si="363"/>
        <v>243525.89287377888</v>
      </c>
      <c r="AJ234" s="681" t="s">
        <v>3058</v>
      </c>
      <c r="AK234" s="37">
        <f t="shared" si="364"/>
        <v>25000</v>
      </c>
      <c r="AL234" s="31">
        <f t="shared" si="386"/>
        <v>0</v>
      </c>
      <c r="AM234" s="31">
        <f t="shared" si="386"/>
        <v>0</v>
      </c>
      <c r="AN234" s="31">
        <f t="shared" si="386"/>
        <v>0</v>
      </c>
      <c r="AO234" s="31">
        <f t="shared" si="386"/>
        <v>1</v>
      </c>
      <c r="AP234" s="31">
        <f t="shared" si="386"/>
        <v>0</v>
      </c>
      <c r="AQ234" s="31">
        <f t="shared" si="386"/>
        <v>0</v>
      </c>
      <c r="AR234" s="31">
        <f t="shared" si="386"/>
        <v>0</v>
      </c>
      <c r="AS234" s="31">
        <f t="shared" si="386"/>
        <v>0</v>
      </c>
      <c r="AT234" s="31">
        <f t="shared" si="386"/>
        <v>0</v>
      </c>
      <c r="AU234" s="31">
        <f t="shared" si="386"/>
        <v>0</v>
      </c>
      <c r="AV234" s="31">
        <f t="shared" si="387"/>
        <v>0</v>
      </c>
      <c r="AW234" s="31">
        <f t="shared" si="387"/>
        <v>0</v>
      </c>
      <c r="AX234" s="31">
        <f t="shared" si="387"/>
        <v>0</v>
      </c>
      <c r="AY234" s="31">
        <f t="shared" si="387"/>
        <v>0</v>
      </c>
      <c r="AZ234" s="31">
        <f t="shared" si="387"/>
        <v>0</v>
      </c>
      <c r="BA234" s="31">
        <f t="shared" si="387"/>
        <v>0</v>
      </c>
      <c r="BB234" s="31">
        <f t="shared" si="387"/>
        <v>0</v>
      </c>
      <c r="BC234" s="31">
        <f t="shared" si="387"/>
        <v>0</v>
      </c>
      <c r="BD234" s="31">
        <f t="shared" si="387"/>
        <v>0</v>
      </c>
      <c r="BE234" s="30">
        <f t="shared" si="384"/>
        <v>1</v>
      </c>
      <c r="BF234" s="620">
        <f t="shared" si="385"/>
        <v>1.0056339263672323</v>
      </c>
      <c r="BG234" s="620">
        <f t="shared" si="365"/>
        <v>1.0113044732558514</v>
      </c>
      <c r="BH234" s="620">
        <f t="shared" si="366"/>
        <v>1.0178899410751536</v>
      </c>
      <c r="BI234" s="620">
        <f t="shared" si="367"/>
        <v>1.0258517716686899</v>
      </c>
      <c r="BJ234" s="620">
        <f t="shared" si="368"/>
        <v>1.0356704780862076</v>
      </c>
      <c r="BK234" s="620">
        <f t="shared" si="369"/>
        <v>1.0460484044646869</v>
      </c>
      <c r="BL234" s="620">
        <f t="shared" si="370"/>
        <v>1.0536116567236462</v>
      </c>
      <c r="BM234" s="621" t="str">
        <f t="shared" si="371"/>
        <v>Project</v>
      </c>
    </row>
    <row r="235" spans="1:65" x14ac:dyDescent="0.15">
      <c r="A235" s="12" t="s">
        <v>475</v>
      </c>
      <c r="B235" s="13" t="s">
        <v>476</v>
      </c>
      <c r="C235" s="13" t="s">
        <v>27</v>
      </c>
      <c r="D235" s="13" t="s">
        <v>55</v>
      </c>
      <c r="E235" s="13" t="s">
        <v>32</v>
      </c>
      <c r="F235" s="14">
        <v>0</v>
      </c>
      <c r="G235" s="14">
        <v>0</v>
      </c>
      <c r="H235" s="14">
        <v>0</v>
      </c>
      <c r="I235" s="14">
        <v>0</v>
      </c>
      <c r="J235" s="14">
        <v>0</v>
      </c>
      <c r="K235" s="14">
        <v>0</v>
      </c>
      <c r="L235" s="14">
        <v>0</v>
      </c>
      <c r="M235" s="15">
        <v>0</v>
      </c>
      <c r="N235" s="804"/>
      <c r="O235" s="14"/>
      <c r="P235" s="15">
        <v>371613.36</v>
      </c>
      <c r="Q235" s="16" t="str">
        <f>IF(ISTEXT('Incurred 2.5% cpi'!Q235),"",'Incurred 2.5% cpi'!Q235/'Incurred 2.5% cpi'!Q$14*Incurred!Q$14)</f>
        <v/>
      </c>
      <c r="R235" s="127" t="str">
        <f>IF(ISTEXT('Incurred 2.5% cpi'!R235),"",'Incurred 2.5% cpi'!R235/'Incurred 2.5% cpi'!R$14*Incurred!R$14*BF235)</f>
        <v/>
      </c>
      <c r="S235" s="119" t="str">
        <f>IF(ISTEXT('Incurred 2.5% cpi'!S235),"",'Incurred 2.5% cpi'!S235/'Incurred 2.5% cpi'!S$14*Incurred!S$14*BG235)</f>
        <v/>
      </c>
      <c r="T235" s="16" t="str">
        <f>IF(ISTEXT('Incurred 2.5% cpi'!T235),"",'Incurred 2.5% cpi'!T235/'Incurred 2.5% cpi'!T$14*Incurred!T$14*BH235)</f>
        <v/>
      </c>
      <c r="U235" s="16" t="str">
        <f>IF(ISTEXT('Incurred 2.5% cpi'!U235),"",'Incurred 2.5% cpi'!U235/'Incurred 2.5% cpi'!U$14*Incurred!U$14*BI235)</f>
        <v/>
      </c>
      <c r="V235" s="16" t="str">
        <f>IF(ISTEXT('Incurred 2.5% cpi'!V235),"",'Incurred 2.5% cpi'!V235/'Incurred 2.5% cpi'!V$14*Incurred!V$14*BJ235)</f>
        <v/>
      </c>
      <c r="W235" s="127" t="str">
        <f>IF(ISTEXT('Incurred 2.5% cpi'!W235),"",'Incurred 2.5% cpi'!W235/'Incurred 2.5% cpi'!W$14*Incurred!W$14*BK235)</f>
        <v/>
      </c>
      <c r="X235" s="119" t="str">
        <f>IF(ISTEXT('Incurred 2.5% cpi'!X235),"",'Incurred 2.5% cpi'!X235/'Incurred 2.5% cpi'!X$14*Incurred!X$14*BL235)</f>
        <v/>
      </c>
      <c r="Y235" s="95">
        <f t="shared" si="345"/>
        <v>371613.36</v>
      </c>
      <c r="Z235" s="95">
        <f t="shared" si="361"/>
        <v>371613.36</v>
      </c>
      <c r="AA235" s="676">
        <f t="shared" si="379"/>
        <v>425988.87190819631</v>
      </c>
      <c r="AB235" s="676">
        <f t="shared" si="362"/>
        <v>371613.36</v>
      </c>
      <c r="AC235" s="677">
        <f t="shared" si="380"/>
        <v>1.1463228122589466</v>
      </c>
      <c r="AD235" s="678" t="str">
        <f t="shared" si="377"/>
        <v>2016</v>
      </c>
      <c r="AE235" s="679">
        <v>42475</v>
      </c>
      <c r="AF235" s="678">
        <v>2016</v>
      </c>
      <c r="AG235" s="680"/>
      <c r="AH235" s="676">
        <f t="shared" si="381"/>
        <v>386399.1458128824</v>
      </c>
      <c r="AI235" s="95">
        <f t="shared" si="363"/>
        <v>371613.36</v>
      </c>
      <c r="AJ235" s="681" t="s">
        <v>0</v>
      </c>
      <c r="AK235" s="37">
        <f t="shared" si="364"/>
        <v>19950.000000000025</v>
      </c>
      <c r="AL235" s="31">
        <f t="shared" si="386"/>
        <v>0</v>
      </c>
      <c r="AM235" s="31">
        <f t="shared" si="386"/>
        <v>0</v>
      </c>
      <c r="AN235" s="31">
        <f t="shared" si="386"/>
        <v>0</v>
      </c>
      <c r="AO235" s="31">
        <f t="shared" si="386"/>
        <v>1</v>
      </c>
      <c r="AP235" s="31">
        <f t="shared" si="386"/>
        <v>0</v>
      </c>
      <c r="AQ235" s="31">
        <f t="shared" si="386"/>
        <v>0</v>
      </c>
      <c r="AR235" s="31">
        <f t="shared" si="386"/>
        <v>0</v>
      </c>
      <c r="AS235" s="31">
        <f t="shared" si="386"/>
        <v>0</v>
      </c>
      <c r="AT235" s="31">
        <f t="shared" si="386"/>
        <v>0</v>
      </c>
      <c r="AU235" s="31">
        <f t="shared" si="386"/>
        <v>0</v>
      </c>
      <c r="AV235" s="31">
        <f t="shared" si="387"/>
        <v>0</v>
      </c>
      <c r="AW235" s="31">
        <f t="shared" si="387"/>
        <v>0</v>
      </c>
      <c r="AX235" s="31">
        <f t="shared" si="387"/>
        <v>0</v>
      </c>
      <c r="AY235" s="31">
        <f t="shared" si="387"/>
        <v>0</v>
      </c>
      <c r="AZ235" s="31">
        <f t="shared" si="387"/>
        <v>0</v>
      </c>
      <c r="BA235" s="31">
        <f t="shared" si="387"/>
        <v>0</v>
      </c>
      <c r="BB235" s="31">
        <f t="shared" si="387"/>
        <v>0</v>
      </c>
      <c r="BC235" s="31">
        <f t="shared" si="387"/>
        <v>0</v>
      </c>
      <c r="BD235" s="31">
        <f t="shared" si="387"/>
        <v>0</v>
      </c>
      <c r="BE235" s="30">
        <f t="shared" si="384"/>
        <v>1</v>
      </c>
      <c r="BF235" s="620">
        <f t="shared" si="385"/>
        <v>1.0046190746045656</v>
      </c>
      <c r="BG235" s="620">
        <f t="shared" si="365"/>
        <v>1.0092681731940607</v>
      </c>
      <c r="BH235" s="620">
        <f t="shared" si="366"/>
        <v>1.0146673859598225</v>
      </c>
      <c r="BI235" s="620">
        <f t="shared" si="367"/>
        <v>1.0211950341936284</v>
      </c>
      <c r="BJ235" s="620">
        <f t="shared" si="368"/>
        <v>1.0292450750544078</v>
      </c>
      <c r="BK235" s="620">
        <f t="shared" si="369"/>
        <v>1.0377536023333034</v>
      </c>
      <c r="BL235" s="620">
        <f t="shared" si="370"/>
        <v>1.0439544690397748</v>
      </c>
      <c r="BM235" s="621" t="str">
        <f t="shared" si="371"/>
        <v>Category</v>
      </c>
    </row>
    <row r="236" spans="1:65" x14ac:dyDescent="0.15">
      <c r="A236" s="12" t="s">
        <v>479</v>
      </c>
      <c r="B236" s="13" t="s">
        <v>480</v>
      </c>
      <c r="C236" s="13" t="s">
        <v>27</v>
      </c>
      <c r="D236" s="13" t="s">
        <v>55</v>
      </c>
      <c r="E236" s="13" t="s">
        <v>45</v>
      </c>
      <c r="F236" s="14">
        <v>0</v>
      </c>
      <c r="G236" s="14">
        <v>0</v>
      </c>
      <c r="H236" s="14">
        <v>0</v>
      </c>
      <c r="I236" s="14">
        <v>0</v>
      </c>
      <c r="J236" s="14">
        <v>0</v>
      </c>
      <c r="K236" s="14">
        <v>0</v>
      </c>
      <c r="L236" s="14">
        <v>0</v>
      </c>
      <c r="M236" s="15">
        <v>0</v>
      </c>
      <c r="N236" s="804"/>
      <c r="O236" s="14"/>
      <c r="P236" s="15"/>
      <c r="Q236" s="16">
        <f>IF(ISTEXT('Incurred 2.5% cpi'!Q236),"",'Incurred 2.5% cpi'!Q236/'Incurred 2.5% cpi'!Q$14*Incurred!Q$14)</f>
        <v>24172.06</v>
      </c>
      <c r="R236" s="127">
        <f>IF(ISTEXT('Incurred 2.5% cpi'!R236),"",'Incurred 2.5% cpi'!R236/'Incurred 2.5% cpi'!R$14*Incurred!R$14*BF236)</f>
        <v>224922.04357223536</v>
      </c>
      <c r="S236" s="119">
        <f>IF(ISTEXT('Incurred 2.5% cpi'!S236),"",'Incurred 2.5% cpi'!S236/'Incurred 2.5% cpi'!S$14*Incurred!S$14*BG236)</f>
        <v>464255.44319802889</v>
      </c>
      <c r="T236" s="16" t="str">
        <f>IF(ISTEXT('Incurred 2.5% cpi'!T236),"",'Incurred 2.5% cpi'!T236/'Incurred 2.5% cpi'!T$14*Incurred!T$14*BH236)</f>
        <v/>
      </c>
      <c r="U236" s="16" t="str">
        <f>IF(ISTEXT('Incurred 2.5% cpi'!U236),"",'Incurred 2.5% cpi'!U236/'Incurred 2.5% cpi'!U$14*Incurred!U$14*BI236)</f>
        <v/>
      </c>
      <c r="V236" s="16" t="str">
        <f>IF(ISTEXT('Incurred 2.5% cpi'!V236),"",'Incurred 2.5% cpi'!V236/'Incurred 2.5% cpi'!V$14*Incurred!V$14*BJ236)</f>
        <v/>
      </c>
      <c r="W236" s="127" t="str">
        <f>IF(ISTEXT('Incurred 2.5% cpi'!W236),"",'Incurred 2.5% cpi'!W236/'Incurred 2.5% cpi'!W$14*Incurred!W$14*BK236)</f>
        <v/>
      </c>
      <c r="X236" s="119" t="str">
        <f>IF(ISTEXT('Incurred 2.5% cpi'!X236),"",'Incurred 2.5% cpi'!X236/'Incurred 2.5% cpi'!X$14*Incurred!X$14*BL236)</f>
        <v/>
      </c>
      <c r="Y236" s="95">
        <f t="shared" si="345"/>
        <v>713349.54677026428</v>
      </c>
      <c r="Z236" s="95">
        <f t="shared" ref="Z236:Z248" si="388">-SUMIFS(F236:W236,F236:W236,"&lt;0")+SUMIFS(F236:W236,F236:W236,"&gt;0")</f>
        <v>713349.54677026428</v>
      </c>
      <c r="AA236" s="676">
        <f t="shared" si="379"/>
        <v>777074.87068380695</v>
      </c>
      <c r="AB236" s="676">
        <f t="shared" si="362"/>
        <v>718742.27112740267</v>
      </c>
      <c r="AC236" s="677">
        <f t="shared" si="380"/>
        <v>1.0811592721058483</v>
      </c>
      <c r="AD236" s="678" t="str">
        <f t="shared" si="377"/>
        <v>2019</v>
      </c>
      <c r="AE236" s="679">
        <v>43447</v>
      </c>
      <c r="AF236" s="678">
        <v>2019</v>
      </c>
      <c r="AG236" s="680"/>
      <c r="AH236" s="676">
        <f t="shared" si="381"/>
        <v>704856.59618260525</v>
      </c>
      <c r="AI236" s="95">
        <f t="shared" si="363"/>
        <v>464255.44319802889</v>
      </c>
      <c r="AJ236" s="681" t="s">
        <v>3058</v>
      </c>
      <c r="AK236" s="37">
        <f t="shared" si="364"/>
        <v>0</v>
      </c>
      <c r="AL236" s="31">
        <f t="shared" si="386"/>
        <v>0</v>
      </c>
      <c r="AM236" s="31">
        <f t="shared" si="386"/>
        <v>0</v>
      </c>
      <c r="AN236" s="31">
        <f t="shared" si="386"/>
        <v>0</v>
      </c>
      <c r="AO236" s="31">
        <f t="shared" si="386"/>
        <v>1</v>
      </c>
      <c r="AP236" s="31">
        <f t="shared" si="386"/>
        <v>0</v>
      </c>
      <c r="AQ236" s="31">
        <f t="shared" si="386"/>
        <v>0</v>
      </c>
      <c r="AR236" s="31">
        <f t="shared" si="386"/>
        <v>0</v>
      </c>
      <c r="AS236" s="31">
        <f t="shared" si="386"/>
        <v>0</v>
      </c>
      <c r="AT236" s="31">
        <f t="shared" si="386"/>
        <v>0</v>
      </c>
      <c r="AU236" s="31">
        <f t="shared" si="386"/>
        <v>0</v>
      </c>
      <c r="AV236" s="31">
        <f t="shared" si="387"/>
        <v>0</v>
      </c>
      <c r="AW236" s="31">
        <f t="shared" si="387"/>
        <v>0</v>
      </c>
      <c r="AX236" s="31">
        <f t="shared" si="387"/>
        <v>0</v>
      </c>
      <c r="AY236" s="31">
        <f t="shared" si="387"/>
        <v>0</v>
      </c>
      <c r="AZ236" s="31">
        <f t="shared" si="387"/>
        <v>0</v>
      </c>
      <c r="BA236" s="31">
        <f t="shared" si="387"/>
        <v>0</v>
      </c>
      <c r="BB236" s="31">
        <f t="shared" si="387"/>
        <v>0</v>
      </c>
      <c r="BC236" s="31">
        <f t="shared" si="387"/>
        <v>0</v>
      </c>
      <c r="BD236" s="31">
        <f t="shared" si="387"/>
        <v>0</v>
      </c>
      <c r="BE236" s="30">
        <f t="shared" si="384"/>
        <v>1</v>
      </c>
      <c r="BF236" s="620">
        <f t="shared" si="385"/>
        <v>1.0046190746045656</v>
      </c>
      <c r="BG236" s="620">
        <f t="shared" si="365"/>
        <v>1.0092681731940607</v>
      </c>
      <c r="BH236" s="620">
        <f t="shared" si="366"/>
        <v>1.0146673859598225</v>
      </c>
      <c r="BI236" s="620">
        <f t="shared" si="367"/>
        <v>1.0211950341936284</v>
      </c>
      <c r="BJ236" s="620">
        <f t="shared" si="368"/>
        <v>1.0292450750544078</v>
      </c>
      <c r="BK236" s="620">
        <f t="shared" si="369"/>
        <v>1.0377536023333034</v>
      </c>
      <c r="BL236" s="620">
        <f t="shared" si="370"/>
        <v>1.0439544690397748</v>
      </c>
      <c r="BM236" s="621" t="str">
        <f t="shared" si="371"/>
        <v>Category</v>
      </c>
    </row>
    <row r="237" spans="1:65" x14ac:dyDescent="0.15">
      <c r="A237" s="12" t="s">
        <v>481</v>
      </c>
      <c r="B237" s="13" t="s">
        <v>482</v>
      </c>
      <c r="C237" s="13" t="s">
        <v>27</v>
      </c>
      <c r="D237" s="13" t="s">
        <v>60</v>
      </c>
      <c r="E237" s="13" t="s">
        <v>112</v>
      </c>
      <c r="F237" s="14">
        <v>0</v>
      </c>
      <c r="G237" s="14">
        <v>0</v>
      </c>
      <c r="H237" s="14">
        <v>0</v>
      </c>
      <c r="I237" s="14">
        <v>0</v>
      </c>
      <c r="J237" s="14">
        <v>0</v>
      </c>
      <c r="K237" s="14">
        <v>0</v>
      </c>
      <c r="L237" s="14">
        <v>0</v>
      </c>
      <c r="M237" s="15">
        <v>0</v>
      </c>
      <c r="N237" s="804"/>
      <c r="O237" s="14"/>
      <c r="P237" s="15"/>
      <c r="Q237" s="16" t="str">
        <f>IF(ISTEXT('Incurred 2.5% cpi'!Q237),"",'Incurred 2.5% cpi'!Q237/'Incurred 2.5% cpi'!Q$14*Incurred!Q$14)</f>
        <v/>
      </c>
      <c r="R237" s="127" t="str">
        <f>IF(ISTEXT('Incurred 2.5% cpi'!R237),"",'Incurred 2.5% cpi'!R237/'Incurred 2.5% cpi'!R$14*Incurred!R$14*BF237)</f>
        <v/>
      </c>
      <c r="S237" s="119" t="str">
        <f>IF(ISTEXT('Incurred 2.5% cpi'!S237),"",'Incurred 2.5% cpi'!S237/'Incurred 2.5% cpi'!S$14*Incurred!S$14*BG237)</f>
        <v/>
      </c>
      <c r="T237" s="16" t="str">
        <f>IF(ISTEXT('Incurred 2.5% cpi'!T237),"",'Incurred 2.5% cpi'!T237/'Incurred 2.5% cpi'!T$14*Incurred!T$14*BH237)</f>
        <v/>
      </c>
      <c r="U237" s="16">
        <f>IF(ISTEXT('Incurred 2.5% cpi'!U237),"",'Incurred 2.5% cpi'!U237/'Incurred 2.5% cpi'!U$14*Incurred!U$14*BI237)</f>
        <v>2430748.8912260695</v>
      </c>
      <c r="V237" s="16" t="str">
        <f>IF(ISTEXT('Incurred 2.5% cpi'!V237),"",'Incurred 2.5% cpi'!V237/'Incurred 2.5% cpi'!V$14*Incurred!V$14*BJ237)</f>
        <v/>
      </c>
      <c r="W237" s="127" t="str">
        <f>IF(ISTEXT('Incurred 2.5% cpi'!W237),"",'Incurred 2.5% cpi'!W237/'Incurred 2.5% cpi'!W$14*Incurred!W$14*BK237)</f>
        <v/>
      </c>
      <c r="X237" s="119" t="str">
        <f>IF(ISTEXT('Incurred 2.5% cpi'!X237),"",'Incurred 2.5% cpi'!X237/'Incurred 2.5% cpi'!X$14*Incurred!X$14*BL237)</f>
        <v/>
      </c>
      <c r="Y237" s="95">
        <f t="shared" si="345"/>
        <v>2430748.8912260695</v>
      </c>
      <c r="Z237" s="95">
        <f t="shared" si="388"/>
        <v>2430748.8912260695</v>
      </c>
      <c r="AA237" s="676">
        <f t="shared" ref="AA237:AA245" si="389">IF(ROUND(Y237,0)=0,0,SUMPRODUCT($F$17:$W$17,F237:W237))</f>
        <v>2527463.7468775725</v>
      </c>
      <c r="AB237" s="676">
        <f t="shared" si="362"/>
        <v>2430748.8912260695</v>
      </c>
      <c r="AC237" s="677">
        <f t="shared" si="380"/>
        <v>1.0397880900000001</v>
      </c>
      <c r="AD237" s="678" t="str">
        <f t="shared" si="377"/>
        <v>2021</v>
      </c>
      <c r="AE237" s="679">
        <v>44292</v>
      </c>
      <c r="AF237" s="678">
        <v>2021</v>
      </c>
      <c r="AG237" s="680"/>
      <c r="AH237" s="676">
        <f t="shared" ref="AH237:AH245" si="390">IF(ROUND(Y237,0)=0,0,SUMPRODUCT($F$16:$W$16,F237:W237))</f>
        <v>2292571.2319475524</v>
      </c>
      <c r="AI237" s="95">
        <f t="shared" si="363"/>
        <v>2430748.8912260695</v>
      </c>
      <c r="AJ237" s="681" t="s">
        <v>3058</v>
      </c>
      <c r="AK237" s="37">
        <f t="shared" si="364"/>
        <v>2094357.9999999995</v>
      </c>
      <c r="AL237" s="31">
        <f t="shared" ref="AL237:AU245" si="391">IF($AK237=0,VLOOKUP(MID($A237,4,5),ProjectSplits,AL$20,FALSE),IF(ISNA(VLOOKUP($A237,Estimates,AL$19,FALSE)),VLOOKUP(MID($A237,4,5),ProjectSplits,AL$20,FALSE),VLOOKUP($A237,Estimates,AL$19,FALSE)))</f>
        <v>0</v>
      </c>
      <c r="AM237" s="31">
        <f t="shared" si="391"/>
        <v>0</v>
      </c>
      <c r="AN237" s="31">
        <f t="shared" si="391"/>
        <v>0</v>
      </c>
      <c r="AO237" s="31">
        <f t="shared" si="391"/>
        <v>0</v>
      </c>
      <c r="AP237" s="31">
        <f t="shared" si="391"/>
        <v>0</v>
      </c>
      <c r="AQ237" s="31">
        <f t="shared" si="391"/>
        <v>0</v>
      </c>
      <c r="AR237" s="31">
        <f t="shared" si="391"/>
        <v>0</v>
      </c>
      <c r="AS237" s="31">
        <f t="shared" si="391"/>
        <v>0</v>
      </c>
      <c r="AT237" s="31">
        <f t="shared" si="391"/>
        <v>0</v>
      </c>
      <c r="AU237" s="31">
        <f t="shared" si="391"/>
        <v>1</v>
      </c>
      <c r="AV237" s="31">
        <f t="shared" ref="AV237:BD245" si="392">IF($AK237=0,VLOOKUP(MID($A237,4,5),ProjectSplits,AV$20,FALSE),IF(ISNA(VLOOKUP($A237,Estimates,AV$19,FALSE)),VLOOKUP(MID($A237,4,5),ProjectSplits,AV$20,FALSE),VLOOKUP($A237,Estimates,AV$19,FALSE)))</f>
        <v>0</v>
      </c>
      <c r="AW237" s="31">
        <f t="shared" si="392"/>
        <v>0</v>
      </c>
      <c r="AX237" s="31">
        <f t="shared" si="392"/>
        <v>0</v>
      </c>
      <c r="AY237" s="31">
        <f t="shared" si="392"/>
        <v>0</v>
      </c>
      <c r="AZ237" s="31">
        <f t="shared" si="392"/>
        <v>0</v>
      </c>
      <c r="BA237" s="31">
        <f t="shared" si="392"/>
        <v>0</v>
      </c>
      <c r="BB237" s="31">
        <f t="shared" si="392"/>
        <v>0</v>
      </c>
      <c r="BC237" s="31">
        <f t="shared" si="392"/>
        <v>0</v>
      </c>
      <c r="BD237" s="31">
        <f t="shared" si="392"/>
        <v>0</v>
      </c>
      <c r="BE237" s="30">
        <f t="shared" ref="BE237:BE245" si="393">SUM(AL237:BD237)</f>
        <v>1</v>
      </c>
      <c r="BF237" s="620">
        <f t="shared" si="385"/>
        <v>1.0002847743844534</v>
      </c>
      <c r="BG237" s="620">
        <f t="shared" si="365"/>
        <v>1.0005713998024055</v>
      </c>
      <c r="BH237" s="620">
        <f t="shared" si="366"/>
        <v>1.0009042711291389</v>
      </c>
      <c r="BI237" s="620">
        <f t="shared" si="367"/>
        <v>1.0013067125631596</v>
      </c>
      <c r="BJ237" s="620">
        <f t="shared" si="368"/>
        <v>1.001803012282737</v>
      </c>
      <c r="BK237" s="620">
        <f t="shared" si="369"/>
        <v>1.0023275785272521</v>
      </c>
      <c r="BL237" s="620">
        <f t="shared" si="370"/>
        <v>1.0027098732833635</v>
      </c>
      <c r="BM237" s="621" t="str">
        <f t="shared" si="371"/>
        <v>Project</v>
      </c>
    </row>
    <row r="238" spans="1:65" x14ac:dyDescent="0.15">
      <c r="A238" s="12" t="s">
        <v>483</v>
      </c>
      <c r="B238" s="13" t="s">
        <v>484</v>
      </c>
      <c r="C238" s="13" t="s">
        <v>27</v>
      </c>
      <c r="D238" s="13" t="s">
        <v>60</v>
      </c>
      <c r="E238" s="13" t="s">
        <v>112</v>
      </c>
      <c r="F238" s="14">
        <v>0</v>
      </c>
      <c r="G238" s="14">
        <v>0</v>
      </c>
      <c r="H238" s="14">
        <v>0</v>
      </c>
      <c r="I238" s="14">
        <v>0</v>
      </c>
      <c r="J238" s="14">
        <v>0</v>
      </c>
      <c r="K238" s="14">
        <v>0</v>
      </c>
      <c r="L238" s="14">
        <v>0</v>
      </c>
      <c r="M238" s="15">
        <v>0</v>
      </c>
      <c r="N238" s="804"/>
      <c r="O238" s="14"/>
      <c r="P238" s="15"/>
      <c r="Q238" s="16" t="str">
        <f>IF(ISTEXT('Incurred 2.5% cpi'!Q238),"",'Incurred 2.5% cpi'!Q238/'Incurred 2.5% cpi'!Q$14*Incurred!Q$14)</f>
        <v/>
      </c>
      <c r="R238" s="127" t="str">
        <f>IF(ISTEXT('Incurred 2.5% cpi'!R238),"",'Incurred 2.5% cpi'!R238/'Incurred 2.5% cpi'!R$14*Incurred!R$14*BF238)</f>
        <v/>
      </c>
      <c r="S238" s="119" t="str">
        <f>IF(ISTEXT('Incurred 2.5% cpi'!S238),"",'Incurred 2.5% cpi'!S238/'Incurred 2.5% cpi'!S$14*Incurred!S$14*BG238)</f>
        <v/>
      </c>
      <c r="T238" s="16" t="str">
        <f>IF(ISTEXT('Incurred 2.5% cpi'!T238),"",'Incurred 2.5% cpi'!T238/'Incurred 2.5% cpi'!T$14*Incurred!T$14*BH238)</f>
        <v/>
      </c>
      <c r="U238" s="16" t="str">
        <f>IF(ISTEXT('Incurred 2.5% cpi'!U238),"",'Incurred 2.5% cpi'!U238/'Incurred 2.5% cpi'!U$14*Incurred!U$14*BI238)</f>
        <v/>
      </c>
      <c r="V238" s="16">
        <f>IF(ISTEXT('Incurred 2.5% cpi'!V238),"",'Incurred 2.5% cpi'!V238/'Incurred 2.5% cpi'!V$14*Incurred!V$14*BJ238)</f>
        <v>2482012.934796745</v>
      </c>
      <c r="W238" s="127" t="str">
        <f>IF(ISTEXT('Incurred 2.5% cpi'!W238),"",'Incurred 2.5% cpi'!W238/'Incurred 2.5% cpi'!W$14*Incurred!W$14*BK238)</f>
        <v/>
      </c>
      <c r="X238" s="119" t="str">
        <f>IF(ISTEXT('Incurred 2.5% cpi'!X238),"",'Incurred 2.5% cpi'!X238/'Incurred 2.5% cpi'!X$14*Incurred!X$14*BL238)</f>
        <v/>
      </c>
      <c r="Y238" s="95">
        <f t="shared" si="345"/>
        <v>2482012.934796745</v>
      </c>
      <c r="Z238" s="95">
        <f t="shared" si="388"/>
        <v>2482012.934796745</v>
      </c>
      <c r="AA238" s="676">
        <f t="shared" si="389"/>
        <v>2530908.5896122409</v>
      </c>
      <c r="AB238" s="676">
        <f t="shared" si="362"/>
        <v>2482012.934796745</v>
      </c>
      <c r="AC238" s="677">
        <f t="shared" si="380"/>
        <v>1.0197000000000001</v>
      </c>
      <c r="AD238" s="678" t="str">
        <f t="shared" si="377"/>
        <v>2022</v>
      </c>
      <c r="AE238" s="679">
        <v>44652</v>
      </c>
      <c r="AF238" s="678">
        <v>2022</v>
      </c>
      <c r="AG238" s="680"/>
      <c r="AH238" s="676">
        <f t="shared" si="390"/>
        <v>2295695.9245813596</v>
      </c>
      <c r="AI238" s="95">
        <f t="shared" si="363"/>
        <v>2482012.934796745</v>
      </c>
      <c r="AJ238" s="681" t="s">
        <v>3058</v>
      </c>
      <c r="AK238" s="37">
        <f t="shared" si="364"/>
        <v>2094358.0000000005</v>
      </c>
      <c r="AL238" s="31">
        <f t="shared" si="391"/>
        <v>0</v>
      </c>
      <c r="AM238" s="31">
        <f t="shared" si="391"/>
        <v>0</v>
      </c>
      <c r="AN238" s="31">
        <f t="shared" si="391"/>
        <v>0</v>
      </c>
      <c r="AO238" s="31">
        <f t="shared" si="391"/>
        <v>0</v>
      </c>
      <c r="AP238" s="31">
        <f t="shared" si="391"/>
        <v>0</v>
      </c>
      <c r="AQ238" s="31">
        <f t="shared" si="391"/>
        <v>0</v>
      </c>
      <c r="AR238" s="31">
        <f t="shared" si="391"/>
        <v>0</v>
      </c>
      <c r="AS238" s="31">
        <f t="shared" si="391"/>
        <v>0</v>
      </c>
      <c r="AT238" s="31">
        <f t="shared" si="391"/>
        <v>0</v>
      </c>
      <c r="AU238" s="31">
        <f t="shared" si="391"/>
        <v>1</v>
      </c>
      <c r="AV238" s="31">
        <f t="shared" si="392"/>
        <v>0</v>
      </c>
      <c r="AW238" s="31">
        <f t="shared" si="392"/>
        <v>0</v>
      </c>
      <c r="AX238" s="31">
        <f t="shared" si="392"/>
        <v>0</v>
      </c>
      <c r="AY238" s="31">
        <f t="shared" si="392"/>
        <v>0</v>
      </c>
      <c r="AZ238" s="31">
        <f t="shared" si="392"/>
        <v>0</v>
      </c>
      <c r="BA238" s="31">
        <f t="shared" si="392"/>
        <v>0</v>
      </c>
      <c r="BB238" s="31">
        <f t="shared" si="392"/>
        <v>0</v>
      </c>
      <c r="BC238" s="31">
        <f t="shared" si="392"/>
        <v>0</v>
      </c>
      <c r="BD238" s="31">
        <f t="shared" si="392"/>
        <v>0</v>
      </c>
      <c r="BE238" s="30">
        <f t="shared" si="393"/>
        <v>1</v>
      </c>
      <c r="BF238" s="620">
        <f t="shared" si="385"/>
        <v>1.0002847743844534</v>
      </c>
      <c r="BG238" s="620">
        <f t="shared" si="365"/>
        <v>1.0005713998024055</v>
      </c>
      <c r="BH238" s="620">
        <f t="shared" si="366"/>
        <v>1.0009042711291389</v>
      </c>
      <c r="BI238" s="620">
        <f t="shared" si="367"/>
        <v>1.0013067125631596</v>
      </c>
      <c r="BJ238" s="620">
        <f t="shared" si="368"/>
        <v>1.001803012282737</v>
      </c>
      <c r="BK238" s="620">
        <f t="shared" si="369"/>
        <v>1.0023275785272521</v>
      </c>
      <c r="BL238" s="620">
        <f t="shared" si="370"/>
        <v>1.0027098732833635</v>
      </c>
      <c r="BM238" s="621" t="str">
        <f t="shared" si="371"/>
        <v>Project</v>
      </c>
    </row>
    <row r="239" spans="1:65" x14ac:dyDescent="0.15">
      <c r="A239" s="12" t="s">
        <v>485</v>
      </c>
      <c r="B239" s="13" t="s">
        <v>486</v>
      </c>
      <c r="C239" s="13" t="s">
        <v>27</v>
      </c>
      <c r="D239" s="13" t="s">
        <v>60</v>
      </c>
      <c r="E239" s="13" t="s">
        <v>112</v>
      </c>
      <c r="F239" s="14">
        <v>0</v>
      </c>
      <c r="G239" s="14">
        <v>0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5">
        <v>0</v>
      </c>
      <c r="N239" s="804"/>
      <c r="O239" s="14"/>
      <c r="P239" s="15"/>
      <c r="Q239" s="16" t="str">
        <f>IF(ISTEXT('Incurred 2.5% cpi'!Q239),"",'Incurred 2.5% cpi'!Q239/'Incurred 2.5% cpi'!Q$14*Incurred!Q$14)</f>
        <v/>
      </c>
      <c r="R239" s="127" t="str">
        <f>IF(ISTEXT('Incurred 2.5% cpi'!R239),"",'Incurred 2.5% cpi'!R239/'Incurred 2.5% cpi'!R$14*Incurred!R$14*BF239)</f>
        <v/>
      </c>
      <c r="S239" s="119" t="str">
        <f>IF(ISTEXT('Incurred 2.5% cpi'!S239),"",'Incurred 2.5% cpi'!S239/'Incurred 2.5% cpi'!S$14*Incurred!S$14*BG239)</f>
        <v/>
      </c>
      <c r="T239" s="16" t="str">
        <f>IF(ISTEXT('Incurred 2.5% cpi'!T239),"",'Incurred 2.5% cpi'!T239/'Incurred 2.5% cpi'!T$14*Incurred!T$14*BH239)</f>
        <v/>
      </c>
      <c r="U239" s="16" t="str">
        <f>IF(ISTEXT('Incurred 2.5% cpi'!U239),"",'Incurred 2.5% cpi'!U239/'Incurred 2.5% cpi'!U$14*Incurred!U$14*BI239)</f>
        <v/>
      </c>
      <c r="V239" s="16" t="str">
        <f>IF(ISTEXT('Incurred 2.5% cpi'!V239),"",'Incurred 2.5% cpi'!V239/'Incurred 2.5% cpi'!V$14*Incurred!V$14*BJ239)</f>
        <v/>
      </c>
      <c r="W239" s="127">
        <f>IF(ISTEXT('Incurred 2.5% cpi'!W239),"",'Incurred 2.5% cpi'!W239/'Incurred 2.5% cpi'!W$14*Incurred!W$14*BK239)</f>
        <v>2532847.111694715</v>
      </c>
      <c r="X239" s="119" t="str">
        <f>IF(ISTEXT('Incurred 2.5% cpi'!X239),"",'Incurred 2.5% cpi'!X239/'Incurred 2.5% cpi'!X$14*Incurred!X$14*BL239)</f>
        <v/>
      </c>
      <c r="Y239" s="95">
        <f t="shared" si="345"/>
        <v>2532847.111694715</v>
      </c>
      <c r="Z239" s="95">
        <f t="shared" si="388"/>
        <v>2532847.111694715</v>
      </c>
      <c r="AA239" s="676">
        <f t="shared" si="389"/>
        <v>2532847.111694715</v>
      </c>
      <c r="AB239" s="676">
        <f t="shared" si="362"/>
        <v>2532847.111694715</v>
      </c>
      <c r="AC239" s="677">
        <f t="shared" si="380"/>
        <v>1</v>
      </c>
      <c r="AD239" s="678" t="str">
        <f t="shared" si="377"/>
        <v>2023</v>
      </c>
      <c r="AE239" s="679">
        <v>45022</v>
      </c>
      <c r="AF239" s="678">
        <v>2023</v>
      </c>
      <c r="AG239" s="680"/>
      <c r="AH239" s="676">
        <f t="shared" si="390"/>
        <v>2297454.2880650158</v>
      </c>
      <c r="AI239" s="95">
        <f t="shared" si="363"/>
        <v>2532847.111694715</v>
      </c>
      <c r="AJ239" s="681" t="s">
        <v>3058</v>
      </c>
      <c r="AK239" s="37">
        <f t="shared" si="364"/>
        <v>2094358</v>
      </c>
      <c r="AL239" s="31">
        <f t="shared" si="391"/>
        <v>0</v>
      </c>
      <c r="AM239" s="31">
        <f t="shared" si="391"/>
        <v>0</v>
      </c>
      <c r="AN239" s="31">
        <f t="shared" si="391"/>
        <v>0</v>
      </c>
      <c r="AO239" s="31">
        <f t="shared" si="391"/>
        <v>0</v>
      </c>
      <c r="AP239" s="31">
        <f t="shared" si="391"/>
        <v>0</v>
      </c>
      <c r="AQ239" s="31">
        <f t="shared" si="391"/>
        <v>0</v>
      </c>
      <c r="AR239" s="31">
        <f t="shared" si="391"/>
        <v>0</v>
      </c>
      <c r="AS239" s="31">
        <f t="shared" si="391"/>
        <v>0</v>
      </c>
      <c r="AT239" s="31">
        <f t="shared" si="391"/>
        <v>0</v>
      </c>
      <c r="AU239" s="31">
        <f t="shared" si="391"/>
        <v>1</v>
      </c>
      <c r="AV239" s="31">
        <f t="shared" si="392"/>
        <v>0</v>
      </c>
      <c r="AW239" s="31">
        <f t="shared" si="392"/>
        <v>0</v>
      </c>
      <c r="AX239" s="31">
        <f t="shared" si="392"/>
        <v>0</v>
      </c>
      <c r="AY239" s="31">
        <f t="shared" si="392"/>
        <v>0</v>
      </c>
      <c r="AZ239" s="31">
        <f t="shared" si="392"/>
        <v>0</v>
      </c>
      <c r="BA239" s="31">
        <f t="shared" si="392"/>
        <v>0</v>
      </c>
      <c r="BB239" s="31">
        <f t="shared" si="392"/>
        <v>0</v>
      </c>
      <c r="BC239" s="31">
        <f t="shared" si="392"/>
        <v>0</v>
      </c>
      <c r="BD239" s="31">
        <f t="shared" si="392"/>
        <v>0</v>
      </c>
      <c r="BE239" s="30">
        <f t="shared" si="393"/>
        <v>1</v>
      </c>
      <c r="BF239" s="620">
        <f t="shared" si="385"/>
        <v>1.0002847743844534</v>
      </c>
      <c r="BG239" s="620">
        <f t="shared" si="365"/>
        <v>1.0005713998024055</v>
      </c>
      <c r="BH239" s="620">
        <f t="shared" si="366"/>
        <v>1.0009042711291389</v>
      </c>
      <c r="BI239" s="620">
        <f t="shared" si="367"/>
        <v>1.0013067125631596</v>
      </c>
      <c r="BJ239" s="620">
        <f t="shared" si="368"/>
        <v>1.001803012282737</v>
      </c>
      <c r="BK239" s="620">
        <f t="shared" si="369"/>
        <v>1.0023275785272521</v>
      </c>
      <c r="BL239" s="620">
        <f t="shared" si="370"/>
        <v>1.0027098732833635</v>
      </c>
      <c r="BM239" s="621" t="str">
        <f t="shared" si="371"/>
        <v>Project</v>
      </c>
    </row>
    <row r="240" spans="1:65" x14ac:dyDescent="0.15">
      <c r="A240" s="12" t="s">
        <v>487</v>
      </c>
      <c r="B240" s="13" t="s">
        <v>488</v>
      </c>
      <c r="C240" s="13" t="s">
        <v>27</v>
      </c>
      <c r="D240" s="13" t="s">
        <v>40</v>
      </c>
      <c r="E240" s="13" t="s">
        <v>32</v>
      </c>
      <c r="F240" s="14">
        <v>0</v>
      </c>
      <c r="G240" s="14">
        <v>0</v>
      </c>
      <c r="H240" s="14">
        <v>0</v>
      </c>
      <c r="I240" s="14">
        <v>0</v>
      </c>
      <c r="J240" s="14">
        <v>0</v>
      </c>
      <c r="K240" s="14">
        <v>0</v>
      </c>
      <c r="L240" s="14">
        <v>0</v>
      </c>
      <c r="M240" s="15">
        <v>0</v>
      </c>
      <c r="N240" s="804"/>
      <c r="O240" s="14"/>
      <c r="P240" s="15">
        <v>3110.54</v>
      </c>
      <c r="Q240" s="16">
        <f>IF(ISTEXT('Incurred 2.5% cpi'!Q240),"",'Incurred 2.5% cpi'!Q240/'Incurred 2.5% cpi'!Q$14*Incurred!Q$14)</f>
        <v>83940.79</v>
      </c>
      <c r="R240" s="127" t="str">
        <f>IF(ISTEXT('Incurred 2.5% cpi'!R240),"",'Incurred 2.5% cpi'!R240/'Incurred 2.5% cpi'!R$14*Incurred!R$14*BF240)</f>
        <v/>
      </c>
      <c r="S240" s="119" t="str">
        <f>IF(ISTEXT('Incurred 2.5% cpi'!S240),"",'Incurred 2.5% cpi'!S240/'Incurred 2.5% cpi'!S$14*Incurred!S$14*BG240)</f>
        <v/>
      </c>
      <c r="T240" s="16" t="str">
        <f>IF(ISTEXT('Incurred 2.5% cpi'!T240),"",'Incurred 2.5% cpi'!T240/'Incurred 2.5% cpi'!T$14*Incurred!T$14*BH240)</f>
        <v/>
      </c>
      <c r="U240" s="16" t="str">
        <f>IF(ISTEXT('Incurred 2.5% cpi'!U240),"",'Incurred 2.5% cpi'!U240/'Incurred 2.5% cpi'!U$14*Incurred!U$14*BI240)</f>
        <v/>
      </c>
      <c r="V240" s="16" t="str">
        <f>IF(ISTEXT('Incurred 2.5% cpi'!V240),"",'Incurred 2.5% cpi'!V240/'Incurred 2.5% cpi'!V$14*Incurred!V$14*BJ240)</f>
        <v/>
      </c>
      <c r="W240" s="127" t="str">
        <f>IF(ISTEXT('Incurred 2.5% cpi'!W240),"",'Incurred 2.5% cpi'!W240/'Incurred 2.5% cpi'!W$14*Incurred!W$14*BK240)</f>
        <v/>
      </c>
      <c r="X240" s="119" t="str">
        <f>IF(ISTEXT('Incurred 2.5% cpi'!X240),"",'Incurred 2.5% cpi'!X240/'Incurred 2.5% cpi'!X$14*Incurred!X$14*BL240)</f>
        <v/>
      </c>
      <c r="Y240" s="95">
        <f t="shared" si="345"/>
        <v>87051.329999999987</v>
      </c>
      <c r="Z240" s="95">
        <f t="shared" si="388"/>
        <v>87051.329999999987</v>
      </c>
      <c r="AA240" s="676">
        <f t="shared" si="389"/>
        <v>97929.94936824785</v>
      </c>
      <c r="AB240" s="676">
        <f t="shared" si="362"/>
        <v>87112.607638000001</v>
      </c>
      <c r="AC240" s="677">
        <f t="shared" si="380"/>
        <v>1.1241765345287305</v>
      </c>
      <c r="AD240" s="678" t="str">
        <f t="shared" si="377"/>
        <v>2017</v>
      </c>
      <c r="AE240" s="679">
        <v>42649</v>
      </c>
      <c r="AF240" s="678">
        <v>2017</v>
      </c>
      <c r="AG240" s="680"/>
      <c r="AH240" s="676">
        <f t="shared" si="390"/>
        <v>88828.726008468599</v>
      </c>
      <c r="AI240" s="95">
        <f t="shared" si="363"/>
        <v>83940.79</v>
      </c>
      <c r="AJ240" s="681" t="s">
        <v>0</v>
      </c>
      <c r="AK240" s="37">
        <f t="shared" si="364"/>
        <v>0</v>
      </c>
      <c r="AL240" s="31">
        <f t="shared" si="391"/>
        <v>1</v>
      </c>
      <c r="AM240" s="31">
        <f t="shared" si="391"/>
        <v>0</v>
      </c>
      <c r="AN240" s="31">
        <f t="shared" si="391"/>
        <v>0</v>
      </c>
      <c r="AO240" s="31">
        <f t="shared" si="391"/>
        <v>0</v>
      </c>
      <c r="AP240" s="31">
        <f t="shared" si="391"/>
        <v>0</v>
      </c>
      <c r="AQ240" s="31">
        <f t="shared" si="391"/>
        <v>0</v>
      </c>
      <c r="AR240" s="31">
        <f t="shared" si="391"/>
        <v>0</v>
      </c>
      <c r="AS240" s="31">
        <f t="shared" si="391"/>
        <v>0</v>
      </c>
      <c r="AT240" s="31">
        <f t="shared" si="391"/>
        <v>0</v>
      </c>
      <c r="AU240" s="31">
        <f t="shared" si="391"/>
        <v>0</v>
      </c>
      <c r="AV240" s="31">
        <f t="shared" si="392"/>
        <v>0</v>
      </c>
      <c r="AW240" s="31">
        <f t="shared" si="392"/>
        <v>0</v>
      </c>
      <c r="AX240" s="31">
        <f t="shared" si="392"/>
        <v>0</v>
      </c>
      <c r="AY240" s="31">
        <f t="shared" si="392"/>
        <v>0</v>
      </c>
      <c r="AZ240" s="31">
        <f t="shared" si="392"/>
        <v>0</v>
      </c>
      <c r="BA240" s="31">
        <f t="shared" si="392"/>
        <v>0</v>
      </c>
      <c r="BB240" s="31">
        <f t="shared" si="392"/>
        <v>0</v>
      </c>
      <c r="BC240" s="31">
        <f t="shared" si="392"/>
        <v>0</v>
      </c>
      <c r="BD240" s="31">
        <f t="shared" si="392"/>
        <v>0</v>
      </c>
      <c r="BE240" s="30">
        <f t="shared" si="393"/>
        <v>1</v>
      </c>
      <c r="BF240" s="620">
        <f t="shared" si="385"/>
        <v>1.0034498951996242</v>
      </c>
      <c r="BG240" s="620">
        <f t="shared" si="365"/>
        <v>1.0069222147180459</v>
      </c>
      <c r="BH240" s="620">
        <f t="shared" si="366"/>
        <v>1.0109547796356901</v>
      </c>
      <c r="BI240" s="620">
        <f t="shared" si="367"/>
        <v>1.0158301506211216</v>
      </c>
      <c r="BJ240" s="620">
        <f t="shared" si="368"/>
        <v>1.0218425664619335</v>
      </c>
      <c r="BK240" s="620">
        <f t="shared" si="369"/>
        <v>1.0281974167140426</v>
      </c>
      <c r="BL240" s="620">
        <f t="shared" si="370"/>
        <v>1.0328287210586446</v>
      </c>
      <c r="BM240" s="621" t="str">
        <f t="shared" si="371"/>
        <v>Category</v>
      </c>
    </row>
    <row r="241" spans="1:65" x14ac:dyDescent="0.15">
      <c r="A241" s="12" t="s">
        <v>489</v>
      </c>
      <c r="B241" s="13" t="s">
        <v>490</v>
      </c>
      <c r="C241" s="13" t="s">
        <v>27</v>
      </c>
      <c r="D241" s="13" t="s">
        <v>54</v>
      </c>
      <c r="E241" s="13" t="s">
        <v>29</v>
      </c>
      <c r="F241" s="14">
        <v>0</v>
      </c>
      <c r="G241" s="14">
        <v>0</v>
      </c>
      <c r="H241" s="14">
        <v>0</v>
      </c>
      <c r="I241" s="14">
        <v>0</v>
      </c>
      <c r="J241" s="14">
        <v>0</v>
      </c>
      <c r="K241" s="14">
        <v>0</v>
      </c>
      <c r="L241" s="14">
        <v>0</v>
      </c>
      <c r="M241" s="15">
        <v>0</v>
      </c>
      <c r="N241" s="804"/>
      <c r="O241" s="14"/>
      <c r="P241" s="15">
        <v>39283.25</v>
      </c>
      <c r="Q241" s="16">
        <f>IF(ISTEXT('Incurred 2.5% cpi'!Q241),"",'Incurred 2.5% cpi'!Q241/'Incurred 2.5% cpi'!Q$14*Incurred!Q$14)</f>
        <v>653133.11</v>
      </c>
      <c r="R241" s="127">
        <f>IF(ISTEXT('Incurred 2.5% cpi'!R241),"",'Incurred 2.5% cpi'!R241/'Incurred 2.5% cpi'!R$14*Incurred!R$14*BF241)</f>
        <v>687969.78175511956</v>
      </c>
      <c r="S241" s="119" t="str">
        <f>IF(ISTEXT('Incurred 2.5% cpi'!S241),"",'Incurred 2.5% cpi'!S241/'Incurred 2.5% cpi'!S$14*Incurred!S$14*BG241)</f>
        <v/>
      </c>
      <c r="T241" s="16" t="str">
        <f>IF(ISTEXT('Incurred 2.5% cpi'!T241),"",'Incurred 2.5% cpi'!T241/'Incurred 2.5% cpi'!T$14*Incurred!T$14*BH241)</f>
        <v/>
      </c>
      <c r="U241" s="16" t="str">
        <f>IF(ISTEXT('Incurred 2.5% cpi'!U241),"",'Incurred 2.5% cpi'!U241/'Incurred 2.5% cpi'!U$14*Incurred!U$14*BI241)</f>
        <v/>
      </c>
      <c r="V241" s="16" t="str">
        <f>IF(ISTEXT('Incurred 2.5% cpi'!V241),"",'Incurred 2.5% cpi'!V241/'Incurred 2.5% cpi'!V$14*Incurred!V$14*BJ241)</f>
        <v/>
      </c>
      <c r="W241" s="127" t="str">
        <f>IF(ISTEXT('Incurred 2.5% cpi'!W241),"",'Incurred 2.5% cpi'!W241/'Incurred 2.5% cpi'!W$14*Incurred!W$14*BK241)</f>
        <v/>
      </c>
      <c r="X241" s="119" t="str">
        <f>IF(ISTEXT('Incurred 2.5% cpi'!X241),"",'Incurred 2.5% cpi'!X241/'Incurred 2.5% cpi'!X$14*Incurred!X$14*BL241)</f>
        <v/>
      </c>
      <c r="Y241" s="95">
        <f t="shared" si="345"/>
        <v>1380386.1417551194</v>
      </c>
      <c r="Z241" s="95">
        <f t="shared" si="388"/>
        <v>1380386.1417551194</v>
      </c>
      <c r="AA241" s="676">
        <f t="shared" si="389"/>
        <v>1537726.0669705495</v>
      </c>
      <c r="AB241" s="676">
        <f t="shared" si="362"/>
        <v>1394815.8695086122</v>
      </c>
      <c r="AC241" s="677">
        <f t="shared" si="380"/>
        <v>1.1024581097663335</v>
      </c>
      <c r="AD241" s="678" t="str">
        <f t="shared" si="377"/>
        <v>2018</v>
      </c>
      <c r="AE241" s="679">
        <v>43110</v>
      </c>
      <c r="AF241" s="678">
        <v>2018</v>
      </c>
      <c r="AG241" s="680"/>
      <c r="AH241" s="676">
        <f t="shared" si="390"/>
        <v>1394815.869508612</v>
      </c>
      <c r="AI241" s="95">
        <f t="shared" si="363"/>
        <v>687969.78175511956</v>
      </c>
      <c r="AJ241" s="681" t="s">
        <v>0</v>
      </c>
      <c r="AK241" s="37">
        <f t="shared" si="364"/>
        <v>0</v>
      </c>
      <c r="AL241" s="31">
        <f t="shared" si="391"/>
        <v>0</v>
      </c>
      <c r="AM241" s="31">
        <f t="shared" si="391"/>
        <v>0</v>
      </c>
      <c r="AN241" s="31">
        <f t="shared" si="391"/>
        <v>0</v>
      </c>
      <c r="AO241" s="31">
        <f t="shared" si="391"/>
        <v>0</v>
      </c>
      <c r="AP241" s="31">
        <f t="shared" si="391"/>
        <v>0</v>
      </c>
      <c r="AQ241" s="31">
        <f t="shared" si="391"/>
        <v>0</v>
      </c>
      <c r="AR241" s="31">
        <f t="shared" si="391"/>
        <v>0</v>
      </c>
      <c r="AS241" s="31">
        <f t="shared" si="391"/>
        <v>1</v>
      </c>
      <c r="AT241" s="31">
        <f t="shared" si="391"/>
        <v>0</v>
      </c>
      <c r="AU241" s="31">
        <f t="shared" si="391"/>
        <v>0</v>
      </c>
      <c r="AV241" s="31">
        <f t="shared" si="392"/>
        <v>0</v>
      </c>
      <c r="AW241" s="31">
        <f t="shared" si="392"/>
        <v>0</v>
      </c>
      <c r="AX241" s="31">
        <f t="shared" si="392"/>
        <v>0</v>
      </c>
      <c r="AY241" s="31">
        <f t="shared" si="392"/>
        <v>0</v>
      </c>
      <c r="AZ241" s="31">
        <f t="shared" si="392"/>
        <v>0</v>
      </c>
      <c r="BA241" s="31">
        <f t="shared" si="392"/>
        <v>0</v>
      </c>
      <c r="BB241" s="31">
        <f t="shared" si="392"/>
        <v>0</v>
      </c>
      <c r="BC241" s="31">
        <f t="shared" si="392"/>
        <v>0</v>
      </c>
      <c r="BD241" s="31">
        <f t="shared" si="392"/>
        <v>0</v>
      </c>
      <c r="BE241" s="30">
        <f t="shared" si="393"/>
        <v>1</v>
      </c>
      <c r="BF241" s="620">
        <f t="shared" si="385"/>
        <v>1.0030818160192299</v>
      </c>
      <c r="BG241" s="620">
        <f t="shared" si="365"/>
        <v>1.006183663842585</v>
      </c>
      <c r="BH241" s="620">
        <f t="shared" si="366"/>
        <v>1.0097859828820543</v>
      </c>
      <c r="BI241" s="620">
        <f t="shared" si="367"/>
        <v>1.0141411866007726</v>
      </c>
      <c r="BJ241" s="620">
        <f t="shared" si="368"/>
        <v>1.0195121206090012</v>
      </c>
      <c r="BK241" s="620">
        <f t="shared" si="369"/>
        <v>1.0251889537223347</v>
      </c>
      <c r="BL241" s="620">
        <f t="shared" si="370"/>
        <v>1.0293261309677997</v>
      </c>
      <c r="BM241" s="621" t="str">
        <f t="shared" si="371"/>
        <v>Category</v>
      </c>
    </row>
    <row r="242" spans="1:65" x14ac:dyDescent="0.15">
      <c r="A242" s="12" t="s">
        <v>491</v>
      </c>
      <c r="B242" s="13" t="s">
        <v>492</v>
      </c>
      <c r="C242" s="13" t="s">
        <v>27</v>
      </c>
      <c r="D242" s="13" t="s">
        <v>40</v>
      </c>
      <c r="E242" s="13" t="s">
        <v>112</v>
      </c>
      <c r="F242" s="14">
        <v>0</v>
      </c>
      <c r="G242" s="14">
        <v>0</v>
      </c>
      <c r="H242" s="14">
        <v>0</v>
      </c>
      <c r="I242" s="14">
        <v>0</v>
      </c>
      <c r="J242" s="14">
        <v>0</v>
      </c>
      <c r="K242" s="14">
        <v>0</v>
      </c>
      <c r="L242" s="14">
        <v>0</v>
      </c>
      <c r="M242" s="15">
        <v>0</v>
      </c>
      <c r="N242" s="804"/>
      <c r="O242" s="14"/>
      <c r="P242" s="15"/>
      <c r="Q242" s="16" t="str">
        <f>IF(ISTEXT('Incurred 2.5% cpi'!Q242),"",'Incurred 2.5% cpi'!Q242/'Incurred 2.5% cpi'!Q$14*Incurred!Q$14)</f>
        <v/>
      </c>
      <c r="R242" s="127">
        <f>IF(ISTEXT('Incurred 2.5% cpi'!R242),"",'Incurred 2.5% cpi'!R242/'Incurred 2.5% cpi'!R$14*Incurred!R$14*BF242)</f>
        <v>1051150.8731211596</v>
      </c>
      <c r="S242" s="119">
        <f>IF(ISTEXT('Incurred 2.5% cpi'!S242),"",'Incurred 2.5% cpi'!S242/'Incurred 2.5% cpi'!S$14*Incurred!S$14*BG242)</f>
        <v>3567207.1165169314</v>
      </c>
      <c r="T242" s="16">
        <f>IF(ISTEXT('Incurred 2.5% cpi'!T242),"",'Incurred 2.5% cpi'!T242/'Incurred 2.5% cpi'!T$14*Incurred!T$14*BH242)</f>
        <v>7205614.2814721614</v>
      </c>
      <c r="U242" s="16">
        <f>IF(ISTEXT('Incurred 2.5% cpi'!U242),"",'Incurred 2.5% cpi'!U242/'Incurred 2.5% cpi'!U$14*Incurred!U$14*BI242)</f>
        <v>6989038.3631239487</v>
      </c>
      <c r="V242" s="16">
        <f>IF(ISTEXT('Incurred 2.5% cpi'!V242),"",'Incurred 2.5% cpi'!V242/'Incurred 2.5% cpi'!V$14*Incurred!V$14*BJ242)</f>
        <v>7180871.1484868778</v>
      </c>
      <c r="W242" s="127">
        <f>IF(ISTEXT('Incurred 2.5% cpi'!W242),"",'Incurred 2.5% cpi'!W242/'Incurred 2.5% cpi'!W$14*Incurred!W$14*BK242)</f>
        <v>6217849.2541623283</v>
      </c>
      <c r="X242" s="119" t="str">
        <f>IF(ISTEXT('Incurred 2.5% cpi'!X242),"",'Incurred 2.5% cpi'!X242/'Incurred 2.5% cpi'!X$14*Incurred!X$14*BL242)</f>
        <v/>
      </c>
      <c r="Y242" s="95">
        <f t="shared" si="345"/>
        <v>32211731.036883406</v>
      </c>
      <c r="Z242" s="95">
        <f t="shared" si="388"/>
        <v>32211731.036883406</v>
      </c>
      <c r="AA242" s="676">
        <f t="shared" si="389"/>
        <v>33462781.724663943</v>
      </c>
      <c r="AB242" s="676">
        <f t="shared" si="362"/>
        <v>33462781.724663943</v>
      </c>
      <c r="AC242" s="677">
        <f t="shared" si="380"/>
        <v>1</v>
      </c>
      <c r="AD242" s="678" t="str">
        <f t="shared" si="377"/>
        <v>2023</v>
      </c>
      <c r="AE242" s="679">
        <v>44991</v>
      </c>
      <c r="AF242" s="678">
        <v>2023</v>
      </c>
      <c r="AG242" s="680"/>
      <c r="AH242" s="676">
        <f t="shared" si="390"/>
        <v>30352882.733799651</v>
      </c>
      <c r="AI242" s="95">
        <f t="shared" si="363"/>
        <v>6217849.2541623283</v>
      </c>
      <c r="AJ242" s="681" t="s">
        <v>3058</v>
      </c>
      <c r="AK242" s="37">
        <f t="shared" si="364"/>
        <v>15248999.999999996</v>
      </c>
      <c r="AL242" s="31">
        <f t="shared" si="391"/>
        <v>0</v>
      </c>
      <c r="AM242" s="31">
        <f t="shared" si="391"/>
        <v>0</v>
      </c>
      <c r="AN242" s="31">
        <f t="shared" si="391"/>
        <v>1.9988195947275238E-2</v>
      </c>
      <c r="AO242" s="31">
        <f t="shared" si="391"/>
        <v>0</v>
      </c>
      <c r="AP242" s="31">
        <f t="shared" si="391"/>
        <v>0</v>
      </c>
      <c r="AQ242" s="31">
        <f t="shared" si="391"/>
        <v>0</v>
      </c>
      <c r="AR242" s="31">
        <f t="shared" si="391"/>
        <v>0</v>
      </c>
      <c r="AS242" s="31">
        <f t="shared" si="391"/>
        <v>0</v>
      </c>
      <c r="AT242" s="31">
        <f t="shared" si="391"/>
        <v>0</v>
      </c>
      <c r="AU242" s="31">
        <f t="shared" si="391"/>
        <v>0</v>
      </c>
      <c r="AV242" s="31">
        <f t="shared" si="392"/>
        <v>0</v>
      </c>
      <c r="AW242" s="31">
        <f t="shared" si="392"/>
        <v>0</v>
      </c>
      <c r="AX242" s="31">
        <f t="shared" si="392"/>
        <v>0</v>
      </c>
      <c r="AY242" s="31">
        <f t="shared" si="392"/>
        <v>0</v>
      </c>
      <c r="AZ242" s="31">
        <f t="shared" si="392"/>
        <v>0.98001180405272481</v>
      </c>
      <c r="BA242" s="31">
        <f t="shared" si="392"/>
        <v>0</v>
      </c>
      <c r="BB242" s="31">
        <f t="shared" si="392"/>
        <v>0</v>
      </c>
      <c r="BC242" s="31">
        <f t="shared" si="392"/>
        <v>0</v>
      </c>
      <c r="BD242" s="31">
        <f t="shared" si="392"/>
        <v>0</v>
      </c>
      <c r="BE242" s="30">
        <f t="shared" si="393"/>
        <v>1</v>
      </c>
      <c r="BF242" s="620">
        <f t="shared" si="385"/>
        <v>1.003721711211746</v>
      </c>
      <c r="BG242" s="620">
        <f t="shared" si="365"/>
        <v>1.0074676135463683</v>
      </c>
      <c r="BH242" s="620">
        <f t="shared" si="366"/>
        <v>1.0118179028153655</v>
      </c>
      <c r="BI242" s="620">
        <f t="shared" si="367"/>
        <v>1.0170774025415827</v>
      </c>
      <c r="BJ242" s="620">
        <f t="shared" si="368"/>
        <v>1.0235635344817258</v>
      </c>
      <c r="BK242" s="620">
        <f t="shared" si="369"/>
        <v>1.0304190811182781</v>
      </c>
      <c r="BL242" s="620">
        <f t="shared" si="370"/>
        <v>1.035415284280099</v>
      </c>
      <c r="BM242" s="621" t="str">
        <f t="shared" si="371"/>
        <v>Project</v>
      </c>
    </row>
    <row r="243" spans="1:65" x14ac:dyDescent="0.15">
      <c r="A243" s="12" t="s">
        <v>493</v>
      </c>
      <c r="B243" s="13" t="s">
        <v>494</v>
      </c>
      <c r="C243" s="13" t="s">
        <v>27</v>
      </c>
      <c r="D243" s="13" t="s">
        <v>40</v>
      </c>
      <c r="E243" s="13" t="s">
        <v>112</v>
      </c>
      <c r="F243" s="14">
        <v>0</v>
      </c>
      <c r="G243" s="14">
        <v>0</v>
      </c>
      <c r="H243" s="14">
        <v>0</v>
      </c>
      <c r="I243" s="14">
        <v>0</v>
      </c>
      <c r="J243" s="14">
        <v>0</v>
      </c>
      <c r="K243" s="14">
        <v>0</v>
      </c>
      <c r="L243" s="14">
        <v>0</v>
      </c>
      <c r="M243" s="15">
        <v>0</v>
      </c>
      <c r="N243" s="804"/>
      <c r="O243" s="14"/>
      <c r="P243" s="15"/>
      <c r="Q243" s="16" t="str">
        <f>IF(ISTEXT('Incurred 2.5% cpi'!Q243),"",'Incurred 2.5% cpi'!Q243/'Incurred 2.5% cpi'!Q$14*Incurred!Q$14)</f>
        <v/>
      </c>
      <c r="R243" s="127" t="str">
        <f>IF(ISTEXT('Incurred 2.5% cpi'!R243),"",'Incurred 2.5% cpi'!R243/'Incurred 2.5% cpi'!R$14*Incurred!R$14*BF243)</f>
        <v/>
      </c>
      <c r="S243" s="119">
        <f>IF(ISTEXT('Incurred 2.5% cpi'!S243),"",'Incurred 2.5% cpi'!S243/'Incurred 2.5% cpi'!S$14*Incurred!S$14*BG243)</f>
        <v>93917.26147897284</v>
      </c>
      <c r="T243" s="16">
        <f>IF(ISTEXT('Incurred 2.5% cpi'!T243),"",'Incurred 2.5% cpi'!T243/'Incurred 2.5% cpi'!T$14*Incurred!T$14*BH243)</f>
        <v>106673.58000836555</v>
      </c>
      <c r="U243" s="16">
        <f>IF(ISTEXT('Incurred 2.5% cpi'!U243),"",'Incurred 2.5% cpi'!U243/'Incurred 2.5% cpi'!U$14*Incurred!U$14*BI243)</f>
        <v>939846.86624072515</v>
      </c>
      <c r="V243" s="16">
        <f>IF(ISTEXT('Incurred 2.5% cpi'!V243),"",'Incurred 2.5% cpi'!V243/'Incurred 2.5% cpi'!V$14*Incurred!V$14*BJ243)</f>
        <v>2363340.8843315523</v>
      </c>
      <c r="W243" s="127">
        <f>IF(ISTEXT('Incurred 2.5% cpi'!W243),"",'Incurred 2.5% cpi'!W243/'Incurred 2.5% cpi'!W$14*Incurred!W$14*BK243)</f>
        <v>1710800.7370265166</v>
      </c>
      <c r="X243" s="119" t="str">
        <f>IF(ISTEXT('Incurred 2.5% cpi'!X243),"",'Incurred 2.5% cpi'!X243/'Incurred 2.5% cpi'!X$14*Incurred!X$14*BL243)</f>
        <v/>
      </c>
      <c r="Y243" s="95">
        <f t="shared" si="345"/>
        <v>5214579.3290861323</v>
      </c>
      <c r="Z243" s="95">
        <f t="shared" si="388"/>
        <v>5214579.3290861323</v>
      </c>
      <c r="AA243" s="676">
        <f t="shared" si="389"/>
        <v>5312583.5337742753</v>
      </c>
      <c r="AB243" s="676">
        <f t="shared" si="362"/>
        <v>5312583.5337742753</v>
      </c>
      <c r="AC243" s="677">
        <f t="shared" si="380"/>
        <v>1</v>
      </c>
      <c r="AD243" s="678" t="str">
        <f t="shared" si="377"/>
        <v>2023</v>
      </c>
      <c r="AE243" s="679">
        <v>44944</v>
      </c>
      <c r="AF243" s="678">
        <v>2023</v>
      </c>
      <c r="AG243" s="680"/>
      <c r="AH243" s="676">
        <f t="shared" si="390"/>
        <v>4818852.9674839796</v>
      </c>
      <c r="AI243" s="95">
        <f t="shared" si="363"/>
        <v>1710800.7370265166</v>
      </c>
      <c r="AJ243" s="681" t="s">
        <v>3060</v>
      </c>
      <c r="AK243" s="37">
        <f t="shared" si="364"/>
        <v>2221795.109677894</v>
      </c>
      <c r="AL243" s="31">
        <f t="shared" si="391"/>
        <v>0</v>
      </c>
      <c r="AM243" s="31">
        <f t="shared" si="391"/>
        <v>0</v>
      </c>
      <c r="AN243" s="31">
        <f t="shared" si="391"/>
        <v>0</v>
      </c>
      <c r="AO243" s="31">
        <f t="shared" si="391"/>
        <v>0</v>
      </c>
      <c r="AP243" s="31">
        <f t="shared" si="391"/>
        <v>0</v>
      </c>
      <c r="AQ243" s="31">
        <f t="shared" si="391"/>
        <v>0</v>
      </c>
      <c r="AR243" s="31">
        <f t="shared" si="391"/>
        <v>0</v>
      </c>
      <c r="AS243" s="31">
        <f t="shared" si="391"/>
        <v>0</v>
      </c>
      <c r="AT243" s="31">
        <f t="shared" si="391"/>
        <v>0</v>
      </c>
      <c r="AU243" s="31">
        <f t="shared" si="391"/>
        <v>0.89952951762853728</v>
      </c>
      <c r="AV243" s="31">
        <f t="shared" si="392"/>
        <v>0</v>
      </c>
      <c r="AW243" s="31">
        <f t="shared" si="392"/>
        <v>6.3563388804275991E-2</v>
      </c>
      <c r="AX243" s="31">
        <f t="shared" si="392"/>
        <v>0</v>
      </c>
      <c r="AY243" s="31">
        <f t="shared" si="392"/>
        <v>0</v>
      </c>
      <c r="AZ243" s="31">
        <f t="shared" si="392"/>
        <v>3.6907093567186758E-2</v>
      </c>
      <c r="BA243" s="31">
        <f t="shared" si="392"/>
        <v>0</v>
      </c>
      <c r="BB243" s="31">
        <f t="shared" si="392"/>
        <v>0</v>
      </c>
      <c r="BC243" s="31">
        <f t="shared" si="392"/>
        <v>0</v>
      </c>
      <c r="BD243" s="31">
        <f t="shared" si="392"/>
        <v>0</v>
      </c>
      <c r="BE243" s="30">
        <f t="shared" si="393"/>
        <v>1</v>
      </c>
      <c r="BF243" s="620">
        <f t="shared" si="385"/>
        <v>1.0021878138434954</v>
      </c>
      <c r="BG243" s="620">
        <f t="shared" si="365"/>
        <v>1.0043898484769733</v>
      </c>
      <c r="BH243" s="620">
        <f t="shared" si="366"/>
        <v>1.0069471729291992</v>
      </c>
      <c r="BI243" s="620">
        <f t="shared" si="367"/>
        <v>1.0100389781919401</v>
      </c>
      <c r="BJ243" s="620">
        <f t="shared" si="368"/>
        <v>1.0138518611487357</v>
      </c>
      <c r="BK243" s="620">
        <f t="shared" si="369"/>
        <v>1.0178819051212074</v>
      </c>
      <c r="BL243" s="620">
        <f t="shared" si="370"/>
        <v>1.0208189310806233</v>
      </c>
      <c r="BM243" s="621" t="str">
        <f t="shared" si="371"/>
        <v>Project</v>
      </c>
    </row>
    <row r="244" spans="1:65" x14ac:dyDescent="0.15">
      <c r="A244" s="12" t="s">
        <v>495</v>
      </c>
      <c r="B244" s="13" t="s">
        <v>496</v>
      </c>
      <c r="C244" s="13" t="s">
        <v>27</v>
      </c>
      <c r="D244" s="13" t="s">
        <v>40</v>
      </c>
      <c r="E244" s="13" t="s">
        <v>112</v>
      </c>
      <c r="F244" s="14">
        <v>0</v>
      </c>
      <c r="G244" s="14">
        <v>0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5">
        <v>0</v>
      </c>
      <c r="N244" s="804"/>
      <c r="O244" s="14"/>
      <c r="P244" s="15"/>
      <c r="Q244" s="16" t="str">
        <f>IF(ISTEXT('Incurred 2.5% cpi'!Q244),"",'Incurred 2.5% cpi'!Q244/'Incurred 2.5% cpi'!Q$14*Incurred!Q$14)</f>
        <v/>
      </c>
      <c r="R244" s="127" t="str">
        <f>IF(ISTEXT('Incurred 2.5% cpi'!R244),"",'Incurred 2.5% cpi'!R244/'Incurred 2.5% cpi'!R$14*Incurred!R$14*BF244)</f>
        <v/>
      </c>
      <c r="S244" s="119">
        <f>IF(ISTEXT('Incurred 2.5% cpi'!S244),"",'Incurred 2.5% cpi'!S244/'Incurred 2.5% cpi'!S$14*Incurred!S$14*BG244)</f>
        <v>129756.14387420537</v>
      </c>
      <c r="T244" s="16">
        <f>IF(ISTEXT('Incurred 2.5% cpi'!T244),"",'Incurred 2.5% cpi'!T244/'Incurred 2.5% cpi'!T$14*Incurred!T$14*BH244)</f>
        <v>147410.78827153161</v>
      </c>
      <c r="U244" s="16">
        <f>IF(ISTEXT('Incurred 2.5% cpi'!U244),"",'Incurred 2.5% cpi'!U244/'Incurred 2.5% cpi'!U$14*Incurred!U$14*BI244)</f>
        <v>955957.01783199073</v>
      </c>
      <c r="V244" s="16">
        <f>IF(ISTEXT('Incurred 2.5% cpi'!V244),"",'Incurred 2.5% cpi'!V244/'Incurred 2.5% cpi'!V$14*Incurred!V$14*BJ244)</f>
        <v>2349367.128414399</v>
      </c>
      <c r="W244" s="127">
        <f>IF(ISTEXT('Incurred 2.5% cpi'!W244),"",'Incurred 2.5% cpi'!W244/'Incurred 2.5% cpi'!W$14*Incurred!W$14*BK244)</f>
        <v>1706272.6431092513</v>
      </c>
      <c r="X244" s="119" t="str">
        <f>IF(ISTEXT('Incurred 2.5% cpi'!X244),"",'Incurred 2.5% cpi'!X244/'Incurred 2.5% cpi'!X$14*Incurred!X$14*BL244)</f>
        <v/>
      </c>
      <c r="Y244" s="95">
        <f t="shared" si="345"/>
        <v>5288763.7215013783</v>
      </c>
      <c r="Z244" s="95">
        <f t="shared" si="388"/>
        <v>5288763.7215013783</v>
      </c>
      <c r="AA244" s="676">
        <f t="shared" si="389"/>
        <v>5392497.6025366336</v>
      </c>
      <c r="AB244" s="676">
        <f t="shared" si="362"/>
        <v>5392497.6025366336</v>
      </c>
      <c r="AC244" s="677">
        <f t="shared" si="380"/>
        <v>1</v>
      </c>
      <c r="AD244" s="678" t="str">
        <f t="shared" si="377"/>
        <v>2023</v>
      </c>
      <c r="AE244" s="679">
        <v>44944</v>
      </c>
      <c r="AF244" s="678">
        <v>2023</v>
      </c>
      <c r="AG244" s="680"/>
      <c r="AH244" s="676">
        <f t="shared" si="390"/>
        <v>4891340.1377940578</v>
      </c>
      <c r="AI244" s="95">
        <f t="shared" si="363"/>
        <v>1706272.6431092513</v>
      </c>
      <c r="AJ244" s="681" t="s">
        <v>3058</v>
      </c>
      <c r="AK244" s="37">
        <f t="shared" si="364"/>
        <v>3058550.1401999989</v>
      </c>
      <c r="AL244" s="31">
        <f t="shared" si="391"/>
        <v>0</v>
      </c>
      <c r="AM244" s="31">
        <f t="shared" si="391"/>
        <v>0</v>
      </c>
      <c r="AN244" s="31">
        <f t="shared" si="391"/>
        <v>0</v>
      </c>
      <c r="AO244" s="31">
        <f t="shared" si="391"/>
        <v>0</v>
      </c>
      <c r="AP244" s="31">
        <f t="shared" si="391"/>
        <v>0</v>
      </c>
      <c r="AQ244" s="31">
        <f t="shared" si="391"/>
        <v>0</v>
      </c>
      <c r="AR244" s="31">
        <f t="shared" si="391"/>
        <v>0</v>
      </c>
      <c r="AS244" s="31">
        <f t="shared" si="391"/>
        <v>0</v>
      </c>
      <c r="AT244" s="31">
        <f t="shared" si="391"/>
        <v>0</v>
      </c>
      <c r="AU244" s="31">
        <f t="shared" si="391"/>
        <v>0.89892446125477488</v>
      </c>
      <c r="AV244" s="31">
        <f t="shared" si="392"/>
        <v>0</v>
      </c>
      <c r="AW244" s="31">
        <f t="shared" si="392"/>
        <v>2.2606986980922152E-2</v>
      </c>
      <c r="AX244" s="31">
        <f t="shared" si="392"/>
        <v>0</v>
      </c>
      <c r="AY244" s="31">
        <f t="shared" si="392"/>
        <v>0</v>
      </c>
      <c r="AZ244" s="31">
        <f t="shared" si="392"/>
        <v>7.8468551764303077E-2</v>
      </c>
      <c r="BA244" s="31">
        <f t="shared" si="392"/>
        <v>0</v>
      </c>
      <c r="BB244" s="31">
        <f t="shared" si="392"/>
        <v>0</v>
      </c>
      <c r="BC244" s="31">
        <f t="shared" si="392"/>
        <v>0</v>
      </c>
      <c r="BD244" s="31">
        <f t="shared" si="392"/>
        <v>0</v>
      </c>
      <c r="BE244" s="30">
        <f t="shared" si="393"/>
        <v>1</v>
      </c>
      <c r="BF244" s="620">
        <f t="shared" si="385"/>
        <v>1.0023692671543005</v>
      </c>
      <c r="BG244" s="620">
        <f t="shared" si="365"/>
        <v>1.0047539345451038</v>
      </c>
      <c r="BH244" s="620">
        <f t="shared" si="366"/>
        <v>1.0075233588476158</v>
      </c>
      <c r="BI244" s="620">
        <f t="shared" si="367"/>
        <v>1.0108715928293526</v>
      </c>
      <c r="BJ244" s="620">
        <f t="shared" si="368"/>
        <v>1.01500070938083</v>
      </c>
      <c r="BK244" s="620">
        <f t="shared" si="369"/>
        <v>1.0193649978886257</v>
      </c>
      <c r="BL244" s="620">
        <f t="shared" si="370"/>
        <v>1.0225456154524375</v>
      </c>
      <c r="BM244" s="621" t="str">
        <f t="shared" si="371"/>
        <v>Project</v>
      </c>
    </row>
    <row r="245" spans="1:65" x14ac:dyDescent="0.15">
      <c r="A245" s="12" t="s">
        <v>497</v>
      </c>
      <c r="B245" s="13" t="s">
        <v>498</v>
      </c>
      <c r="C245" s="13" t="s">
        <v>27</v>
      </c>
      <c r="D245" s="13" t="s">
        <v>40</v>
      </c>
      <c r="E245" s="13" t="s">
        <v>112</v>
      </c>
      <c r="F245" s="14">
        <v>0</v>
      </c>
      <c r="G245" s="14">
        <v>0</v>
      </c>
      <c r="H245" s="14">
        <v>0</v>
      </c>
      <c r="I245" s="14">
        <v>0</v>
      </c>
      <c r="J245" s="14">
        <v>0</v>
      </c>
      <c r="K245" s="14">
        <v>0</v>
      </c>
      <c r="L245" s="14">
        <v>0</v>
      </c>
      <c r="M245" s="15">
        <v>0</v>
      </c>
      <c r="N245" s="804"/>
      <c r="O245" s="14"/>
      <c r="P245" s="15"/>
      <c r="Q245" s="16" t="str">
        <f>IF(ISTEXT('Incurred 2.5% cpi'!Q245),"",'Incurred 2.5% cpi'!Q245/'Incurred 2.5% cpi'!Q$14*Incurred!Q$14)</f>
        <v/>
      </c>
      <c r="R245" s="127" t="str">
        <f>IF(ISTEXT('Incurred 2.5% cpi'!R245),"",'Incurred 2.5% cpi'!R245/'Incurred 2.5% cpi'!R$14*Incurred!R$14*BF245)</f>
        <v/>
      </c>
      <c r="S245" s="119">
        <f>IF(ISTEXT('Incurred 2.5% cpi'!S245),"",'Incurred 2.5% cpi'!S245/'Incurred 2.5% cpi'!S$14*Incurred!S$14*BG245)</f>
        <v>204571.11825323457</v>
      </c>
      <c r="T245" s="16">
        <f>IF(ISTEXT('Incurred 2.5% cpi'!T245),"",'Incurred 2.5% cpi'!T245/'Incurred 2.5% cpi'!T$14*Incurred!T$14*BH245)</f>
        <v>340918.28021864366</v>
      </c>
      <c r="U245" s="16">
        <f>IF(ISTEXT('Incurred 2.5% cpi'!U245),"",'Incurred 2.5% cpi'!U245/'Incurred 2.5% cpi'!U$14*Incurred!U$14*BI245)</f>
        <v>2260385.4722888209</v>
      </c>
      <c r="V245" s="16">
        <f>IF(ISTEXT('Incurred 2.5% cpi'!V245),"",'Incurred 2.5% cpi'!V245/'Incurred 2.5% cpi'!V$14*Incurred!V$14*BJ245)</f>
        <v>5304752.8833401101</v>
      </c>
      <c r="W245" s="127">
        <f>IF(ISTEXT('Incurred 2.5% cpi'!W245),"",'Incurred 2.5% cpi'!W245/'Incurred 2.5% cpi'!W$14*Incurred!W$14*BK245)</f>
        <v>3825433.6663944651</v>
      </c>
      <c r="X245" s="119" t="str">
        <f>IF(ISTEXT('Incurred 2.5% cpi'!X245),"",'Incurred 2.5% cpi'!X245/'Incurred 2.5% cpi'!X$14*Incurred!X$14*BL245)</f>
        <v/>
      </c>
      <c r="Y245" s="95">
        <f t="shared" si="345"/>
        <v>11936061.420495274</v>
      </c>
      <c r="Z245" s="95">
        <f t="shared" si="388"/>
        <v>11936061.420495274</v>
      </c>
      <c r="AA245" s="676">
        <f t="shared" si="389"/>
        <v>12167652.113688953</v>
      </c>
      <c r="AB245" s="676">
        <f t="shared" si="362"/>
        <v>12167652.113688953</v>
      </c>
      <c r="AC245" s="677">
        <f t="shared" si="380"/>
        <v>1</v>
      </c>
      <c r="AD245" s="678" t="str">
        <f t="shared" si="377"/>
        <v>2023</v>
      </c>
      <c r="AE245" s="679">
        <v>44944</v>
      </c>
      <c r="AF245" s="678">
        <v>2023</v>
      </c>
      <c r="AG245" s="680"/>
      <c r="AH245" s="676">
        <f t="shared" si="390"/>
        <v>11036838.502886875</v>
      </c>
      <c r="AI245" s="95">
        <f t="shared" si="363"/>
        <v>3825433.6663944651</v>
      </c>
      <c r="AJ245" s="681" t="s">
        <v>3058</v>
      </c>
      <c r="AK245" s="37">
        <f t="shared" si="364"/>
        <v>7361640.7495999988</v>
      </c>
      <c r="AL245" s="31">
        <f t="shared" si="391"/>
        <v>0</v>
      </c>
      <c r="AM245" s="31">
        <f t="shared" si="391"/>
        <v>0</v>
      </c>
      <c r="AN245" s="31">
        <f t="shared" si="391"/>
        <v>0</v>
      </c>
      <c r="AO245" s="31">
        <f t="shared" si="391"/>
        <v>0</v>
      </c>
      <c r="AP245" s="31">
        <f t="shared" si="391"/>
        <v>0</v>
      </c>
      <c r="AQ245" s="31">
        <f t="shared" si="391"/>
        <v>0</v>
      </c>
      <c r="AR245" s="31">
        <f t="shared" si="391"/>
        <v>0</v>
      </c>
      <c r="AS245" s="31">
        <f t="shared" si="391"/>
        <v>0</v>
      </c>
      <c r="AT245" s="31">
        <f t="shared" si="391"/>
        <v>0</v>
      </c>
      <c r="AU245" s="31">
        <f t="shared" si="391"/>
        <v>0.89724490948011804</v>
      </c>
      <c r="AV245" s="31">
        <f t="shared" si="392"/>
        <v>0</v>
      </c>
      <c r="AW245" s="31">
        <f t="shared" si="392"/>
        <v>3.4292091965193609E-2</v>
      </c>
      <c r="AX245" s="31">
        <f t="shared" si="392"/>
        <v>0</v>
      </c>
      <c r="AY245" s="31">
        <f t="shared" si="392"/>
        <v>0</v>
      </c>
      <c r="AZ245" s="31">
        <f t="shared" si="392"/>
        <v>6.8462998554688417E-2</v>
      </c>
      <c r="BA245" s="31">
        <f t="shared" si="392"/>
        <v>0</v>
      </c>
      <c r="BB245" s="31">
        <f t="shared" si="392"/>
        <v>0</v>
      </c>
      <c r="BC245" s="31">
        <f t="shared" si="392"/>
        <v>0</v>
      </c>
      <c r="BD245" s="31">
        <f t="shared" si="392"/>
        <v>0</v>
      </c>
      <c r="BE245" s="30">
        <f t="shared" si="393"/>
        <v>1</v>
      </c>
      <c r="BF245" s="620">
        <f t="shared" si="385"/>
        <v>1.0023727995868892</v>
      </c>
      <c r="BG245" s="620">
        <f t="shared" si="365"/>
        <v>1.0047610223710932</v>
      </c>
      <c r="BH245" s="620">
        <f t="shared" si="366"/>
        <v>1.0075345757160565</v>
      </c>
      <c r="BI245" s="620">
        <f t="shared" si="367"/>
        <v>1.0108878017101171</v>
      </c>
      <c r="BJ245" s="620">
        <f t="shared" si="368"/>
        <v>1.0150230745221256</v>
      </c>
      <c r="BK245" s="620">
        <f t="shared" si="369"/>
        <v>1.0193938699174727</v>
      </c>
      <c r="BL245" s="620">
        <f t="shared" si="370"/>
        <v>1.0225792295877685</v>
      </c>
      <c r="BM245" s="621" t="str">
        <f t="shared" si="371"/>
        <v>Project</v>
      </c>
    </row>
    <row r="246" spans="1:65" x14ac:dyDescent="0.15">
      <c r="A246" s="12" t="s">
        <v>500</v>
      </c>
      <c r="B246" s="13" t="s">
        <v>501</v>
      </c>
      <c r="C246" s="13" t="s">
        <v>2633</v>
      </c>
      <c r="D246" s="13" t="s">
        <v>28</v>
      </c>
      <c r="E246" s="13" t="s">
        <v>29</v>
      </c>
      <c r="F246" s="14">
        <v>0</v>
      </c>
      <c r="G246" s="14">
        <v>0</v>
      </c>
      <c r="H246" s="14">
        <v>0</v>
      </c>
      <c r="I246" s="14">
        <v>0</v>
      </c>
      <c r="J246" s="14">
        <v>0</v>
      </c>
      <c r="K246" s="14">
        <v>0</v>
      </c>
      <c r="L246" s="14">
        <v>0</v>
      </c>
      <c r="M246" s="15">
        <v>0</v>
      </c>
      <c r="N246" s="804"/>
      <c r="O246" s="14"/>
      <c r="P246" s="15">
        <v>339333.03</v>
      </c>
      <c r="Q246" s="16">
        <f>IF(ISTEXT('Incurred 2.5% cpi'!Q246),"",'Incurred 2.5% cpi'!Q246/'Incurred 2.5% cpi'!Q$14*Incurred!Q$14)</f>
        <v>2239997.29</v>
      </c>
      <c r="R246" s="127">
        <f>IF(ISTEXT('Incurred 2.5% cpi'!R246),"",'Incurred 2.5% cpi'!R246/'Incurred 2.5% cpi'!R$14*Incurred!R$14*BF246)</f>
        <v>613906.49577494804</v>
      </c>
      <c r="S246" s="119" t="str">
        <f>IF(ISTEXT('Incurred 2.5% cpi'!S246),"",'Incurred 2.5% cpi'!S246/'Incurred 2.5% cpi'!S$14*Incurred!S$14*BG246)</f>
        <v/>
      </c>
      <c r="T246" s="16" t="str">
        <f>IF(ISTEXT('Incurred 2.5% cpi'!T246),"",'Incurred 2.5% cpi'!T246/'Incurred 2.5% cpi'!T$14*Incurred!T$14*BH246)</f>
        <v/>
      </c>
      <c r="U246" s="16" t="str">
        <f>IF(ISTEXT('Incurred 2.5% cpi'!U246),"",'Incurred 2.5% cpi'!U246/'Incurred 2.5% cpi'!U$14*Incurred!U$14*BI246)</f>
        <v/>
      </c>
      <c r="V246" s="16" t="str">
        <f>IF(ISTEXT('Incurred 2.5% cpi'!V246),"",'Incurred 2.5% cpi'!V246/'Incurred 2.5% cpi'!V$14*Incurred!V$14*BJ246)</f>
        <v/>
      </c>
      <c r="W246" s="127" t="str">
        <f>IF(ISTEXT('Incurred 2.5% cpi'!W246),"",'Incurred 2.5% cpi'!W246/'Incurred 2.5% cpi'!W$14*Incurred!W$14*BK246)</f>
        <v/>
      </c>
      <c r="X246" s="119" t="str">
        <f>IF(ISTEXT('Incurred 2.5% cpi'!X246),"",'Incurred 2.5% cpi'!X246/'Incurred 2.5% cpi'!X$14*Incurred!X$14*BL246)</f>
        <v/>
      </c>
      <c r="Y246" s="95">
        <f t="shared" si="345"/>
        <v>3193236.8157749483</v>
      </c>
      <c r="Z246" s="95">
        <f t="shared" si="388"/>
        <v>3193236.8157749483</v>
      </c>
      <c r="AA246" s="676">
        <f t="shared" ref="AA246:AA254" si="394">IF(ROUND(Y246,0)=0,0,SUMPRODUCT($F$17:$W$17,F246:W246))</f>
        <v>3583943.7789732204</v>
      </c>
      <c r="AB246" s="676">
        <f t="shared" si="362"/>
        <v>3250866.1755255614</v>
      </c>
      <c r="AC246" s="677">
        <f t="shared" si="380"/>
        <v>1.1024581097663335</v>
      </c>
      <c r="AD246" s="678" t="str">
        <f t="shared" si="377"/>
        <v>2018</v>
      </c>
      <c r="AE246" s="679">
        <v>42920</v>
      </c>
      <c r="AF246" s="678">
        <v>2018</v>
      </c>
      <c r="AG246" s="680"/>
      <c r="AH246" s="676">
        <f t="shared" ref="AH246:AH254" si="395">IF(ROUND(Y246,0)=0,0,SUMPRODUCT($F$16:$W$16,F246:W246))</f>
        <v>3250866.175525561</v>
      </c>
      <c r="AI246" s="95">
        <f t="shared" si="363"/>
        <v>613906.49577494804</v>
      </c>
      <c r="AJ246" s="681" t="s">
        <v>0</v>
      </c>
      <c r="AK246" s="37">
        <f t="shared" si="364"/>
        <v>0</v>
      </c>
      <c r="AL246" s="31">
        <f t="shared" ref="AL246:AU249" si="396">IF($AK246=0,VLOOKUP(MID($A246,4,5),ProjectSplits,AL$20,FALSE),IF(ISNA(VLOOKUP($A246,Estimates,AL$19,FALSE)),VLOOKUP(MID($A246,4,5),ProjectSplits,AL$20,FALSE),VLOOKUP($A246,Estimates,AL$19,FALSE)))</f>
        <v>0</v>
      </c>
      <c r="AM246" s="31">
        <f t="shared" si="396"/>
        <v>0</v>
      </c>
      <c r="AN246" s="31">
        <f t="shared" si="396"/>
        <v>0</v>
      </c>
      <c r="AO246" s="31">
        <f t="shared" si="396"/>
        <v>0</v>
      </c>
      <c r="AP246" s="31">
        <f t="shared" si="396"/>
        <v>0</v>
      </c>
      <c r="AQ246" s="31">
        <f t="shared" si="396"/>
        <v>0</v>
      </c>
      <c r="AR246" s="31">
        <f t="shared" si="396"/>
        <v>0</v>
      </c>
      <c r="AS246" s="31">
        <f t="shared" si="396"/>
        <v>0</v>
      </c>
      <c r="AT246" s="31">
        <f t="shared" si="396"/>
        <v>0</v>
      </c>
      <c r="AU246" s="31">
        <f t="shared" si="396"/>
        <v>0</v>
      </c>
      <c r="AV246" s="31">
        <f t="shared" ref="AV246:BD249" si="397">IF($AK246=0,VLOOKUP(MID($A246,4,5),ProjectSplits,AV$20,FALSE),IF(ISNA(VLOOKUP($A246,Estimates,AV$19,FALSE)),VLOOKUP(MID($A246,4,5),ProjectSplits,AV$20,FALSE),VLOOKUP($A246,Estimates,AV$19,FALSE)))</f>
        <v>0</v>
      </c>
      <c r="AW246" s="31">
        <f t="shared" si="397"/>
        <v>0</v>
      </c>
      <c r="AX246" s="31">
        <f t="shared" si="397"/>
        <v>0</v>
      </c>
      <c r="AY246" s="31">
        <f t="shared" si="397"/>
        <v>0</v>
      </c>
      <c r="AZ246" s="31">
        <f t="shared" si="397"/>
        <v>0</v>
      </c>
      <c r="BA246" s="31">
        <f t="shared" si="397"/>
        <v>0</v>
      </c>
      <c r="BB246" s="31">
        <f t="shared" si="397"/>
        <v>0</v>
      </c>
      <c r="BC246" s="31">
        <f t="shared" si="397"/>
        <v>0</v>
      </c>
      <c r="BD246" s="31">
        <f t="shared" si="397"/>
        <v>1</v>
      </c>
      <c r="BE246" s="30">
        <f t="shared" ref="BE246:BE249" si="398">SUM(AL246:BD246)</f>
        <v>1</v>
      </c>
      <c r="BF246" s="620">
        <f t="shared" si="385"/>
        <v>1.0030444840366091</v>
      </c>
      <c r="BG246" s="620">
        <f t="shared" si="365"/>
        <v>1.0061087572194563</v>
      </c>
      <c r="BH246" s="620">
        <f t="shared" si="366"/>
        <v>1.0096674390946898</v>
      </c>
      <c r="BI246" s="620">
        <f t="shared" si="367"/>
        <v>1.0139698854818469</v>
      </c>
      <c r="BJ246" s="620">
        <f t="shared" si="368"/>
        <v>1.0192757579764089</v>
      </c>
      <c r="BK246" s="620">
        <f t="shared" si="369"/>
        <v>1.0248838240271385</v>
      </c>
      <c r="BL246" s="620">
        <f t="shared" si="370"/>
        <v>1.0289708850333266</v>
      </c>
      <c r="BM246" s="621" t="str">
        <f t="shared" si="371"/>
        <v>Category</v>
      </c>
    </row>
    <row r="247" spans="1:65" x14ac:dyDescent="0.15">
      <c r="A247" s="12" t="s">
        <v>502</v>
      </c>
      <c r="B247" s="13" t="s">
        <v>503</v>
      </c>
      <c r="C247" s="13" t="s">
        <v>2633</v>
      </c>
      <c r="D247" s="13" t="s">
        <v>28</v>
      </c>
      <c r="E247" s="13" t="s">
        <v>32</v>
      </c>
      <c r="F247" s="14">
        <v>0</v>
      </c>
      <c r="G247" s="14">
        <v>0</v>
      </c>
      <c r="H247" s="14">
        <v>0</v>
      </c>
      <c r="I247" s="14">
        <v>0</v>
      </c>
      <c r="J247" s="14">
        <v>0</v>
      </c>
      <c r="K247" s="14">
        <v>0</v>
      </c>
      <c r="L247" s="14">
        <v>0</v>
      </c>
      <c r="M247" s="15">
        <v>0</v>
      </c>
      <c r="N247" s="804"/>
      <c r="O247" s="14"/>
      <c r="P247" s="15">
        <v>1180071.6499999999</v>
      </c>
      <c r="Q247" s="16">
        <f>IF(ISTEXT('Incurred 2.5% cpi'!Q247),"",'Incurred 2.5% cpi'!Q247/'Incurred 2.5% cpi'!Q$14*Incurred!Q$14)</f>
        <v>1105594.19</v>
      </c>
      <c r="R247" s="127" t="str">
        <f>IF(ISTEXT('Incurred 2.5% cpi'!R247),"",'Incurred 2.5% cpi'!R247/'Incurred 2.5% cpi'!R$14*Incurred!R$14*BF247)</f>
        <v/>
      </c>
      <c r="S247" s="119" t="str">
        <f>IF(ISTEXT('Incurred 2.5% cpi'!S247),"",'Incurred 2.5% cpi'!S247/'Incurred 2.5% cpi'!S$14*Incurred!S$14*BG247)</f>
        <v/>
      </c>
      <c r="T247" s="16" t="str">
        <f>IF(ISTEXT('Incurred 2.5% cpi'!T247),"",'Incurred 2.5% cpi'!T247/'Incurred 2.5% cpi'!T$14*Incurred!T$14*BH247)</f>
        <v/>
      </c>
      <c r="U247" s="16" t="str">
        <f>IF(ISTEXT('Incurred 2.5% cpi'!U247),"",'Incurred 2.5% cpi'!U247/'Incurred 2.5% cpi'!U$14*Incurred!U$14*BI247)</f>
        <v/>
      </c>
      <c r="V247" s="16" t="str">
        <f>IF(ISTEXT('Incurred 2.5% cpi'!V247),"",'Incurred 2.5% cpi'!V247/'Incurred 2.5% cpi'!V$14*Incurred!V$14*BJ247)</f>
        <v/>
      </c>
      <c r="W247" s="127" t="str">
        <f>IF(ISTEXT('Incurred 2.5% cpi'!W247),"",'Incurred 2.5% cpi'!W247/'Incurred 2.5% cpi'!W$14*Incurred!W$14*BK247)</f>
        <v/>
      </c>
      <c r="X247" s="119" t="str">
        <f>IF(ISTEXT('Incurred 2.5% cpi'!X247),"",'Incurred 2.5% cpi'!X247/'Incurred 2.5% cpi'!X$14*Incurred!X$14*BL247)</f>
        <v/>
      </c>
      <c r="Y247" s="95">
        <f t="shared" si="345"/>
        <v>2285665.84</v>
      </c>
      <c r="Z247" s="95">
        <f t="shared" si="388"/>
        <v>2285665.84</v>
      </c>
      <c r="AA247" s="676">
        <f t="shared" si="394"/>
        <v>2595626.0976043539</v>
      </c>
      <c r="AB247" s="676">
        <f t="shared" si="362"/>
        <v>2308913.2515050001</v>
      </c>
      <c r="AC247" s="677">
        <f t="shared" si="380"/>
        <v>1.1241765345287305</v>
      </c>
      <c r="AD247" s="678" t="str">
        <f t="shared" si="377"/>
        <v>2017</v>
      </c>
      <c r="AE247" s="679">
        <v>42584</v>
      </c>
      <c r="AF247" s="678">
        <v>2017</v>
      </c>
      <c r="AG247" s="680"/>
      <c r="AH247" s="676">
        <f t="shared" si="395"/>
        <v>2354398.8425596487</v>
      </c>
      <c r="AI247" s="95">
        <f t="shared" si="363"/>
        <v>1105594.19</v>
      </c>
      <c r="AJ247" s="681" t="s">
        <v>0</v>
      </c>
      <c r="AK247" s="37">
        <f t="shared" si="364"/>
        <v>1366642.3195024</v>
      </c>
      <c r="AL247" s="31">
        <f t="shared" si="396"/>
        <v>0</v>
      </c>
      <c r="AM247" s="31">
        <f t="shared" si="396"/>
        <v>0</v>
      </c>
      <c r="AN247" s="31">
        <f t="shared" si="396"/>
        <v>0</v>
      </c>
      <c r="AO247" s="31">
        <f t="shared" si="396"/>
        <v>0</v>
      </c>
      <c r="AP247" s="31">
        <f t="shared" si="396"/>
        <v>0</v>
      </c>
      <c r="AQ247" s="31">
        <f t="shared" si="396"/>
        <v>0</v>
      </c>
      <c r="AR247" s="31">
        <f t="shared" si="396"/>
        <v>0</v>
      </c>
      <c r="AS247" s="31">
        <f t="shared" si="396"/>
        <v>0</v>
      </c>
      <c r="AT247" s="31">
        <f t="shared" si="396"/>
        <v>0</v>
      </c>
      <c r="AU247" s="31">
        <f t="shared" si="396"/>
        <v>0</v>
      </c>
      <c r="AV247" s="31">
        <f t="shared" si="397"/>
        <v>0</v>
      </c>
      <c r="AW247" s="31">
        <f t="shared" si="397"/>
        <v>0</v>
      </c>
      <c r="AX247" s="31">
        <f t="shared" si="397"/>
        <v>0</v>
      </c>
      <c r="AY247" s="31">
        <f t="shared" si="397"/>
        <v>0</v>
      </c>
      <c r="AZ247" s="31">
        <f t="shared" si="397"/>
        <v>0</v>
      </c>
      <c r="BA247" s="31">
        <f t="shared" si="397"/>
        <v>0</v>
      </c>
      <c r="BB247" s="31">
        <f t="shared" si="397"/>
        <v>0</v>
      </c>
      <c r="BC247" s="31">
        <f t="shared" si="397"/>
        <v>0</v>
      </c>
      <c r="BD247" s="31">
        <f t="shared" si="397"/>
        <v>1</v>
      </c>
      <c r="BE247" s="30">
        <f t="shared" si="398"/>
        <v>1</v>
      </c>
      <c r="BF247" s="620">
        <f t="shared" si="385"/>
        <v>1.0030444840366091</v>
      </c>
      <c r="BG247" s="620">
        <f t="shared" si="365"/>
        <v>1.0061087572194563</v>
      </c>
      <c r="BH247" s="620">
        <f t="shared" si="366"/>
        <v>1.0096674390946898</v>
      </c>
      <c r="BI247" s="620">
        <f t="shared" si="367"/>
        <v>1.0139698854818469</v>
      </c>
      <c r="BJ247" s="620">
        <f t="shared" si="368"/>
        <v>1.0192757579764089</v>
      </c>
      <c r="BK247" s="620">
        <f t="shared" si="369"/>
        <v>1.0248838240271385</v>
      </c>
      <c r="BL247" s="620">
        <f t="shared" si="370"/>
        <v>1.0289708850333266</v>
      </c>
      <c r="BM247" s="621" t="str">
        <f t="shared" si="371"/>
        <v>Category</v>
      </c>
    </row>
    <row r="248" spans="1:65" x14ac:dyDescent="0.15">
      <c r="A248" s="12" t="s">
        <v>504</v>
      </c>
      <c r="B248" s="13" t="s">
        <v>505</v>
      </c>
      <c r="C248" s="13" t="s">
        <v>2633</v>
      </c>
      <c r="D248" s="13" t="s">
        <v>28</v>
      </c>
      <c r="E248" s="13" t="s">
        <v>32</v>
      </c>
      <c r="F248" s="14">
        <v>0</v>
      </c>
      <c r="G248" s="14">
        <v>0</v>
      </c>
      <c r="H248" s="14">
        <v>0</v>
      </c>
      <c r="I248" s="14">
        <v>0</v>
      </c>
      <c r="J248" s="14">
        <v>0</v>
      </c>
      <c r="K248" s="14">
        <v>0</v>
      </c>
      <c r="L248" s="14">
        <v>0</v>
      </c>
      <c r="M248" s="15">
        <v>0</v>
      </c>
      <c r="N248" s="804"/>
      <c r="O248" s="14"/>
      <c r="P248" s="15">
        <v>1394966.12</v>
      </c>
      <c r="Q248" s="16">
        <f>IF(ISTEXT('Incurred 2.5% cpi'!Q248),"",'Incurred 2.5% cpi'!Q248/'Incurred 2.5% cpi'!Q$14*Incurred!Q$14)</f>
        <v>341309.38</v>
      </c>
      <c r="R248" s="127" t="str">
        <f>IF(ISTEXT('Incurred 2.5% cpi'!R248),"",'Incurred 2.5% cpi'!R248/'Incurred 2.5% cpi'!R$14*Incurred!R$14*BF248)</f>
        <v/>
      </c>
      <c r="S248" s="119" t="str">
        <f>IF(ISTEXT('Incurred 2.5% cpi'!S248),"",'Incurred 2.5% cpi'!S248/'Incurred 2.5% cpi'!S$14*Incurred!S$14*BG248)</f>
        <v/>
      </c>
      <c r="T248" s="16" t="str">
        <f>IF(ISTEXT('Incurred 2.5% cpi'!T248),"",'Incurred 2.5% cpi'!T248/'Incurred 2.5% cpi'!T$14*Incurred!T$14*BH248)</f>
        <v/>
      </c>
      <c r="U248" s="16" t="str">
        <f>IF(ISTEXT('Incurred 2.5% cpi'!U248),"",'Incurred 2.5% cpi'!U248/'Incurred 2.5% cpi'!U$14*Incurred!U$14*BI248)</f>
        <v/>
      </c>
      <c r="V248" s="16" t="str">
        <f>IF(ISTEXT('Incurred 2.5% cpi'!V248),"",'Incurred 2.5% cpi'!V248/'Incurred 2.5% cpi'!V$14*Incurred!V$14*BJ248)</f>
        <v/>
      </c>
      <c r="W248" s="127" t="str">
        <f>IF(ISTEXT('Incurred 2.5% cpi'!W248),"",'Incurred 2.5% cpi'!W248/'Incurred 2.5% cpi'!W$14*Incurred!W$14*BK248)</f>
        <v/>
      </c>
      <c r="X248" s="119" t="str">
        <f>IF(ISTEXT('Incurred 2.5% cpi'!X248),"",'Incurred 2.5% cpi'!X248/'Incurred 2.5% cpi'!X$14*Incurred!X$14*BL248)</f>
        <v/>
      </c>
      <c r="Y248" s="95">
        <f t="shared" si="345"/>
        <v>1736275.5</v>
      </c>
      <c r="Z248" s="95">
        <f t="shared" si="388"/>
        <v>1736275.5</v>
      </c>
      <c r="AA248" s="676">
        <f t="shared" si="394"/>
        <v>1982773.4816949009</v>
      </c>
      <c r="AB248" s="676">
        <f t="shared" si="362"/>
        <v>1763756.3325640003</v>
      </c>
      <c r="AC248" s="677">
        <f t="shared" si="380"/>
        <v>1.1241765345287305</v>
      </c>
      <c r="AD248" s="678" t="str">
        <f t="shared" si="377"/>
        <v>2017</v>
      </c>
      <c r="AE248" s="679">
        <v>42551</v>
      </c>
      <c r="AF248" s="678">
        <v>2017</v>
      </c>
      <c r="AG248" s="680"/>
      <c r="AH248" s="676">
        <f t="shared" si="395"/>
        <v>1798502.3323155111</v>
      </c>
      <c r="AI248" s="95">
        <f t="shared" si="363"/>
        <v>341309.38</v>
      </c>
      <c r="AJ248" s="681" t="s">
        <v>0</v>
      </c>
      <c r="AK248" s="37">
        <f t="shared" si="364"/>
        <v>0</v>
      </c>
      <c r="AL248" s="31">
        <f t="shared" si="396"/>
        <v>0</v>
      </c>
      <c r="AM248" s="31">
        <f t="shared" si="396"/>
        <v>0</v>
      </c>
      <c r="AN248" s="31">
        <f t="shared" si="396"/>
        <v>0</v>
      </c>
      <c r="AO248" s="31">
        <f t="shared" si="396"/>
        <v>0</v>
      </c>
      <c r="AP248" s="31">
        <f t="shared" si="396"/>
        <v>0</v>
      </c>
      <c r="AQ248" s="31">
        <f t="shared" si="396"/>
        <v>0</v>
      </c>
      <c r="AR248" s="31">
        <f t="shared" si="396"/>
        <v>0</v>
      </c>
      <c r="AS248" s="31">
        <f t="shared" si="396"/>
        <v>0</v>
      </c>
      <c r="AT248" s="31">
        <f t="shared" si="396"/>
        <v>0</v>
      </c>
      <c r="AU248" s="31">
        <f t="shared" si="396"/>
        <v>0</v>
      </c>
      <c r="AV248" s="31">
        <f t="shared" si="397"/>
        <v>0</v>
      </c>
      <c r="AW248" s="31">
        <f t="shared" si="397"/>
        <v>0</v>
      </c>
      <c r="AX248" s="31">
        <f t="shared" si="397"/>
        <v>0</v>
      </c>
      <c r="AY248" s="31">
        <f t="shared" si="397"/>
        <v>0</v>
      </c>
      <c r="AZ248" s="31">
        <f t="shared" si="397"/>
        <v>0</v>
      </c>
      <c r="BA248" s="31">
        <f t="shared" si="397"/>
        <v>0</v>
      </c>
      <c r="BB248" s="31">
        <f t="shared" si="397"/>
        <v>0</v>
      </c>
      <c r="BC248" s="31">
        <f t="shared" si="397"/>
        <v>0</v>
      </c>
      <c r="BD248" s="31">
        <f t="shared" si="397"/>
        <v>1</v>
      </c>
      <c r="BE248" s="30">
        <f t="shared" si="398"/>
        <v>1</v>
      </c>
      <c r="BF248" s="620">
        <f t="shared" si="385"/>
        <v>1.0030444840366091</v>
      </c>
      <c r="BG248" s="620">
        <f t="shared" si="365"/>
        <v>1.0061087572194563</v>
      </c>
      <c r="BH248" s="620">
        <f t="shared" si="366"/>
        <v>1.0096674390946898</v>
      </c>
      <c r="BI248" s="620">
        <f t="shared" si="367"/>
        <v>1.0139698854818469</v>
      </c>
      <c r="BJ248" s="620">
        <f t="shared" si="368"/>
        <v>1.0192757579764089</v>
      </c>
      <c r="BK248" s="620">
        <f t="shared" si="369"/>
        <v>1.0248838240271385</v>
      </c>
      <c r="BL248" s="620">
        <f t="shared" si="370"/>
        <v>1.0289708850333266</v>
      </c>
      <c r="BM248" s="621" t="str">
        <f t="shared" si="371"/>
        <v>Category</v>
      </c>
    </row>
    <row r="249" spans="1:65" x14ac:dyDescent="0.15">
      <c r="A249" s="12" t="s">
        <v>508</v>
      </c>
      <c r="B249" s="13" t="s">
        <v>2389</v>
      </c>
      <c r="C249" s="13" t="s">
        <v>27</v>
      </c>
      <c r="D249" s="13" t="s">
        <v>54</v>
      </c>
      <c r="E249" s="13" t="s">
        <v>112</v>
      </c>
      <c r="F249" s="14">
        <v>0</v>
      </c>
      <c r="G249" s="14">
        <v>0</v>
      </c>
      <c r="H249" s="14">
        <v>0</v>
      </c>
      <c r="I249" s="14">
        <v>0</v>
      </c>
      <c r="J249" s="14">
        <v>0</v>
      </c>
      <c r="K249" s="14">
        <v>0</v>
      </c>
      <c r="L249" s="14">
        <v>0</v>
      </c>
      <c r="M249" s="15">
        <v>0</v>
      </c>
      <c r="N249" s="804"/>
      <c r="O249" s="14"/>
      <c r="P249" s="15"/>
      <c r="Q249" s="16" t="str">
        <f>IF(ISTEXT('Incurred 2.5% cpi'!Q249),"",'Incurred 2.5% cpi'!Q249/'Incurred 2.5% cpi'!Q$14*Incurred!Q$14)</f>
        <v/>
      </c>
      <c r="R249" s="127" t="str">
        <f>IF(ISTEXT('Incurred 2.5% cpi'!R249),"",'Incurred 2.5% cpi'!R249/'Incurred 2.5% cpi'!R$14*Incurred!R$14*BF249)</f>
        <v/>
      </c>
      <c r="S249" s="119" t="str">
        <f>IF(ISTEXT('Incurred 2.5% cpi'!S249),"",'Incurred 2.5% cpi'!S249/'Incurred 2.5% cpi'!S$14*Incurred!S$14*BG249)</f>
        <v/>
      </c>
      <c r="T249" s="16">
        <f>IF(ISTEXT('Incurred 2.5% cpi'!T249),"",'Incurred 2.5% cpi'!T249/'Incurred 2.5% cpi'!T$14*Incurred!T$14*BH249)</f>
        <v>151729.9206352433</v>
      </c>
      <c r="U249" s="16">
        <f>IF(ISTEXT('Incurred 2.5% cpi'!U249),"",'Incurred 2.5% cpi'!U249/'Incurred 2.5% cpi'!U$14*Incurred!U$14*BI249)</f>
        <v>1556881.2767939861</v>
      </c>
      <c r="V249" s="16">
        <f>IF(ISTEXT('Incurred 2.5% cpi'!V249),"",'Incurred 2.5% cpi'!V249/'Incurred 2.5% cpi'!V$14*Incurred!V$14*BJ249)</f>
        <v>4528.3144650894646</v>
      </c>
      <c r="W249" s="127" t="str">
        <f>IF(ISTEXT('Incurred 2.5% cpi'!W249),"",'Incurred 2.5% cpi'!W249/'Incurred 2.5% cpi'!W$14*Incurred!W$14*BK249)</f>
        <v/>
      </c>
      <c r="X249" s="119" t="str">
        <f>IF(ISTEXT('Incurred 2.5% cpi'!X249),"",'Incurred 2.5% cpi'!X249/'Incurred 2.5% cpi'!X$14*Incurred!X$14*BL249)</f>
        <v/>
      </c>
      <c r="Y249" s="95">
        <f t="shared" si="345"/>
        <v>1713139.511894319</v>
      </c>
      <c r="Z249" s="95">
        <f t="shared" ref="Z249:Z262" si="399">-SUMIFS(F249:W249,F249:W249,"&lt;0")+SUMIFS(F249:W249,F249:W249,"&gt;0")</f>
        <v>1713139.511894319</v>
      </c>
      <c r="AA249" s="676">
        <f t="shared" si="394"/>
        <v>1784319.1049857545</v>
      </c>
      <c r="AB249" s="676">
        <f t="shared" si="362"/>
        <v>1716041.1069776288</v>
      </c>
      <c r="AC249" s="677">
        <f t="shared" si="380"/>
        <v>1.0397880900000001</v>
      </c>
      <c r="AD249" s="678" t="str">
        <f t="shared" si="377"/>
        <v>2022</v>
      </c>
      <c r="AE249" s="679">
        <v>44256</v>
      </c>
      <c r="AF249" s="678">
        <v>2021</v>
      </c>
      <c r="AG249" s="680"/>
      <c r="AH249" s="676">
        <f t="shared" si="395"/>
        <v>1618491.5228787623</v>
      </c>
      <c r="AI249" s="95">
        <f t="shared" si="363"/>
        <v>4528.3144650894646</v>
      </c>
      <c r="AJ249" s="681" t="s">
        <v>3058</v>
      </c>
      <c r="AK249" s="37">
        <f t="shared" si="364"/>
        <v>868848.25439436187</v>
      </c>
      <c r="AL249" s="31">
        <f t="shared" si="396"/>
        <v>0</v>
      </c>
      <c r="AM249" s="31">
        <f t="shared" si="396"/>
        <v>0</v>
      </c>
      <c r="AN249" s="31">
        <f t="shared" si="396"/>
        <v>0</v>
      </c>
      <c r="AO249" s="31">
        <f t="shared" si="396"/>
        <v>0</v>
      </c>
      <c r="AP249" s="31">
        <f t="shared" si="396"/>
        <v>0</v>
      </c>
      <c r="AQ249" s="31">
        <f t="shared" si="396"/>
        <v>0</v>
      </c>
      <c r="AR249" s="31">
        <f t="shared" si="396"/>
        <v>0</v>
      </c>
      <c r="AS249" s="31">
        <f t="shared" si="396"/>
        <v>0</v>
      </c>
      <c r="AT249" s="31">
        <f t="shared" si="396"/>
        <v>0</v>
      </c>
      <c r="AU249" s="31">
        <f t="shared" si="396"/>
        <v>0.50097729632133636</v>
      </c>
      <c r="AV249" s="31">
        <f t="shared" si="397"/>
        <v>0</v>
      </c>
      <c r="AW249" s="31">
        <f t="shared" si="397"/>
        <v>8.2609362025849176E-2</v>
      </c>
      <c r="AX249" s="31">
        <f t="shared" si="397"/>
        <v>0</v>
      </c>
      <c r="AY249" s="31">
        <f t="shared" si="397"/>
        <v>0</v>
      </c>
      <c r="AZ249" s="31">
        <f t="shared" si="397"/>
        <v>0.35886589335316527</v>
      </c>
      <c r="BA249" s="31">
        <f t="shared" si="397"/>
        <v>5.754744829964923E-2</v>
      </c>
      <c r="BB249" s="31">
        <f t="shared" si="397"/>
        <v>0</v>
      </c>
      <c r="BC249" s="31">
        <f t="shared" si="397"/>
        <v>0</v>
      </c>
      <c r="BD249" s="31">
        <f t="shared" si="397"/>
        <v>0</v>
      </c>
      <c r="BE249" s="30">
        <f t="shared" si="398"/>
        <v>1</v>
      </c>
      <c r="BF249" s="620">
        <f t="shared" si="385"/>
        <v>1.0034881814829846</v>
      </c>
      <c r="BG249" s="620">
        <f t="shared" si="365"/>
        <v>1.0069990361456087</v>
      </c>
      <c r="BH249" s="620">
        <f t="shared" si="366"/>
        <v>1.01107635370476</v>
      </c>
      <c r="BI249" s="620">
        <f t="shared" si="367"/>
        <v>1.0160058306337738</v>
      </c>
      <c r="BJ249" s="620">
        <f t="shared" si="368"/>
        <v>1.0220849711265654</v>
      </c>
      <c r="BK249" s="620">
        <f t="shared" si="369"/>
        <v>1.0285103463028786</v>
      </c>
      <c r="BL249" s="620">
        <f t="shared" si="370"/>
        <v>1.0331930479857201</v>
      </c>
      <c r="BM249" s="621" t="str">
        <f t="shared" si="371"/>
        <v>Project</v>
      </c>
    </row>
    <row r="250" spans="1:65" x14ac:dyDescent="0.15">
      <c r="A250" s="12" t="s">
        <v>510</v>
      </c>
      <c r="B250" s="13" t="s">
        <v>511</v>
      </c>
      <c r="C250" s="13" t="s">
        <v>27</v>
      </c>
      <c r="D250" s="13" t="s">
        <v>40</v>
      </c>
      <c r="E250" s="13" t="s">
        <v>112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0</v>
      </c>
      <c r="M250" s="15">
        <v>0</v>
      </c>
      <c r="N250" s="804"/>
      <c r="O250" s="14"/>
      <c r="P250" s="15"/>
      <c r="Q250" s="16" t="str">
        <f>IF(ISTEXT('Incurred 2.5% cpi'!Q250),"",'Incurred 2.5% cpi'!Q250/'Incurred 2.5% cpi'!Q$14*Incurred!Q$14)</f>
        <v/>
      </c>
      <c r="R250" s="127" t="str">
        <f>IF(ISTEXT('Incurred 2.5% cpi'!R250),"",'Incurred 2.5% cpi'!R250/'Incurred 2.5% cpi'!R$14*Incurred!R$14*BF250)</f>
        <v/>
      </c>
      <c r="S250" s="119">
        <f>IF(ISTEXT('Incurred 2.5% cpi'!S250),"",'Incurred 2.5% cpi'!S250/'Incurred 2.5% cpi'!S$14*Incurred!S$14*BG250)</f>
        <v>32906.570073743002</v>
      </c>
      <c r="T250" s="16">
        <f>IF(ISTEXT('Incurred 2.5% cpi'!T250),"",'Incurred 2.5% cpi'!T250/'Incurred 2.5% cpi'!T$14*Incurred!T$14*BH250)</f>
        <v>80701.038546542433</v>
      </c>
      <c r="U250" s="16">
        <f>IF(ISTEXT('Incurred 2.5% cpi'!U250),"",'Incurred 2.5% cpi'!U250/'Incurred 2.5% cpi'!U$14*Incurred!U$14*BI250)</f>
        <v>544203.98389448354</v>
      </c>
      <c r="V250" s="16">
        <f>IF(ISTEXT('Incurred 2.5% cpi'!V250),"",'Incurred 2.5% cpi'!V250/'Incurred 2.5% cpi'!V$14*Incurred!V$14*BJ250)</f>
        <v>510245.69489516964</v>
      </c>
      <c r="W250" s="127" t="str">
        <f>IF(ISTEXT('Incurred 2.5% cpi'!W250),"",'Incurred 2.5% cpi'!W250/'Incurred 2.5% cpi'!W$14*Incurred!W$14*BK250)</f>
        <v/>
      </c>
      <c r="X250" s="119" t="str">
        <f>IF(ISTEXT('Incurred 2.5% cpi'!X250),"",'Incurred 2.5% cpi'!X250/'Incurred 2.5% cpi'!X$14*Incurred!X$14*BL250)</f>
        <v/>
      </c>
      <c r="Y250" s="95">
        <f t="shared" si="345"/>
        <v>1168057.2874099386</v>
      </c>
      <c r="Z250" s="95">
        <f t="shared" si="399"/>
        <v>1168057.2874099386</v>
      </c>
      <c r="AA250" s="676">
        <f t="shared" si="394"/>
        <v>1207296.6441294013</v>
      </c>
      <c r="AB250" s="676">
        <f t="shared" si="362"/>
        <v>1183972.3880841436</v>
      </c>
      <c r="AC250" s="677">
        <f t="shared" si="380"/>
        <v>1.0197000000000001</v>
      </c>
      <c r="AD250" s="678" t="str">
        <f t="shared" si="377"/>
        <v>2022</v>
      </c>
      <c r="AE250" s="679">
        <v>44652</v>
      </c>
      <c r="AF250" s="678">
        <v>2022</v>
      </c>
      <c r="AG250" s="680"/>
      <c r="AH250" s="676">
        <f t="shared" si="395"/>
        <v>1095095.2543541889</v>
      </c>
      <c r="AI250" s="95">
        <f t="shared" si="363"/>
        <v>510245.69489516964</v>
      </c>
      <c r="AJ250" s="681" t="s">
        <v>3058</v>
      </c>
      <c r="AK250" s="37">
        <f t="shared" si="364"/>
        <v>542544.99999999907</v>
      </c>
      <c r="AL250" s="31">
        <f t="shared" ref="AL250:AU253" si="400">IF($AK250=0,VLOOKUP(MID($A250,4,5),ProjectSplits,AL$20,FALSE),IF(ISNA(VLOOKUP($A250,Estimates,AL$19,FALSE)),VLOOKUP(MID($A250,4,5),ProjectSplits,AL$20,FALSE),VLOOKUP($A250,Estimates,AL$19,FALSE)))</f>
        <v>0</v>
      </c>
      <c r="AM250" s="31">
        <f t="shared" si="400"/>
        <v>0</v>
      </c>
      <c r="AN250" s="31">
        <f t="shared" si="400"/>
        <v>0</v>
      </c>
      <c r="AO250" s="31">
        <f t="shared" si="400"/>
        <v>0</v>
      </c>
      <c r="AP250" s="31">
        <f t="shared" si="400"/>
        <v>0</v>
      </c>
      <c r="AQ250" s="31">
        <f t="shared" si="400"/>
        <v>0</v>
      </c>
      <c r="AR250" s="31">
        <f t="shared" si="400"/>
        <v>0</v>
      </c>
      <c r="AS250" s="31">
        <f t="shared" si="400"/>
        <v>0</v>
      </c>
      <c r="AT250" s="31">
        <f t="shared" si="400"/>
        <v>0</v>
      </c>
      <c r="AU250" s="31">
        <f t="shared" si="400"/>
        <v>0.15924946317816957</v>
      </c>
      <c r="AV250" s="31">
        <f t="shared" ref="AV250:BD253" si="401">IF($AK250=0,VLOOKUP(MID($A250,4,5),ProjectSplits,AV$20,FALSE),IF(ISNA(VLOOKUP($A250,Estimates,AV$19,FALSE)),VLOOKUP(MID($A250,4,5),ProjectSplits,AV$20,FALSE),VLOOKUP($A250,Estimates,AV$19,FALSE)))</f>
        <v>0</v>
      </c>
      <c r="AW250" s="31">
        <f t="shared" si="401"/>
        <v>0</v>
      </c>
      <c r="AX250" s="31">
        <f t="shared" si="401"/>
        <v>0</v>
      </c>
      <c r="AY250" s="31">
        <f t="shared" si="401"/>
        <v>0</v>
      </c>
      <c r="AZ250" s="31">
        <f t="shared" si="401"/>
        <v>0.84075053682183043</v>
      </c>
      <c r="BA250" s="31">
        <f t="shared" si="401"/>
        <v>0</v>
      </c>
      <c r="BB250" s="31">
        <f t="shared" si="401"/>
        <v>0</v>
      </c>
      <c r="BC250" s="31">
        <f t="shared" si="401"/>
        <v>0</v>
      </c>
      <c r="BD250" s="31">
        <f t="shared" si="401"/>
        <v>0</v>
      </c>
      <c r="BE250" s="30">
        <f t="shared" ref="BE250:BE253" si="402">SUM(AL250:BD250)</f>
        <v>1</v>
      </c>
      <c r="BF250" s="620">
        <f t="shared" si="385"/>
        <v>1.0045152319599013</v>
      </c>
      <c r="BG250" s="620">
        <f t="shared" si="365"/>
        <v>1.0090598129275419</v>
      </c>
      <c r="BH250" s="620">
        <f t="shared" si="366"/>
        <v>1.014337644555154</v>
      </c>
      <c r="BI250" s="620">
        <f t="shared" si="367"/>
        <v>1.0207185429929369</v>
      </c>
      <c r="BJ250" s="620">
        <f t="shared" si="368"/>
        <v>1.0285876087441537</v>
      </c>
      <c r="BK250" s="620">
        <f t="shared" si="369"/>
        <v>1.0369048535583834</v>
      </c>
      <c r="BL250" s="620">
        <f t="shared" si="370"/>
        <v>1.0429663169312577</v>
      </c>
      <c r="BM250" s="621" t="str">
        <f t="shared" si="371"/>
        <v>Project</v>
      </c>
    </row>
    <row r="251" spans="1:65" x14ac:dyDescent="0.15">
      <c r="A251" s="12" t="s">
        <v>512</v>
      </c>
      <c r="B251" s="13" t="s">
        <v>513</v>
      </c>
      <c r="C251" s="13" t="s">
        <v>27</v>
      </c>
      <c r="D251" s="13" t="s">
        <v>40</v>
      </c>
      <c r="E251" s="13" t="s">
        <v>112</v>
      </c>
      <c r="F251" s="14">
        <v>0</v>
      </c>
      <c r="G251" s="14">
        <v>0</v>
      </c>
      <c r="H251" s="14">
        <v>0</v>
      </c>
      <c r="I251" s="14">
        <v>0</v>
      </c>
      <c r="J251" s="14">
        <v>0</v>
      </c>
      <c r="K251" s="14">
        <v>0</v>
      </c>
      <c r="L251" s="14">
        <v>0</v>
      </c>
      <c r="M251" s="15">
        <v>0</v>
      </c>
      <c r="N251" s="804"/>
      <c r="O251" s="14"/>
      <c r="P251" s="15"/>
      <c r="Q251" s="16" t="str">
        <f>IF(ISTEXT('Incurred 2.5% cpi'!Q251),"",'Incurred 2.5% cpi'!Q251/'Incurred 2.5% cpi'!Q$14*Incurred!Q$14)</f>
        <v/>
      </c>
      <c r="R251" s="127">
        <f>IF(ISTEXT('Incurred 2.5% cpi'!R251),"",'Incurred 2.5% cpi'!R251/'Incurred 2.5% cpi'!R$14*Incurred!R$14*BF251)</f>
        <v>72511.88115321756</v>
      </c>
      <c r="S251" s="119">
        <f>IF(ISTEXT('Incurred 2.5% cpi'!S251),"",'Incurred 2.5% cpi'!S251/'Incurred 2.5% cpi'!S$14*Incurred!S$14*BG251)</f>
        <v>511934.97644670913</v>
      </c>
      <c r="T251" s="16">
        <f>IF(ISTEXT('Incurred 2.5% cpi'!T251),"",'Incurred 2.5% cpi'!T251/'Incurred 2.5% cpi'!T$14*Incurred!T$14*BH251)</f>
        <v>4531654.9507478923</v>
      </c>
      <c r="U251" s="16">
        <f>IF(ISTEXT('Incurred 2.5% cpi'!U251),"",'Incurred 2.5% cpi'!U251/'Incurred 2.5% cpi'!U$14*Incurred!U$14*BI251)</f>
        <v>4668126.0712262774</v>
      </c>
      <c r="V251" s="16">
        <f>IF(ISTEXT('Incurred 2.5% cpi'!V251),"",'Incurred 2.5% cpi'!V251/'Incurred 2.5% cpi'!V$14*Incurred!V$14*BJ251)</f>
        <v>309432.51377034804</v>
      </c>
      <c r="W251" s="127" t="str">
        <f>IF(ISTEXT('Incurred 2.5% cpi'!W251),"",'Incurred 2.5% cpi'!W251/'Incurred 2.5% cpi'!W$14*Incurred!W$14*BK251)</f>
        <v/>
      </c>
      <c r="X251" s="119" t="str">
        <f>IF(ISTEXT('Incurred 2.5% cpi'!X251),"",'Incurred 2.5% cpi'!X251/'Incurred 2.5% cpi'!X$14*Incurred!X$14*BL251)</f>
        <v/>
      </c>
      <c r="Y251" s="95">
        <f t="shared" si="345"/>
        <v>10093660.393344445</v>
      </c>
      <c r="Z251" s="95">
        <f t="shared" si="399"/>
        <v>10093660.393344445</v>
      </c>
      <c r="AA251" s="676">
        <f t="shared" si="394"/>
        <v>10607601.258142632</v>
      </c>
      <c r="AB251" s="676">
        <f t="shared" si="362"/>
        <v>10201695.287876043</v>
      </c>
      <c r="AC251" s="677">
        <f t="shared" si="380"/>
        <v>1.0397880900000001</v>
      </c>
      <c r="AD251" s="678" t="str">
        <f t="shared" si="377"/>
        <v>2022</v>
      </c>
      <c r="AE251" s="679">
        <v>44343</v>
      </c>
      <c r="AF251" s="678">
        <v>2021</v>
      </c>
      <c r="AG251" s="680"/>
      <c r="AH251" s="676">
        <f t="shared" si="395"/>
        <v>9621772.6226268299</v>
      </c>
      <c r="AI251" s="95">
        <f t="shared" si="363"/>
        <v>309432.51377034804</v>
      </c>
      <c r="AJ251" s="681" t="s">
        <v>3058</v>
      </c>
      <c r="AK251" s="37">
        <f t="shared" si="364"/>
        <v>5026557.317995986</v>
      </c>
      <c r="AL251" s="31">
        <f t="shared" si="400"/>
        <v>0</v>
      </c>
      <c r="AM251" s="31">
        <f t="shared" si="400"/>
        <v>0</v>
      </c>
      <c r="AN251" s="31">
        <f t="shared" si="400"/>
        <v>0</v>
      </c>
      <c r="AO251" s="31">
        <f t="shared" si="400"/>
        <v>0</v>
      </c>
      <c r="AP251" s="31">
        <f t="shared" si="400"/>
        <v>0</v>
      </c>
      <c r="AQ251" s="31">
        <f t="shared" si="400"/>
        <v>0</v>
      </c>
      <c r="AR251" s="31">
        <f t="shared" si="400"/>
        <v>0</v>
      </c>
      <c r="AS251" s="31">
        <f t="shared" si="400"/>
        <v>0</v>
      </c>
      <c r="AT251" s="31">
        <f t="shared" si="400"/>
        <v>0</v>
      </c>
      <c r="AU251" s="31">
        <f t="shared" si="400"/>
        <v>0.25864201435552758</v>
      </c>
      <c r="AV251" s="31">
        <f t="shared" si="401"/>
        <v>2.1247146556947979E-2</v>
      </c>
      <c r="AW251" s="31">
        <f t="shared" si="401"/>
        <v>0.68708624800095996</v>
      </c>
      <c r="AX251" s="31">
        <f t="shared" si="401"/>
        <v>0</v>
      </c>
      <c r="AY251" s="31">
        <f t="shared" si="401"/>
        <v>0</v>
      </c>
      <c r="AZ251" s="31">
        <f t="shared" si="401"/>
        <v>3.3024591086564484E-2</v>
      </c>
      <c r="BA251" s="31">
        <f t="shared" si="401"/>
        <v>0</v>
      </c>
      <c r="BB251" s="31">
        <f t="shared" si="401"/>
        <v>0</v>
      </c>
      <c r="BC251" s="31">
        <f t="shared" si="401"/>
        <v>0</v>
      </c>
      <c r="BD251" s="31">
        <f t="shared" si="401"/>
        <v>0</v>
      </c>
      <c r="BE251" s="30">
        <f t="shared" si="402"/>
        <v>1</v>
      </c>
      <c r="BF251" s="620">
        <f t="shared" si="385"/>
        <v>1.003202614624785</v>
      </c>
      <c r="BG251" s="620">
        <f t="shared" si="365"/>
        <v>1.0064260462446313</v>
      </c>
      <c r="BH251" s="620">
        <f t="shared" si="366"/>
        <v>1.0101695661585257</v>
      </c>
      <c r="BI251" s="620">
        <f t="shared" si="367"/>
        <v>1.014695481734424</v>
      </c>
      <c r="BJ251" s="620">
        <f t="shared" si="368"/>
        <v>1.0202769413985238</v>
      </c>
      <c r="BK251" s="620">
        <f t="shared" si="369"/>
        <v>1.026176290560765</v>
      </c>
      <c r="BL251" s="620">
        <f t="shared" si="370"/>
        <v>1.0304756336328296</v>
      </c>
      <c r="BM251" s="621" t="str">
        <f t="shared" si="371"/>
        <v>Project</v>
      </c>
    </row>
    <row r="252" spans="1:65" x14ac:dyDescent="0.15">
      <c r="A252" s="12" t="s">
        <v>514</v>
      </c>
      <c r="B252" s="13" t="s">
        <v>515</v>
      </c>
      <c r="C252" s="13" t="s">
        <v>27</v>
      </c>
      <c r="D252" s="13" t="s">
        <v>40</v>
      </c>
      <c r="E252" s="13" t="s">
        <v>112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0</v>
      </c>
      <c r="M252" s="15">
        <v>0</v>
      </c>
      <c r="N252" s="804"/>
      <c r="O252" s="14"/>
      <c r="P252" s="15"/>
      <c r="Q252" s="16" t="str">
        <f>IF(ISTEXT('Incurred 2.5% cpi'!Q252),"",'Incurred 2.5% cpi'!Q252/'Incurred 2.5% cpi'!Q$14*Incurred!Q$14)</f>
        <v/>
      </c>
      <c r="R252" s="127">
        <f>IF(ISTEXT('Incurred 2.5% cpi'!R252),"",'Incurred 2.5% cpi'!R252/'Incurred 2.5% cpi'!R$14*Incurred!R$14*BF252)</f>
        <v>201608.68757438078</v>
      </c>
      <c r="S252" s="119">
        <f>IF(ISTEXT('Incurred 2.5% cpi'!S252),"",'Incurred 2.5% cpi'!S252/'Incurred 2.5% cpi'!S$14*Incurred!S$14*BG252)</f>
        <v>252035.15062090533</v>
      </c>
      <c r="T252" s="16">
        <f>IF(ISTEXT('Incurred 2.5% cpi'!T252),"",'Incurred 2.5% cpi'!T252/'Incurred 2.5% cpi'!T$14*Incurred!T$14*BH252)</f>
        <v>3660446.6541338079</v>
      </c>
      <c r="U252" s="16">
        <f>IF(ISTEXT('Incurred 2.5% cpi'!U252),"",'Incurred 2.5% cpi'!U252/'Incurred 2.5% cpi'!U$14*Incurred!U$14*BI252)</f>
        <v>3284104.7908968935</v>
      </c>
      <c r="V252" s="16" t="str">
        <f>IF(ISTEXT('Incurred 2.5% cpi'!V252),"",'Incurred 2.5% cpi'!V252/'Incurred 2.5% cpi'!V$14*Incurred!V$14*BJ252)</f>
        <v/>
      </c>
      <c r="W252" s="127" t="str">
        <f>IF(ISTEXT('Incurred 2.5% cpi'!W252),"",'Incurred 2.5% cpi'!W252/'Incurred 2.5% cpi'!W$14*Incurred!W$14*BK252)</f>
        <v/>
      </c>
      <c r="X252" s="119" t="str">
        <f>IF(ISTEXT('Incurred 2.5% cpi'!X252),"",'Incurred 2.5% cpi'!X252/'Incurred 2.5% cpi'!X$14*Incurred!X$14*BL252)</f>
        <v/>
      </c>
      <c r="Y252" s="95">
        <f t="shared" si="345"/>
        <v>7398195.2832259871</v>
      </c>
      <c r="Z252" s="95">
        <f t="shared" si="399"/>
        <v>7398195.2832259871</v>
      </c>
      <c r="AA252" s="676">
        <f t="shared" si="394"/>
        <v>7790597.1055917814</v>
      </c>
      <c r="AB252" s="676">
        <f t="shared" si="362"/>
        <v>7492485.4213244366</v>
      </c>
      <c r="AC252" s="677">
        <f t="shared" si="380"/>
        <v>1.0397880900000001</v>
      </c>
      <c r="AD252" s="678" t="str">
        <f t="shared" si="377"/>
        <v>2021</v>
      </c>
      <c r="AE252" s="679">
        <v>44293</v>
      </c>
      <c r="AF252" s="678">
        <v>2021</v>
      </c>
      <c r="AG252" s="680"/>
      <c r="AH252" s="676">
        <f t="shared" si="395"/>
        <v>7066569.7286611665</v>
      </c>
      <c r="AI252" s="95">
        <f t="shared" si="363"/>
        <v>3284104.7908968935</v>
      </c>
      <c r="AJ252" s="681" t="s">
        <v>3058</v>
      </c>
      <c r="AK252" s="37">
        <f t="shared" si="364"/>
        <v>3844158.4000000013</v>
      </c>
      <c r="AL252" s="31">
        <f t="shared" si="400"/>
        <v>0</v>
      </c>
      <c r="AM252" s="31">
        <f t="shared" si="400"/>
        <v>0</v>
      </c>
      <c r="AN252" s="31">
        <f t="shared" si="400"/>
        <v>0</v>
      </c>
      <c r="AO252" s="31">
        <f t="shared" si="400"/>
        <v>0</v>
      </c>
      <c r="AP252" s="31">
        <f t="shared" si="400"/>
        <v>0</v>
      </c>
      <c r="AQ252" s="31">
        <f t="shared" si="400"/>
        <v>0</v>
      </c>
      <c r="AR252" s="31">
        <f t="shared" si="400"/>
        <v>0</v>
      </c>
      <c r="AS252" s="31">
        <f t="shared" si="400"/>
        <v>0</v>
      </c>
      <c r="AT252" s="31">
        <f t="shared" si="400"/>
        <v>0</v>
      </c>
      <c r="AU252" s="31">
        <f t="shared" si="400"/>
        <v>0.96626699877923861</v>
      </c>
      <c r="AV252" s="31">
        <f t="shared" si="401"/>
        <v>0</v>
      </c>
      <c r="AW252" s="31">
        <f t="shared" si="401"/>
        <v>3.3733001220761359E-2</v>
      </c>
      <c r="AX252" s="31">
        <f t="shared" si="401"/>
        <v>0</v>
      </c>
      <c r="AY252" s="31">
        <f t="shared" si="401"/>
        <v>0</v>
      </c>
      <c r="AZ252" s="31">
        <f t="shared" si="401"/>
        <v>0</v>
      </c>
      <c r="BA252" s="31">
        <f t="shared" si="401"/>
        <v>0</v>
      </c>
      <c r="BB252" s="31">
        <f t="shared" si="401"/>
        <v>0</v>
      </c>
      <c r="BC252" s="31">
        <f t="shared" si="401"/>
        <v>0</v>
      </c>
      <c r="BD252" s="31">
        <f t="shared" si="401"/>
        <v>0</v>
      </c>
      <c r="BE252" s="30">
        <f t="shared" si="402"/>
        <v>1</v>
      </c>
      <c r="BF252" s="620">
        <f t="shared" si="385"/>
        <v>1.0025090869853523</v>
      </c>
      <c r="BG252" s="620">
        <f t="shared" si="365"/>
        <v>1.0050344830361093</v>
      </c>
      <c r="BH252" s="620">
        <f t="shared" si="366"/>
        <v>1.0079673420265947</v>
      </c>
      <c r="BI252" s="620">
        <f t="shared" si="367"/>
        <v>1.011513168546091</v>
      </c>
      <c r="BJ252" s="620">
        <f t="shared" si="368"/>
        <v>1.0158859606060788</v>
      </c>
      <c r="BK252" s="620">
        <f t="shared" si="369"/>
        <v>1.0205078030502106</v>
      </c>
      <c r="BL252" s="620">
        <f t="shared" si="370"/>
        <v>1.0238761214436252</v>
      </c>
      <c r="BM252" s="621" t="str">
        <f t="shared" si="371"/>
        <v>Project</v>
      </c>
    </row>
    <row r="253" spans="1:65" x14ac:dyDescent="0.15">
      <c r="A253" s="12" t="s">
        <v>518</v>
      </c>
      <c r="B253" s="13" t="s">
        <v>2390</v>
      </c>
      <c r="C253" s="13" t="s">
        <v>27</v>
      </c>
      <c r="D253" s="13" t="s">
        <v>40</v>
      </c>
      <c r="E253" s="13" t="s">
        <v>112</v>
      </c>
      <c r="F253" s="14">
        <v>0</v>
      </c>
      <c r="G253" s="14">
        <v>0</v>
      </c>
      <c r="H253" s="14">
        <v>0</v>
      </c>
      <c r="I253" s="14">
        <v>0</v>
      </c>
      <c r="J253" s="14">
        <v>0</v>
      </c>
      <c r="K253" s="14">
        <v>0</v>
      </c>
      <c r="L253" s="14">
        <v>0</v>
      </c>
      <c r="M253" s="15">
        <v>0</v>
      </c>
      <c r="N253" s="804"/>
      <c r="O253" s="14"/>
      <c r="P253" s="15"/>
      <c r="Q253" s="16" t="str">
        <f>IF(ISTEXT('Incurred 2.5% cpi'!Q253),"",'Incurred 2.5% cpi'!Q253/'Incurred 2.5% cpi'!Q$14*Incurred!Q$14)</f>
        <v/>
      </c>
      <c r="R253" s="127">
        <f>IF(ISTEXT('Incurred 2.5% cpi'!R253),"",'Incurred 2.5% cpi'!R253/'Incurred 2.5% cpi'!R$14*Incurred!R$14*BF253)</f>
        <v>169155.34866392278</v>
      </c>
      <c r="S253" s="119">
        <f>IF(ISTEXT('Incurred 2.5% cpi'!S253),"",'Incurred 2.5% cpi'!S253/'Incurred 2.5% cpi'!S$14*Incurred!S$14*BG253)</f>
        <v>1272608.6327244444</v>
      </c>
      <c r="T253" s="16">
        <f>IF(ISTEXT('Incurred 2.5% cpi'!T253),"",'Incurred 2.5% cpi'!T253/'Incurred 2.5% cpi'!T$14*Incurred!T$14*BH253)</f>
        <v>1668604.6544309121</v>
      </c>
      <c r="U253" s="16" t="str">
        <f>IF(ISTEXT('Incurred 2.5% cpi'!U253),"",'Incurred 2.5% cpi'!U253/'Incurred 2.5% cpi'!U$14*Incurred!U$14*BI253)</f>
        <v/>
      </c>
      <c r="V253" s="16" t="str">
        <f>IF(ISTEXT('Incurred 2.5% cpi'!V253),"",'Incurred 2.5% cpi'!V253/'Incurred 2.5% cpi'!V$14*Incurred!V$14*BJ253)</f>
        <v/>
      </c>
      <c r="W253" s="127" t="str">
        <f>IF(ISTEXT('Incurred 2.5% cpi'!W253),"",'Incurred 2.5% cpi'!W253/'Incurred 2.5% cpi'!W$14*Incurred!W$14*BK253)</f>
        <v/>
      </c>
      <c r="X253" s="119" t="str">
        <f>IF(ISTEXT('Incurred 2.5% cpi'!X253),"",'Incurred 2.5% cpi'!X253/'Incurred 2.5% cpi'!X$14*Incurred!X$14*BL253)</f>
        <v/>
      </c>
      <c r="Y253" s="95">
        <f t="shared" si="345"/>
        <v>3110368.6358192796</v>
      </c>
      <c r="Z253" s="95">
        <f t="shared" si="399"/>
        <v>3110368.6358192796</v>
      </c>
      <c r="AA253" s="676">
        <f t="shared" si="394"/>
        <v>3331553.9619306386</v>
      </c>
      <c r="AB253" s="676">
        <f t="shared" si="362"/>
        <v>3142169.3941205726</v>
      </c>
      <c r="AC253" s="677">
        <f t="shared" si="380"/>
        <v>1.060271915373</v>
      </c>
      <c r="AD253" s="678" t="str">
        <f t="shared" si="377"/>
        <v>2020</v>
      </c>
      <c r="AE253" s="679">
        <v>43818</v>
      </c>
      <c r="AF253" s="678">
        <v>2020</v>
      </c>
      <c r="AG253" s="680"/>
      <c r="AH253" s="676">
        <f t="shared" si="395"/>
        <v>3021932.4729143344</v>
      </c>
      <c r="AI253" s="95">
        <f t="shared" si="363"/>
        <v>1668604.6544309121</v>
      </c>
      <c r="AJ253" s="681" t="s">
        <v>3058</v>
      </c>
      <c r="AK253" s="37">
        <f t="shared" si="364"/>
        <v>1565826.1946773399</v>
      </c>
      <c r="AL253" s="31">
        <f t="shared" si="400"/>
        <v>0</v>
      </c>
      <c r="AM253" s="31">
        <f t="shared" si="400"/>
        <v>0</v>
      </c>
      <c r="AN253" s="31">
        <f t="shared" si="400"/>
        <v>0</v>
      </c>
      <c r="AO253" s="31">
        <f t="shared" si="400"/>
        <v>0</v>
      </c>
      <c r="AP253" s="31">
        <f t="shared" si="400"/>
        <v>0</v>
      </c>
      <c r="AQ253" s="31">
        <f t="shared" si="400"/>
        <v>0</v>
      </c>
      <c r="AR253" s="31">
        <f t="shared" si="400"/>
        <v>0</v>
      </c>
      <c r="AS253" s="31">
        <f t="shared" si="400"/>
        <v>0</v>
      </c>
      <c r="AT253" s="31">
        <f t="shared" si="400"/>
        <v>0</v>
      </c>
      <c r="AU253" s="31">
        <f t="shared" si="400"/>
        <v>0.69836818000366996</v>
      </c>
      <c r="AV253" s="31">
        <f t="shared" si="401"/>
        <v>0</v>
      </c>
      <c r="AW253" s="31">
        <f t="shared" si="401"/>
        <v>0.12108815175037685</v>
      </c>
      <c r="AX253" s="31">
        <f t="shared" si="401"/>
        <v>0</v>
      </c>
      <c r="AY253" s="31">
        <f t="shared" si="401"/>
        <v>0</v>
      </c>
      <c r="AZ253" s="31">
        <f t="shared" si="401"/>
        <v>0.18054366824595322</v>
      </c>
      <c r="BA253" s="31">
        <f t="shared" si="401"/>
        <v>0</v>
      </c>
      <c r="BB253" s="31">
        <f t="shared" si="401"/>
        <v>0</v>
      </c>
      <c r="BC253" s="31">
        <f t="shared" si="401"/>
        <v>0</v>
      </c>
      <c r="BD253" s="31">
        <f t="shared" si="401"/>
        <v>0</v>
      </c>
      <c r="BE253" s="30">
        <f t="shared" si="402"/>
        <v>1</v>
      </c>
      <c r="BF253" s="620">
        <f t="shared" si="385"/>
        <v>1.0031062348070516</v>
      </c>
      <c r="BG253" s="620">
        <f t="shared" si="365"/>
        <v>1.0062326601403491</v>
      </c>
      <c r="BH253" s="620">
        <f t="shared" si="366"/>
        <v>1.0098635221764614</v>
      </c>
      <c r="BI253" s="620">
        <f t="shared" si="367"/>
        <v>1.014253234378121</v>
      </c>
      <c r="BJ253" s="620">
        <f t="shared" si="368"/>
        <v>1.0196667250143678</v>
      </c>
      <c r="BK253" s="620">
        <f t="shared" si="369"/>
        <v>1.0253885385491246</v>
      </c>
      <c r="BL253" s="620">
        <f t="shared" si="370"/>
        <v>1.0295584967434546</v>
      </c>
      <c r="BM253" s="621" t="str">
        <f t="shared" si="371"/>
        <v>Project</v>
      </c>
    </row>
    <row r="254" spans="1:65" x14ac:dyDescent="0.15">
      <c r="A254" s="12" t="s">
        <v>520</v>
      </c>
      <c r="B254" s="13" t="s">
        <v>521</v>
      </c>
      <c r="C254" s="13" t="s">
        <v>27</v>
      </c>
      <c r="D254" s="13" t="s">
        <v>54</v>
      </c>
      <c r="E254" s="13" t="s">
        <v>29</v>
      </c>
      <c r="F254" s="14">
        <v>0</v>
      </c>
      <c r="G254" s="14">
        <v>0</v>
      </c>
      <c r="H254" s="14">
        <v>0</v>
      </c>
      <c r="I254" s="14">
        <v>0</v>
      </c>
      <c r="J254" s="14">
        <v>0</v>
      </c>
      <c r="K254" s="14">
        <v>0</v>
      </c>
      <c r="L254" s="14">
        <v>0</v>
      </c>
      <c r="M254" s="15">
        <v>0</v>
      </c>
      <c r="N254" s="804"/>
      <c r="O254" s="14"/>
      <c r="P254" s="15"/>
      <c r="Q254" s="16">
        <f>IF(ISTEXT('Incurred 2.5% cpi'!Q254),"",'Incurred 2.5% cpi'!Q254/'Incurred 2.5% cpi'!Q$14*Incurred!Q$14)</f>
        <v>131599.79999999999</v>
      </c>
      <c r="R254" s="127">
        <f>IF(ISTEXT('Incurred 2.5% cpi'!R254),"",'Incurred 2.5% cpi'!R254/'Incurred 2.5% cpi'!R$14*Incurred!R$14*BF254)</f>
        <v>815992.80398822285</v>
      </c>
      <c r="S254" s="119">
        <f>IF(ISTEXT('Incurred 2.5% cpi'!S254),"",'Incurred 2.5% cpi'!S254/'Incurred 2.5% cpi'!S$14*Incurred!S$14*BG254)</f>
        <v>51512.313515533031</v>
      </c>
      <c r="T254" s="16" t="str">
        <f>IF(ISTEXT('Incurred 2.5% cpi'!T254),"",'Incurred 2.5% cpi'!T254/'Incurred 2.5% cpi'!T$14*Incurred!T$14*BH254)</f>
        <v/>
      </c>
      <c r="U254" s="16" t="str">
        <f>IF(ISTEXT('Incurred 2.5% cpi'!U254),"",'Incurred 2.5% cpi'!U254/'Incurred 2.5% cpi'!U$14*Incurred!U$14*BI254)</f>
        <v/>
      </c>
      <c r="V254" s="16" t="str">
        <f>IF(ISTEXT('Incurred 2.5% cpi'!V254),"",'Incurred 2.5% cpi'!V254/'Incurred 2.5% cpi'!V$14*Incurred!V$14*BJ254)</f>
        <v/>
      </c>
      <c r="W254" s="127" t="str">
        <f>IF(ISTEXT('Incurred 2.5% cpi'!W254),"",'Incurred 2.5% cpi'!W254/'Incurred 2.5% cpi'!W$14*Incurred!W$14*BK254)</f>
        <v/>
      </c>
      <c r="X254" s="119" t="str">
        <f>IF(ISTEXT('Incurred 2.5% cpi'!X254),"",'Incurred 2.5% cpi'!X254/'Incurred 2.5% cpi'!X$14*Incurred!X$14*BL254)</f>
        <v/>
      </c>
      <c r="Y254" s="95">
        <f t="shared" si="345"/>
        <v>999104.91750375577</v>
      </c>
      <c r="Z254" s="95">
        <f t="shared" si="399"/>
        <v>999104.91750375577</v>
      </c>
      <c r="AA254" s="676">
        <f t="shared" si="394"/>
        <v>1103232.3067614022</v>
      </c>
      <c r="AB254" s="676">
        <f t="shared" si="362"/>
        <v>1020416.0804287057</v>
      </c>
      <c r="AC254" s="677">
        <f t="shared" si="380"/>
        <v>1.0811592721058483</v>
      </c>
      <c r="AD254" s="678" t="str">
        <f t="shared" si="377"/>
        <v>2019</v>
      </c>
      <c r="AE254" s="679">
        <v>43404</v>
      </c>
      <c r="AF254" s="678">
        <v>2019</v>
      </c>
      <c r="AG254" s="680"/>
      <c r="AH254" s="676">
        <f t="shared" si="395"/>
        <v>1000702.24617898</v>
      </c>
      <c r="AI254" s="95">
        <f t="shared" si="363"/>
        <v>51512.313515533031</v>
      </c>
      <c r="AJ254" s="681" t="s">
        <v>0</v>
      </c>
      <c r="AK254" s="37">
        <f t="shared" si="364"/>
        <v>200000.00000000035</v>
      </c>
      <c r="AL254" s="31">
        <f t="shared" ref="AL254:BD254" si="403">IF($AK254=0,VLOOKUP(MID($A254,4,5),ProjectSplits,AL$20,FALSE),IF(ISNA(VLOOKUP($A254,Estimates,AL$19,FALSE)),VLOOKUP(MID($A254,4,5),ProjectSplits,AL$20,FALSE),VLOOKUP($A254,Estimates,AL$19,FALSE)))</f>
        <v>0</v>
      </c>
      <c r="AM254" s="31">
        <f t="shared" si="403"/>
        <v>0</v>
      </c>
      <c r="AN254" s="31">
        <f t="shared" si="403"/>
        <v>0</v>
      </c>
      <c r="AO254" s="31">
        <f t="shared" si="403"/>
        <v>1</v>
      </c>
      <c r="AP254" s="31">
        <f t="shared" si="403"/>
        <v>0</v>
      </c>
      <c r="AQ254" s="31">
        <f t="shared" si="403"/>
        <v>0</v>
      </c>
      <c r="AR254" s="31">
        <f t="shared" si="403"/>
        <v>0</v>
      </c>
      <c r="AS254" s="31">
        <f t="shared" si="403"/>
        <v>0</v>
      </c>
      <c r="AT254" s="31">
        <f t="shared" si="403"/>
        <v>0</v>
      </c>
      <c r="AU254" s="31">
        <f t="shared" si="403"/>
        <v>0</v>
      </c>
      <c r="AV254" s="31">
        <f t="shared" si="403"/>
        <v>0</v>
      </c>
      <c r="AW254" s="31">
        <f t="shared" si="403"/>
        <v>0</v>
      </c>
      <c r="AX254" s="31">
        <f t="shared" si="403"/>
        <v>0</v>
      </c>
      <c r="AY254" s="31">
        <f t="shared" si="403"/>
        <v>0</v>
      </c>
      <c r="AZ254" s="31">
        <f t="shared" si="403"/>
        <v>0</v>
      </c>
      <c r="BA254" s="31">
        <f t="shared" si="403"/>
        <v>0</v>
      </c>
      <c r="BB254" s="31">
        <f t="shared" si="403"/>
        <v>0</v>
      </c>
      <c r="BC254" s="31">
        <f t="shared" si="403"/>
        <v>0</v>
      </c>
      <c r="BD254" s="31">
        <f t="shared" si="403"/>
        <v>0</v>
      </c>
      <c r="BE254" s="30">
        <f>SUM(AL254:BD254)</f>
        <v>1</v>
      </c>
      <c r="BF254" s="620">
        <f t="shared" si="385"/>
        <v>1.0030818160192299</v>
      </c>
      <c r="BG254" s="620">
        <f t="shared" si="365"/>
        <v>1.006183663842585</v>
      </c>
      <c r="BH254" s="620">
        <f t="shared" si="366"/>
        <v>1.0097859828820543</v>
      </c>
      <c r="BI254" s="620">
        <f t="shared" si="367"/>
        <v>1.0141411866007726</v>
      </c>
      <c r="BJ254" s="620">
        <f t="shared" si="368"/>
        <v>1.0195121206090012</v>
      </c>
      <c r="BK254" s="620">
        <f t="shared" si="369"/>
        <v>1.0251889537223347</v>
      </c>
      <c r="BL254" s="620">
        <f t="shared" si="370"/>
        <v>1.0293261309677997</v>
      </c>
      <c r="BM254" s="621" t="str">
        <f t="shared" si="371"/>
        <v>Category</v>
      </c>
    </row>
    <row r="255" spans="1:65" x14ac:dyDescent="0.15">
      <c r="A255" s="12" t="s">
        <v>523</v>
      </c>
      <c r="B255" s="13" t="s">
        <v>524</v>
      </c>
      <c r="C255" s="13" t="s">
        <v>27</v>
      </c>
      <c r="D255" s="13" t="s">
        <v>55</v>
      </c>
      <c r="E255" s="13" t="s">
        <v>32</v>
      </c>
      <c r="F255" s="14">
        <v>0</v>
      </c>
      <c r="G255" s="14">
        <v>0</v>
      </c>
      <c r="H255" s="14">
        <v>0</v>
      </c>
      <c r="I255" s="14">
        <v>0</v>
      </c>
      <c r="J255" s="14">
        <v>0</v>
      </c>
      <c r="K255" s="14">
        <v>0</v>
      </c>
      <c r="L255" s="14">
        <v>0</v>
      </c>
      <c r="M255" s="15">
        <v>0</v>
      </c>
      <c r="N255" s="804"/>
      <c r="O255" s="14"/>
      <c r="P255" s="15">
        <v>257898.37</v>
      </c>
      <c r="Q255" s="16">
        <f>IF(ISTEXT('Incurred 2.5% cpi'!Q255),"",'Incurred 2.5% cpi'!Q255/'Incurred 2.5% cpi'!Q$14*Incurred!Q$14)</f>
        <v>43383.43</v>
      </c>
      <c r="R255" s="127" t="str">
        <f>IF(ISTEXT('Incurred 2.5% cpi'!R255),"",'Incurred 2.5% cpi'!R255/'Incurred 2.5% cpi'!R$14*Incurred!R$14*BF255)</f>
        <v/>
      </c>
      <c r="S255" s="119" t="str">
        <f>IF(ISTEXT('Incurred 2.5% cpi'!S255),"",'Incurred 2.5% cpi'!S255/'Incurred 2.5% cpi'!S$14*Incurred!S$14*BG255)</f>
        <v/>
      </c>
      <c r="T255" s="16" t="str">
        <f>IF(ISTEXT('Incurred 2.5% cpi'!T255),"",'Incurred 2.5% cpi'!T255/'Incurred 2.5% cpi'!T$14*Incurred!T$14*BH255)</f>
        <v/>
      </c>
      <c r="U255" s="16" t="str">
        <f>IF(ISTEXT('Incurred 2.5% cpi'!U255),"",'Incurred 2.5% cpi'!U255/'Incurred 2.5% cpi'!U$14*Incurred!U$14*BI255)</f>
        <v/>
      </c>
      <c r="V255" s="16" t="str">
        <f>IF(ISTEXT('Incurred 2.5% cpi'!V255),"",'Incurred 2.5% cpi'!V255/'Incurred 2.5% cpi'!V$14*Incurred!V$14*BJ255)</f>
        <v/>
      </c>
      <c r="W255" s="127" t="str">
        <f>IF(ISTEXT('Incurred 2.5% cpi'!W255),"",'Incurred 2.5% cpi'!W255/'Incurred 2.5% cpi'!W$14*Incurred!W$14*BK255)</f>
        <v/>
      </c>
      <c r="X255" s="119" t="str">
        <f>IF(ISTEXT('Incurred 2.5% cpi'!X255),"",'Incurred 2.5% cpi'!X255/'Incurred 2.5% cpi'!X$14*Incurred!X$14*BL255)</f>
        <v/>
      </c>
      <c r="Y255" s="95">
        <f t="shared" si="345"/>
        <v>301281.8</v>
      </c>
      <c r="Z255" s="95">
        <f t="shared" si="399"/>
        <v>301281.8</v>
      </c>
      <c r="AA255" s="676">
        <f t="shared" ref="AA255:AA272" si="404">IF(ROUND(Y255,0)=0,0,SUMPRODUCT($F$17:$W$17,F255:W255))</f>
        <v>344405.41876876808</v>
      </c>
      <c r="AB255" s="676">
        <f t="shared" si="362"/>
        <v>306362.39788900001</v>
      </c>
      <c r="AC255" s="677">
        <f t="shared" si="380"/>
        <v>1.1241765345287305</v>
      </c>
      <c r="AD255" s="678" t="str">
        <f t="shared" si="377"/>
        <v>2017</v>
      </c>
      <c r="AE255" s="679">
        <v>42552</v>
      </c>
      <c r="AF255" s="678">
        <v>2017</v>
      </c>
      <c r="AG255" s="680"/>
      <c r="AH255" s="676">
        <f t="shared" ref="AH255:AH272" si="405">IF(ROUND(Y255,0)=0,0,SUMPRODUCT($F$16:$W$16,F255:W255))</f>
        <v>312397.73712741333</v>
      </c>
      <c r="AI255" s="95">
        <f t="shared" si="363"/>
        <v>43383.43</v>
      </c>
      <c r="AJ255" s="681" t="s">
        <v>0</v>
      </c>
      <c r="AK255" s="37">
        <f t="shared" si="364"/>
        <v>145691.76999999999</v>
      </c>
      <c r="AL255" s="31">
        <f t="shared" ref="AL255:AU263" si="406">IF($AK255=0,VLOOKUP(MID($A255,4,5),ProjectSplits,AL$20,FALSE),IF(ISNA(VLOOKUP($A255,Estimates,AL$19,FALSE)),VLOOKUP(MID($A255,4,5),ProjectSplits,AL$20,FALSE),VLOOKUP($A255,Estimates,AL$19,FALSE)))</f>
        <v>0</v>
      </c>
      <c r="AM255" s="31">
        <f t="shared" si="406"/>
        <v>0</v>
      </c>
      <c r="AN255" s="31">
        <f t="shared" si="406"/>
        <v>0</v>
      </c>
      <c r="AO255" s="31">
        <f t="shared" si="406"/>
        <v>1</v>
      </c>
      <c r="AP255" s="31">
        <f t="shared" si="406"/>
        <v>0</v>
      </c>
      <c r="AQ255" s="31">
        <f t="shared" si="406"/>
        <v>0</v>
      </c>
      <c r="AR255" s="31">
        <f t="shared" si="406"/>
        <v>0</v>
      </c>
      <c r="AS255" s="31">
        <f t="shared" si="406"/>
        <v>0</v>
      </c>
      <c r="AT255" s="31">
        <f t="shared" si="406"/>
        <v>0</v>
      </c>
      <c r="AU255" s="31">
        <f t="shared" si="406"/>
        <v>0</v>
      </c>
      <c r="AV255" s="31">
        <f t="shared" ref="AV255:BD263" si="407">IF($AK255=0,VLOOKUP(MID($A255,4,5),ProjectSplits,AV$20,FALSE),IF(ISNA(VLOOKUP($A255,Estimates,AV$19,FALSE)),VLOOKUP(MID($A255,4,5),ProjectSplits,AV$20,FALSE),VLOOKUP($A255,Estimates,AV$19,FALSE)))</f>
        <v>0</v>
      </c>
      <c r="AW255" s="31">
        <f t="shared" si="407"/>
        <v>0</v>
      </c>
      <c r="AX255" s="31">
        <f t="shared" si="407"/>
        <v>0</v>
      </c>
      <c r="AY255" s="31">
        <f t="shared" si="407"/>
        <v>0</v>
      </c>
      <c r="AZ255" s="31">
        <f t="shared" si="407"/>
        <v>0</v>
      </c>
      <c r="BA255" s="31">
        <f t="shared" si="407"/>
        <v>0</v>
      </c>
      <c r="BB255" s="31">
        <f t="shared" si="407"/>
        <v>0</v>
      </c>
      <c r="BC255" s="31">
        <f t="shared" si="407"/>
        <v>0</v>
      </c>
      <c r="BD255" s="31">
        <f t="shared" si="407"/>
        <v>0</v>
      </c>
      <c r="BE255" s="30">
        <f t="shared" ref="BE255:BE278" si="408">SUM(AL255:BD255)</f>
        <v>1</v>
      </c>
      <c r="BF255" s="620">
        <f t="shared" si="385"/>
        <v>1.0046190746045656</v>
      </c>
      <c r="BG255" s="620">
        <f t="shared" si="365"/>
        <v>1.0092681731940607</v>
      </c>
      <c r="BH255" s="620">
        <f t="shared" si="366"/>
        <v>1.0146673859598225</v>
      </c>
      <c r="BI255" s="620">
        <f t="shared" si="367"/>
        <v>1.0211950341936284</v>
      </c>
      <c r="BJ255" s="620">
        <f t="shared" si="368"/>
        <v>1.0292450750544078</v>
      </c>
      <c r="BK255" s="620">
        <f t="shared" si="369"/>
        <v>1.0377536023333034</v>
      </c>
      <c r="BL255" s="620">
        <f t="shared" si="370"/>
        <v>1.0439544690397748</v>
      </c>
      <c r="BM255" s="621" t="str">
        <f t="shared" si="371"/>
        <v>Category</v>
      </c>
    </row>
    <row r="256" spans="1:65" x14ac:dyDescent="0.15">
      <c r="A256" s="12" t="s">
        <v>526</v>
      </c>
      <c r="B256" s="13" t="s">
        <v>527</v>
      </c>
      <c r="C256" s="13" t="s">
        <v>27</v>
      </c>
      <c r="D256" s="13" t="s">
        <v>54</v>
      </c>
      <c r="E256" s="13" t="s">
        <v>112</v>
      </c>
      <c r="F256" s="14">
        <v>0</v>
      </c>
      <c r="G256" s="14">
        <v>0</v>
      </c>
      <c r="H256" s="14">
        <v>0</v>
      </c>
      <c r="I256" s="14">
        <v>0</v>
      </c>
      <c r="J256" s="14">
        <v>0</v>
      </c>
      <c r="K256" s="14">
        <v>0</v>
      </c>
      <c r="L256" s="14">
        <v>0</v>
      </c>
      <c r="M256" s="15">
        <v>0</v>
      </c>
      <c r="N256" s="804"/>
      <c r="O256" s="14"/>
      <c r="P256" s="15"/>
      <c r="Q256" s="16">
        <f>IF(ISTEXT('Incurred 2.5% cpi'!Q256),"",'Incurred 2.5% cpi'!Q256/'Incurred 2.5% cpi'!Q$14*Incurred!Q$14)</f>
        <v>84560.320000000007</v>
      </c>
      <c r="R256" s="127">
        <f>IF(ISTEXT('Incurred 2.5% cpi'!R256),"",'Incurred 2.5% cpi'!R256/'Incurred 2.5% cpi'!R$14*Incurred!R$14*BF256)</f>
        <v>1610463.4911769512</v>
      </c>
      <c r="S256" s="119">
        <f>IF(ISTEXT('Incurred 2.5% cpi'!S256),"",'Incurred 2.5% cpi'!S256/'Incurred 2.5% cpi'!S$14*Incurred!S$14*BG256)</f>
        <v>3198290.7196068107</v>
      </c>
      <c r="T256" s="16" t="str">
        <f>IF(ISTEXT('Incurred 2.5% cpi'!T256),"",'Incurred 2.5% cpi'!T256/'Incurred 2.5% cpi'!T$14*Incurred!T$14*BH256)</f>
        <v/>
      </c>
      <c r="U256" s="16" t="str">
        <f>IF(ISTEXT('Incurred 2.5% cpi'!U256),"",'Incurred 2.5% cpi'!U256/'Incurred 2.5% cpi'!U$14*Incurred!U$14*BI256)</f>
        <v/>
      </c>
      <c r="V256" s="16" t="str">
        <f>IF(ISTEXT('Incurred 2.5% cpi'!V256),"",'Incurred 2.5% cpi'!V256/'Incurred 2.5% cpi'!V$14*Incurred!V$14*BJ256)</f>
        <v/>
      </c>
      <c r="W256" s="127" t="str">
        <f>IF(ISTEXT('Incurred 2.5% cpi'!W256),"",'Incurred 2.5% cpi'!W256/'Incurred 2.5% cpi'!W$14*Incurred!W$14*BK256)</f>
        <v/>
      </c>
      <c r="X256" s="119" t="str">
        <f>IF(ISTEXT('Incurred 2.5% cpi'!X256),"",'Incurred 2.5% cpi'!X256/'Incurred 2.5% cpi'!X$14*Incurred!X$14*BL256)</f>
        <v/>
      </c>
      <c r="Y256" s="95">
        <f t="shared" si="345"/>
        <v>4893314.5307837622</v>
      </c>
      <c r="Z256" s="95">
        <f t="shared" si="399"/>
        <v>4893314.5307837622</v>
      </c>
      <c r="AA256" s="676">
        <f t="shared" si="404"/>
        <v>5328390.9302198617</v>
      </c>
      <c r="AB256" s="676">
        <f t="shared" si="362"/>
        <v>4928405.1551825367</v>
      </c>
      <c r="AC256" s="677">
        <f t="shared" si="380"/>
        <v>1.0811592721058483</v>
      </c>
      <c r="AD256" s="678" t="str">
        <f t="shared" si="377"/>
        <v>2019</v>
      </c>
      <c r="AE256" s="679">
        <v>43377</v>
      </c>
      <c r="AF256" s="678">
        <v>2019</v>
      </c>
      <c r="AG256" s="680"/>
      <c r="AH256" s="676">
        <f t="shared" si="405"/>
        <v>4833191.286831947</v>
      </c>
      <c r="AI256" s="95">
        <f t="shared" si="363"/>
        <v>3198290.7196068107</v>
      </c>
      <c r="AJ256" s="681" t="s">
        <v>3060</v>
      </c>
      <c r="AK256" s="37">
        <f t="shared" si="364"/>
        <v>3030390.7715632175</v>
      </c>
      <c r="AL256" s="31">
        <f t="shared" si="406"/>
        <v>0</v>
      </c>
      <c r="AM256" s="31">
        <f t="shared" si="406"/>
        <v>0</v>
      </c>
      <c r="AN256" s="31">
        <f t="shared" si="406"/>
        <v>9.8997133515637617E-3</v>
      </c>
      <c r="AO256" s="31">
        <f t="shared" si="406"/>
        <v>0</v>
      </c>
      <c r="AP256" s="31">
        <f t="shared" si="406"/>
        <v>0</v>
      </c>
      <c r="AQ256" s="31">
        <f t="shared" si="406"/>
        <v>0</v>
      </c>
      <c r="AR256" s="31">
        <f t="shared" si="406"/>
        <v>0</v>
      </c>
      <c r="AS256" s="31">
        <f t="shared" si="406"/>
        <v>0</v>
      </c>
      <c r="AT256" s="31">
        <f t="shared" si="406"/>
        <v>0</v>
      </c>
      <c r="AU256" s="31">
        <f t="shared" si="406"/>
        <v>0.79697883928314239</v>
      </c>
      <c r="AV256" s="31">
        <f t="shared" si="407"/>
        <v>0</v>
      </c>
      <c r="AW256" s="31">
        <f t="shared" si="407"/>
        <v>0.1331291827838956</v>
      </c>
      <c r="AX256" s="31">
        <f t="shared" si="407"/>
        <v>0</v>
      </c>
      <c r="AY256" s="31">
        <f t="shared" si="407"/>
        <v>0</v>
      </c>
      <c r="AZ256" s="31">
        <f t="shared" si="407"/>
        <v>5.0092551223795662E-2</v>
      </c>
      <c r="BA256" s="31">
        <f t="shared" si="407"/>
        <v>6.5998089050683904E-3</v>
      </c>
      <c r="BB256" s="31">
        <f t="shared" si="407"/>
        <v>3.2999044525341952E-3</v>
      </c>
      <c r="BC256" s="31">
        <f t="shared" si="407"/>
        <v>0</v>
      </c>
      <c r="BD256" s="31">
        <f t="shared" si="407"/>
        <v>0</v>
      </c>
      <c r="BE256" s="30">
        <f t="shared" si="408"/>
        <v>1</v>
      </c>
      <c r="BF256" s="620">
        <f t="shared" si="385"/>
        <v>1.0024984821436731</v>
      </c>
      <c r="BG256" s="620">
        <f t="shared" si="365"/>
        <v>1.0050132044212801</v>
      </c>
      <c r="BH256" s="620">
        <f t="shared" si="366"/>
        <v>1.0079336674663704</v>
      </c>
      <c r="BI256" s="620">
        <f t="shared" si="367"/>
        <v>1.0114645072878843</v>
      </c>
      <c r="BJ256" s="620">
        <f t="shared" si="368"/>
        <v>1.0158188174188827</v>
      </c>
      <c r="BK256" s="620">
        <f t="shared" si="369"/>
        <v>1.02042112530416</v>
      </c>
      <c r="BL256" s="620">
        <f t="shared" si="370"/>
        <v>1.0237752072508131</v>
      </c>
      <c r="BM256" s="621" t="str">
        <f t="shared" si="371"/>
        <v>Project</v>
      </c>
    </row>
    <row r="257" spans="1:65" x14ac:dyDescent="0.15">
      <c r="A257" s="12" t="s">
        <v>528</v>
      </c>
      <c r="B257" s="13" t="s">
        <v>529</v>
      </c>
      <c r="C257" s="13" t="s">
        <v>27</v>
      </c>
      <c r="D257" s="13" t="s">
        <v>36</v>
      </c>
      <c r="E257" s="13" t="s">
        <v>29</v>
      </c>
      <c r="F257" s="14">
        <v>0</v>
      </c>
      <c r="G257" s="14">
        <v>0</v>
      </c>
      <c r="H257" s="14">
        <v>0</v>
      </c>
      <c r="I257" s="14">
        <v>0</v>
      </c>
      <c r="J257" s="14">
        <v>0</v>
      </c>
      <c r="K257" s="14">
        <v>0</v>
      </c>
      <c r="L257" s="14">
        <v>0</v>
      </c>
      <c r="M257" s="15">
        <v>0</v>
      </c>
      <c r="N257" s="804"/>
      <c r="O257" s="14"/>
      <c r="P257" s="15"/>
      <c r="Q257" s="16">
        <f>IF(ISTEXT('Incurred 2.5% cpi'!Q257),"",'Incurred 2.5% cpi'!Q257/'Incurred 2.5% cpi'!Q$14*Incurred!Q$14)</f>
        <v>195267.18</v>
      </c>
      <c r="R257" s="127" t="str">
        <f>IF(ISTEXT('Incurred 2.5% cpi'!R257),"",'Incurred 2.5% cpi'!R257/'Incurred 2.5% cpi'!R$14*Incurred!R$14*BF257)</f>
        <v/>
      </c>
      <c r="S257" s="119" t="str">
        <f>IF(ISTEXT('Incurred 2.5% cpi'!S257),"",'Incurred 2.5% cpi'!S257/'Incurred 2.5% cpi'!S$14*Incurred!S$14*BG257)</f>
        <v/>
      </c>
      <c r="T257" s="16" t="str">
        <f>IF(ISTEXT('Incurred 2.5% cpi'!T257),"",'Incurred 2.5% cpi'!T257/'Incurred 2.5% cpi'!T$14*Incurred!T$14*BH257)</f>
        <v/>
      </c>
      <c r="U257" s="16" t="str">
        <f>IF(ISTEXT('Incurred 2.5% cpi'!U257),"",'Incurred 2.5% cpi'!U257/'Incurred 2.5% cpi'!U$14*Incurred!U$14*BI257)</f>
        <v/>
      </c>
      <c r="V257" s="16" t="str">
        <f>IF(ISTEXT('Incurred 2.5% cpi'!V257),"",'Incurred 2.5% cpi'!V257/'Incurred 2.5% cpi'!V$14*Incurred!V$14*BJ257)</f>
        <v/>
      </c>
      <c r="W257" s="127" t="str">
        <f>IF(ISTEXT('Incurred 2.5% cpi'!W257),"",'Incurred 2.5% cpi'!W257/'Incurred 2.5% cpi'!W$14*Incurred!W$14*BK257)</f>
        <v/>
      </c>
      <c r="X257" s="119" t="str">
        <f>IF(ISTEXT('Incurred 2.5% cpi'!X257),"",'Incurred 2.5% cpi'!X257/'Incurred 2.5% cpi'!X$14*Incurred!X$14*BL257)</f>
        <v/>
      </c>
      <c r="Y257" s="95">
        <f t="shared" si="345"/>
        <v>195267.18</v>
      </c>
      <c r="Z257" s="95">
        <f t="shared" si="399"/>
        <v>195267.18</v>
      </c>
      <c r="AA257" s="676">
        <f t="shared" si="404"/>
        <v>219514.78171959781</v>
      </c>
      <c r="AB257" s="676">
        <f t="shared" si="362"/>
        <v>195267.18</v>
      </c>
      <c r="AC257" s="677">
        <f t="shared" si="380"/>
        <v>1.1241765345287305</v>
      </c>
      <c r="AD257" s="678" t="str">
        <f t="shared" si="377"/>
        <v>2017</v>
      </c>
      <c r="AE257" s="679">
        <v>42860</v>
      </c>
      <c r="AF257" s="678">
        <v>2017</v>
      </c>
      <c r="AG257" s="680"/>
      <c r="AH257" s="676">
        <f t="shared" si="405"/>
        <v>199113.94344599999</v>
      </c>
      <c r="AI257" s="95">
        <f t="shared" si="363"/>
        <v>195267.18</v>
      </c>
      <c r="AJ257" s="681" t="s">
        <v>0</v>
      </c>
      <c r="AK257" s="37">
        <f t="shared" si="364"/>
        <v>200000.00000000009</v>
      </c>
      <c r="AL257" s="31">
        <f t="shared" si="406"/>
        <v>1</v>
      </c>
      <c r="AM257" s="31">
        <f t="shared" si="406"/>
        <v>0</v>
      </c>
      <c r="AN257" s="31">
        <f t="shared" si="406"/>
        <v>0</v>
      </c>
      <c r="AO257" s="31">
        <f t="shared" si="406"/>
        <v>0</v>
      </c>
      <c r="AP257" s="31">
        <f t="shared" si="406"/>
        <v>0</v>
      </c>
      <c r="AQ257" s="31">
        <f t="shared" si="406"/>
        <v>0</v>
      </c>
      <c r="AR257" s="31">
        <f t="shared" si="406"/>
        <v>0</v>
      </c>
      <c r="AS257" s="31">
        <f t="shared" si="406"/>
        <v>0</v>
      </c>
      <c r="AT257" s="31">
        <f t="shared" si="406"/>
        <v>0</v>
      </c>
      <c r="AU257" s="31">
        <f t="shared" si="406"/>
        <v>0</v>
      </c>
      <c r="AV257" s="31">
        <f t="shared" si="407"/>
        <v>0</v>
      </c>
      <c r="AW257" s="31">
        <f t="shared" si="407"/>
        <v>0</v>
      </c>
      <c r="AX257" s="31">
        <f t="shared" si="407"/>
        <v>0</v>
      </c>
      <c r="AY257" s="31">
        <f t="shared" si="407"/>
        <v>0</v>
      </c>
      <c r="AZ257" s="31">
        <f t="shared" si="407"/>
        <v>0</v>
      </c>
      <c r="BA257" s="31">
        <f t="shared" si="407"/>
        <v>0</v>
      </c>
      <c r="BB257" s="31">
        <f t="shared" si="407"/>
        <v>0</v>
      </c>
      <c r="BC257" s="31">
        <f t="shared" si="407"/>
        <v>0</v>
      </c>
      <c r="BD257" s="31">
        <f t="shared" si="407"/>
        <v>0</v>
      </c>
      <c r="BE257" s="30">
        <f t="shared" si="408"/>
        <v>1</v>
      </c>
      <c r="BF257" s="620">
        <f t="shared" si="385"/>
        <v>1.0018756098697492</v>
      </c>
      <c r="BG257" s="620">
        <f t="shared" si="365"/>
        <v>1.0037634112036518</v>
      </c>
      <c r="BH257" s="620">
        <f t="shared" si="366"/>
        <v>1.0059558020220052</v>
      </c>
      <c r="BI257" s="620">
        <f t="shared" si="367"/>
        <v>1.0086064025213943</v>
      </c>
      <c r="BJ257" s="620">
        <f t="shared" si="368"/>
        <v>1.0118751819594745</v>
      </c>
      <c r="BK257" s="620">
        <f t="shared" si="369"/>
        <v>1.0153301332446416</v>
      </c>
      <c r="BL257" s="620">
        <f t="shared" si="370"/>
        <v>1.0178480416551621</v>
      </c>
      <c r="BM257" s="621" t="str">
        <f t="shared" si="371"/>
        <v>Category</v>
      </c>
    </row>
    <row r="258" spans="1:65" x14ac:dyDescent="0.15">
      <c r="A258" s="12" t="s">
        <v>530</v>
      </c>
      <c r="B258" s="13" t="s">
        <v>531</v>
      </c>
      <c r="C258" s="13" t="s">
        <v>27</v>
      </c>
      <c r="D258" s="13" t="s">
        <v>36</v>
      </c>
      <c r="E258" s="13" t="s">
        <v>29</v>
      </c>
      <c r="F258" s="14">
        <v>0</v>
      </c>
      <c r="G258" s="14">
        <v>0</v>
      </c>
      <c r="H258" s="14">
        <v>0</v>
      </c>
      <c r="I258" s="14">
        <v>0</v>
      </c>
      <c r="J258" s="14">
        <v>0</v>
      </c>
      <c r="K258" s="14">
        <v>0</v>
      </c>
      <c r="L258" s="14">
        <v>0</v>
      </c>
      <c r="M258" s="15">
        <v>0</v>
      </c>
      <c r="N258" s="804"/>
      <c r="O258" s="14"/>
      <c r="P258" s="15"/>
      <c r="Q258" s="16">
        <f>IF(ISTEXT('Incurred 2.5% cpi'!Q258),"",'Incurred 2.5% cpi'!Q258/'Incurred 2.5% cpi'!Q$14*Incurred!Q$14)</f>
        <v>157946.44</v>
      </c>
      <c r="R258" s="127" t="str">
        <f>IF(ISTEXT('Incurred 2.5% cpi'!R258),"",'Incurred 2.5% cpi'!R258/'Incurred 2.5% cpi'!R$14*Incurred!R$14*BF258)</f>
        <v/>
      </c>
      <c r="S258" s="119" t="str">
        <f>IF(ISTEXT('Incurred 2.5% cpi'!S258),"",'Incurred 2.5% cpi'!S258/'Incurred 2.5% cpi'!S$14*Incurred!S$14*BG258)</f>
        <v/>
      </c>
      <c r="T258" s="16" t="str">
        <f>IF(ISTEXT('Incurred 2.5% cpi'!T258),"",'Incurred 2.5% cpi'!T258/'Incurred 2.5% cpi'!T$14*Incurred!T$14*BH258)</f>
        <v/>
      </c>
      <c r="U258" s="16" t="str">
        <f>IF(ISTEXT('Incurred 2.5% cpi'!U258),"",'Incurred 2.5% cpi'!U258/'Incurred 2.5% cpi'!U$14*Incurred!U$14*BI258)</f>
        <v/>
      </c>
      <c r="V258" s="16" t="str">
        <f>IF(ISTEXT('Incurred 2.5% cpi'!V258),"",'Incurred 2.5% cpi'!V258/'Incurred 2.5% cpi'!V$14*Incurred!V$14*BJ258)</f>
        <v/>
      </c>
      <c r="W258" s="127" t="str">
        <f>IF(ISTEXT('Incurred 2.5% cpi'!W258),"",'Incurred 2.5% cpi'!W258/'Incurred 2.5% cpi'!W$14*Incurred!W$14*BK258)</f>
        <v/>
      </c>
      <c r="X258" s="119" t="str">
        <f>IF(ISTEXT('Incurred 2.5% cpi'!X258),"",'Incurred 2.5% cpi'!X258/'Incurred 2.5% cpi'!X$14*Incurred!X$14*BL258)</f>
        <v/>
      </c>
      <c r="Y258" s="95">
        <f t="shared" si="345"/>
        <v>157946.44</v>
      </c>
      <c r="Z258" s="95">
        <f t="shared" si="399"/>
        <v>157946.44</v>
      </c>
      <c r="AA258" s="676">
        <f t="shared" si="404"/>
        <v>177559.68156035006</v>
      </c>
      <c r="AB258" s="676">
        <f t="shared" ref="AB258:AB310" si="409">IF(AC258="","",AA258/AC258)</f>
        <v>157946.44</v>
      </c>
      <c r="AC258" s="677">
        <f t="shared" si="380"/>
        <v>1.1241765345287305</v>
      </c>
      <c r="AD258" s="678" t="str">
        <f t="shared" ref="AD258:AD310" si="410">IF(AI258=0,"",INDEX($F$21:$W$21,1,MATCH(AI258,F258:W258,0)))</f>
        <v>2017</v>
      </c>
      <c r="AE258" s="679">
        <v>42874</v>
      </c>
      <c r="AF258" s="678">
        <v>2017</v>
      </c>
      <c r="AG258" s="680"/>
      <c r="AH258" s="676">
        <f t="shared" si="405"/>
        <v>161057.984868</v>
      </c>
      <c r="AI258" s="95">
        <f t="shared" ref="AI258:AI310" si="411">IF(ROUND(Z258,0)=0,0,LOOKUP(2,1/(F258:X258&lt;&gt;""),F258:X258))</f>
        <v>157946.44</v>
      </c>
      <c r="AJ258" s="681" t="s">
        <v>0</v>
      </c>
      <c r="AK258" s="37">
        <f t="shared" ref="AK258:AK310" si="412">IF(ISNA(VLOOKUP($A258,Estimates,71,FALSE)),0,VLOOKUP($A258,Estimates,71,FALSE))</f>
        <v>119999.99999999991</v>
      </c>
      <c r="AL258" s="31">
        <f t="shared" si="406"/>
        <v>1</v>
      </c>
      <c r="AM258" s="31">
        <f t="shared" si="406"/>
        <v>0</v>
      </c>
      <c r="AN258" s="31">
        <f t="shared" si="406"/>
        <v>0</v>
      </c>
      <c r="AO258" s="31">
        <f t="shared" si="406"/>
        <v>0</v>
      </c>
      <c r="AP258" s="31">
        <f t="shared" si="406"/>
        <v>0</v>
      </c>
      <c r="AQ258" s="31">
        <f t="shared" si="406"/>
        <v>0</v>
      </c>
      <c r="AR258" s="31">
        <f t="shared" si="406"/>
        <v>0</v>
      </c>
      <c r="AS258" s="31">
        <f t="shared" si="406"/>
        <v>0</v>
      </c>
      <c r="AT258" s="31">
        <f t="shared" si="406"/>
        <v>0</v>
      </c>
      <c r="AU258" s="31">
        <f t="shared" si="406"/>
        <v>0</v>
      </c>
      <c r="AV258" s="31">
        <f t="shared" si="407"/>
        <v>0</v>
      </c>
      <c r="AW258" s="31">
        <f t="shared" si="407"/>
        <v>0</v>
      </c>
      <c r="AX258" s="31">
        <f t="shared" si="407"/>
        <v>0</v>
      </c>
      <c r="AY258" s="31">
        <f t="shared" si="407"/>
        <v>0</v>
      </c>
      <c r="AZ258" s="31">
        <f t="shared" si="407"/>
        <v>0</v>
      </c>
      <c r="BA258" s="31">
        <f t="shared" si="407"/>
        <v>0</v>
      </c>
      <c r="BB258" s="31">
        <f t="shared" si="407"/>
        <v>0</v>
      </c>
      <c r="BC258" s="31">
        <f t="shared" si="407"/>
        <v>0</v>
      </c>
      <c r="BD258" s="31">
        <f t="shared" si="407"/>
        <v>0</v>
      </c>
      <c r="BE258" s="30">
        <f t="shared" si="408"/>
        <v>1</v>
      </c>
      <c r="BF258" s="620">
        <f t="shared" si="385"/>
        <v>1.0018756098697492</v>
      </c>
      <c r="BG258" s="620">
        <f t="shared" ref="BG258:BG310" si="413">1+IF(ISNA(VLOOKUP($A258,ProjLabEsc,7,FALSE)),VLOOKUP($D258,CatLabEsc,4,FALSE),VLOOKUP($A258,ProjLabEsc,7,FALSE))*LabEsc19*LabIn</f>
        <v>1.0037634112036518</v>
      </c>
      <c r="BH258" s="620">
        <f t="shared" ref="BH258:BH310" si="414">1+IF(ISNA(VLOOKUP($A258,ProjLabEsc,7,FALSE)),VLOOKUP($D258,CatLabEsc,4,FALSE),VLOOKUP($A258,ProjLabEsc,7,FALSE))*LabEsc20*LabIn</f>
        <v>1.0059558020220052</v>
      </c>
      <c r="BI258" s="620">
        <f t="shared" ref="BI258:BI310" si="415">1+IF(ISNA(VLOOKUP($A258,ProjLabEsc,7,FALSE)),VLOOKUP($D258,CatLabEsc,4,FALSE),VLOOKUP($A258,ProjLabEsc,7,FALSE))*LabEsc21*LabIn</f>
        <v>1.0086064025213943</v>
      </c>
      <c r="BJ258" s="620">
        <f t="shared" ref="BJ258:BJ310" si="416">1+IF(ISNA(VLOOKUP($A258,ProjLabEsc,7,FALSE)),VLOOKUP($D258,CatLabEsc,4,FALSE),VLOOKUP($A258,ProjLabEsc,7,FALSE))*LabEsc22*LabIn</f>
        <v>1.0118751819594745</v>
      </c>
      <c r="BK258" s="620">
        <f t="shared" ref="BK258:BK310" si="417">1+IF(ISNA(VLOOKUP($A258,ProjLabEsc,7,FALSE)),VLOOKUP($D258,CatLabEsc,4,FALSE),VLOOKUP($A258,ProjLabEsc,7,FALSE))*LabEsc23*LabIn</f>
        <v>1.0153301332446416</v>
      </c>
      <c r="BL258" s="620">
        <f t="shared" ref="BL258:BL310" si="418">1+IF(ISNA(VLOOKUP($A258,ProjLabEsc,7,FALSE)),VLOOKUP($D258,CatLabEsc,4,FALSE),VLOOKUP($A258,ProjLabEsc,7,FALSE))*LabEsc24*LabIn</f>
        <v>1.0178480416551621</v>
      </c>
      <c r="BM258" s="621" t="str">
        <f t="shared" ref="BM258:BM310" si="419">IF(ISNA(VLOOKUP($A258,ProjLabEsc,7,FALSE)),"Category","Project")</f>
        <v>Category</v>
      </c>
    </row>
    <row r="259" spans="1:65" x14ac:dyDescent="0.15">
      <c r="A259" s="12" t="s">
        <v>532</v>
      </c>
      <c r="B259" s="13" t="s">
        <v>2391</v>
      </c>
      <c r="C259" s="13" t="s">
        <v>27</v>
      </c>
      <c r="D259" s="13" t="s">
        <v>36</v>
      </c>
      <c r="E259" s="13" t="s">
        <v>32</v>
      </c>
      <c r="F259" s="14">
        <v>0</v>
      </c>
      <c r="G259" s="14">
        <v>0</v>
      </c>
      <c r="H259" s="14">
        <v>0</v>
      </c>
      <c r="I259" s="14">
        <v>0</v>
      </c>
      <c r="J259" s="14">
        <v>0</v>
      </c>
      <c r="K259" s="14">
        <v>0</v>
      </c>
      <c r="L259" s="14">
        <v>0</v>
      </c>
      <c r="M259" s="15">
        <v>0</v>
      </c>
      <c r="N259" s="804"/>
      <c r="O259" s="14"/>
      <c r="P259" s="15">
        <v>111682.87</v>
      </c>
      <c r="Q259" s="16">
        <f>IF(ISTEXT('Incurred 2.5% cpi'!Q259),"",'Incurred 2.5% cpi'!Q259/'Incurred 2.5% cpi'!Q$14*Incurred!Q$14)</f>
        <v>29039.79</v>
      </c>
      <c r="R259" s="127" t="str">
        <f>IF(ISTEXT('Incurred 2.5% cpi'!R259),"",'Incurred 2.5% cpi'!R259/'Incurred 2.5% cpi'!R$14*Incurred!R$14*BF259)</f>
        <v/>
      </c>
      <c r="S259" s="119" t="str">
        <f>IF(ISTEXT('Incurred 2.5% cpi'!S259),"",'Incurred 2.5% cpi'!S259/'Incurred 2.5% cpi'!S$14*Incurred!S$14*BG259)</f>
        <v/>
      </c>
      <c r="T259" s="16" t="str">
        <f>IF(ISTEXT('Incurred 2.5% cpi'!T259),"",'Incurred 2.5% cpi'!T259/'Incurred 2.5% cpi'!T$14*Incurred!T$14*BH259)</f>
        <v/>
      </c>
      <c r="U259" s="16" t="str">
        <f>IF(ISTEXT('Incurred 2.5% cpi'!U259),"",'Incurred 2.5% cpi'!U259/'Incurred 2.5% cpi'!U$14*Incurred!U$14*BI259)</f>
        <v/>
      </c>
      <c r="V259" s="16" t="str">
        <f>IF(ISTEXT('Incurred 2.5% cpi'!V259),"",'Incurred 2.5% cpi'!V259/'Incurred 2.5% cpi'!V$14*Incurred!V$14*BJ259)</f>
        <v/>
      </c>
      <c r="W259" s="127" t="str">
        <f>IF(ISTEXT('Incurred 2.5% cpi'!W259),"",'Incurred 2.5% cpi'!W259/'Incurred 2.5% cpi'!W$14*Incurred!W$14*BK259)</f>
        <v/>
      </c>
      <c r="X259" s="119" t="str">
        <f>IF(ISTEXT('Incurred 2.5% cpi'!X259),"",'Incurred 2.5% cpi'!X259/'Incurred 2.5% cpi'!X$14*Incurred!X$14*BL259)</f>
        <v/>
      </c>
      <c r="Y259" s="95">
        <f t="shared" si="345"/>
        <v>140722.66</v>
      </c>
      <c r="Z259" s="95">
        <f t="shared" si="399"/>
        <v>140722.66</v>
      </c>
      <c r="AA259" s="676">
        <f t="shared" si="404"/>
        <v>160670.47210519243</v>
      </c>
      <c r="AB259" s="676">
        <f t="shared" si="409"/>
        <v>142922.81253900004</v>
      </c>
      <c r="AC259" s="677">
        <f t="shared" si="380"/>
        <v>1.1241765345287305</v>
      </c>
      <c r="AD259" s="678" t="str">
        <f t="shared" si="410"/>
        <v>2017</v>
      </c>
      <c r="AE259" s="679">
        <v>42543</v>
      </c>
      <c r="AF259" s="678">
        <v>2017</v>
      </c>
      <c r="AG259" s="680"/>
      <c r="AH259" s="676">
        <f t="shared" si="405"/>
        <v>145738.3919460183</v>
      </c>
      <c r="AI259" s="95">
        <f t="shared" si="411"/>
        <v>29039.79</v>
      </c>
      <c r="AJ259" s="681" t="s">
        <v>0</v>
      </c>
      <c r="AK259" s="37">
        <f t="shared" si="412"/>
        <v>0</v>
      </c>
      <c r="AL259" s="31">
        <f t="shared" si="406"/>
        <v>1</v>
      </c>
      <c r="AM259" s="31">
        <f t="shared" si="406"/>
        <v>0</v>
      </c>
      <c r="AN259" s="31">
        <f t="shared" si="406"/>
        <v>0</v>
      </c>
      <c r="AO259" s="31">
        <f t="shared" si="406"/>
        <v>0</v>
      </c>
      <c r="AP259" s="31">
        <f t="shared" si="406"/>
        <v>0</v>
      </c>
      <c r="AQ259" s="31">
        <f t="shared" si="406"/>
        <v>0</v>
      </c>
      <c r="AR259" s="31">
        <f t="shared" si="406"/>
        <v>0</v>
      </c>
      <c r="AS259" s="31">
        <f t="shared" si="406"/>
        <v>0</v>
      </c>
      <c r="AT259" s="31">
        <f t="shared" si="406"/>
        <v>0</v>
      </c>
      <c r="AU259" s="31">
        <f t="shared" si="406"/>
        <v>0</v>
      </c>
      <c r="AV259" s="31">
        <f t="shared" si="407"/>
        <v>0</v>
      </c>
      <c r="AW259" s="31">
        <f t="shared" si="407"/>
        <v>0</v>
      </c>
      <c r="AX259" s="31">
        <f t="shared" si="407"/>
        <v>0</v>
      </c>
      <c r="AY259" s="31">
        <f t="shared" si="407"/>
        <v>0</v>
      </c>
      <c r="AZ259" s="31">
        <f t="shared" si="407"/>
        <v>0</v>
      </c>
      <c r="BA259" s="31">
        <f t="shared" si="407"/>
        <v>0</v>
      </c>
      <c r="BB259" s="31">
        <f t="shared" si="407"/>
        <v>0</v>
      </c>
      <c r="BC259" s="31">
        <f t="shared" si="407"/>
        <v>0</v>
      </c>
      <c r="BD259" s="31">
        <f t="shared" si="407"/>
        <v>0</v>
      </c>
      <c r="BE259" s="30">
        <f t="shared" si="408"/>
        <v>1</v>
      </c>
      <c r="BF259" s="620">
        <f t="shared" si="385"/>
        <v>1.0018756098697492</v>
      </c>
      <c r="BG259" s="620">
        <f t="shared" si="413"/>
        <v>1.0037634112036518</v>
      </c>
      <c r="BH259" s="620">
        <f t="shared" si="414"/>
        <v>1.0059558020220052</v>
      </c>
      <c r="BI259" s="620">
        <f t="shared" si="415"/>
        <v>1.0086064025213943</v>
      </c>
      <c r="BJ259" s="620">
        <f t="shared" si="416"/>
        <v>1.0118751819594745</v>
      </c>
      <c r="BK259" s="620">
        <f t="shared" si="417"/>
        <v>1.0153301332446416</v>
      </c>
      <c r="BL259" s="620">
        <f t="shared" si="418"/>
        <v>1.0178480416551621</v>
      </c>
      <c r="BM259" s="621" t="str">
        <f t="shared" si="419"/>
        <v>Category</v>
      </c>
    </row>
    <row r="260" spans="1:65" x14ac:dyDescent="0.15">
      <c r="A260" s="12" t="s">
        <v>534</v>
      </c>
      <c r="B260" s="13" t="s">
        <v>535</v>
      </c>
      <c r="C260" s="13" t="s">
        <v>27</v>
      </c>
      <c r="D260" s="13" t="s">
        <v>36</v>
      </c>
      <c r="E260" s="13" t="s">
        <v>112</v>
      </c>
      <c r="F260" s="14">
        <v>0</v>
      </c>
      <c r="G260" s="14">
        <v>0</v>
      </c>
      <c r="H260" s="14">
        <v>0</v>
      </c>
      <c r="I260" s="14">
        <v>0</v>
      </c>
      <c r="J260" s="14">
        <v>0</v>
      </c>
      <c r="K260" s="14">
        <v>0</v>
      </c>
      <c r="L260" s="14">
        <v>0</v>
      </c>
      <c r="M260" s="15">
        <v>0</v>
      </c>
      <c r="N260" s="804"/>
      <c r="O260" s="14"/>
      <c r="P260" s="15"/>
      <c r="Q260" s="16" t="str">
        <f>IF(ISTEXT('Incurred 2.5% cpi'!Q260),"",'Incurred 2.5% cpi'!Q260/'Incurred 2.5% cpi'!Q$14*Incurred!Q$14)</f>
        <v/>
      </c>
      <c r="R260" s="127" t="str">
        <f>IF(ISTEXT('Incurred 2.5% cpi'!R260),"",'Incurred 2.5% cpi'!R260/'Incurred 2.5% cpi'!R$14*Incurred!R$14*BF260)</f>
        <v/>
      </c>
      <c r="S260" s="119">
        <f>IF(ISTEXT('Incurred 2.5% cpi'!S260),"",'Incurred 2.5% cpi'!S260/'Incurred 2.5% cpi'!S$14*Incurred!S$14*BG260)</f>
        <v>347226.18034194427</v>
      </c>
      <c r="T260" s="16">
        <f>IF(ISTEXT('Incurred 2.5% cpi'!T260),"",'Incurred 2.5% cpi'!T260/'Incurred 2.5% cpi'!T$14*Incurred!T$14*BH260)</f>
        <v>207390.09014475375</v>
      </c>
      <c r="U260" s="16" t="str">
        <f>IF(ISTEXT('Incurred 2.5% cpi'!U260),"",'Incurred 2.5% cpi'!U260/'Incurred 2.5% cpi'!U$14*Incurred!U$14*BI260)</f>
        <v/>
      </c>
      <c r="V260" s="16" t="str">
        <f>IF(ISTEXT('Incurred 2.5% cpi'!V260),"",'Incurred 2.5% cpi'!V260/'Incurred 2.5% cpi'!V$14*Incurred!V$14*BJ260)</f>
        <v/>
      </c>
      <c r="W260" s="127" t="str">
        <f>IF(ISTEXT('Incurred 2.5% cpi'!W260),"",'Incurred 2.5% cpi'!W260/'Incurred 2.5% cpi'!W$14*Incurred!W$14*BK260)</f>
        <v/>
      </c>
      <c r="X260" s="119" t="str">
        <f>IF(ISTEXT('Incurred 2.5% cpi'!X260),"",'Incurred 2.5% cpi'!X260/'Incurred 2.5% cpi'!X$14*Incurred!X$14*BL260)</f>
        <v/>
      </c>
      <c r="Y260" s="95">
        <f t="shared" si="345"/>
        <v>554616.27048669802</v>
      </c>
      <c r="Z260" s="95">
        <f t="shared" si="399"/>
        <v>554616.27048669802</v>
      </c>
      <c r="AA260" s="676">
        <f t="shared" si="404"/>
        <v>595296.69250174775</v>
      </c>
      <c r="AB260" s="676">
        <f t="shared" si="409"/>
        <v>561456.62623943447</v>
      </c>
      <c r="AC260" s="677">
        <f t="shared" si="380"/>
        <v>1.060271915373</v>
      </c>
      <c r="AD260" s="678" t="str">
        <f t="shared" si="410"/>
        <v>2020</v>
      </c>
      <c r="AE260" s="679">
        <v>43685</v>
      </c>
      <c r="AF260" s="678">
        <v>2020</v>
      </c>
      <c r="AG260" s="680"/>
      <c r="AH260" s="676">
        <f t="shared" si="405"/>
        <v>539972.16513552703</v>
      </c>
      <c r="AI260" s="95">
        <f t="shared" si="411"/>
        <v>207390.09014475375</v>
      </c>
      <c r="AJ260" s="681" t="s">
        <v>3058</v>
      </c>
      <c r="AK260" s="37">
        <f t="shared" si="412"/>
        <v>383000.00000000029</v>
      </c>
      <c r="AL260" s="31">
        <f t="shared" si="406"/>
        <v>0.69973890339425593</v>
      </c>
      <c r="AM260" s="31">
        <f t="shared" si="406"/>
        <v>0</v>
      </c>
      <c r="AN260" s="31">
        <f t="shared" si="406"/>
        <v>0</v>
      </c>
      <c r="AO260" s="31">
        <f t="shared" si="406"/>
        <v>0</v>
      </c>
      <c r="AP260" s="31">
        <f t="shared" si="406"/>
        <v>0</v>
      </c>
      <c r="AQ260" s="31">
        <f t="shared" si="406"/>
        <v>0</v>
      </c>
      <c r="AR260" s="31">
        <f t="shared" si="406"/>
        <v>0</v>
      </c>
      <c r="AS260" s="31">
        <f t="shared" si="406"/>
        <v>0.30026109660574407</v>
      </c>
      <c r="AT260" s="31">
        <f t="shared" si="406"/>
        <v>0</v>
      </c>
      <c r="AU260" s="31">
        <f t="shared" si="406"/>
        <v>0</v>
      </c>
      <c r="AV260" s="31">
        <f t="shared" si="407"/>
        <v>0</v>
      </c>
      <c r="AW260" s="31">
        <f t="shared" si="407"/>
        <v>0</v>
      </c>
      <c r="AX260" s="31">
        <f t="shared" si="407"/>
        <v>0</v>
      </c>
      <c r="AY260" s="31">
        <f t="shared" si="407"/>
        <v>0</v>
      </c>
      <c r="AZ260" s="31">
        <f t="shared" si="407"/>
        <v>0</v>
      </c>
      <c r="BA260" s="31">
        <f t="shared" si="407"/>
        <v>0</v>
      </c>
      <c r="BB260" s="31">
        <f t="shared" si="407"/>
        <v>0</v>
      </c>
      <c r="BC260" s="31">
        <f t="shared" si="407"/>
        <v>0</v>
      </c>
      <c r="BD260" s="31">
        <f t="shared" si="407"/>
        <v>0</v>
      </c>
      <c r="BE260" s="30">
        <f t="shared" si="408"/>
        <v>1</v>
      </c>
      <c r="BF260" s="620">
        <f t="shared" si="385"/>
        <v>1.0023493896625941</v>
      </c>
      <c r="BG260" s="620">
        <f t="shared" si="413"/>
        <v>1.004714050357995</v>
      </c>
      <c r="BH260" s="620">
        <f t="shared" si="414"/>
        <v>1.00746023996175</v>
      </c>
      <c r="BI260" s="620">
        <f t="shared" si="415"/>
        <v>1.0107803831926898</v>
      </c>
      <c r="BJ260" s="620">
        <f t="shared" si="416"/>
        <v>1.0148748576060456</v>
      </c>
      <c r="BK260" s="620">
        <f t="shared" si="417"/>
        <v>1.0192025309484891</v>
      </c>
      <c r="BL260" s="620">
        <f t="shared" si="418"/>
        <v>1.0223564640165779</v>
      </c>
      <c r="BM260" s="621" t="str">
        <f t="shared" si="419"/>
        <v>Project</v>
      </c>
    </row>
    <row r="261" spans="1:65" x14ac:dyDescent="0.15">
      <c r="A261" s="12" t="s">
        <v>536</v>
      </c>
      <c r="B261" s="13" t="s">
        <v>537</v>
      </c>
      <c r="C261" s="13" t="s">
        <v>27</v>
      </c>
      <c r="D261" s="13" t="s">
        <v>36</v>
      </c>
      <c r="E261" s="13" t="s">
        <v>112</v>
      </c>
      <c r="F261" s="14">
        <v>0</v>
      </c>
      <c r="G261" s="14">
        <v>0</v>
      </c>
      <c r="H261" s="14">
        <v>0</v>
      </c>
      <c r="I261" s="14">
        <v>0</v>
      </c>
      <c r="J261" s="14">
        <v>0</v>
      </c>
      <c r="K261" s="14">
        <v>0</v>
      </c>
      <c r="L261" s="14">
        <v>0</v>
      </c>
      <c r="M261" s="15">
        <v>0</v>
      </c>
      <c r="N261" s="804"/>
      <c r="O261" s="14"/>
      <c r="P261" s="15"/>
      <c r="Q261" s="16" t="str">
        <f>IF(ISTEXT('Incurred 2.5% cpi'!Q261),"",'Incurred 2.5% cpi'!Q261/'Incurred 2.5% cpi'!Q$14*Incurred!Q$14)</f>
        <v/>
      </c>
      <c r="R261" s="127" t="str">
        <f>IF(ISTEXT('Incurred 2.5% cpi'!R261),"",'Incurred 2.5% cpi'!R261/'Incurred 2.5% cpi'!R$14*Incurred!R$14*BF261)</f>
        <v/>
      </c>
      <c r="S261" s="119" t="str">
        <f>IF(ISTEXT('Incurred 2.5% cpi'!S261),"",'Incurred 2.5% cpi'!S261/'Incurred 2.5% cpi'!S$14*Incurred!S$14*BG261)</f>
        <v/>
      </c>
      <c r="T261" s="16">
        <f>IF(ISTEXT('Incurred 2.5% cpi'!T261),"",'Incurred 2.5% cpi'!T261/'Incurred 2.5% cpi'!T$14*Incurred!T$14*BH261)</f>
        <v>437522.40420445974</v>
      </c>
      <c r="U261" s="16">
        <f>IF(ISTEXT('Incurred 2.5% cpi'!U261),"",'Incurred 2.5% cpi'!U261/'Incurred 2.5% cpi'!U$14*Incurred!U$14*BI261)</f>
        <v>129056.5784590471</v>
      </c>
      <c r="V261" s="16" t="str">
        <f>IF(ISTEXT('Incurred 2.5% cpi'!V261),"",'Incurred 2.5% cpi'!V261/'Incurred 2.5% cpi'!V$14*Incurred!V$14*BJ261)</f>
        <v/>
      </c>
      <c r="W261" s="127" t="str">
        <f>IF(ISTEXT('Incurred 2.5% cpi'!W261),"",'Incurred 2.5% cpi'!W261/'Incurred 2.5% cpi'!W$14*Incurred!W$14*BK261)</f>
        <v/>
      </c>
      <c r="X261" s="119" t="str">
        <f>IF(ISTEXT('Incurred 2.5% cpi'!X261),"",'Incurred 2.5% cpi'!X261/'Incurred 2.5% cpi'!X$14*Incurred!X$14*BL261)</f>
        <v/>
      </c>
      <c r="Y261" s="95">
        <f t="shared" si="345"/>
        <v>566578.98266350687</v>
      </c>
      <c r="Z261" s="95">
        <f t="shared" si="399"/>
        <v>566578.98266350687</v>
      </c>
      <c r="AA261" s="676">
        <f t="shared" si="404"/>
        <v>598084.21074233018</v>
      </c>
      <c r="AB261" s="676">
        <f t="shared" si="409"/>
        <v>575198.17402633466</v>
      </c>
      <c r="AC261" s="677">
        <f t="shared" si="380"/>
        <v>1.0397880900000001</v>
      </c>
      <c r="AD261" s="678" t="str">
        <f t="shared" si="410"/>
        <v>2021</v>
      </c>
      <c r="AE261" s="679">
        <v>44008</v>
      </c>
      <c r="AF261" s="678">
        <v>2021</v>
      </c>
      <c r="AG261" s="680"/>
      <c r="AH261" s="676">
        <f t="shared" si="405"/>
        <v>542500.62242192088</v>
      </c>
      <c r="AI261" s="95">
        <f t="shared" si="411"/>
        <v>129056.5784590471</v>
      </c>
      <c r="AJ261" s="681" t="s">
        <v>3058</v>
      </c>
      <c r="AK261" s="37">
        <f t="shared" si="412"/>
        <v>383000.00000000017</v>
      </c>
      <c r="AL261" s="31">
        <f t="shared" si="406"/>
        <v>0.69973890339425582</v>
      </c>
      <c r="AM261" s="31">
        <f t="shared" si="406"/>
        <v>0</v>
      </c>
      <c r="AN261" s="31">
        <f t="shared" si="406"/>
        <v>0</v>
      </c>
      <c r="AO261" s="31">
        <f t="shared" si="406"/>
        <v>0</v>
      </c>
      <c r="AP261" s="31">
        <f t="shared" si="406"/>
        <v>0</v>
      </c>
      <c r="AQ261" s="31">
        <f t="shared" si="406"/>
        <v>0</v>
      </c>
      <c r="AR261" s="31">
        <f t="shared" si="406"/>
        <v>0</v>
      </c>
      <c r="AS261" s="31">
        <f t="shared" si="406"/>
        <v>0.30026109660574413</v>
      </c>
      <c r="AT261" s="31">
        <f t="shared" si="406"/>
        <v>0</v>
      </c>
      <c r="AU261" s="31">
        <f t="shared" si="406"/>
        <v>0</v>
      </c>
      <c r="AV261" s="31">
        <f t="shared" si="407"/>
        <v>0</v>
      </c>
      <c r="AW261" s="31">
        <f t="shared" si="407"/>
        <v>0</v>
      </c>
      <c r="AX261" s="31">
        <f t="shared" si="407"/>
        <v>0</v>
      </c>
      <c r="AY261" s="31">
        <f t="shared" si="407"/>
        <v>0</v>
      </c>
      <c r="AZ261" s="31">
        <f t="shared" si="407"/>
        <v>0</v>
      </c>
      <c r="BA261" s="31">
        <f t="shared" si="407"/>
        <v>0</v>
      </c>
      <c r="BB261" s="31">
        <f t="shared" si="407"/>
        <v>0</v>
      </c>
      <c r="BC261" s="31">
        <f t="shared" si="407"/>
        <v>0</v>
      </c>
      <c r="BD261" s="31">
        <f t="shared" si="407"/>
        <v>0</v>
      </c>
      <c r="BE261" s="30">
        <f t="shared" si="408"/>
        <v>1</v>
      </c>
      <c r="BF261" s="620">
        <f t="shared" si="385"/>
        <v>1.0023493896625941</v>
      </c>
      <c r="BG261" s="620">
        <f t="shared" si="413"/>
        <v>1.004714050357995</v>
      </c>
      <c r="BH261" s="620">
        <f t="shared" si="414"/>
        <v>1.00746023996175</v>
      </c>
      <c r="BI261" s="620">
        <f t="shared" si="415"/>
        <v>1.0107803831926898</v>
      </c>
      <c r="BJ261" s="620">
        <f t="shared" si="416"/>
        <v>1.0148748576060456</v>
      </c>
      <c r="BK261" s="620">
        <f t="shared" si="417"/>
        <v>1.0192025309484891</v>
      </c>
      <c r="BL261" s="620">
        <f t="shared" si="418"/>
        <v>1.0223564640165779</v>
      </c>
      <c r="BM261" s="621" t="str">
        <f t="shared" si="419"/>
        <v>Project</v>
      </c>
    </row>
    <row r="262" spans="1:65" x14ac:dyDescent="0.15">
      <c r="A262" s="12" t="s">
        <v>538</v>
      </c>
      <c r="B262" s="13" t="s">
        <v>539</v>
      </c>
      <c r="C262" s="13" t="s">
        <v>27</v>
      </c>
      <c r="D262" s="13" t="s">
        <v>36</v>
      </c>
      <c r="E262" s="13" t="s">
        <v>112</v>
      </c>
      <c r="F262" s="14">
        <v>0</v>
      </c>
      <c r="G262" s="14">
        <v>0</v>
      </c>
      <c r="H262" s="14">
        <v>0</v>
      </c>
      <c r="I262" s="14">
        <v>0</v>
      </c>
      <c r="J262" s="14">
        <v>0</v>
      </c>
      <c r="K262" s="14">
        <v>0</v>
      </c>
      <c r="L262" s="14">
        <v>0</v>
      </c>
      <c r="M262" s="15">
        <v>0</v>
      </c>
      <c r="N262" s="804"/>
      <c r="O262" s="14"/>
      <c r="P262" s="15"/>
      <c r="Q262" s="16" t="str">
        <f>IF(ISTEXT('Incurred 2.5% cpi'!Q262),"",'Incurred 2.5% cpi'!Q262/'Incurred 2.5% cpi'!Q$14*Incurred!Q$14)</f>
        <v/>
      </c>
      <c r="R262" s="127" t="str">
        <f>IF(ISTEXT('Incurred 2.5% cpi'!R262),"",'Incurred 2.5% cpi'!R262/'Incurred 2.5% cpi'!R$14*Incurred!R$14*BF262)</f>
        <v/>
      </c>
      <c r="S262" s="119" t="str">
        <f>IF(ISTEXT('Incurred 2.5% cpi'!S262),"",'Incurred 2.5% cpi'!S262/'Incurred 2.5% cpi'!S$14*Incurred!S$14*BG262)</f>
        <v/>
      </c>
      <c r="T262" s="16" t="str">
        <f>IF(ISTEXT('Incurred 2.5% cpi'!T262),"",'Incurred 2.5% cpi'!T262/'Incurred 2.5% cpi'!T$14*Incurred!T$14*BH262)</f>
        <v/>
      </c>
      <c r="U262" s="16">
        <f>IF(ISTEXT('Incurred 2.5% cpi'!U262),"",'Incurred 2.5% cpi'!U262/'Incurred 2.5% cpi'!U$14*Incurred!U$14*BI262)</f>
        <v>392712.85826584761</v>
      </c>
      <c r="V262" s="16">
        <f>IF(ISTEXT('Incurred 2.5% cpi'!V262),"",'Incurred 2.5% cpi'!V262/'Incurred 2.5% cpi'!V$14*Incurred!V$14*BJ262)</f>
        <v>183135.95415707803</v>
      </c>
      <c r="W262" s="127" t="str">
        <f>IF(ISTEXT('Incurred 2.5% cpi'!W262),"",'Incurred 2.5% cpi'!W262/'Incurred 2.5% cpi'!W$14*Incurred!W$14*BK262)</f>
        <v/>
      </c>
      <c r="X262" s="119" t="str">
        <f>IF(ISTEXT('Incurred 2.5% cpi'!X262),"",'Incurred 2.5% cpi'!X262/'Incurred 2.5% cpi'!X$14*Incurred!X$14*BL262)</f>
        <v/>
      </c>
      <c r="Y262" s="95">
        <f t="shared" si="345"/>
        <v>575848.81242292561</v>
      </c>
      <c r="Z262" s="95">
        <f t="shared" si="399"/>
        <v>575848.81242292561</v>
      </c>
      <c r="AA262" s="676">
        <f t="shared" si="404"/>
        <v>595081.88526865887</v>
      </c>
      <c r="AB262" s="676">
        <f t="shared" si="409"/>
        <v>583585.25573076284</v>
      </c>
      <c r="AC262" s="677">
        <f t="shared" si="380"/>
        <v>1.0197000000000001</v>
      </c>
      <c r="AD262" s="678" t="str">
        <f t="shared" si="410"/>
        <v>2022</v>
      </c>
      <c r="AE262" s="679">
        <v>44404</v>
      </c>
      <c r="AF262" s="678">
        <v>2022</v>
      </c>
      <c r="AG262" s="680"/>
      <c r="AH262" s="676">
        <f t="shared" si="405"/>
        <v>539777.32123970392</v>
      </c>
      <c r="AI262" s="95">
        <f t="shared" si="411"/>
        <v>183135.95415707803</v>
      </c>
      <c r="AJ262" s="681" t="s">
        <v>3058</v>
      </c>
      <c r="AK262" s="37">
        <f t="shared" si="412"/>
        <v>383000.00000000058</v>
      </c>
      <c r="AL262" s="31">
        <f t="shared" si="406"/>
        <v>0.69973890339425593</v>
      </c>
      <c r="AM262" s="31">
        <f t="shared" si="406"/>
        <v>0</v>
      </c>
      <c r="AN262" s="31">
        <f t="shared" si="406"/>
        <v>0</v>
      </c>
      <c r="AO262" s="31">
        <f t="shared" si="406"/>
        <v>0</v>
      </c>
      <c r="AP262" s="31">
        <f t="shared" si="406"/>
        <v>0</v>
      </c>
      <c r="AQ262" s="31">
        <f t="shared" si="406"/>
        <v>0</v>
      </c>
      <c r="AR262" s="31">
        <f t="shared" si="406"/>
        <v>0</v>
      </c>
      <c r="AS262" s="31">
        <f t="shared" si="406"/>
        <v>0.30026109660574407</v>
      </c>
      <c r="AT262" s="31">
        <f t="shared" si="406"/>
        <v>0</v>
      </c>
      <c r="AU262" s="31">
        <f t="shared" si="406"/>
        <v>0</v>
      </c>
      <c r="AV262" s="31">
        <f t="shared" si="407"/>
        <v>0</v>
      </c>
      <c r="AW262" s="31">
        <f t="shared" si="407"/>
        <v>0</v>
      </c>
      <c r="AX262" s="31">
        <f t="shared" si="407"/>
        <v>0</v>
      </c>
      <c r="AY262" s="31">
        <f t="shared" si="407"/>
        <v>0</v>
      </c>
      <c r="AZ262" s="31">
        <f t="shared" si="407"/>
        <v>0</v>
      </c>
      <c r="BA262" s="31">
        <f t="shared" si="407"/>
        <v>0</v>
      </c>
      <c r="BB262" s="31">
        <f t="shared" si="407"/>
        <v>0</v>
      </c>
      <c r="BC262" s="31">
        <f t="shared" si="407"/>
        <v>0</v>
      </c>
      <c r="BD262" s="31">
        <f t="shared" si="407"/>
        <v>0</v>
      </c>
      <c r="BE262" s="30">
        <f t="shared" si="408"/>
        <v>1</v>
      </c>
      <c r="BF262" s="620">
        <f t="shared" si="385"/>
        <v>1.0023493896625941</v>
      </c>
      <c r="BG262" s="620">
        <f t="shared" si="413"/>
        <v>1.004714050357995</v>
      </c>
      <c r="BH262" s="620">
        <f t="shared" si="414"/>
        <v>1.00746023996175</v>
      </c>
      <c r="BI262" s="620">
        <f t="shared" si="415"/>
        <v>1.0107803831926898</v>
      </c>
      <c r="BJ262" s="620">
        <f t="shared" si="416"/>
        <v>1.0148748576060456</v>
      </c>
      <c r="BK262" s="620">
        <f t="shared" si="417"/>
        <v>1.0192025309484891</v>
      </c>
      <c r="BL262" s="620">
        <f t="shared" si="418"/>
        <v>1.0223564640165779</v>
      </c>
      <c r="BM262" s="621" t="str">
        <f t="shared" si="419"/>
        <v>Project</v>
      </c>
    </row>
    <row r="263" spans="1:65" x14ac:dyDescent="0.15">
      <c r="A263" s="12" t="s">
        <v>541</v>
      </c>
      <c r="B263" s="13" t="s">
        <v>542</v>
      </c>
      <c r="C263" s="13" t="s">
        <v>27</v>
      </c>
      <c r="D263" s="13" t="s">
        <v>54</v>
      </c>
      <c r="E263" s="13" t="s">
        <v>112</v>
      </c>
      <c r="F263" s="14">
        <v>0</v>
      </c>
      <c r="G263" s="14">
        <v>0</v>
      </c>
      <c r="H263" s="14">
        <v>0</v>
      </c>
      <c r="I263" s="14">
        <v>0</v>
      </c>
      <c r="J263" s="14">
        <v>0</v>
      </c>
      <c r="K263" s="14">
        <v>0</v>
      </c>
      <c r="L263" s="14">
        <v>0</v>
      </c>
      <c r="M263" s="15">
        <v>0</v>
      </c>
      <c r="N263" s="804"/>
      <c r="O263" s="14"/>
      <c r="P263" s="15"/>
      <c r="Q263" s="16" t="str">
        <f>IF(ISTEXT('Incurred 2.5% cpi'!Q263),"",'Incurred 2.5% cpi'!Q263/'Incurred 2.5% cpi'!Q$14*Incurred!Q$14)</f>
        <v/>
      </c>
      <c r="R263" s="127" t="str">
        <f>IF(ISTEXT('Incurred 2.5% cpi'!R263),"",'Incurred 2.5% cpi'!R263/'Incurred 2.5% cpi'!R$14*Incurred!R$14*BF263)</f>
        <v/>
      </c>
      <c r="S263" s="119">
        <f>IF(ISTEXT('Incurred 2.5% cpi'!S263),"",'Incurred 2.5% cpi'!S263/'Incurred 2.5% cpi'!S$14*Incurred!S$14*BG263)</f>
        <v>106210.85443221366</v>
      </c>
      <c r="T263" s="16">
        <f>IF(ISTEXT('Incurred 2.5% cpi'!T263),"",'Incurred 2.5% cpi'!T263/'Incurred 2.5% cpi'!T$14*Incurred!T$14*BH263)</f>
        <v>1217259.49912568</v>
      </c>
      <c r="U263" s="16">
        <f>IF(ISTEXT('Incurred 2.5% cpi'!U263),"",'Incurred 2.5% cpi'!U263/'Incurred 2.5% cpi'!U$14*Incurred!U$14*BI263)</f>
        <v>96946.450423473914</v>
      </c>
      <c r="V263" s="16" t="str">
        <f>IF(ISTEXT('Incurred 2.5% cpi'!V263),"",'Incurred 2.5% cpi'!V263/'Incurred 2.5% cpi'!V$14*Incurred!V$14*BJ263)</f>
        <v/>
      </c>
      <c r="W263" s="127" t="str">
        <f>IF(ISTEXT('Incurred 2.5% cpi'!W263),"",'Incurred 2.5% cpi'!W263/'Incurred 2.5% cpi'!W$14*Incurred!W$14*BK263)</f>
        <v/>
      </c>
      <c r="X263" s="119" t="str">
        <f>IF(ISTEXT('Incurred 2.5% cpi'!X263),"",'Incurred 2.5% cpi'!X263/'Incurred 2.5% cpi'!X$14*Incurred!X$14*BL263)</f>
        <v/>
      </c>
      <c r="Y263" s="95">
        <f t="shared" si="345"/>
        <v>1420416.8039813675</v>
      </c>
      <c r="Z263" s="95">
        <f t="shared" ref="Z263:Z282" si="420">-SUMIFS(F263:W263,F263:W263,"&lt;0")+SUMIFS(F263:W263,F263:W263,"&gt;0")</f>
        <v>1420416.8039813675</v>
      </c>
      <c r="AA263" s="676">
        <f t="shared" si="404"/>
        <v>1506260.6752297392</v>
      </c>
      <c r="AB263" s="676">
        <f t="shared" si="409"/>
        <v>1420636.2098158959</v>
      </c>
      <c r="AC263" s="677">
        <f t="shared" si="380"/>
        <v>1.060271915373</v>
      </c>
      <c r="AD263" s="678" t="str">
        <f t="shared" si="410"/>
        <v>2021</v>
      </c>
      <c r="AE263" s="679">
        <v>43985</v>
      </c>
      <c r="AF263" s="678">
        <v>2020</v>
      </c>
      <c r="AG263" s="680"/>
      <c r="AH263" s="676">
        <f t="shared" si="405"/>
        <v>1366274.7472092088</v>
      </c>
      <c r="AI263" s="95">
        <f t="shared" si="411"/>
        <v>96946.450423473914</v>
      </c>
      <c r="AJ263" s="681" t="s">
        <v>3058</v>
      </c>
      <c r="AK263" s="37">
        <f t="shared" si="412"/>
        <v>749999.96250000002</v>
      </c>
      <c r="AL263" s="31">
        <f t="shared" si="406"/>
        <v>0</v>
      </c>
      <c r="AM263" s="31">
        <f t="shared" si="406"/>
        <v>0.29999996499999831</v>
      </c>
      <c r="AN263" s="31">
        <f t="shared" si="406"/>
        <v>0.60000003000000146</v>
      </c>
      <c r="AO263" s="31">
        <f t="shared" si="406"/>
        <v>0</v>
      </c>
      <c r="AP263" s="31">
        <f t="shared" si="406"/>
        <v>0</v>
      </c>
      <c r="AQ263" s="31">
        <f t="shared" si="406"/>
        <v>0</v>
      </c>
      <c r="AR263" s="31">
        <f t="shared" si="406"/>
        <v>0</v>
      </c>
      <c r="AS263" s="31">
        <f t="shared" si="406"/>
        <v>0</v>
      </c>
      <c r="AT263" s="31">
        <f t="shared" si="406"/>
        <v>0</v>
      </c>
      <c r="AU263" s="31">
        <f t="shared" si="406"/>
        <v>0</v>
      </c>
      <c r="AV263" s="31">
        <f t="shared" si="407"/>
        <v>0</v>
      </c>
      <c r="AW263" s="31">
        <f t="shared" si="407"/>
        <v>0</v>
      </c>
      <c r="AX263" s="31">
        <f t="shared" si="407"/>
        <v>0</v>
      </c>
      <c r="AY263" s="31">
        <f t="shared" si="407"/>
        <v>0</v>
      </c>
      <c r="AZ263" s="31">
        <f t="shared" si="407"/>
        <v>0</v>
      </c>
      <c r="BA263" s="31">
        <f t="shared" si="407"/>
        <v>0.10000000500000025</v>
      </c>
      <c r="BB263" s="31">
        <f t="shared" si="407"/>
        <v>0</v>
      </c>
      <c r="BC263" s="31">
        <f t="shared" si="407"/>
        <v>0</v>
      </c>
      <c r="BD263" s="31">
        <f t="shared" si="407"/>
        <v>0</v>
      </c>
      <c r="BE263" s="30">
        <f t="shared" si="408"/>
        <v>1</v>
      </c>
      <c r="BF263" s="620">
        <f t="shared" si="385"/>
        <v>1.0024048082105217</v>
      </c>
      <c r="BG263" s="620">
        <f t="shared" si="413"/>
        <v>1.0048252476744117</v>
      </c>
      <c r="BH263" s="620">
        <f t="shared" si="414"/>
        <v>1.0076362157364178</v>
      </c>
      <c r="BI263" s="620">
        <f t="shared" si="415"/>
        <v>1.0110346761233833</v>
      </c>
      <c r="BJ263" s="620">
        <f t="shared" si="416"/>
        <v>1.0152257329939309</v>
      </c>
      <c r="BK263" s="620">
        <f t="shared" si="417"/>
        <v>1.0196554896035148</v>
      </c>
      <c r="BL263" s="620">
        <f t="shared" si="418"/>
        <v>1.0228838191813341</v>
      </c>
      <c r="BM263" s="621" t="str">
        <f t="shared" si="419"/>
        <v>Project</v>
      </c>
    </row>
    <row r="264" spans="1:65" x14ac:dyDescent="0.15">
      <c r="A264" s="12" t="s">
        <v>543</v>
      </c>
      <c r="B264" s="13" t="s">
        <v>544</v>
      </c>
      <c r="C264" s="13" t="s">
        <v>27</v>
      </c>
      <c r="D264" s="13" t="s">
        <v>36</v>
      </c>
      <c r="E264" s="13" t="s">
        <v>112</v>
      </c>
      <c r="F264" s="14">
        <v>0</v>
      </c>
      <c r="G264" s="14">
        <v>0</v>
      </c>
      <c r="H264" s="14">
        <v>0</v>
      </c>
      <c r="I264" s="14">
        <v>0</v>
      </c>
      <c r="J264" s="14">
        <v>0</v>
      </c>
      <c r="K264" s="14">
        <v>0</v>
      </c>
      <c r="L264" s="14">
        <v>0</v>
      </c>
      <c r="M264" s="15">
        <v>0</v>
      </c>
      <c r="N264" s="804"/>
      <c r="O264" s="14"/>
      <c r="P264" s="15"/>
      <c r="Q264" s="16" t="str">
        <f>IF(ISTEXT('Incurred 2.5% cpi'!Q264),"",'Incurred 2.5% cpi'!Q264/'Incurred 2.5% cpi'!Q$14*Incurred!Q$14)</f>
        <v/>
      </c>
      <c r="R264" s="127" t="str">
        <f>IF(ISTEXT('Incurred 2.5% cpi'!R264),"",'Incurred 2.5% cpi'!R264/'Incurred 2.5% cpi'!R$14*Incurred!R$14*BF264)</f>
        <v/>
      </c>
      <c r="S264" s="119" t="str">
        <f>IF(ISTEXT('Incurred 2.5% cpi'!S264),"",'Incurred 2.5% cpi'!S264/'Incurred 2.5% cpi'!S$14*Incurred!S$14*BG264)</f>
        <v/>
      </c>
      <c r="T264" s="16" t="str">
        <f>IF(ISTEXT('Incurred 2.5% cpi'!T264),"",'Incurred 2.5% cpi'!T264/'Incurred 2.5% cpi'!T$14*Incurred!T$14*BH264)</f>
        <v/>
      </c>
      <c r="U264" s="16" t="str">
        <f>IF(ISTEXT('Incurred 2.5% cpi'!U264),"",'Incurred 2.5% cpi'!U264/'Incurred 2.5% cpi'!U$14*Incurred!U$14*BI264)</f>
        <v/>
      </c>
      <c r="V264" s="16" t="str">
        <f>IF(ISTEXT('Incurred 2.5% cpi'!V264),"",'Incurred 2.5% cpi'!V264/'Incurred 2.5% cpi'!V$14*Incurred!V$14*BJ264)</f>
        <v/>
      </c>
      <c r="W264" s="127">
        <f>IF(ISTEXT('Incurred 2.5% cpi'!W264),"",'Incurred 2.5% cpi'!W264/'Incurred 2.5% cpi'!W$14*Incurred!W$14*BK264)</f>
        <v>130565.15184265991</v>
      </c>
      <c r="X264" s="119">
        <f>IF(ISTEXT('Incurred 2.5% cpi'!X264),"",'Incurred 2.5% cpi'!X264/'Incurred 2.5% cpi'!X$14*Incurred!X$14*BL264)</f>
        <v>71.814001562510654</v>
      </c>
      <c r="Y264" s="95">
        <f t="shared" si="345"/>
        <v>130565.15184265991</v>
      </c>
      <c r="Z264" s="95">
        <f t="shared" si="420"/>
        <v>130565.15184265991</v>
      </c>
      <c r="AA264" s="676">
        <f t="shared" si="404"/>
        <v>130565.15184265991</v>
      </c>
      <c r="AB264" s="676">
        <f t="shared" si="409"/>
        <v>130565.15184265991</v>
      </c>
      <c r="AC264" s="677">
        <f t="shared" si="380"/>
        <v>1</v>
      </c>
      <c r="AD264" s="678" t="str">
        <f>IF(AI264=0,"",INDEX($F$21:$X$21,1,MATCH(AI264,F264:X264,0)))</f>
        <v>2024</v>
      </c>
      <c r="AE264" s="679">
        <v>45050</v>
      </c>
      <c r="AF264" s="678">
        <v>2023</v>
      </c>
      <c r="AG264" s="680"/>
      <c r="AH264" s="676">
        <f t="shared" si="405"/>
        <v>118430.94144441755</v>
      </c>
      <c r="AI264" s="95">
        <f t="shared" si="411"/>
        <v>71.814001562510654</v>
      </c>
      <c r="AJ264" s="681" t="s">
        <v>3058</v>
      </c>
      <c r="AK264" s="37">
        <f t="shared" si="412"/>
        <v>84000.000000000044</v>
      </c>
      <c r="AL264" s="31">
        <f t="shared" ref="AL264:AU272" si="421">IF($AK264=0,VLOOKUP(MID($A264,4,5),ProjectSplits,AL$20,FALSE),IF(ISNA(VLOOKUP($A264,Estimates,AL$19,FALSE)),VLOOKUP(MID($A264,4,5),ProjectSplits,AL$20,FALSE),VLOOKUP($A264,Estimates,AL$19,FALSE)))</f>
        <v>1</v>
      </c>
      <c r="AM264" s="31">
        <f t="shared" si="421"/>
        <v>0</v>
      </c>
      <c r="AN264" s="31">
        <f t="shared" si="421"/>
        <v>0</v>
      </c>
      <c r="AO264" s="31">
        <f t="shared" si="421"/>
        <v>0</v>
      </c>
      <c r="AP264" s="31">
        <f t="shared" si="421"/>
        <v>0</v>
      </c>
      <c r="AQ264" s="31">
        <f t="shared" si="421"/>
        <v>0</v>
      </c>
      <c r="AR264" s="31">
        <f t="shared" si="421"/>
        <v>0</v>
      </c>
      <c r="AS264" s="31">
        <f t="shared" si="421"/>
        <v>0</v>
      </c>
      <c r="AT264" s="31">
        <f t="shared" si="421"/>
        <v>0</v>
      </c>
      <c r="AU264" s="31">
        <f t="shared" si="421"/>
        <v>0</v>
      </c>
      <c r="AV264" s="31">
        <f t="shared" ref="AV264:BD272" si="422">IF($AK264=0,VLOOKUP(MID($A264,4,5),ProjectSplits,AV$20,FALSE),IF(ISNA(VLOOKUP($A264,Estimates,AV$19,FALSE)),VLOOKUP(MID($A264,4,5),ProjectSplits,AV$20,FALSE),VLOOKUP($A264,Estimates,AV$19,FALSE)))</f>
        <v>0</v>
      </c>
      <c r="AW264" s="31">
        <f t="shared" si="422"/>
        <v>0</v>
      </c>
      <c r="AX264" s="31">
        <f t="shared" si="422"/>
        <v>0</v>
      </c>
      <c r="AY264" s="31">
        <f t="shared" si="422"/>
        <v>0</v>
      </c>
      <c r="AZ264" s="31">
        <f t="shared" si="422"/>
        <v>0</v>
      </c>
      <c r="BA264" s="31">
        <f t="shared" si="422"/>
        <v>0</v>
      </c>
      <c r="BB264" s="31">
        <f t="shared" si="422"/>
        <v>0</v>
      </c>
      <c r="BC264" s="31">
        <f t="shared" si="422"/>
        <v>0</v>
      </c>
      <c r="BD264" s="31">
        <f t="shared" si="422"/>
        <v>0</v>
      </c>
      <c r="BE264" s="30">
        <f t="shared" si="408"/>
        <v>1</v>
      </c>
      <c r="BF264" s="620">
        <f t="shared" si="385"/>
        <v>1.0014128840484184</v>
      </c>
      <c r="BG264" s="620">
        <f t="shared" si="413"/>
        <v>1.0028349518431516</v>
      </c>
      <c r="BH264" s="620">
        <f t="shared" si="414"/>
        <v>1.0044864648070735</v>
      </c>
      <c r="BI264" s="620">
        <f t="shared" si="415"/>
        <v>1.0064831439804551</v>
      </c>
      <c r="BJ264" s="620">
        <f t="shared" si="416"/>
        <v>1.0089454931077175</v>
      </c>
      <c r="BK264" s="620">
        <f t="shared" si="417"/>
        <v>1.0115480842102735</v>
      </c>
      <c r="BL264" s="620">
        <f t="shared" si="418"/>
        <v>1.0134448073433624</v>
      </c>
      <c r="BM264" s="621" t="str">
        <f t="shared" si="419"/>
        <v>Project</v>
      </c>
    </row>
    <row r="265" spans="1:65" x14ac:dyDescent="0.15">
      <c r="A265" s="12" t="s">
        <v>545</v>
      </c>
      <c r="B265" s="13" t="s">
        <v>546</v>
      </c>
      <c r="C265" s="13" t="s">
        <v>27</v>
      </c>
      <c r="D265" s="13" t="s">
        <v>40</v>
      </c>
      <c r="E265" s="13" t="s">
        <v>29</v>
      </c>
      <c r="F265" s="14">
        <v>0</v>
      </c>
      <c r="G265" s="14">
        <v>0</v>
      </c>
      <c r="H265" s="14">
        <v>0</v>
      </c>
      <c r="I265" s="14">
        <v>0</v>
      </c>
      <c r="J265" s="14">
        <v>0</v>
      </c>
      <c r="K265" s="14">
        <v>0</v>
      </c>
      <c r="L265" s="14">
        <v>0</v>
      </c>
      <c r="M265" s="15">
        <v>0</v>
      </c>
      <c r="N265" s="804"/>
      <c r="O265" s="14"/>
      <c r="P265" s="15"/>
      <c r="Q265" s="16">
        <f>IF(ISTEXT('Incurred 2.5% cpi'!Q265),"",'Incurred 2.5% cpi'!Q265/'Incurred 2.5% cpi'!Q$14*Incurred!Q$14)</f>
        <v>175406.43</v>
      </c>
      <c r="R265" s="127">
        <f>IF(ISTEXT('Incurred 2.5% cpi'!R265),"",'Incurred 2.5% cpi'!R265/'Incurred 2.5% cpi'!R$14*Incurred!R$14*BF265)</f>
        <v>655810.81217962375</v>
      </c>
      <c r="S265" s="119">
        <f>IF(ISTEXT('Incurred 2.5% cpi'!S265),"",'Incurred 2.5% cpi'!S265/'Incurred 2.5% cpi'!S$14*Incurred!S$14*BG265)</f>
        <v>50252.70394362387</v>
      </c>
      <c r="T265" s="16" t="str">
        <f>IF(ISTEXT('Incurred 2.5% cpi'!T265),"",'Incurred 2.5% cpi'!T265/'Incurred 2.5% cpi'!T$14*Incurred!T$14*BH265)</f>
        <v/>
      </c>
      <c r="U265" s="16" t="str">
        <f>IF(ISTEXT('Incurred 2.5% cpi'!U265),"",'Incurred 2.5% cpi'!U265/'Incurred 2.5% cpi'!U$14*Incurred!U$14*BI265)</f>
        <v/>
      </c>
      <c r="V265" s="16" t="str">
        <f>IF(ISTEXT('Incurred 2.5% cpi'!V265),"",'Incurred 2.5% cpi'!V265/'Incurred 2.5% cpi'!V$14*Incurred!V$14*BJ265)</f>
        <v/>
      </c>
      <c r="W265" s="127" t="str">
        <f>IF(ISTEXT('Incurred 2.5% cpi'!W265),"",'Incurred 2.5% cpi'!W265/'Incurred 2.5% cpi'!W$14*Incurred!W$14*BK265)</f>
        <v/>
      </c>
      <c r="X265" s="119" t="str">
        <f>IF(ISTEXT('Incurred 2.5% cpi'!X265),"",'Incurred 2.5% cpi'!X265/'Incurred 2.5% cpi'!X$14*Incurred!X$14*BL265)</f>
        <v/>
      </c>
      <c r="Y265" s="95">
        <f t="shared" ref="Y265:Y328" si="423">SUM(F265:W265)</f>
        <v>881469.94612324773</v>
      </c>
      <c r="Z265" s="95">
        <f t="shared" si="420"/>
        <v>881469.94612324773</v>
      </c>
      <c r="AA265" s="676">
        <f t="shared" si="404"/>
        <v>974522.91778836737</v>
      </c>
      <c r="AB265" s="676">
        <f t="shared" si="409"/>
        <v>883954.60032029508</v>
      </c>
      <c r="AC265" s="677">
        <f t="shared" si="380"/>
        <v>1.1024581097663335</v>
      </c>
      <c r="AD265" s="678" t="str">
        <f t="shared" si="410"/>
        <v>2019</v>
      </c>
      <c r="AE265" s="679">
        <v>43174</v>
      </c>
      <c r="AF265" s="678">
        <v>2018</v>
      </c>
      <c r="AG265" s="680"/>
      <c r="AH265" s="676">
        <f t="shared" si="405"/>
        <v>883954.60032029508</v>
      </c>
      <c r="AI265" s="95">
        <f t="shared" si="411"/>
        <v>50252.70394362387</v>
      </c>
      <c r="AJ265" s="681" t="s">
        <v>0</v>
      </c>
      <c r="AK265" s="37">
        <f t="shared" si="412"/>
        <v>379700.01500794443</v>
      </c>
      <c r="AL265" s="31">
        <f t="shared" si="421"/>
        <v>0</v>
      </c>
      <c r="AM265" s="31">
        <f t="shared" si="421"/>
        <v>0</v>
      </c>
      <c r="AN265" s="31">
        <f t="shared" si="421"/>
        <v>7.9009741412236476E-2</v>
      </c>
      <c r="AO265" s="31">
        <f t="shared" si="421"/>
        <v>0</v>
      </c>
      <c r="AP265" s="31">
        <f t="shared" si="421"/>
        <v>0</v>
      </c>
      <c r="AQ265" s="31">
        <f t="shared" si="421"/>
        <v>0</v>
      </c>
      <c r="AR265" s="31">
        <f t="shared" si="421"/>
        <v>0</v>
      </c>
      <c r="AS265" s="31">
        <f t="shared" si="421"/>
        <v>0</v>
      </c>
      <c r="AT265" s="31">
        <f t="shared" si="421"/>
        <v>0</v>
      </c>
      <c r="AU265" s="31">
        <f t="shared" si="421"/>
        <v>0</v>
      </c>
      <c r="AV265" s="31">
        <f t="shared" si="422"/>
        <v>0</v>
      </c>
      <c r="AW265" s="31">
        <f t="shared" si="422"/>
        <v>0</v>
      </c>
      <c r="AX265" s="31">
        <f t="shared" si="422"/>
        <v>0</v>
      </c>
      <c r="AY265" s="31">
        <f t="shared" si="422"/>
        <v>0</v>
      </c>
      <c r="AZ265" s="31">
        <f t="shared" si="422"/>
        <v>0.92099025858776351</v>
      </c>
      <c r="BA265" s="31">
        <f t="shared" si="422"/>
        <v>0</v>
      </c>
      <c r="BB265" s="31">
        <f t="shared" si="422"/>
        <v>0</v>
      </c>
      <c r="BC265" s="31">
        <f t="shared" si="422"/>
        <v>0</v>
      </c>
      <c r="BD265" s="31">
        <f t="shared" si="422"/>
        <v>0</v>
      </c>
      <c r="BE265" s="30">
        <f t="shared" si="408"/>
        <v>1</v>
      </c>
      <c r="BF265" s="620">
        <f t="shared" si="385"/>
        <v>1.0034498951996242</v>
      </c>
      <c r="BG265" s="620">
        <f t="shared" si="413"/>
        <v>1.0069222147180459</v>
      </c>
      <c r="BH265" s="620">
        <f t="shared" si="414"/>
        <v>1.0109547796356901</v>
      </c>
      <c r="BI265" s="620">
        <f t="shared" si="415"/>
        <v>1.0158301506211216</v>
      </c>
      <c r="BJ265" s="620">
        <f t="shared" si="416"/>
        <v>1.0218425664619335</v>
      </c>
      <c r="BK265" s="620">
        <f t="shared" si="417"/>
        <v>1.0281974167140426</v>
      </c>
      <c r="BL265" s="620">
        <f t="shared" si="418"/>
        <v>1.0328287210586446</v>
      </c>
      <c r="BM265" s="621" t="str">
        <f t="shared" si="419"/>
        <v>Category</v>
      </c>
    </row>
    <row r="266" spans="1:65" x14ac:dyDescent="0.15">
      <c r="A266" s="12" t="s">
        <v>547</v>
      </c>
      <c r="B266" s="13" t="s">
        <v>548</v>
      </c>
      <c r="C266" s="13" t="s">
        <v>27</v>
      </c>
      <c r="D266" s="13" t="s">
        <v>40</v>
      </c>
      <c r="E266" s="13" t="s">
        <v>112</v>
      </c>
      <c r="F266" s="14">
        <v>0</v>
      </c>
      <c r="G266" s="14">
        <v>0</v>
      </c>
      <c r="H266" s="14">
        <v>0</v>
      </c>
      <c r="I266" s="14">
        <v>0</v>
      </c>
      <c r="J266" s="14">
        <v>0</v>
      </c>
      <c r="K266" s="14">
        <v>0</v>
      </c>
      <c r="L266" s="14">
        <v>0</v>
      </c>
      <c r="M266" s="15">
        <v>0</v>
      </c>
      <c r="N266" s="804"/>
      <c r="O266" s="14"/>
      <c r="P266" s="15"/>
      <c r="Q266" s="16" t="str">
        <f>IF(ISTEXT('Incurred 2.5% cpi'!Q266),"",'Incurred 2.5% cpi'!Q266/'Incurred 2.5% cpi'!Q$14*Incurred!Q$14)</f>
        <v/>
      </c>
      <c r="R266" s="127" t="str">
        <f>IF(ISTEXT('Incurred 2.5% cpi'!R266),"",'Incurred 2.5% cpi'!R266/'Incurred 2.5% cpi'!R$14*Incurred!R$14*BF266)</f>
        <v/>
      </c>
      <c r="S266" s="119">
        <f>IF(ISTEXT('Incurred 2.5% cpi'!S266),"",'Incurred 2.5% cpi'!S266/'Incurred 2.5% cpi'!S$14*Incurred!S$14*BG266)</f>
        <v>47982.948893539935</v>
      </c>
      <c r="T266" s="16">
        <f>IF(ISTEXT('Incurred 2.5% cpi'!T266),"",'Incurred 2.5% cpi'!T266/'Incurred 2.5% cpi'!T$14*Incurred!T$14*BH266)</f>
        <v>115558.9503646588</v>
      </c>
      <c r="U266" s="16">
        <f>IF(ISTEXT('Incurred 2.5% cpi'!U266),"",'Incurred 2.5% cpi'!U266/'Incurred 2.5% cpi'!U$14*Incurred!U$14*BI266)</f>
        <v>334953.59130733076</v>
      </c>
      <c r="V266" s="16">
        <f>IF(ISTEXT('Incurred 2.5% cpi'!V266),"",'Incurred 2.5% cpi'!V266/'Incurred 2.5% cpi'!V$14*Incurred!V$14*BJ266)</f>
        <v>856445.65501994733</v>
      </c>
      <c r="W266" s="127">
        <f>IF(ISTEXT('Incurred 2.5% cpi'!W266),"",'Incurred 2.5% cpi'!W266/'Incurred 2.5% cpi'!W$14*Incurred!W$14*BK266)</f>
        <v>602683.70163768926</v>
      </c>
      <c r="X266" s="119" t="str">
        <f>IF(ISTEXT('Incurred 2.5% cpi'!X266),"",'Incurred 2.5% cpi'!X266/'Incurred 2.5% cpi'!X$14*Incurred!X$14*BL266)</f>
        <v/>
      </c>
      <c r="Y266" s="95">
        <f t="shared" si="423"/>
        <v>1957624.8472231661</v>
      </c>
      <c r="Z266" s="95">
        <f t="shared" si="420"/>
        <v>1957624.8472231661</v>
      </c>
      <c r="AA266" s="676">
        <f t="shared" si="404"/>
        <v>1998683.2107464818</v>
      </c>
      <c r="AB266" s="676">
        <f t="shared" si="409"/>
        <v>1998683.2107464818</v>
      </c>
      <c r="AC266" s="677">
        <f t="shared" si="380"/>
        <v>1</v>
      </c>
      <c r="AD266" s="678" t="str">
        <f t="shared" si="410"/>
        <v>2023</v>
      </c>
      <c r="AE266" s="679">
        <v>44938</v>
      </c>
      <c r="AF266" s="678">
        <v>2023</v>
      </c>
      <c r="AG266" s="680"/>
      <c r="AH266" s="676">
        <f t="shared" si="405"/>
        <v>1812933.4738805662</v>
      </c>
      <c r="AI266" s="95">
        <f t="shared" si="411"/>
        <v>602683.70163768926</v>
      </c>
      <c r="AJ266" s="681" t="s">
        <v>3060</v>
      </c>
      <c r="AK266" s="37">
        <f t="shared" si="412"/>
        <v>1086032.6174999999</v>
      </c>
      <c r="AL266" s="31">
        <f t="shared" si="421"/>
        <v>0</v>
      </c>
      <c r="AM266" s="31">
        <f t="shared" si="421"/>
        <v>2.7623472828153802E-2</v>
      </c>
      <c r="AN266" s="31">
        <f t="shared" si="421"/>
        <v>0.97237652717184631</v>
      </c>
      <c r="AO266" s="31">
        <f t="shared" si="421"/>
        <v>0</v>
      </c>
      <c r="AP266" s="31">
        <f t="shared" si="421"/>
        <v>0</v>
      </c>
      <c r="AQ266" s="31">
        <f t="shared" si="421"/>
        <v>0</v>
      </c>
      <c r="AR266" s="31">
        <f t="shared" si="421"/>
        <v>0</v>
      </c>
      <c r="AS266" s="31">
        <f t="shared" si="421"/>
        <v>0</v>
      </c>
      <c r="AT266" s="31">
        <f t="shared" si="421"/>
        <v>0</v>
      </c>
      <c r="AU266" s="31">
        <f t="shared" si="421"/>
        <v>0</v>
      </c>
      <c r="AV266" s="31">
        <f t="shared" si="422"/>
        <v>0</v>
      </c>
      <c r="AW266" s="31">
        <f t="shared" si="422"/>
        <v>0</v>
      </c>
      <c r="AX266" s="31">
        <f t="shared" si="422"/>
        <v>0</v>
      </c>
      <c r="AY266" s="31">
        <f t="shared" si="422"/>
        <v>0</v>
      </c>
      <c r="AZ266" s="31">
        <f t="shared" si="422"/>
        <v>0</v>
      </c>
      <c r="BA266" s="31">
        <f t="shared" si="422"/>
        <v>0</v>
      </c>
      <c r="BB266" s="31">
        <f t="shared" si="422"/>
        <v>0</v>
      </c>
      <c r="BC266" s="31">
        <f t="shared" si="422"/>
        <v>0</v>
      </c>
      <c r="BD266" s="31">
        <f t="shared" si="422"/>
        <v>0</v>
      </c>
      <c r="BE266" s="30">
        <f t="shared" si="408"/>
        <v>1</v>
      </c>
      <c r="BF266" s="620">
        <f t="shared" si="385"/>
        <v>1.0020405547152136</v>
      </c>
      <c r="BG266" s="620">
        <f t="shared" si="413"/>
        <v>1.0040943730360761</v>
      </c>
      <c r="BH266" s="620">
        <f t="shared" si="414"/>
        <v>1.0064795670437086</v>
      </c>
      <c r="BI266" s="620">
        <f t="shared" si="415"/>
        <v>1.009363266598936</v>
      </c>
      <c r="BJ266" s="620">
        <f t="shared" si="416"/>
        <v>1.012919508972655</v>
      </c>
      <c r="BK266" s="620">
        <f t="shared" si="417"/>
        <v>1.0166782955142954</v>
      </c>
      <c r="BL266" s="620">
        <f t="shared" si="418"/>
        <v>1.0194176337756422</v>
      </c>
      <c r="BM266" s="621" t="str">
        <f t="shared" si="419"/>
        <v>Project</v>
      </c>
    </row>
    <row r="267" spans="1:65" x14ac:dyDescent="0.15">
      <c r="A267" s="12" t="s">
        <v>549</v>
      </c>
      <c r="B267" s="13" t="s">
        <v>224</v>
      </c>
      <c r="C267" s="13" t="s">
        <v>27</v>
      </c>
      <c r="D267" s="13" t="s">
        <v>40</v>
      </c>
      <c r="E267" s="13" t="s">
        <v>112</v>
      </c>
      <c r="F267" s="14">
        <v>0</v>
      </c>
      <c r="G267" s="14">
        <v>0</v>
      </c>
      <c r="H267" s="14">
        <v>0</v>
      </c>
      <c r="I267" s="14">
        <v>0</v>
      </c>
      <c r="J267" s="14">
        <v>0</v>
      </c>
      <c r="K267" s="14">
        <v>0</v>
      </c>
      <c r="L267" s="14">
        <v>0</v>
      </c>
      <c r="M267" s="15">
        <v>0</v>
      </c>
      <c r="N267" s="804"/>
      <c r="O267" s="14"/>
      <c r="P267" s="15"/>
      <c r="Q267" s="16" t="str">
        <f>IF(ISTEXT('Incurred 2.5% cpi'!Q267),"",'Incurred 2.5% cpi'!Q267/'Incurred 2.5% cpi'!Q$14*Incurred!Q$14)</f>
        <v/>
      </c>
      <c r="R267" s="127" t="str">
        <f>IF(ISTEXT('Incurred 2.5% cpi'!R267),"",'Incurred 2.5% cpi'!R267/'Incurred 2.5% cpi'!R$14*Incurred!R$14*BF267)</f>
        <v/>
      </c>
      <c r="S267" s="119">
        <f>IF(ISTEXT('Incurred 2.5% cpi'!S267),"",'Incurred 2.5% cpi'!S267/'Incurred 2.5% cpi'!S$14*Incurred!S$14*BG267)</f>
        <v>302648.39697898529</v>
      </c>
      <c r="T267" s="16">
        <f>IF(ISTEXT('Incurred 2.5% cpi'!T267),"",'Incurred 2.5% cpi'!T267/'Incurred 2.5% cpi'!T$14*Incurred!T$14*BH267)</f>
        <v>1679442.2132164924</v>
      </c>
      <c r="U267" s="16">
        <f>IF(ISTEXT('Incurred 2.5% cpi'!U267),"",'Incurred 2.5% cpi'!U267/'Incurred 2.5% cpi'!U$14*Incurred!U$14*BI267)</f>
        <v>1629502.9299599279</v>
      </c>
      <c r="V267" s="16" t="str">
        <f>IF(ISTEXT('Incurred 2.5% cpi'!V267),"",'Incurred 2.5% cpi'!V267/'Incurred 2.5% cpi'!V$14*Incurred!V$14*BJ267)</f>
        <v/>
      </c>
      <c r="W267" s="127" t="str">
        <f>IF(ISTEXT('Incurred 2.5% cpi'!W267),"",'Incurred 2.5% cpi'!W267/'Incurred 2.5% cpi'!W$14*Incurred!W$14*BK267)</f>
        <v/>
      </c>
      <c r="X267" s="119" t="str">
        <f>IF(ISTEXT('Incurred 2.5% cpi'!X267),"",'Incurred 2.5% cpi'!X267/'Incurred 2.5% cpi'!X$14*Incurred!X$14*BL267)</f>
        <v/>
      </c>
      <c r="Y267" s="95">
        <f t="shared" si="423"/>
        <v>3611593.5401554056</v>
      </c>
      <c r="Z267" s="95">
        <f t="shared" si="420"/>
        <v>3611593.5401554056</v>
      </c>
      <c r="AA267" s="676">
        <f t="shared" si="404"/>
        <v>3802214.2719395598</v>
      </c>
      <c r="AB267" s="676">
        <f t="shared" si="409"/>
        <v>3656720.3534131264</v>
      </c>
      <c r="AC267" s="677">
        <f t="shared" si="380"/>
        <v>1.0397880900000001</v>
      </c>
      <c r="AD267" s="678" t="str">
        <f t="shared" si="410"/>
        <v>2021</v>
      </c>
      <c r="AE267" s="679">
        <v>44266</v>
      </c>
      <c r="AF267" s="678">
        <v>2021</v>
      </c>
      <c r="AG267" s="680"/>
      <c r="AH267" s="676">
        <f t="shared" si="405"/>
        <v>3448851.4695088426</v>
      </c>
      <c r="AI267" s="95">
        <f t="shared" si="411"/>
        <v>1629502.9299599279</v>
      </c>
      <c r="AJ267" s="681" t="s">
        <v>3058</v>
      </c>
      <c r="AK267" s="37">
        <f t="shared" si="412"/>
        <v>1785000.0000000007</v>
      </c>
      <c r="AL267" s="31">
        <f t="shared" si="421"/>
        <v>0</v>
      </c>
      <c r="AM267" s="31">
        <f t="shared" si="421"/>
        <v>0</v>
      </c>
      <c r="AN267" s="31">
        <f t="shared" si="421"/>
        <v>0</v>
      </c>
      <c r="AO267" s="31">
        <f t="shared" si="421"/>
        <v>0</v>
      </c>
      <c r="AP267" s="31">
        <f t="shared" si="421"/>
        <v>0</v>
      </c>
      <c r="AQ267" s="31">
        <f t="shared" si="421"/>
        <v>0</v>
      </c>
      <c r="AR267" s="31">
        <f t="shared" si="421"/>
        <v>0</v>
      </c>
      <c r="AS267" s="31">
        <f t="shared" si="421"/>
        <v>0</v>
      </c>
      <c r="AT267" s="31">
        <f t="shared" si="421"/>
        <v>0</v>
      </c>
      <c r="AU267" s="31">
        <f t="shared" si="421"/>
        <v>0</v>
      </c>
      <c r="AV267" s="31">
        <f t="shared" si="422"/>
        <v>0</v>
      </c>
      <c r="AW267" s="31">
        <f t="shared" si="422"/>
        <v>0</v>
      </c>
      <c r="AX267" s="31">
        <f t="shared" si="422"/>
        <v>0</v>
      </c>
      <c r="AY267" s="31">
        <f t="shared" si="422"/>
        <v>0</v>
      </c>
      <c r="AZ267" s="31">
        <f t="shared" si="422"/>
        <v>1</v>
      </c>
      <c r="BA267" s="31">
        <f t="shared" si="422"/>
        <v>0</v>
      </c>
      <c r="BB267" s="31">
        <f t="shared" si="422"/>
        <v>0</v>
      </c>
      <c r="BC267" s="31">
        <f t="shared" si="422"/>
        <v>0</v>
      </c>
      <c r="BD267" s="31">
        <f t="shared" si="422"/>
        <v>0</v>
      </c>
      <c r="BE267" s="30">
        <f t="shared" si="408"/>
        <v>1</v>
      </c>
      <c r="BF267" s="620">
        <f t="shared" si="385"/>
        <v>1.0042108617050511</v>
      </c>
      <c r="BG267" s="620">
        <f t="shared" si="413"/>
        <v>1.008449094011185</v>
      </c>
      <c r="BH267" s="620">
        <f t="shared" si="414"/>
        <v>1.0133711487990202</v>
      </c>
      <c r="BI267" s="620">
        <f t="shared" si="415"/>
        <v>1.0193219130375129</v>
      </c>
      <c r="BJ267" s="620">
        <f t="shared" si="416"/>
        <v>1.0266605277356273</v>
      </c>
      <c r="BK267" s="620">
        <f t="shared" si="417"/>
        <v>1.0344171098981392</v>
      </c>
      <c r="BL267" s="620">
        <f t="shared" si="418"/>
        <v>1.0400699720810966</v>
      </c>
      <c r="BM267" s="621" t="str">
        <f t="shared" si="419"/>
        <v>Project</v>
      </c>
    </row>
    <row r="268" spans="1:65" x14ac:dyDescent="0.15">
      <c r="A268" s="12" t="s">
        <v>550</v>
      </c>
      <c r="B268" s="13" t="s">
        <v>551</v>
      </c>
      <c r="C268" s="13" t="s">
        <v>27</v>
      </c>
      <c r="D268" s="13" t="s">
        <v>54</v>
      </c>
      <c r="E268" s="13" t="s">
        <v>112</v>
      </c>
      <c r="F268" s="14">
        <v>0</v>
      </c>
      <c r="G268" s="14">
        <v>0</v>
      </c>
      <c r="H268" s="14">
        <v>0</v>
      </c>
      <c r="I268" s="14">
        <v>0</v>
      </c>
      <c r="J268" s="14">
        <v>0</v>
      </c>
      <c r="K268" s="14">
        <v>0</v>
      </c>
      <c r="L268" s="14">
        <v>0</v>
      </c>
      <c r="M268" s="15">
        <v>0</v>
      </c>
      <c r="N268" s="804"/>
      <c r="O268" s="14"/>
      <c r="P268" s="15"/>
      <c r="Q268" s="16" t="str">
        <f>IF(ISTEXT('Incurred 2.5% cpi'!Q268),"",'Incurred 2.5% cpi'!Q268/'Incurred 2.5% cpi'!Q$14*Incurred!Q$14)</f>
        <v/>
      </c>
      <c r="R268" s="127">
        <f>IF(ISTEXT('Incurred 2.5% cpi'!R268),"",'Incurred 2.5% cpi'!R268/'Incurred 2.5% cpi'!R$14*Incurred!R$14*BF268)</f>
        <v>276605.65099537483</v>
      </c>
      <c r="S268" s="119">
        <f>IF(ISTEXT('Incurred 2.5% cpi'!S268),"",'Incurred 2.5% cpi'!S268/'Incurred 2.5% cpi'!S$14*Incurred!S$14*BG268)</f>
        <v>2798898.1877133325</v>
      </c>
      <c r="T268" s="16">
        <f>IF(ISTEXT('Incurred 2.5% cpi'!T268),"",'Incurred 2.5% cpi'!T268/'Incurred 2.5% cpi'!T$14*Incurred!T$14*BH268)</f>
        <v>3997033.8300580732</v>
      </c>
      <c r="U268" s="16" t="str">
        <f>IF(ISTEXT('Incurred 2.5% cpi'!U268),"",'Incurred 2.5% cpi'!U268/'Incurred 2.5% cpi'!U$14*Incurred!U$14*BI268)</f>
        <v/>
      </c>
      <c r="V268" s="16" t="str">
        <f>IF(ISTEXT('Incurred 2.5% cpi'!V268),"",'Incurred 2.5% cpi'!V268/'Incurred 2.5% cpi'!V$14*Incurred!V$14*BJ268)</f>
        <v/>
      </c>
      <c r="W268" s="127" t="str">
        <f>IF(ISTEXT('Incurred 2.5% cpi'!W268),"",'Incurred 2.5% cpi'!W268/'Incurred 2.5% cpi'!W$14*Incurred!W$14*BK268)</f>
        <v/>
      </c>
      <c r="X268" s="119" t="str">
        <f>IF(ISTEXT('Incurred 2.5% cpi'!X268),"",'Incurred 2.5% cpi'!X268/'Incurred 2.5% cpi'!X$14*Incurred!X$14*BL268)</f>
        <v/>
      </c>
      <c r="Y268" s="95">
        <f t="shared" si="423"/>
        <v>7072537.6687667798</v>
      </c>
      <c r="Z268" s="95">
        <f t="shared" si="420"/>
        <v>7072537.6687667798</v>
      </c>
      <c r="AA268" s="676">
        <f t="shared" si="404"/>
        <v>7568943.5852799229</v>
      </c>
      <c r="AB268" s="676">
        <f t="shared" si="409"/>
        <v>7138681.5736010456</v>
      </c>
      <c r="AC268" s="677">
        <f t="shared" si="380"/>
        <v>1.060271915373</v>
      </c>
      <c r="AD268" s="678" t="str">
        <f t="shared" si="410"/>
        <v>2020</v>
      </c>
      <c r="AE268" s="679">
        <v>43815</v>
      </c>
      <c r="AF268" s="678">
        <v>2020</v>
      </c>
      <c r="AG268" s="680"/>
      <c r="AH268" s="676">
        <f t="shared" si="405"/>
        <v>6865515.8125546956</v>
      </c>
      <c r="AI268" s="95">
        <f t="shared" si="411"/>
        <v>3997033.8300580732</v>
      </c>
      <c r="AJ268" s="681" t="s">
        <v>3058</v>
      </c>
      <c r="AK268" s="37">
        <f t="shared" si="412"/>
        <v>3888801.5634900387</v>
      </c>
      <c r="AL268" s="31">
        <f t="shared" si="421"/>
        <v>0</v>
      </c>
      <c r="AM268" s="31">
        <f t="shared" si="421"/>
        <v>0</v>
      </c>
      <c r="AN268" s="31">
        <f t="shared" si="421"/>
        <v>0</v>
      </c>
      <c r="AO268" s="31">
        <f t="shared" si="421"/>
        <v>0</v>
      </c>
      <c r="AP268" s="31">
        <f t="shared" si="421"/>
        <v>0</v>
      </c>
      <c r="AQ268" s="31">
        <f t="shared" si="421"/>
        <v>1.5428917886504976E-2</v>
      </c>
      <c r="AR268" s="31">
        <f t="shared" si="421"/>
        <v>0</v>
      </c>
      <c r="AS268" s="31">
        <f t="shared" si="421"/>
        <v>0</v>
      </c>
      <c r="AT268" s="31">
        <f t="shared" si="421"/>
        <v>0</v>
      </c>
      <c r="AU268" s="31">
        <f t="shared" si="421"/>
        <v>0.40789629806647021</v>
      </c>
      <c r="AV268" s="31">
        <f t="shared" si="422"/>
        <v>0</v>
      </c>
      <c r="AW268" s="31">
        <f t="shared" si="422"/>
        <v>0.39913936504313302</v>
      </c>
      <c r="AX268" s="31">
        <f t="shared" si="422"/>
        <v>3.08578357702456E-2</v>
      </c>
      <c r="AY268" s="31">
        <f t="shared" si="422"/>
        <v>0</v>
      </c>
      <c r="AZ268" s="31">
        <f t="shared" si="422"/>
        <v>0.13382015166155883</v>
      </c>
      <c r="BA268" s="31">
        <f t="shared" si="422"/>
        <v>1.2857431572087477E-2</v>
      </c>
      <c r="BB268" s="31">
        <f t="shared" si="422"/>
        <v>0</v>
      </c>
      <c r="BC268" s="31">
        <f t="shared" si="422"/>
        <v>0</v>
      </c>
      <c r="BD268" s="31">
        <f t="shared" si="422"/>
        <v>0</v>
      </c>
      <c r="BE268" s="30">
        <f t="shared" si="408"/>
        <v>1</v>
      </c>
      <c r="BF268" s="620">
        <f t="shared" si="385"/>
        <v>1.0032131679772827</v>
      </c>
      <c r="BG268" s="620">
        <f t="shared" si="413"/>
        <v>1.0064472215464175</v>
      </c>
      <c r="BH268" s="620">
        <f t="shared" si="414"/>
        <v>1.0102030772202648</v>
      </c>
      <c r="BI268" s="620">
        <f t="shared" si="415"/>
        <v>1.0147439067299462</v>
      </c>
      <c r="BJ268" s="620">
        <f t="shared" si="416"/>
        <v>1.0203437585886075</v>
      </c>
      <c r="BK268" s="620">
        <f t="shared" si="417"/>
        <v>1.026262547464492</v>
      </c>
      <c r="BL268" s="620">
        <f t="shared" si="418"/>
        <v>1.0305760578617778</v>
      </c>
      <c r="BM268" s="621" t="str">
        <f t="shared" si="419"/>
        <v>Project</v>
      </c>
    </row>
    <row r="269" spans="1:65" x14ac:dyDescent="0.15">
      <c r="A269" s="12" t="s">
        <v>554</v>
      </c>
      <c r="B269" s="13" t="s">
        <v>555</v>
      </c>
      <c r="C269" s="13" t="s">
        <v>27</v>
      </c>
      <c r="D269" s="13" t="s">
        <v>54</v>
      </c>
      <c r="E269" s="13" t="s">
        <v>112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5">
        <v>0</v>
      </c>
      <c r="N269" s="804"/>
      <c r="O269" s="14"/>
      <c r="P269" s="15"/>
      <c r="Q269" s="16" t="str">
        <f>IF(ISTEXT('Incurred 2.5% cpi'!Q269),"",'Incurred 2.5% cpi'!Q269/'Incurred 2.5% cpi'!Q$14*Incurred!Q$14)</f>
        <v/>
      </c>
      <c r="R269" s="127" t="str">
        <f>IF(ISTEXT('Incurred 2.5% cpi'!R269),"",'Incurred 2.5% cpi'!R269/'Incurred 2.5% cpi'!R$14*Incurred!R$14*BF269)</f>
        <v/>
      </c>
      <c r="S269" s="119" t="str">
        <f>IF(ISTEXT('Incurred 2.5% cpi'!S269),"",'Incurred 2.5% cpi'!S269/'Incurred 2.5% cpi'!S$14*Incurred!S$14*BG269)</f>
        <v/>
      </c>
      <c r="T269" s="16" t="str">
        <f>IF(ISTEXT('Incurred 2.5% cpi'!T269),"",'Incurred 2.5% cpi'!T269/'Incurred 2.5% cpi'!T$14*Incurred!T$14*BH269)</f>
        <v/>
      </c>
      <c r="U269" s="16">
        <f>IF(ISTEXT('Incurred 2.5% cpi'!U269),"",'Incurred 2.5% cpi'!U269/'Incurred 2.5% cpi'!U$14*Incurred!U$14*BI269)</f>
        <v>42995.86086222071</v>
      </c>
      <c r="V269" s="16">
        <f>IF(ISTEXT('Incurred 2.5% cpi'!V269),"",'Incurred 2.5% cpi'!V269/'Incurred 2.5% cpi'!V$14*Incurred!V$14*BJ269)</f>
        <v>139243.47866122818</v>
      </c>
      <c r="W269" s="127">
        <f>IF(ISTEXT('Incurred 2.5% cpi'!W269),"",'Incurred 2.5% cpi'!W269/'Incurred 2.5% cpi'!W$14*Incurred!W$14*BK269)</f>
        <v>753070.48723289568</v>
      </c>
      <c r="X269" s="119" t="str">
        <f>IF(ISTEXT('Incurred 2.5% cpi'!X269),"",'Incurred 2.5% cpi'!X269/'Incurred 2.5% cpi'!X$14*Incurred!X$14*BL269)</f>
        <v/>
      </c>
      <c r="Y269" s="95">
        <f t="shared" si="423"/>
        <v>935309.82675634464</v>
      </c>
      <c r="Z269" s="95">
        <f t="shared" si="420"/>
        <v>935309.82675634464</v>
      </c>
      <c r="AA269" s="676">
        <f t="shared" si="404"/>
        <v>939763.6464675843</v>
      </c>
      <c r="AB269" s="676">
        <f t="shared" si="409"/>
        <v>939763.6464675843</v>
      </c>
      <c r="AC269" s="677">
        <f t="shared" si="380"/>
        <v>1</v>
      </c>
      <c r="AD269" s="678" t="str">
        <f t="shared" si="410"/>
        <v>2023</v>
      </c>
      <c r="AE269" s="679">
        <v>44963</v>
      </c>
      <c r="AF269" s="678">
        <v>2023</v>
      </c>
      <c r="AG269" s="680"/>
      <c r="AH269" s="676">
        <f t="shared" si="405"/>
        <v>852425.71862142463</v>
      </c>
      <c r="AI269" s="95">
        <f t="shared" si="411"/>
        <v>753070.48723289568</v>
      </c>
      <c r="AJ269" s="681" t="s">
        <v>3058</v>
      </c>
      <c r="AK269" s="37">
        <f t="shared" si="412"/>
        <v>135493.10353250001</v>
      </c>
      <c r="AL269" s="31">
        <f t="shared" si="421"/>
        <v>0</v>
      </c>
      <c r="AM269" s="31">
        <f t="shared" si="421"/>
        <v>0</v>
      </c>
      <c r="AN269" s="31">
        <f t="shared" si="421"/>
        <v>0</v>
      </c>
      <c r="AO269" s="31">
        <f t="shared" si="421"/>
        <v>0</v>
      </c>
      <c r="AP269" s="31">
        <f t="shared" si="421"/>
        <v>0</v>
      </c>
      <c r="AQ269" s="31">
        <f t="shared" si="421"/>
        <v>0</v>
      </c>
      <c r="AR269" s="31">
        <f t="shared" si="421"/>
        <v>0</v>
      </c>
      <c r="AS269" s="31">
        <f t="shared" si="421"/>
        <v>0</v>
      </c>
      <c r="AT269" s="31">
        <f t="shared" si="421"/>
        <v>0</v>
      </c>
      <c r="AU269" s="31">
        <f t="shared" si="421"/>
        <v>0.66377548122534002</v>
      </c>
      <c r="AV269" s="31">
        <f t="shared" si="422"/>
        <v>0</v>
      </c>
      <c r="AW269" s="31">
        <f t="shared" si="422"/>
        <v>0.14391876406700388</v>
      </c>
      <c r="AX269" s="31">
        <f t="shared" si="422"/>
        <v>0</v>
      </c>
      <c r="AY269" s="31">
        <f t="shared" si="422"/>
        <v>0</v>
      </c>
      <c r="AZ269" s="31">
        <f t="shared" si="422"/>
        <v>5.84531595595216E-2</v>
      </c>
      <c r="BA269" s="31">
        <f t="shared" si="422"/>
        <v>0.13385259514813455</v>
      </c>
      <c r="BB269" s="31">
        <f t="shared" si="422"/>
        <v>0</v>
      </c>
      <c r="BC269" s="31">
        <f t="shared" si="422"/>
        <v>0</v>
      </c>
      <c r="BD269" s="31">
        <f t="shared" si="422"/>
        <v>0</v>
      </c>
      <c r="BE269" s="30">
        <f t="shared" si="408"/>
        <v>1</v>
      </c>
      <c r="BF269" s="620">
        <f t="shared" si="385"/>
        <v>1.0048566765671652</v>
      </c>
      <c r="BG269" s="620">
        <f t="shared" si="413"/>
        <v>1.0097449215320167</v>
      </c>
      <c r="BH269" s="620">
        <f t="shared" si="414"/>
        <v>1.015421866021005</v>
      </c>
      <c r="BI269" s="620">
        <f t="shared" si="415"/>
        <v>1.0222852919081917</v>
      </c>
      <c r="BJ269" s="620">
        <f t="shared" si="416"/>
        <v>1.0307494212328459</v>
      </c>
      <c r="BK269" s="620">
        <f t="shared" si="417"/>
        <v>1.0396956211958543</v>
      </c>
      <c r="BL269" s="620">
        <f t="shared" si="418"/>
        <v>1.0462154561428085</v>
      </c>
      <c r="BM269" s="621" t="str">
        <f t="shared" si="419"/>
        <v>Project</v>
      </c>
    </row>
    <row r="270" spans="1:65" x14ac:dyDescent="0.15">
      <c r="A270" s="12" t="s">
        <v>556</v>
      </c>
      <c r="B270" s="13" t="s">
        <v>557</v>
      </c>
      <c r="C270" s="13" t="s">
        <v>27</v>
      </c>
      <c r="D270" s="13" t="s">
        <v>40</v>
      </c>
      <c r="E270" s="13" t="s">
        <v>112</v>
      </c>
      <c r="F270" s="14">
        <v>0</v>
      </c>
      <c r="G270" s="14">
        <v>0</v>
      </c>
      <c r="H270" s="14">
        <v>0</v>
      </c>
      <c r="I270" s="14">
        <v>0</v>
      </c>
      <c r="J270" s="14">
        <v>0</v>
      </c>
      <c r="K270" s="14">
        <v>0</v>
      </c>
      <c r="L270" s="14">
        <v>0</v>
      </c>
      <c r="M270" s="15">
        <v>0</v>
      </c>
      <c r="N270" s="804"/>
      <c r="O270" s="14"/>
      <c r="P270" s="15"/>
      <c r="Q270" s="16" t="str">
        <f>IF(ISTEXT('Incurred 2.5% cpi'!Q270),"",'Incurred 2.5% cpi'!Q270/'Incurred 2.5% cpi'!Q$14*Incurred!Q$14)</f>
        <v/>
      </c>
      <c r="R270" s="127" t="str">
        <f>IF(ISTEXT('Incurred 2.5% cpi'!R270),"",'Incurred 2.5% cpi'!R270/'Incurred 2.5% cpi'!R$14*Incurred!R$14*BF270)</f>
        <v/>
      </c>
      <c r="S270" s="119">
        <f>IF(ISTEXT('Incurred 2.5% cpi'!S270),"",'Incurred 2.5% cpi'!S270/'Incurred 2.5% cpi'!S$14*Incurred!S$14*BG270)</f>
        <v>28775.736855550051</v>
      </c>
      <c r="T270" s="16">
        <f>IF(ISTEXT('Incurred 2.5% cpi'!T270),"",'Incurred 2.5% cpi'!T270/'Incurred 2.5% cpi'!T$14*Incurred!T$14*BH270)</f>
        <v>100186.66348228506</v>
      </c>
      <c r="U270" s="16">
        <f>IF(ISTEXT('Incurred 2.5% cpi'!U270),"",'Incurred 2.5% cpi'!U270/'Incurred 2.5% cpi'!U$14*Incurred!U$14*BI270)</f>
        <v>616203.97876328207</v>
      </c>
      <c r="V270" s="16">
        <f>IF(ISTEXT('Incurred 2.5% cpi'!V270),"",'Incurred 2.5% cpi'!V270/'Incurred 2.5% cpi'!V$14*Incurred!V$14*BJ270)</f>
        <v>573633.03821133822</v>
      </c>
      <c r="W270" s="127" t="str">
        <f>IF(ISTEXT('Incurred 2.5% cpi'!W270),"",'Incurred 2.5% cpi'!W270/'Incurred 2.5% cpi'!W$14*Incurred!W$14*BK270)</f>
        <v/>
      </c>
      <c r="X270" s="119" t="str">
        <f>IF(ISTEXT('Incurred 2.5% cpi'!X270),"",'Incurred 2.5% cpi'!X270/'Incurred 2.5% cpi'!X$14*Incurred!X$14*BL270)</f>
        <v/>
      </c>
      <c r="Y270" s="95">
        <f t="shared" si="423"/>
        <v>1318799.4173124554</v>
      </c>
      <c r="Z270" s="95">
        <f t="shared" si="420"/>
        <v>1318799.4173124554</v>
      </c>
      <c r="AA270" s="676">
        <f t="shared" si="404"/>
        <v>1362991.4274910237</v>
      </c>
      <c r="AB270" s="676">
        <f t="shared" si="409"/>
        <v>1336659.2404540782</v>
      </c>
      <c r="AC270" s="677">
        <f t="shared" si="380"/>
        <v>1.0197000000000001</v>
      </c>
      <c r="AD270" s="678" t="str">
        <f t="shared" si="410"/>
        <v>2022</v>
      </c>
      <c r="AE270" s="679">
        <v>44652</v>
      </c>
      <c r="AF270" s="678">
        <v>2022</v>
      </c>
      <c r="AG270" s="680"/>
      <c r="AH270" s="676">
        <f t="shared" si="405"/>
        <v>1236320.3784494908</v>
      </c>
      <c r="AI270" s="95">
        <f t="shared" si="411"/>
        <v>573633.03821133822</v>
      </c>
      <c r="AJ270" s="681" t="s">
        <v>3058</v>
      </c>
      <c r="AK270" s="37">
        <f t="shared" si="412"/>
        <v>629369.3399999988</v>
      </c>
      <c r="AL270" s="31">
        <f t="shared" si="421"/>
        <v>0</v>
      </c>
      <c r="AM270" s="31">
        <f t="shared" si="421"/>
        <v>0</v>
      </c>
      <c r="AN270" s="31">
        <f t="shared" si="421"/>
        <v>0</v>
      </c>
      <c r="AO270" s="31">
        <f t="shared" si="421"/>
        <v>0</v>
      </c>
      <c r="AP270" s="31">
        <f t="shared" si="421"/>
        <v>0</v>
      </c>
      <c r="AQ270" s="31">
        <f t="shared" si="421"/>
        <v>0</v>
      </c>
      <c r="AR270" s="31">
        <f t="shared" si="421"/>
        <v>0</v>
      </c>
      <c r="AS270" s="31">
        <f t="shared" si="421"/>
        <v>0</v>
      </c>
      <c r="AT270" s="31">
        <f t="shared" si="421"/>
        <v>0</v>
      </c>
      <c r="AU270" s="31">
        <f t="shared" si="421"/>
        <v>0</v>
      </c>
      <c r="AV270" s="31">
        <f t="shared" si="422"/>
        <v>0.61092902936771587</v>
      </c>
      <c r="AW270" s="31">
        <f t="shared" si="422"/>
        <v>4.934701776225707E-2</v>
      </c>
      <c r="AX270" s="31">
        <f t="shared" si="422"/>
        <v>0</v>
      </c>
      <c r="AY270" s="31">
        <f t="shared" si="422"/>
        <v>0</v>
      </c>
      <c r="AZ270" s="31">
        <f t="shared" si="422"/>
        <v>0.3397239528700271</v>
      </c>
      <c r="BA270" s="31">
        <f t="shared" si="422"/>
        <v>0</v>
      </c>
      <c r="BB270" s="31">
        <f t="shared" si="422"/>
        <v>0</v>
      </c>
      <c r="BC270" s="31">
        <f t="shared" si="422"/>
        <v>0</v>
      </c>
      <c r="BD270" s="31">
        <f t="shared" si="422"/>
        <v>0</v>
      </c>
      <c r="BE270" s="30">
        <f t="shared" si="408"/>
        <v>1</v>
      </c>
      <c r="BF270" s="620">
        <f t="shared" si="385"/>
        <v>1.0033048225580747</v>
      </c>
      <c r="BG270" s="620">
        <f t="shared" si="413"/>
        <v>1.0066311264627772</v>
      </c>
      <c r="BH270" s="620">
        <f t="shared" si="414"/>
        <v>1.0104941167090267</v>
      </c>
      <c r="BI270" s="620">
        <f t="shared" si="415"/>
        <v>1.0151644719167423</v>
      </c>
      <c r="BJ270" s="620">
        <f t="shared" si="416"/>
        <v>1.0209240577445684</v>
      </c>
      <c r="BK270" s="620">
        <f t="shared" si="417"/>
        <v>1.027011678165225</v>
      </c>
      <c r="BL270" s="620">
        <f t="shared" si="418"/>
        <v>1.0314482300561401</v>
      </c>
      <c r="BM270" s="621" t="str">
        <f t="shared" si="419"/>
        <v>Project</v>
      </c>
    </row>
    <row r="271" spans="1:65" x14ac:dyDescent="0.15">
      <c r="A271" s="12" t="s">
        <v>558</v>
      </c>
      <c r="B271" s="13" t="s">
        <v>559</v>
      </c>
      <c r="C271" s="13" t="s">
        <v>27</v>
      </c>
      <c r="D271" s="13" t="s">
        <v>41</v>
      </c>
      <c r="E271" s="13" t="s">
        <v>112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5">
        <v>0</v>
      </c>
      <c r="N271" s="804"/>
      <c r="O271" s="14"/>
      <c r="P271" s="15"/>
      <c r="Q271" s="16" t="str">
        <f>IF(ISTEXT('Incurred 2.5% cpi'!Q271),"",'Incurred 2.5% cpi'!Q271/'Incurred 2.5% cpi'!Q$14*Incurred!Q$14)</f>
        <v/>
      </c>
      <c r="R271" s="127">
        <f>IF(ISTEXT('Incurred 2.5% cpi'!R271),"",'Incurred 2.5% cpi'!R271/'Incurred 2.5% cpi'!R$14*Incurred!R$14*BF271)</f>
        <v>310562.25066911575</v>
      </c>
      <c r="S271" s="119">
        <f>IF(ISTEXT('Incurred 2.5% cpi'!S271),"",'Incurred 2.5% cpi'!S271/'Incurred 2.5% cpi'!S$14*Incurred!S$14*BG271)</f>
        <v>828485.76611753623</v>
      </c>
      <c r="T271" s="16">
        <f>IF(ISTEXT('Incurred 2.5% cpi'!T271),"",'Incurred 2.5% cpi'!T271/'Incurred 2.5% cpi'!T$14*Incurred!T$14*BH271)</f>
        <v>2282029.431855828</v>
      </c>
      <c r="U271" s="16">
        <f>IF(ISTEXT('Incurred 2.5% cpi'!U271),"",'Incurred 2.5% cpi'!U271/'Incurred 2.5% cpi'!U$14*Incurred!U$14*BI271)</f>
        <v>2303644.437946843</v>
      </c>
      <c r="V271" s="16">
        <f>IF(ISTEXT('Incurred 2.5% cpi'!V271),"",'Incurred 2.5% cpi'!V271/'Incurred 2.5% cpi'!V$14*Incurred!V$14*BJ271)</f>
        <v>2366235.8316191444</v>
      </c>
      <c r="W271" s="127">
        <f>IF(ISTEXT('Incurred 2.5% cpi'!W271),"",'Incurred 2.5% cpi'!W271/'Incurred 2.5% cpi'!W$14*Incurred!W$14*BK271)</f>
        <v>1557651.558545677</v>
      </c>
      <c r="X271" s="119" t="str">
        <f>IF(ISTEXT('Incurred 2.5% cpi'!X271),"",'Incurred 2.5% cpi'!X271/'Incurred 2.5% cpi'!X$14*Incurred!X$14*BL271)</f>
        <v/>
      </c>
      <c r="Y271" s="95">
        <f t="shared" si="423"/>
        <v>9648609.2767541446</v>
      </c>
      <c r="Z271" s="95">
        <f t="shared" si="420"/>
        <v>9648609.2767541446</v>
      </c>
      <c r="AA271" s="676">
        <f t="shared" si="404"/>
        <v>10023482.942554072</v>
      </c>
      <c r="AB271" s="676">
        <f t="shared" si="409"/>
        <v>10023482.942554072</v>
      </c>
      <c r="AC271" s="677">
        <f t="shared" ref="AC271:AC318" si="424">IF(AF271="","",IF(AF271&lt;AD271,INDEX($F$17:$W$17,1,MATCH(TEXT(AF271,"000"),$F$21:$W$21)),INDEX($F$17:$W$17,1,MATCH(AD271,$F$21:$W$21))))</f>
        <v>1</v>
      </c>
      <c r="AD271" s="678" t="str">
        <f t="shared" si="410"/>
        <v>2023</v>
      </c>
      <c r="AE271" s="679">
        <v>44921</v>
      </c>
      <c r="AF271" s="678">
        <v>2023</v>
      </c>
      <c r="AG271" s="680"/>
      <c r="AH271" s="676">
        <f t="shared" si="405"/>
        <v>9091939.9601301439</v>
      </c>
      <c r="AI271" s="95">
        <f t="shared" si="411"/>
        <v>1557651.558545677</v>
      </c>
      <c r="AJ271" s="681" t="s">
        <v>3058</v>
      </c>
      <c r="AK271" s="37">
        <f t="shared" si="412"/>
        <v>2994494.56300034</v>
      </c>
      <c r="AL271" s="31">
        <f t="shared" si="421"/>
        <v>0</v>
      </c>
      <c r="AM271" s="31">
        <f t="shared" si="421"/>
        <v>0</v>
      </c>
      <c r="AN271" s="31">
        <f t="shared" si="421"/>
        <v>0</v>
      </c>
      <c r="AO271" s="31">
        <f t="shared" si="421"/>
        <v>0</v>
      </c>
      <c r="AP271" s="31">
        <f t="shared" si="421"/>
        <v>0</v>
      </c>
      <c r="AQ271" s="31">
        <f t="shared" si="421"/>
        <v>0</v>
      </c>
      <c r="AR271" s="31">
        <f t="shared" si="421"/>
        <v>0</v>
      </c>
      <c r="AS271" s="31">
        <f t="shared" si="421"/>
        <v>0</v>
      </c>
      <c r="AT271" s="31">
        <f t="shared" si="421"/>
        <v>0</v>
      </c>
      <c r="AU271" s="31">
        <f t="shared" si="421"/>
        <v>0</v>
      </c>
      <c r="AV271" s="31">
        <f t="shared" si="422"/>
        <v>0</v>
      </c>
      <c r="AW271" s="31">
        <f t="shared" si="422"/>
        <v>0</v>
      </c>
      <c r="AX271" s="31">
        <f t="shared" si="422"/>
        <v>0</v>
      </c>
      <c r="AY271" s="31">
        <f t="shared" si="422"/>
        <v>0</v>
      </c>
      <c r="AZ271" s="31">
        <f t="shared" si="422"/>
        <v>0</v>
      </c>
      <c r="BA271" s="31">
        <f t="shared" si="422"/>
        <v>0</v>
      </c>
      <c r="BB271" s="31">
        <f t="shared" si="422"/>
        <v>0</v>
      </c>
      <c r="BC271" s="31">
        <f t="shared" si="422"/>
        <v>0</v>
      </c>
      <c r="BD271" s="31">
        <f t="shared" si="422"/>
        <v>1</v>
      </c>
      <c r="BE271" s="30">
        <f t="shared" si="408"/>
        <v>1</v>
      </c>
      <c r="BF271" s="620">
        <f t="shared" si="385"/>
        <v>1.003627545954092</v>
      </c>
      <c r="BG271" s="620">
        <f t="shared" si="413"/>
        <v>1.0072786709568855</v>
      </c>
      <c r="BH271" s="620">
        <f t="shared" si="414"/>
        <v>1.0115188909360915</v>
      </c>
      <c r="BI271" s="620">
        <f t="shared" si="415"/>
        <v>1.0166453168909513</v>
      </c>
      <c r="BJ271" s="620">
        <f t="shared" si="416"/>
        <v>1.0229673392990613</v>
      </c>
      <c r="BK271" s="620">
        <f t="shared" si="417"/>
        <v>1.0296494296197787</v>
      </c>
      <c r="BL271" s="620">
        <f t="shared" si="418"/>
        <v>1.0345192208352509</v>
      </c>
      <c r="BM271" s="621" t="str">
        <f t="shared" si="419"/>
        <v>Project</v>
      </c>
    </row>
    <row r="272" spans="1:65" x14ac:dyDescent="0.15">
      <c r="A272" s="12" t="s">
        <v>560</v>
      </c>
      <c r="B272" s="13" t="s">
        <v>561</v>
      </c>
      <c r="C272" s="13" t="s">
        <v>27</v>
      </c>
      <c r="D272" s="13" t="s">
        <v>40</v>
      </c>
      <c r="E272" s="13" t="s">
        <v>112</v>
      </c>
      <c r="F272" s="14">
        <v>0</v>
      </c>
      <c r="G272" s="14">
        <v>0</v>
      </c>
      <c r="H272" s="14">
        <v>0</v>
      </c>
      <c r="I272" s="14">
        <v>0</v>
      </c>
      <c r="J272" s="14">
        <v>0</v>
      </c>
      <c r="K272" s="14">
        <v>0</v>
      </c>
      <c r="L272" s="14">
        <v>0</v>
      </c>
      <c r="M272" s="15">
        <v>0</v>
      </c>
      <c r="N272" s="804"/>
      <c r="O272" s="14"/>
      <c r="P272" s="15"/>
      <c r="Q272" s="16" t="str">
        <f>IF(ISTEXT('Incurred 2.5% cpi'!Q272),"",'Incurred 2.5% cpi'!Q272/'Incurred 2.5% cpi'!Q$14*Incurred!Q$14)</f>
        <v/>
      </c>
      <c r="R272" s="127" t="str">
        <f>IF(ISTEXT('Incurred 2.5% cpi'!R272),"",'Incurred 2.5% cpi'!R272/'Incurred 2.5% cpi'!R$14*Incurred!R$14*BF272)</f>
        <v/>
      </c>
      <c r="S272" s="119">
        <f>IF(ISTEXT('Incurred 2.5% cpi'!S272),"",'Incurred 2.5% cpi'!S272/'Incurred 2.5% cpi'!S$14*Incurred!S$14*BG272)</f>
        <v>42496.568211230719</v>
      </c>
      <c r="T272" s="16">
        <f>IF(ISTEXT('Incurred 2.5% cpi'!T272),"",'Incurred 2.5% cpi'!T272/'Incurred 2.5% cpi'!T$14*Incurred!T$14*BH272)</f>
        <v>129278.71125497487</v>
      </c>
      <c r="U272" s="16">
        <f>IF(ISTEXT('Incurred 2.5% cpi'!U272),"",'Incurred 2.5% cpi'!U272/'Incurred 2.5% cpi'!U$14*Incurred!U$14*BI272)</f>
        <v>1417431.6911723958</v>
      </c>
      <c r="V272" s="16">
        <f>IF(ISTEXT('Incurred 2.5% cpi'!V272),"",'Incurred 2.5% cpi'!V272/'Incurred 2.5% cpi'!V$14*Incurred!V$14*BJ272)</f>
        <v>1322171.0693606767</v>
      </c>
      <c r="W272" s="127" t="str">
        <f>IF(ISTEXT('Incurred 2.5% cpi'!W272),"",'Incurred 2.5% cpi'!W272/'Incurred 2.5% cpi'!W$14*Incurred!W$14*BK272)</f>
        <v/>
      </c>
      <c r="X272" s="119" t="str">
        <f>IF(ISTEXT('Incurred 2.5% cpi'!X272),"",'Incurred 2.5% cpi'!X272/'Incurred 2.5% cpi'!X$14*Incurred!X$14*BL272)</f>
        <v/>
      </c>
      <c r="Y272" s="95">
        <f t="shared" si="423"/>
        <v>2911378.0399992783</v>
      </c>
      <c r="Z272" s="95">
        <f t="shared" si="420"/>
        <v>2911378.0399992783</v>
      </c>
      <c r="AA272" s="676">
        <f t="shared" si="404"/>
        <v>3005062.5758502134</v>
      </c>
      <c r="AB272" s="676">
        <f t="shared" si="409"/>
        <v>2947006.5468767416</v>
      </c>
      <c r="AC272" s="677">
        <f t="shared" si="424"/>
        <v>1.0197000000000001</v>
      </c>
      <c r="AD272" s="678" t="str">
        <f t="shared" si="410"/>
        <v>2022</v>
      </c>
      <c r="AE272" s="679">
        <v>44652</v>
      </c>
      <c r="AF272" s="678">
        <v>2022</v>
      </c>
      <c r="AG272" s="680"/>
      <c r="AH272" s="676">
        <f t="shared" si="405"/>
        <v>2725783.9089116394</v>
      </c>
      <c r="AI272" s="95">
        <f t="shared" si="411"/>
        <v>1322171.0693606767</v>
      </c>
      <c r="AJ272" s="681" t="s">
        <v>3058</v>
      </c>
      <c r="AK272" s="37">
        <f t="shared" si="412"/>
        <v>2145445.3497671089</v>
      </c>
      <c r="AL272" s="31">
        <f t="shared" si="421"/>
        <v>0</v>
      </c>
      <c r="AM272" s="31">
        <f t="shared" si="421"/>
        <v>0</v>
      </c>
      <c r="AN272" s="31">
        <f t="shared" si="421"/>
        <v>0</v>
      </c>
      <c r="AO272" s="31">
        <f t="shared" si="421"/>
        <v>0</v>
      </c>
      <c r="AP272" s="31">
        <f t="shared" si="421"/>
        <v>0</v>
      </c>
      <c r="AQ272" s="31">
        <f t="shared" si="421"/>
        <v>0</v>
      </c>
      <c r="AR272" s="31">
        <f t="shared" si="421"/>
        <v>0</v>
      </c>
      <c r="AS272" s="31">
        <f t="shared" si="421"/>
        <v>0</v>
      </c>
      <c r="AT272" s="31">
        <f t="shared" si="421"/>
        <v>0</v>
      </c>
      <c r="AU272" s="31">
        <f t="shared" si="421"/>
        <v>0.91754625676654367</v>
      </c>
      <c r="AV272" s="31">
        <f t="shared" si="422"/>
        <v>0</v>
      </c>
      <c r="AW272" s="31">
        <f t="shared" si="422"/>
        <v>6.3809595525689169E-2</v>
      </c>
      <c r="AX272" s="31">
        <f t="shared" si="422"/>
        <v>0</v>
      </c>
      <c r="AY272" s="31">
        <f t="shared" si="422"/>
        <v>0</v>
      </c>
      <c r="AZ272" s="31">
        <f t="shared" si="422"/>
        <v>1.3983110780825307E-2</v>
      </c>
      <c r="BA272" s="31">
        <f t="shared" si="422"/>
        <v>0</v>
      </c>
      <c r="BB272" s="31">
        <f t="shared" si="422"/>
        <v>4.6610369269417693E-3</v>
      </c>
      <c r="BC272" s="31">
        <f t="shared" si="422"/>
        <v>0</v>
      </c>
      <c r="BD272" s="31">
        <f t="shared" si="422"/>
        <v>0</v>
      </c>
      <c r="BE272" s="30">
        <f t="shared" si="408"/>
        <v>0.99999999999999989</v>
      </c>
      <c r="BF272" s="620">
        <f t="shared" ref="BF272:BF318" si="425">1+IF(ISNA(VLOOKUP($A272,ProjLabEsc,7,FALSE)),VLOOKUP(D272,CatLabEsc,4,FALSE),VLOOKUP(A272,ProjLabEsc,7,FALSE))*Labesc18*LabIn</f>
        <v>1.0015049965191951</v>
      </c>
      <c r="BG272" s="620">
        <f t="shared" si="413"/>
        <v>1.003019775515765</v>
      </c>
      <c r="BH272" s="620">
        <f t="shared" si="414"/>
        <v>1.0047789582773585</v>
      </c>
      <c r="BI272" s="620">
        <f t="shared" si="415"/>
        <v>1.0069058102361248</v>
      </c>
      <c r="BJ272" s="620">
        <f t="shared" si="416"/>
        <v>1.0095286913350525</v>
      </c>
      <c r="BK272" s="620">
        <f t="shared" si="417"/>
        <v>1.012300957434751</v>
      </c>
      <c r="BL272" s="620">
        <f t="shared" si="418"/>
        <v>1.0143213367548876</v>
      </c>
      <c r="BM272" s="621" t="str">
        <f t="shared" si="419"/>
        <v>Project</v>
      </c>
    </row>
    <row r="273" spans="1:65" x14ac:dyDescent="0.15">
      <c r="A273" s="12" t="s">
        <v>563</v>
      </c>
      <c r="B273" s="13" t="s">
        <v>564</v>
      </c>
      <c r="C273" s="13" t="s">
        <v>27</v>
      </c>
      <c r="D273" s="13" t="s">
        <v>40</v>
      </c>
      <c r="E273" s="13" t="s">
        <v>112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5">
        <v>0</v>
      </c>
      <c r="N273" s="804"/>
      <c r="O273" s="14"/>
      <c r="P273" s="15"/>
      <c r="Q273" s="16" t="str">
        <f>IF(ISTEXT('Incurred 2.5% cpi'!Q273),"",'Incurred 2.5% cpi'!Q273/'Incurred 2.5% cpi'!Q$14*Incurred!Q$14)</f>
        <v/>
      </c>
      <c r="R273" s="127" t="str">
        <f>IF(ISTEXT('Incurred 2.5% cpi'!R273),"",'Incurred 2.5% cpi'!R273/'Incurred 2.5% cpi'!R$14*Incurred!R$14*BF273)</f>
        <v/>
      </c>
      <c r="S273" s="119">
        <f>IF(ISTEXT('Incurred 2.5% cpi'!S273),"",'Incurred 2.5% cpi'!S273/'Incurred 2.5% cpi'!S$14*Incurred!S$14*BG273)</f>
        <v>31809.80337146487</v>
      </c>
      <c r="T273" s="16">
        <f>IF(ISTEXT('Incurred 2.5% cpi'!T273),"",'Incurred 2.5% cpi'!T273/'Incurred 2.5% cpi'!T$14*Incurred!T$14*BH273)</f>
        <v>110471.99286132322</v>
      </c>
      <c r="U273" s="16">
        <f>IF(ISTEXT('Incurred 2.5% cpi'!U273),"",'Incurred 2.5% cpi'!U273/'Incurred 2.5% cpi'!U$14*Incurred!U$14*BI273)</f>
        <v>677412.47942061792</v>
      </c>
      <c r="V273" s="16">
        <f>IF(ISTEXT('Incurred 2.5% cpi'!V273),"",'Incurred 2.5% cpi'!V273/'Incurred 2.5% cpi'!V$14*Incurred!V$14*BJ273)</f>
        <v>627518.36920997687</v>
      </c>
      <c r="W273" s="127" t="str">
        <f>IF(ISTEXT('Incurred 2.5% cpi'!W273),"",'Incurred 2.5% cpi'!W273/'Incurred 2.5% cpi'!W$14*Incurred!W$14*BK273)</f>
        <v/>
      </c>
      <c r="X273" s="119" t="str">
        <f>IF(ISTEXT('Incurred 2.5% cpi'!X273),"",'Incurred 2.5% cpi'!X273/'Incurred 2.5% cpi'!X$14*Incurred!X$14*BL273)</f>
        <v/>
      </c>
      <c r="Y273" s="95">
        <f t="shared" si="423"/>
        <v>1447212.6448633829</v>
      </c>
      <c r="Z273" s="95">
        <f t="shared" si="420"/>
        <v>1447212.6448633829</v>
      </c>
      <c r="AA273" s="676">
        <f t="shared" ref="AA273:AA278" si="426">IF(ROUND(Y273,0)=0,0,SUMPRODUCT($F$17:$W$17,F273:W273))</f>
        <v>1495767.7245274128</v>
      </c>
      <c r="AB273" s="676">
        <f t="shared" si="409"/>
        <v>1466870.3780792514</v>
      </c>
      <c r="AC273" s="677">
        <f t="shared" si="424"/>
        <v>1.0197000000000001</v>
      </c>
      <c r="AD273" s="678" t="str">
        <f t="shared" si="410"/>
        <v>2022</v>
      </c>
      <c r="AE273" s="679">
        <v>44652</v>
      </c>
      <c r="AF273" s="678">
        <v>2022</v>
      </c>
      <c r="AG273" s="680"/>
      <c r="AH273" s="676">
        <f t="shared" ref="AH273:AH278" si="427">IF(ROUND(Y273,0)=0,0,SUMPRODUCT($F$16:$W$16,F273:W273))</f>
        <v>1356756.9699718037</v>
      </c>
      <c r="AI273" s="95">
        <f t="shared" si="411"/>
        <v>627518.36920997687</v>
      </c>
      <c r="AJ273" s="681" t="s">
        <v>3058</v>
      </c>
      <c r="AK273" s="37">
        <f t="shared" si="412"/>
        <v>1027459.5999990082</v>
      </c>
      <c r="AL273" s="31">
        <f t="shared" ref="AL273:AU278" si="428">IF($AK273=0,VLOOKUP(MID($A273,4,5),ProjectSplits,AL$20,FALSE),IF(ISNA(VLOOKUP($A273,Estimates,AL$19,FALSE)),VLOOKUP(MID($A273,4,5),ProjectSplits,AL$20,FALSE),VLOOKUP($A273,Estimates,AL$19,FALSE)))</f>
        <v>0</v>
      </c>
      <c r="AM273" s="31">
        <f t="shared" si="428"/>
        <v>0</v>
      </c>
      <c r="AN273" s="31">
        <f t="shared" si="428"/>
        <v>0</v>
      </c>
      <c r="AO273" s="31">
        <f t="shared" si="428"/>
        <v>0</v>
      </c>
      <c r="AP273" s="31">
        <f t="shared" si="428"/>
        <v>0</v>
      </c>
      <c r="AQ273" s="31">
        <f t="shared" si="428"/>
        <v>0</v>
      </c>
      <c r="AR273" s="31">
        <f t="shared" si="428"/>
        <v>0</v>
      </c>
      <c r="AS273" s="31">
        <f t="shared" si="428"/>
        <v>0</v>
      </c>
      <c r="AT273" s="31">
        <f t="shared" si="428"/>
        <v>0</v>
      </c>
      <c r="AU273" s="31">
        <f t="shared" si="428"/>
        <v>0</v>
      </c>
      <c r="AV273" s="31">
        <f t="shared" ref="AV273:BD278" si="429">IF($AK273=0,VLOOKUP(MID($A273,4,5),ProjectSplits,AV$20,FALSE),IF(ISNA(VLOOKUP($A273,Estimates,AV$19,FALSE)),VLOOKUP(MID($A273,4,5),ProjectSplits,AV$20,FALSE),VLOOKUP($A273,Estimates,AV$19,FALSE)))</f>
        <v>0.9508983126936974</v>
      </c>
      <c r="AW273" s="31">
        <f t="shared" si="429"/>
        <v>1.0706017054121249E-2</v>
      </c>
      <c r="AX273" s="31">
        <f t="shared" si="429"/>
        <v>3.839567025218122E-2</v>
      </c>
      <c r="AY273" s="31">
        <f t="shared" si="429"/>
        <v>0</v>
      </c>
      <c r="AZ273" s="31">
        <f t="shared" si="429"/>
        <v>0</v>
      </c>
      <c r="BA273" s="31">
        <f t="shared" si="429"/>
        <v>0</v>
      </c>
      <c r="BB273" s="31">
        <f t="shared" si="429"/>
        <v>0</v>
      </c>
      <c r="BC273" s="31">
        <f t="shared" si="429"/>
        <v>0</v>
      </c>
      <c r="BD273" s="31">
        <f t="shared" si="429"/>
        <v>0</v>
      </c>
      <c r="BE273" s="30">
        <f t="shared" si="408"/>
        <v>0.99999999999999989</v>
      </c>
      <c r="BF273" s="620">
        <f t="shared" si="425"/>
        <v>1.0011267571926963</v>
      </c>
      <c r="BG273" s="620">
        <f t="shared" si="413"/>
        <v>1.002260838307145</v>
      </c>
      <c r="BH273" s="620">
        <f t="shared" si="414"/>
        <v>1.0035778990475597</v>
      </c>
      <c r="BI273" s="620">
        <f t="shared" si="415"/>
        <v>1.0051702254827211</v>
      </c>
      <c r="BJ273" s="620">
        <f t="shared" si="416"/>
        <v>1.007133917827594</v>
      </c>
      <c r="BK273" s="620">
        <f t="shared" si="417"/>
        <v>1.0092094513773817</v>
      </c>
      <c r="BL273" s="620">
        <f t="shared" si="418"/>
        <v>1.0107220641322312</v>
      </c>
      <c r="BM273" s="621" t="str">
        <f t="shared" si="419"/>
        <v>Project</v>
      </c>
    </row>
    <row r="274" spans="1:65" x14ac:dyDescent="0.15">
      <c r="A274" s="12" t="s">
        <v>565</v>
      </c>
      <c r="B274" s="13" t="s">
        <v>566</v>
      </c>
      <c r="C274" s="13" t="s">
        <v>27</v>
      </c>
      <c r="D274" s="13" t="s">
        <v>40</v>
      </c>
      <c r="E274" s="13" t="s">
        <v>112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0</v>
      </c>
      <c r="M274" s="15">
        <v>0</v>
      </c>
      <c r="N274" s="804"/>
      <c r="O274" s="14"/>
      <c r="P274" s="15"/>
      <c r="Q274" s="16" t="str">
        <f>IF(ISTEXT('Incurred 2.5% cpi'!Q274),"",'Incurred 2.5% cpi'!Q274/'Incurred 2.5% cpi'!Q$14*Incurred!Q$14)</f>
        <v/>
      </c>
      <c r="R274" s="127">
        <f>IF(ISTEXT('Incurred 2.5% cpi'!R274),"",'Incurred 2.5% cpi'!R274/'Incurred 2.5% cpi'!R$14*Incurred!R$14*BF274)</f>
        <v>234040.48789285281</v>
      </c>
      <c r="S274" s="119">
        <f>IF(ISTEXT('Incurred 2.5% cpi'!S274),"",'Incurred 2.5% cpi'!S274/'Incurred 2.5% cpi'!S$14*Incurred!S$14*BG274)</f>
        <v>925834.94505742611</v>
      </c>
      <c r="T274" s="16">
        <f>IF(ISTEXT('Incurred 2.5% cpi'!T274),"",'Incurred 2.5% cpi'!T274/'Incurred 2.5% cpi'!T$14*Incurred!T$14*BH274)</f>
        <v>2046161.2278465035</v>
      </c>
      <c r="U274" s="16">
        <f>IF(ISTEXT('Incurred 2.5% cpi'!U274),"",'Incurred 2.5% cpi'!U274/'Incurred 2.5% cpi'!U$14*Incurred!U$14*BI274)</f>
        <v>1264196.696180121</v>
      </c>
      <c r="V274" s="16" t="str">
        <f>IF(ISTEXT('Incurred 2.5% cpi'!V274),"",'Incurred 2.5% cpi'!V274/'Incurred 2.5% cpi'!V$14*Incurred!V$14*BJ274)</f>
        <v/>
      </c>
      <c r="W274" s="127" t="str">
        <f>IF(ISTEXT('Incurred 2.5% cpi'!W274),"",'Incurred 2.5% cpi'!W274/'Incurred 2.5% cpi'!W$14*Incurred!W$14*BK274)</f>
        <v/>
      </c>
      <c r="X274" s="119" t="str">
        <f>IF(ISTEXT('Incurred 2.5% cpi'!X274),"",'Incurred 2.5% cpi'!X274/'Incurred 2.5% cpi'!X$14*Incurred!X$14*BL274)</f>
        <v/>
      </c>
      <c r="Y274" s="95">
        <f t="shared" si="423"/>
        <v>4470233.356976904</v>
      </c>
      <c r="Z274" s="95">
        <f t="shared" si="420"/>
        <v>4470233.356976904</v>
      </c>
      <c r="AA274" s="676">
        <f t="shared" si="426"/>
        <v>4742978.8214958096</v>
      </c>
      <c r="AB274" s="676">
        <f t="shared" si="409"/>
        <v>4561486.0057647033</v>
      </c>
      <c r="AC274" s="677">
        <f t="shared" si="424"/>
        <v>1.0397880900000001</v>
      </c>
      <c r="AD274" s="678" t="str">
        <f t="shared" si="410"/>
        <v>2021</v>
      </c>
      <c r="AE274" s="679">
        <v>44180</v>
      </c>
      <c r="AF274" s="678">
        <v>2021</v>
      </c>
      <c r="AG274" s="680"/>
      <c r="AH274" s="676">
        <f t="shared" si="427"/>
        <v>4302185.0712323999</v>
      </c>
      <c r="AI274" s="95">
        <f t="shared" si="411"/>
        <v>1264196.696180121</v>
      </c>
      <c r="AJ274" s="681" t="s">
        <v>3058</v>
      </c>
      <c r="AK274" s="37">
        <f t="shared" si="412"/>
        <v>2152747.9141771351</v>
      </c>
      <c r="AL274" s="31">
        <f t="shared" si="428"/>
        <v>0</v>
      </c>
      <c r="AM274" s="31">
        <f t="shared" si="428"/>
        <v>0</v>
      </c>
      <c r="AN274" s="31">
        <f t="shared" si="428"/>
        <v>0</v>
      </c>
      <c r="AO274" s="31">
        <f t="shared" si="428"/>
        <v>0</v>
      </c>
      <c r="AP274" s="31">
        <f t="shared" si="428"/>
        <v>0</v>
      </c>
      <c r="AQ274" s="31">
        <f t="shared" si="428"/>
        <v>9.8711046751252304E-3</v>
      </c>
      <c r="AR274" s="31">
        <f t="shared" si="428"/>
        <v>0</v>
      </c>
      <c r="AS274" s="31">
        <f t="shared" si="428"/>
        <v>0</v>
      </c>
      <c r="AT274" s="31">
        <f t="shared" si="428"/>
        <v>0</v>
      </c>
      <c r="AU274" s="31">
        <f t="shared" si="428"/>
        <v>0</v>
      </c>
      <c r="AV274" s="31">
        <f t="shared" si="429"/>
        <v>0</v>
      </c>
      <c r="AW274" s="31">
        <f t="shared" si="429"/>
        <v>0.2708504374340589</v>
      </c>
      <c r="AX274" s="31">
        <f t="shared" si="429"/>
        <v>0.7192784578908159</v>
      </c>
      <c r="AY274" s="31">
        <f t="shared" si="429"/>
        <v>0</v>
      </c>
      <c r="AZ274" s="31">
        <f t="shared" si="429"/>
        <v>0</v>
      </c>
      <c r="BA274" s="31">
        <f t="shared" si="429"/>
        <v>0</v>
      </c>
      <c r="BB274" s="31">
        <f t="shared" si="429"/>
        <v>0</v>
      </c>
      <c r="BC274" s="31">
        <f t="shared" si="429"/>
        <v>0</v>
      </c>
      <c r="BD274" s="31">
        <f t="shared" si="429"/>
        <v>0</v>
      </c>
      <c r="BE274" s="30">
        <f t="shared" si="408"/>
        <v>1</v>
      </c>
      <c r="BF274" s="620">
        <f t="shared" si="425"/>
        <v>1.0036259516135706</v>
      </c>
      <c r="BG274" s="620">
        <f t="shared" si="413"/>
        <v>1.0072754719126296</v>
      </c>
      <c r="BH274" s="620">
        <f t="shared" si="414"/>
        <v>1.0115138282753251</v>
      </c>
      <c r="BI274" s="620">
        <f t="shared" si="415"/>
        <v>1.016638001117824</v>
      </c>
      <c r="BJ274" s="620">
        <f t="shared" si="416"/>
        <v>1.0229572449377011</v>
      </c>
      <c r="BK274" s="620">
        <f t="shared" si="417"/>
        <v>1.0296363984169561</v>
      </c>
      <c r="BL274" s="620">
        <f t="shared" si="418"/>
        <v>1.0345040493134459</v>
      </c>
      <c r="BM274" s="621" t="str">
        <f t="shared" si="419"/>
        <v>Project</v>
      </c>
    </row>
    <row r="275" spans="1:65" x14ac:dyDescent="0.15">
      <c r="A275" s="608" t="s">
        <v>567</v>
      </c>
      <c r="B275" s="609" t="s">
        <v>568</v>
      </c>
      <c r="C275" s="609" t="s">
        <v>27</v>
      </c>
      <c r="D275" s="609" t="s">
        <v>41</v>
      </c>
      <c r="E275" s="609" t="s">
        <v>112</v>
      </c>
      <c r="F275" s="615">
        <v>0</v>
      </c>
      <c r="G275" s="615">
        <v>0</v>
      </c>
      <c r="H275" s="615">
        <v>0</v>
      </c>
      <c r="I275" s="615">
        <v>0</v>
      </c>
      <c r="J275" s="615">
        <v>0</v>
      </c>
      <c r="K275" s="615">
        <v>0</v>
      </c>
      <c r="L275" s="615">
        <v>0</v>
      </c>
      <c r="M275" s="610">
        <v>0</v>
      </c>
      <c r="N275" s="805"/>
      <c r="O275" s="615"/>
      <c r="P275" s="610"/>
      <c r="Q275" s="610" t="str">
        <f>IF(ISTEXT('Incurred 2.5% cpi'!Q275),"",'Incurred 2.5% cpi'!Q275/'Incurred 2.5% cpi'!Q$14*Incurred!Q$14)</f>
        <v/>
      </c>
      <c r="R275" s="611">
        <f>IF(ISTEXT('Incurred 2.5% cpi'!R275),"",'Incurred 2.5% cpi'!R275/'Incurred 2.5% cpi'!R$14*Incurred!R$14*BF275)</f>
        <v>998918.14684621</v>
      </c>
      <c r="S275" s="612">
        <f>IF(ISTEXT('Incurred 2.5% cpi'!S275),"",'Incurred 2.5% cpi'!S275/'Incurred 2.5% cpi'!S$14*Incurred!S$14*BG275)</f>
        <v>2944954.9517595395</v>
      </c>
      <c r="T275" s="610" t="str">
        <f>IF(ISTEXT('Incurred 2.5% cpi'!T275),"",'Incurred 2.5% cpi'!T275/'Incurred 2.5% cpi'!T$14*Incurred!T$14*BH275)</f>
        <v/>
      </c>
      <c r="U275" s="610" t="str">
        <f>IF(ISTEXT('Incurred 2.5% cpi'!U275),"",'Incurred 2.5% cpi'!U275/'Incurred 2.5% cpi'!U$14*Incurred!U$14*BI275)</f>
        <v/>
      </c>
      <c r="V275" s="610" t="str">
        <f>IF(ISTEXT('Incurred 2.5% cpi'!V275),"",'Incurred 2.5% cpi'!V275/'Incurred 2.5% cpi'!V$14*Incurred!V$14*BJ275)</f>
        <v/>
      </c>
      <c r="W275" s="611" t="str">
        <f>IF(ISTEXT('Incurred 2.5% cpi'!W275),"",'Incurred 2.5% cpi'!W275/'Incurred 2.5% cpi'!W$14*Incurred!W$14*BK275)</f>
        <v/>
      </c>
      <c r="X275" s="612" t="str">
        <f>IF(ISTEXT('Incurred 2.5% cpi'!X275),"",'Incurred 2.5% cpi'!X275/'Incurred 2.5% cpi'!X$14*Incurred!X$14*BL275)</f>
        <v/>
      </c>
      <c r="Y275" s="95">
        <f t="shared" si="423"/>
        <v>3943873.0986057497</v>
      </c>
      <c r="Z275" s="95">
        <f t="shared" si="420"/>
        <v>3943873.0986057497</v>
      </c>
      <c r="AA275" s="676">
        <f t="shared" si="426"/>
        <v>4285230.7640122194</v>
      </c>
      <c r="AB275" s="676">
        <f t="shared" si="409"/>
        <v>3963551.7860986204</v>
      </c>
      <c r="AC275" s="683">
        <f t="shared" si="424"/>
        <v>1.0811592721058483</v>
      </c>
      <c r="AD275" s="678" t="str">
        <f t="shared" si="410"/>
        <v>2019</v>
      </c>
      <c r="AE275" s="679">
        <v>44978</v>
      </c>
      <c r="AF275" s="678">
        <v>2019</v>
      </c>
      <c r="AG275" s="680"/>
      <c r="AH275" s="676">
        <f t="shared" si="427"/>
        <v>3886978.3133260957</v>
      </c>
      <c r="AI275" s="95">
        <f t="shared" si="411"/>
        <v>2944954.9517595395</v>
      </c>
      <c r="AJ275" s="681" t="s">
        <v>3058</v>
      </c>
      <c r="AK275" s="37">
        <f t="shared" si="412"/>
        <v>0</v>
      </c>
      <c r="AL275" s="31">
        <f t="shared" si="428"/>
        <v>0</v>
      </c>
      <c r="AM275" s="31">
        <f t="shared" si="428"/>
        <v>0</v>
      </c>
      <c r="AN275" s="31">
        <f t="shared" si="428"/>
        <v>0</v>
      </c>
      <c r="AO275" s="31">
        <f t="shared" si="428"/>
        <v>0</v>
      </c>
      <c r="AP275" s="31">
        <f t="shared" si="428"/>
        <v>0</v>
      </c>
      <c r="AQ275" s="31">
        <f t="shared" si="428"/>
        <v>0</v>
      </c>
      <c r="AR275" s="31">
        <f t="shared" si="428"/>
        <v>0</v>
      </c>
      <c r="AS275" s="31">
        <f t="shared" si="428"/>
        <v>0</v>
      </c>
      <c r="AT275" s="31">
        <f t="shared" si="428"/>
        <v>0</v>
      </c>
      <c r="AU275" s="31">
        <f t="shared" si="428"/>
        <v>0</v>
      </c>
      <c r="AV275" s="31">
        <f t="shared" si="429"/>
        <v>0</v>
      </c>
      <c r="AW275" s="31">
        <f t="shared" si="429"/>
        <v>0</v>
      </c>
      <c r="AX275" s="31">
        <f t="shared" si="429"/>
        <v>0</v>
      </c>
      <c r="AY275" s="31">
        <f t="shared" si="429"/>
        <v>0</v>
      </c>
      <c r="AZ275" s="31">
        <f t="shared" si="429"/>
        <v>0</v>
      </c>
      <c r="BA275" s="31">
        <f t="shared" si="429"/>
        <v>0</v>
      </c>
      <c r="BB275" s="31">
        <f t="shared" si="429"/>
        <v>0</v>
      </c>
      <c r="BC275" s="31">
        <f t="shared" si="429"/>
        <v>0</v>
      </c>
      <c r="BD275" s="31">
        <f t="shared" si="429"/>
        <v>1</v>
      </c>
      <c r="BE275" s="30">
        <f t="shared" si="408"/>
        <v>1</v>
      </c>
      <c r="BF275" s="620">
        <f t="shared" si="425"/>
        <v>1.0029392094402594</v>
      </c>
      <c r="BG275" s="620">
        <f t="shared" si="413"/>
        <v>1.0058975237418804</v>
      </c>
      <c r="BH275" s="620">
        <f t="shared" si="414"/>
        <v>1.0093331506779359</v>
      </c>
      <c r="BI275" s="620">
        <f t="shared" si="415"/>
        <v>1.0134868236436272</v>
      </c>
      <c r="BJ275" s="620">
        <f t="shared" si="416"/>
        <v>1.0186092254487615</v>
      </c>
      <c r="BK275" s="620">
        <f t="shared" si="417"/>
        <v>1.0240233713203426</v>
      </c>
      <c r="BL275" s="620">
        <f t="shared" si="418"/>
        <v>1.0279691066724923</v>
      </c>
      <c r="BM275" s="621" t="str">
        <f t="shared" si="419"/>
        <v>Project</v>
      </c>
    </row>
    <row r="276" spans="1:65" x14ac:dyDescent="0.15">
      <c r="A276" s="608" t="s">
        <v>569</v>
      </c>
      <c r="B276" s="609" t="s">
        <v>570</v>
      </c>
      <c r="C276" s="609" t="s">
        <v>27</v>
      </c>
      <c r="D276" s="609" t="s">
        <v>41</v>
      </c>
      <c r="E276" s="609" t="s">
        <v>112</v>
      </c>
      <c r="F276" s="615">
        <v>0</v>
      </c>
      <c r="G276" s="615">
        <v>0</v>
      </c>
      <c r="H276" s="615">
        <v>0</v>
      </c>
      <c r="I276" s="615">
        <v>0</v>
      </c>
      <c r="J276" s="615">
        <v>0</v>
      </c>
      <c r="K276" s="615">
        <v>0</v>
      </c>
      <c r="L276" s="615">
        <v>0</v>
      </c>
      <c r="M276" s="610">
        <v>0</v>
      </c>
      <c r="N276" s="805"/>
      <c r="O276" s="615"/>
      <c r="P276" s="610"/>
      <c r="Q276" s="610" t="str">
        <f>IF(ISTEXT('Incurred 2.5% cpi'!Q276),"",'Incurred 2.5% cpi'!Q276/'Incurred 2.5% cpi'!Q$14*Incurred!Q$14)</f>
        <v/>
      </c>
      <c r="R276" s="611">
        <f>IF(ISTEXT('Incurred 2.5% cpi'!R276),"",'Incurred 2.5% cpi'!R276/'Incurred 2.5% cpi'!R$14*Incurred!R$14*BF276)</f>
        <v>58505.650994618481</v>
      </c>
      <c r="S276" s="612">
        <f>IF(ISTEXT('Incurred 2.5% cpi'!S276),"",'Incurred 2.5% cpi'!S276/'Incurred 2.5% cpi'!S$14*Incurred!S$14*BG276)</f>
        <v>850121.56759375031</v>
      </c>
      <c r="T276" s="610">
        <f>IF(ISTEXT('Incurred 2.5% cpi'!T276),"",'Incurred 2.5% cpi'!T276/'Incurred 2.5% cpi'!T$14*Incurred!T$14*BH276)</f>
        <v>3014297.3277718634</v>
      </c>
      <c r="U276" s="610">
        <f>IF(ISTEXT('Incurred 2.5% cpi'!U276),"",'Incurred 2.5% cpi'!U276/'Incurred 2.5% cpi'!U$14*Incurred!U$14*BI276)</f>
        <v>5188480.0249937009</v>
      </c>
      <c r="V276" s="610" t="str">
        <f>IF(ISTEXT('Incurred 2.5% cpi'!V276),"",'Incurred 2.5% cpi'!V276/'Incurred 2.5% cpi'!V$14*Incurred!V$14*BJ276)</f>
        <v/>
      </c>
      <c r="W276" s="611" t="str">
        <f>IF(ISTEXT('Incurred 2.5% cpi'!W276),"",'Incurred 2.5% cpi'!W276/'Incurred 2.5% cpi'!W$14*Incurred!W$14*BK276)</f>
        <v/>
      </c>
      <c r="X276" s="612" t="str">
        <f>IF(ISTEXT('Incurred 2.5% cpi'!X276),"",'Incurred 2.5% cpi'!X276/'Incurred 2.5% cpi'!X$14*Incurred!X$14*BL276)</f>
        <v/>
      </c>
      <c r="Y276" s="95">
        <f t="shared" si="423"/>
        <v>9111404.5713539328</v>
      </c>
      <c r="Z276" s="95">
        <f t="shared" si="420"/>
        <v>9111404.5713539328</v>
      </c>
      <c r="AA276" s="676">
        <f t="shared" si="426"/>
        <v>9574511.3810390607</v>
      </c>
      <c r="AB276" s="676">
        <f t="shared" si="409"/>
        <v>9208137.1897989903</v>
      </c>
      <c r="AC276" s="677">
        <f t="shared" si="424"/>
        <v>1.0397880900000001</v>
      </c>
      <c r="AD276" s="678" t="str">
        <f t="shared" si="410"/>
        <v>2021</v>
      </c>
      <c r="AE276" s="679">
        <v>44908</v>
      </c>
      <c r="AF276" s="678">
        <v>2021</v>
      </c>
      <c r="AG276" s="680"/>
      <c r="AH276" s="676">
        <f t="shared" si="427"/>
        <v>8684694.0452625304</v>
      </c>
      <c r="AI276" s="95">
        <f t="shared" si="411"/>
        <v>5188480.0249937009</v>
      </c>
      <c r="AJ276" s="681" t="s">
        <v>3058</v>
      </c>
      <c r="AK276" s="37">
        <f t="shared" si="412"/>
        <v>0</v>
      </c>
      <c r="AL276" s="31">
        <f t="shared" si="428"/>
        <v>0</v>
      </c>
      <c r="AM276" s="31">
        <f t="shared" si="428"/>
        <v>0</v>
      </c>
      <c r="AN276" s="31">
        <f t="shared" si="428"/>
        <v>0</v>
      </c>
      <c r="AO276" s="31">
        <f t="shared" si="428"/>
        <v>0</v>
      </c>
      <c r="AP276" s="31">
        <f t="shared" si="428"/>
        <v>0</v>
      </c>
      <c r="AQ276" s="31">
        <f t="shared" si="428"/>
        <v>0</v>
      </c>
      <c r="AR276" s="31">
        <f t="shared" si="428"/>
        <v>0</v>
      </c>
      <c r="AS276" s="31">
        <f t="shared" si="428"/>
        <v>0</v>
      </c>
      <c r="AT276" s="31">
        <f t="shared" si="428"/>
        <v>0</v>
      </c>
      <c r="AU276" s="31">
        <f t="shared" si="428"/>
        <v>0</v>
      </c>
      <c r="AV276" s="31">
        <f t="shared" si="429"/>
        <v>0</v>
      </c>
      <c r="AW276" s="31">
        <f t="shared" si="429"/>
        <v>0</v>
      </c>
      <c r="AX276" s="31">
        <f t="shared" si="429"/>
        <v>0</v>
      </c>
      <c r="AY276" s="31">
        <f t="shared" si="429"/>
        <v>0</v>
      </c>
      <c r="AZ276" s="31">
        <f t="shared" si="429"/>
        <v>0</v>
      </c>
      <c r="BA276" s="31">
        <f t="shared" si="429"/>
        <v>0</v>
      </c>
      <c r="BB276" s="31">
        <f t="shared" si="429"/>
        <v>0</v>
      </c>
      <c r="BC276" s="31">
        <f t="shared" si="429"/>
        <v>0</v>
      </c>
      <c r="BD276" s="31">
        <f t="shared" si="429"/>
        <v>1</v>
      </c>
      <c r="BE276" s="30">
        <f t="shared" si="408"/>
        <v>1</v>
      </c>
      <c r="BF276" s="620">
        <f t="shared" si="425"/>
        <v>1.0043960733921258</v>
      </c>
      <c r="BG276" s="620">
        <f t="shared" si="413"/>
        <v>1.0088207212613001</v>
      </c>
      <c r="BH276" s="620">
        <f t="shared" si="414"/>
        <v>1.0139592690462897</v>
      </c>
      <c r="BI276" s="620">
        <f t="shared" si="415"/>
        <v>1.0201717733183417</v>
      </c>
      <c r="BJ276" s="620">
        <f t="shared" si="416"/>
        <v>1.027833171642287</v>
      </c>
      <c r="BK276" s="620">
        <f t="shared" si="417"/>
        <v>1.035930921425319</v>
      </c>
      <c r="BL276" s="620">
        <f t="shared" si="418"/>
        <v>1.0418324206367615</v>
      </c>
      <c r="BM276" s="621" t="str">
        <f t="shared" si="419"/>
        <v>Project</v>
      </c>
    </row>
    <row r="277" spans="1:65" x14ac:dyDescent="0.15">
      <c r="A277" s="12" t="s">
        <v>571</v>
      </c>
      <c r="B277" s="13" t="s">
        <v>572</v>
      </c>
      <c r="C277" s="13" t="s">
        <v>27</v>
      </c>
      <c r="D277" s="13" t="s">
        <v>31</v>
      </c>
      <c r="E277" s="13" t="s">
        <v>112</v>
      </c>
      <c r="F277" s="14">
        <v>0</v>
      </c>
      <c r="G277" s="14">
        <v>0</v>
      </c>
      <c r="H277" s="14">
        <v>0</v>
      </c>
      <c r="I277" s="14">
        <v>0</v>
      </c>
      <c r="J277" s="14">
        <v>0</v>
      </c>
      <c r="K277" s="14">
        <v>0</v>
      </c>
      <c r="L277" s="14">
        <v>0</v>
      </c>
      <c r="M277" s="15">
        <v>0</v>
      </c>
      <c r="N277" s="804"/>
      <c r="O277" s="14"/>
      <c r="P277" s="15"/>
      <c r="Q277" s="16" t="str">
        <f>IF(ISTEXT('Incurred 2.5% cpi'!Q277),"",'Incurred 2.5% cpi'!Q277/'Incurred 2.5% cpi'!Q$14*Incurred!Q$14)</f>
        <v/>
      </c>
      <c r="R277" s="127" t="str">
        <f>IF(ISTEXT('Incurred 2.5% cpi'!R277),"",'Incurred 2.5% cpi'!R277/'Incurred 2.5% cpi'!R$14*Incurred!R$14*BF277)</f>
        <v/>
      </c>
      <c r="S277" s="119">
        <f>IF(ISTEXT('Incurred 2.5% cpi'!S277),"",'Incurred 2.5% cpi'!S277/'Incurred 2.5% cpi'!S$14*Incurred!S$14*BG277)</f>
        <v>85995.808984695512</v>
      </c>
      <c r="T277" s="16">
        <f>IF(ISTEXT('Incurred 2.5% cpi'!T277),"",'Incurred 2.5% cpi'!T277/'Incurred 2.5% cpi'!T$14*Incurred!T$14*BH277)</f>
        <v>1299535.0788047488</v>
      </c>
      <c r="U277" s="16">
        <f>IF(ISTEXT('Incurred 2.5% cpi'!U277),"",'Incurred 2.5% cpi'!U277/'Incurred 2.5% cpi'!U$14*Incurred!U$14*BI277)</f>
        <v>5287371.4464952452</v>
      </c>
      <c r="V277" s="16">
        <f>IF(ISTEXT('Incurred 2.5% cpi'!V277),"",'Incurred 2.5% cpi'!V277/'Incurred 2.5% cpi'!V$14*Incurred!V$14*BJ277)</f>
        <v>6890.1212772672434</v>
      </c>
      <c r="W277" s="127" t="str">
        <f>IF(ISTEXT('Incurred 2.5% cpi'!W277),"",'Incurred 2.5% cpi'!W277/'Incurred 2.5% cpi'!W$14*Incurred!W$14*BK277)</f>
        <v/>
      </c>
      <c r="X277" s="119" t="str">
        <f>IF(ISTEXT('Incurred 2.5% cpi'!X277),"",'Incurred 2.5% cpi'!X277/'Incurred 2.5% cpi'!X$14*Incurred!X$14*BL277)</f>
        <v/>
      </c>
      <c r="Y277" s="95">
        <f t="shared" si="423"/>
        <v>6679792.4555619564</v>
      </c>
      <c r="Z277" s="95">
        <f t="shared" si="420"/>
        <v>6679792.4555619564</v>
      </c>
      <c r="AA277" s="676">
        <f t="shared" si="426"/>
        <v>6975607.4274830176</v>
      </c>
      <c r="AB277" s="676">
        <f t="shared" si="409"/>
        <v>6708681.7925400715</v>
      </c>
      <c r="AC277" s="677">
        <f t="shared" si="424"/>
        <v>1.0397880900000001</v>
      </c>
      <c r="AD277" s="678" t="str">
        <f t="shared" si="410"/>
        <v>2022</v>
      </c>
      <c r="AE277" s="679">
        <v>44305</v>
      </c>
      <c r="AF277" s="678">
        <v>2021</v>
      </c>
      <c r="AG277" s="680"/>
      <c r="AH277" s="676">
        <f t="shared" si="427"/>
        <v>6327321.9777588667</v>
      </c>
      <c r="AI277" s="95">
        <f t="shared" si="411"/>
        <v>6890.1212772672434</v>
      </c>
      <c r="AJ277" s="681" t="s">
        <v>3058</v>
      </c>
      <c r="AK277" s="37">
        <f t="shared" si="412"/>
        <v>3795258.1264123372</v>
      </c>
      <c r="AL277" s="31">
        <f t="shared" si="428"/>
        <v>0</v>
      </c>
      <c r="AM277" s="31">
        <f t="shared" si="428"/>
        <v>2.6106899965632317E-2</v>
      </c>
      <c r="AN277" s="31">
        <f t="shared" si="428"/>
        <v>0.16177074430254343</v>
      </c>
      <c r="AO277" s="31">
        <f t="shared" si="428"/>
        <v>0</v>
      </c>
      <c r="AP277" s="31">
        <f t="shared" si="428"/>
        <v>0</v>
      </c>
      <c r="AQ277" s="31">
        <f t="shared" si="428"/>
        <v>0</v>
      </c>
      <c r="AR277" s="31">
        <f t="shared" si="428"/>
        <v>0</v>
      </c>
      <c r="AS277" s="31">
        <f t="shared" si="428"/>
        <v>0</v>
      </c>
      <c r="AT277" s="31">
        <f t="shared" si="428"/>
        <v>0</v>
      </c>
      <c r="AU277" s="31">
        <f t="shared" si="428"/>
        <v>0.44869940966227667</v>
      </c>
      <c r="AV277" s="31">
        <f t="shared" si="429"/>
        <v>0</v>
      </c>
      <c r="AW277" s="31">
        <f t="shared" si="429"/>
        <v>9.3520351622760664E-2</v>
      </c>
      <c r="AX277" s="31">
        <f t="shared" si="429"/>
        <v>0</v>
      </c>
      <c r="AY277" s="31">
        <f t="shared" si="429"/>
        <v>0</v>
      </c>
      <c r="AZ277" s="31">
        <f t="shared" si="429"/>
        <v>0.19533586128296904</v>
      </c>
      <c r="BA277" s="31">
        <f t="shared" si="429"/>
        <v>7.3249299715693883E-2</v>
      </c>
      <c r="BB277" s="31">
        <f t="shared" si="429"/>
        <v>1.3174334481239906E-3</v>
      </c>
      <c r="BC277" s="31">
        <f t="shared" si="429"/>
        <v>0</v>
      </c>
      <c r="BD277" s="31">
        <f t="shared" si="429"/>
        <v>0</v>
      </c>
      <c r="BE277" s="30">
        <f t="shared" si="408"/>
        <v>0.99999999999999989</v>
      </c>
      <c r="BF277" s="620">
        <f t="shared" si="425"/>
        <v>1.0031222795856722</v>
      </c>
      <c r="BG277" s="620">
        <f t="shared" si="413"/>
        <v>1.0062648539886514</v>
      </c>
      <c r="BH277" s="620">
        <f t="shared" si="414"/>
        <v>1.0099144706847265</v>
      </c>
      <c r="BI277" s="620">
        <f t="shared" si="415"/>
        <v>1.0143268572702815</v>
      </c>
      <c r="BJ277" s="620">
        <f t="shared" si="416"/>
        <v>1.019768310460623</v>
      </c>
      <c r="BK277" s="620">
        <f t="shared" si="417"/>
        <v>1.0255196791440326</v>
      </c>
      <c r="BL277" s="620">
        <f t="shared" si="418"/>
        <v>1.0297111766166984</v>
      </c>
      <c r="BM277" s="621" t="str">
        <f t="shared" si="419"/>
        <v>Category</v>
      </c>
    </row>
    <row r="278" spans="1:65" x14ac:dyDescent="0.15">
      <c r="A278" s="12" t="s">
        <v>573</v>
      </c>
      <c r="B278" s="13" t="s">
        <v>2324</v>
      </c>
      <c r="C278" s="13" t="s">
        <v>27</v>
      </c>
      <c r="D278" s="13" t="s">
        <v>55</v>
      </c>
      <c r="E278" s="13" t="s">
        <v>112</v>
      </c>
      <c r="F278" s="14">
        <v>0</v>
      </c>
      <c r="G278" s="14">
        <v>0</v>
      </c>
      <c r="H278" s="14">
        <v>0</v>
      </c>
      <c r="I278" s="14">
        <v>0</v>
      </c>
      <c r="J278" s="14">
        <v>0</v>
      </c>
      <c r="K278" s="14">
        <v>0</v>
      </c>
      <c r="L278" s="14">
        <v>0</v>
      </c>
      <c r="M278" s="15">
        <v>0</v>
      </c>
      <c r="N278" s="804"/>
      <c r="O278" s="14"/>
      <c r="P278" s="15"/>
      <c r="Q278" s="16" t="str">
        <f>IF(ISTEXT('Incurred 2.5% cpi'!Q278),"",'Incurred 2.5% cpi'!Q278/'Incurred 2.5% cpi'!Q$14*Incurred!Q$14)</f>
        <v/>
      </c>
      <c r="R278" s="127">
        <f>IF(ISTEXT('Incurred 2.5% cpi'!R278),"",'Incurred 2.5% cpi'!R278/'Incurred 2.5% cpi'!R$14*Incurred!R$14*BF278)</f>
        <v>351558.79694384697</v>
      </c>
      <c r="S278" s="119">
        <f>IF(ISTEXT('Incurred 2.5% cpi'!S278),"",'Incurred 2.5% cpi'!S278/'Incurred 2.5% cpi'!S$14*Incurred!S$14*BG278)</f>
        <v>2421.2014567742767</v>
      </c>
      <c r="T278" s="16" t="str">
        <f>IF(ISTEXT('Incurred 2.5% cpi'!T278),"",'Incurred 2.5% cpi'!T278/'Incurred 2.5% cpi'!T$14*Incurred!T$14*BH278)</f>
        <v/>
      </c>
      <c r="U278" s="16" t="str">
        <f>IF(ISTEXT('Incurred 2.5% cpi'!U278),"",'Incurred 2.5% cpi'!U278/'Incurred 2.5% cpi'!U$14*Incurred!U$14*BI278)</f>
        <v/>
      </c>
      <c r="V278" s="16" t="str">
        <f>IF(ISTEXT('Incurred 2.5% cpi'!V278),"",'Incurred 2.5% cpi'!V278/'Incurred 2.5% cpi'!V$14*Incurred!V$14*BJ278)</f>
        <v/>
      </c>
      <c r="W278" s="127" t="str">
        <f>IF(ISTEXT('Incurred 2.5% cpi'!W278),"",'Incurred 2.5% cpi'!W278/'Incurred 2.5% cpi'!W$14*Incurred!W$14*BK278)</f>
        <v/>
      </c>
      <c r="X278" s="119" t="str">
        <f>IF(ISTEXT('Incurred 2.5% cpi'!X278),"",'Incurred 2.5% cpi'!X278/'Incurred 2.5% cpi'!X$14*Incurred!X$14*BL278)</f>
        <v/>
      </c>
      <c r="Y278" s="95">
        <f t="shared" si="423"/>
        <v>353979.99840062123</v>
      </c>
      <c r="Z278" s="95">
        <f t="shared" si="420"/>
        <v>353979.99840062123</v>
      </c>
      <c r="AA278" s="676">
        <f t="shared" si="426"/>
        <v>390196.55115506746</v>
      </c>
      <c r="AB278" s="676">
        <f t="shared" si="409"/>
        <v>353933.22222262918</v>
      </c>
      <c r="AC278" s="677">
        <f t="shared" si="424"/>
        <v>1.1024581097663335</v>
      </c>
      <c r="AD278" s="678" t="str">
        <f t="shared" si="410"/>
        <v>2019</v>
      </c>
      <c r="AE278" s="679">
        <v>43203</v>
      </c>
      <c r="AF278" s="678">
        <v>2018</v>
      </c>
      <c r="AG278" s="680"/>
      <c r="AH278" s="676">
        <f t="shared" si="427"/>
        <v>353933.22222262924</v>
      </c>
      <c r="AI278" s="95">
        <f t="shared" si="411"/>
        <v>2421.2014567742767</v>
      </c>
      <c r="AJ278" s="681" t="s">
        <v>0</v>
      </c>
      <c r="AK278" s="37">
        <f t="shared" si="412"/>
        <v>67400.000000000015</v>
      </c>
      <c r="AL278" s="31">
        <f t="shared" si="428"/>
        <v>0</v>
      </c>
      <c r="AM278" s="31">
        <f t="shared" si="428"/>
        <v>0</v>
      </c>
      <c r="AN278" s="31">
        <f t="shared" si="428"/>
        <v>0</v>
      </c>
      <c r="AO278" s="31">
        <f t="shared" si="428"/>
        <v>1</v>
      </c>
      <c r="AP278" s="31">
        <f t="shared" si="428"/>
        <v>0</v>
      </c>
      <c r="AQ278" s="31">
        <f t="shared" si="428"/>
        <v>0</v>
      </c>
      <c r="AR278" s="31">
        <f t="shared" si="428"/>
        <v>0</v>
      </c>
      <c r="AS278" s="31">
        <f t="shared" si="428"/>
        <v>0</v>
      </c>
      <c r="AT278" s="31">
        <f t="shared" si="428"/>
        <v>0</v>
      </c>
      <c r="AU278" s="31">
        <f t="shared" si="428"/>
        <v>0</v>
      </c>
      <c r="AV278" s="31">
        <f t="shared" si="429"/>
        <v>0</v>
      </c>
      <c r="AW278" s="31">
        <f t="shared" si="429"/>
        <v>0</v>
      </c>
      <c r="AX278" s="31">
        <f t="shared" si="429"/>
        <v>0</v>
      </c>
      <c r="AY278" s="31">
        <f t="shared" si="429"/>
        <v>0</v>
      </c>
      <c r="AZ278" s="31">
        <f t="shared" si="429"/>
        <v>0</v>
      </c>
      <c r="BA278" s="31">
        <f t="shared" si="429"/>
        <v>0</v>
      </c>
      <c r="BB278" s="31">
        <f t="shared" si="429"/>
        <v>0</v>
      </c>
      <c r="BC278" s="31">
        <f t="shared" si="429"/>
        <v>0</v>
      </c>
      <c r="BD278" s="31">
        <f t="shared" si="429"/>
        <v>0</v>
      </c>
      <c r="BE278" s="30">
        <f t="shared" si="408"/>
        <v>1</v>
      </c>
      <c r="BF278" s="620">
        <f t="shared" si="425"/>
        <v>1.0046190746045656</v>
      </c>
      <c r="BG278" s="620">
        <f t="shared" si="413"/>
        <v>1.0092681731940607</v>
      </c>
      <c r="BH278" s="620">
        <f t="shared" si="414"/>
        <v>1.0146673859598225</v>
      </c>
      <c r="BI278" s="620">
        <f t="shared" si="415"/>
        <v>1.0211950341936284</v>
      </c>
      <c r="BJ278" s="620">
        <f t="shared" si="416"/>
        <v>1.0292450750544078</v>
      </c>
      <c r="BK278" s="620">
        <f t="shared" si="417"/>
        <v>1.0377536023333034</v>
      </c>
      <c r="BL278" s="620">
        <f t="shared" si="418"/>
        <v>1.0439544690397748</v>
      </c>
      <c r="BM278" s="621" t="str">
        <f t="shared" si="419"/>
        <v>Category</v>
      </c>
    </row>
    <row r="279" spans="1:65" x14ac:dyDescent="0.15">
      <c r="A279" s="12" t="s">
        <v>575</v>
      </c>
      <c r="B279" s="13" t="s">
        <v>576</v>
      </c>
      <c r="C279" s="13" t="s">
        <v>27</v>
      </c>
      <c r="D279" s="13" t="s">
        <v>54</v>
      </c>
      <c r="E279" s="13" t="s">
        <v>29</v>
      </c>
      <c r="F279" s="14">
        <v>0</v>
      </c>
      <c r="G279" s="14">
        <v>0</v>
      </c>
      <c r="H279" s="14">
        <v>0</v>
      </c>
      <c r="I279" s="14">
        <v>0</v>
      </c>
      <c r="J279" s="14">
        <v>0</v>
      </c>
      <c r="K279" s="14">
        <v>0</v>
      </c>
      <c r="L279" s="14">
        <v>0</v>
      </c>
      <c r="M279" s="15">
        <v>0</v>
      </c>
      <c r="N279" s="804"/>
      <c r="O279" s="14"/>
      <c r="P279" s="15">
        <v>162054.01999999999</v>
      </c>
      <c r="Q279" s="16">
        <f>IF(ISTEXT('Incurred 2.5% cpi'!Q279),"",'Incurred 2.5% cpi'!Q279/'Incurred 2.5% cpi'!Q$14*Incurred!Q$14)</f>
        <v>362504.21</v>
      </c>
      <c r="R279" s="127">
        <f>IF(ISTEXT('Incurred 2.5% cpi'!R279),"",'Incurred 2.5% cpi'!R279/'Incurred 2.5% cpi'!R$14*Incurred!R$14*BF279)</f>
        <v>3138055.6185482508</v>
      </c>
      <c r="S279" s="119">
        <f>IF(ISTEXT('Incurred 2.5% cpi'!S279),"",'Incurred 2.5% cpi'!S279/'Incurred 2.5% cpi'!S$14*Incurred!S$14*BG279)</f>
        <v>720817.82283429708</v>
      </c>
      <c r="T279" s="16" t="str">
        <f>IF(ISTEXT('Incurred 2.5% cpi'!T279),"",'Incurred 2.5% cpi'!T279/'Incurred 2.5% cpi'!T$14*Incurred!T$14*BH279)</f>
        <v/>
      </c>
      <c r="U279" s="16" t="str">
        <f>IF(ISTEXT('Incurred 2.5% cpi'!U279),"",'Incurred 2.5% cpi'!U279/'Incurred 2.5% cpi'!U$14*Incurred!U$14*BI279)</f>
        <v/>
      </c>
      <c r="V279" s="16" t="str">
        <f>IF(ISTEXT('Incurred 2.5% cpi'!V279),"",'Incurred 2.5% cpi'!V279/'Incurred 2.5% cpi'!V$14*Incurred!V$14*BJ279)</f>
        <v/>
      </c>
      <c r="W279" s="127" t="str">
        <f>IF(ISTEXT('Incurred 2.5% cpi'!W279),"",'Incurred 2.5% cpi'!W279/'Incurred 2.5% cpi'!W$14*Incurred!W$14*BK279)</f>
        <v/>
      </c>
      <c r="X279" s="119" t="str">
        <f>IF(ISTEXT('Incurred 2.5% cpi'!X279),"",'Incurred 2.5% cpi'!X279/'Incurred 2.5% cpi'!X$14*Incurred!X$14*BL279)</f>
        <v/>
      </c>
      <c r="Y279" s="95">
        <f t="shared" si="423"/>
        <v>4383431.6713825483</v>
      </c>
      <c r="Z279" s="95">
        <f t="shared" si="420"/>
        <v>4383431.6713825483</v>
      </c>
      <c r="AA279" s="676">
        <f>IF(ROUND(Y279,0)=0,0,SUMPRODUCT($F$17:$W$17,F279:W279))</f>
        <v>4832178.6847169204</v>
      </c>
      <c r="AB279" s="676">
        <f t="shared" si="409"/>
        <v>4469442.0233801017</v>
      </c>
      <c r="AC279" s="677">
        <f t="shared" si="424"/>
        <v>1.0811592721058483</v>
      </c>
      <c r="AD279" s="678" t="str">
        <f t="shared" si="410"/>
        <v>2019</v>
      </c>
      <c r="AE279" s="679">
        <v>43357</v>
      </c>
      <c r="AF279" s="678">
        <v>2019</v>
      </c>
      <c r="AG279" s="680"/>
      <c r="AH279" s="676">
        <f>IF(ROUND(Y279,0)=0,0,SUMPRODUCT($F$16:$W$16,F279:W279))</f>
        <v>4383095.0508778086</v>
      </c>
      <c r="AI279" s="95">
        <f t="shared" si="411"/>
        <v>720817.82283429708</v>
      </c>
      <c r="AJ279" s="681" t="s">
        <v>3058</v>
      </c>
      <c r="AK279" s="37">
        <f t="shared" si="412"/>
        <v>0</v>
      </c>
      <c r="AL279" s="31">
        <f t="shared" ref="AL279:AU282" si="430">IF($AK279=0,VLOOKUP(MID($A279,4,5),ProjectSplits,AL$20,FALSE),IF(ISNA(VLOOKUP($A279,Estimates,AL$19,FALSE)),VLOOKUP(MID($A279,4,5),ProjectSplits,AL$20,FALSE),VLOOKUP($A279,Estimates,AL$19,FALSE)))</f>
        <v>0</v>
      </c>
      <c r="AM279" s="31">
        <f t="shared" si="430"/>
        <v>0</v>
      </c>
      <c r="AN279" s="31">
        <f t="shared" si="430"/>
        <v>0</v>
      </c>
      <c r="AO279" s="31">
        <f t="shared" si="430"/>
        <v>0</v>
      </c>
      <c r="AP279" s="31">
        <f t="shared" si="430"/>
        <v>0</v>
      </c>
      <c r="AQ279" s="31">
        <f t="shared" si="430"/>
        <v>0</v>
      </c>
      <c r="AR279" s="31">
        <f t="shared" si="430"/>
        <v>0</v>
      </c>
      <c r="AS279" s="31">
        <f t="shared" si="430"/>
        <v>0</v>
      </c>
      <c r="AT279" s="31">
        <f t="shared" si="430"/>
        <v>0</v>
      </c>
      <c r="AU279" s="31">
        <f t="shared" si="430"/>
        <v>0.42</v>
      </c>
      <c r="AV279" s="31">
        <f t="shared" ref="AV279:BD282" si="431">IF($AK279=0,VLOOKUP(MID($A279,4,5),ProjectSplits,AV$20,FALSE),IF(ISNA(VLOOKUP($A279,Estimates,AV$19,FALSE)),VLOOKUP(MID($A279,4,5),ProjectSplits,AV$20,FALSE),VLOOKUP($A279,Estimates,AV$19,FALSE)))</f>
        <v>0.15</v>
      </c>
      <c r="AW279" s="31">
        <f t="shared" si="431"/>
        <v>0.2</v>
      </c>
      <c r="AX279" s="31">
        <f t="shared" si="431"/>
        <v>0</v>
      </c>
      <c r="AY279" s="31">
        <f t="shared" si="431"/>
        <v>0</v>
      </c>
      <c r="AZ279" s="31">
        <f t="shared" si="431"/>
        <v>0.23</v>
      </c>
      <c r="BA279" s="31">
        <f t="shared" si="431"/>
        <v>0</v>
      </c>
      <c r="BB279" s="31">
        <f t="shared" si="431"/>
        <v>0</v>
      </c>
      <c r="BC279" s="31">
        <f t="shared" si="431"/>
        <v>0</v>
      </c>
      <c r="BD279" s="31">
        <f t="shared" si="431"/>
        <v>0</v>
      </c>
      <c r="BE279" s="30">
        <f t="shared" ref="BE279:BE282" si="432">SUM(AL279:BD279)</f>
        <v>1</v>
      </c>
      <c r="BF279" s="620">
        <f t="shared" si="425"/>
        <v>1.0030818160192299</v>
      </c>
      <c r="BG279" s="620">
        <f t="shared" si="413"/>
        <v>1.006183663842585</v>
      </c>
      <c r="BH279" s="620">
        <f t="shared" si="414"/>
        <v>1.0097859828820543</v>
      </c>
      <c r="BI279" s="620">
        <f t="shared" si="415"/>
        <v>1.0141411866007726</v>
      </c>
      <c r="BJ279" s="620">
        <f t="shared" si="416"/>
        <v>1.0195121206090012</v>
      </c>
      <c r="BK279" s="620">
        <f t="shared" si="417"/>
        <v>1.0251889537223347</v>
      </c>
      <c r="BL279" s="620">
        <f t="shared" si="418"/>
        <v>1.0293261309677997</v>
      </c>
      <c r="BM279" s="621" t="str">
        <f t="shared" si="419"/>
        <v>Category</v>
      </c>
    </row>
    <row r="280" spans="1:65" x14ac:dyDescent="0.15">
      <c r="A280" s="12" t="s">
        <v>577</v>
      </c>
      <c r="B280" s="13" t="s">
        <v>578</v>
      </c>
      <c r="C280" s="13" t="s">
        <v>27</v>
      </c>
      <c r="D280" s="13" t="s">
        <v>54</v>
      </c>
      <c r="E280" s="13" t="s">
        <v>29</v>
      </c>
      <c r="F280" s="14">
        <v>0</v>
      </c>
      <c r="G280" s="14">
        <v>0</v>
      </c>
      <c r="H280" s="14">
        <v>0</v>
      </c>
      <c r="I280" s="14">
        <v>0</v>
      </c>
      <c r="J280" s="14">
        <v>0</v>
      </c>
      <c r="K280" s="14">
        <v>0</v>
      </c>
      <c r="L280" s="14">
        <v>0</v>
      </c>
      <c r="M280" s="15">
        <v>0</v>
      </c>
      <c r="N280" s="804"/>
      <c r="O280" s="14"/>
      <c r="P280" s="15">
        <v>51133.84</v>
      </c>
      <c r="Q280" s="16">
        <f>IF(ISTEXT('Incurred 2.5% cpi'!Q280),"",'Incurred 2.5% cpi'!Q280/'Incurred 2.5% cpi'!Q$14*Incurred!Q$14)</f>
        <v>151501.21</v>
      </c>
      <c r="R280" s="127">
        <f>IF(ISTEXT('Incurred 2.5% cpi'!R280),"",'Incurred 2.5% cpi'!R280/'Incurred 2.5% cpi'!R$14*Incurred!R$14*BF280)</f>
        <v>258403.0229135484</v>
      </c>
      <c r="S280" s="119">
        <f>IF(ISTEXT('Incurred 2.5% cpi'!S280),"",'Incurred 2.5% cpi'!S280/'Incurred 2.5% cpi'!S$14*Incurred!S$14*BG280)</f>
        <v>1708858.1364452846</v>
      </c>
      <c r="T280" s="16">
        <f>IF(ISTEXT('Incurred 2.5% cpi'!T280),"",'Incurred 2.5% cpi'!T280/'Incurred 2.5% cpi'!T$14*Incurred!T$14*BH280)</f>
        <v>6375.8426996136614</v>
      </c>
      <c r="U280" s="16" t="str">
        <f>IF(ISTEXT('Incurred 2.5% cpi'!U280),"",'Incurred 2.5% cpi'!U280/'Incurred 2.5% cpi'!U$14*Incurred!U$14*BI280)</f>
        <v/>
      </c>
      <c r="V280" s="16" t="str">
        <f>IF(ISTEXT('Incurred 2.5% cpi'!V280),"",'Incurred 2.5% cpi'!V280/'Incurred 2.5% cpi'!V$14*Incurred!V$14*BJ280)</f>
        <v/>
      </c>
      <c r="W280" s="127" t="str">
        <f>IF(ISTEXT('Incurred 2.5% cpi'!W280),"",'Incurred 2.5% cpi'!W280/'Incurred 2.5% cpi'!W$14*Incurred!W$14*BK280)</f>
        <v/>
      </c>
      <c r="X280" s="119" t="str">
        <f>IF(ISTEXT('Incurred 2.5% cpi'!X280),"",'Incurred 2.5% cpi'!X280/'Incurred 2.5% cpi'!X$14*Incurred!X$14*BL280)</f>
        <v/>
      </c>
      <c r="Y280" s="95">
        <f t="shared" si="423"/>
        <v>2176272.0520584467</v>
      </c>
      <c r="Z280" s="95">
        <f t="shared" si="420"/>
        <v>2176272.0520584467</v>
      </c>
      <c r="AA280" s="676">
        <f>IF(ROUND(Y280,0)=0,0,SUMPRODUCT($F$17:$W$17,F280:W280))</f>
        <v>2368116.4465868622</v>
      </c>
      <c r="AB280" s="676">
        <f t="shared" si="409"/>
        <v>2233499.1734207794</v>
      </c>
      <c r="AC280" s="677">
        <f t="shared" si="424"/>
        <v>1.060271915373</v>
      </c>
      <c r="AD280" s="678" t="str">
        <f t="shared" si="410"/>
        <v>2020</v>
      </c>
      <c r="AE280" s="679">
        <v>43635</v>
      </c>
      <c r="AF280" s="678">
        <v>2020</v>
      </c>
      <c r="AG280" s="680"/>
      <c r="AH280" s="676">
        <f>IF(ROUND(Y280,0)=0,0,SUMPRODUCT($F$16:$W$16,F280:W280))</f>
        <v>2148033.0414447999</v>
      </c>
      <c r="AI280" s="95">
        <f t="shared" si="411"/>
        <v>6375.8426996136614</v>
      </c>
      <c r="AJ280" s="681" t="s">
        <v>3058</v>
      </c>
      <c r="AK280" s="37">
        <f t="shared" si="412"/>
        <v>0</v>
      </c>
      <c r="AL280" s="31">
        <f t="shared" si="430"/>
        <v>0</v>
      </c>
      <c r="AM280" s="31">
        <f t="shared" si="430"/>
        <v>0</v>
      </c>
      <c r="AN280" s="31">
        <f t="shared" si="430"/>
        <v>0</v>
      </c>
      <c r="AO280" s="31">
        <f t="shared" si="430"/>
        <v>0</v>
      </c>
      <c r="AP280" s="31">
        <f t="shared" si="430"/>
        <v>0</v>
      </c>
      <c r="AQ280" s="31">
        <f t="shared" si="430"/>
        <v>0</v>
      </c>
      <c r="AR280" s="31">
        <f t="shared" si="430"/>
        <v>0</v>
      </c>
      <c r="AS280" s="31">
        <f t="shared" si="430"/>
        <v>0</v>
      </c>
      <c r="AT280" s="31">
        <f t="shared" si="430"/>
        <v>0</v>
      </c>
      <c r="AU280" s="31">
        <f t="shared" si="430"/>
        <v>0.35</v>
      </c>
      <c r="AV280" s="31">
        <f t="shared" si="431"/>
        <v>0</v>
      </c>
      <c r="AW280" s="31">
        <f t="shared" si="431"/>
        <v>0.5</v>
      </c>
      <c r="AX280" s="31">
        <f t="shared" si="431"/>
        <v>0</v>
      </c>
      <c r="AY280" s="31">
        <f t="shared" si="431"/>
        <v>0</v>
      </c>
      <c r="AZ280" s="31">
        <f t="shared" si="431"/>
        <v>0.15</v>
      </c>
      <c r="BA280" s="31">
        <f t="shared" si="431"/>
        <v>0</v>
      </c>
      <c r="BB280" s="31">
        <f t="shared" si="431"/>
        <v>0</v>
      </c>
      <c r="BC280" s="31">
        <f t="shared" si="431"/>
        <v>0</v>
      </c>
      <c r="BD280" s="31">
        <f t="shared" si="431"/>
        <v>0</v>
      </c>
      <c r="BE280" s="30">
        <f t="shared" si="432"/>
        <v>1</v>
      </c>
      <c r="BF280" s="620">
        <f t="shared" si="425"/>
        <v>1.0030818160192299</v>
      </c>
      <c r="BG280" s="620">
        <f t="shared" si="413"/>
        <v>1.006183663842585</v>
      </c>
      <c r="BH280" s="620">
        <f t="shared" si="414"/>
        <v>1.0097859828820543</v>
      </c>
      <c r="BI280" s="620">
        <f t="shared" si="415"/>
        <v>1.0141411866007726</v>
      </c>
      <c r="BJ280" s="620">
        <f t="shared" si="416"/>
        <v>1.0195121206090012</v>
      </c>
      <c r="BK280" s="620">
        <f t="shared" si="417"/>
        <v>1.0251889537223347</v>
      </c>
      <c r="BL280" s="620">
        <f t="shared" si="418"/>
        <v>1.0293261309677997</v>
      </c>
      <c r="BM280" s="621" t="str">
        <f t="shared" si="419"/>
        <v>Category</v>
      </c>
    </row>
    <row r="281" spans="1:65" x14ac:dyDescent="0.15">
      <c r="A281" s="12" t="s">
        <v>579</v>
      </c>
      <c r="B281" s="13" t="s">
        <v>580</v>
      </c>
      <c r="C281" s="13" t="s">
        <v>27</v>
      </c>
      <c r="D281" s="13" t="s">
        <v>40</v>
      </c>
      <c r="E281" s="13" t="s">
        <v>112</v>
      </c>
      <c r="F281" s="14">
        <v>0</v>
      </c>
      <c r="G281" s="14">
        <v>0</v>
      </c>
      <c r="H281" s="14">
        <v>0</v>
      </c>
      <c r="I281" s="14">
        <v>0</v>
      </c>
      <c r="J281" s="14">
        <v>0</v>
      </c>
      <c r="K281" s="14">
        <v>0</v>
      </c>
      <c r="L281" s="14">
        <v>0</v>
      </c>
      <c r="M281" s="15">
        <v>0</v>
      </c>
      <c r="N281" s="804"/>
      <c r="O281" s="14"/>
      <c r="P281" s="15"/>
      <c r="Q281" s="16" t="str">
        <f>IF(ISTEXT('Incurred 2.5% cpi'!Q281),"",'Incurred 2.5% cpi'!Q281/'Incurred 2.5% cpi'!Q$14*Incurred!Q$14)</f>
        <v/>
      </c>
      <c r="R281" s="127">
        <f>IF(ISTEXT('Incurred 2.5% cpi'!R281),"",'Incurred 2.5% cpi'!R281/'Incurred 2.5% cpi'!R$14*Incurred!R$14*BF281)</f>
        <v>51273.524374727</v>
      </c>
      <c r="S281" s="119">
        <f>IF(ISTEXT('Incurred 2.5% cpi'!S281),"",'Incurred 2.5% cpi'!S281/'Incurred 2.5% cpi'!S$14*Incurred!S$14*BG281)</f>
        <v>62410.470002971088</v>
      </c>
      <c r="T281" s="16">
        <f>IF(ISTEXT('Incurred 2.5% cpi'!T281),"",'Incurred 2.5% cpi'!T281/'Incurred 2.5% cpi'!T$14*Incurred!T$14*BH281)</f>
        <v>1087696.1407225404</v>
      </c>
      <c r="U281" s="16">
        <f>IF(ISTEXT('Incurred 2.5% cpi'!U281),"",'Incurred 2.5% cpi'!U281/'Incurred 2.5% cpi'!U$14*Incurred!U$14*BI281)</f>
        <v>1023475.2582572548</v>
      </c>
      <c r="V281" s="16" t="str">
        <f>IF(ISTEXT('Incurred 2.5% cpi'!V281),"",'Incurred 2.5% cpi'!V281/'Incurred 2.5% cpi'!V$14*Incurred!V$14*BJ281)</f>
        <v/>
      </c>
      <c r="W281" s="127" t="str">
        <f>IF(ISTEXT('Incurred 2.5% cpi'!W281),"",'Incurred 2.5% cpi'!W281/'Incurred 2.5% cpi'!W$14*Incurred!W$14*BK281)</f>
        <v/>
      </c>
      <c r="X281" s="119" t="str">
        <f>IF(ISTEXT('Incurred 2.5% cpi'!X281),"",'Incurred 2.5% cpi'!X281/'Incurred 2.5% cpi'!X$14*Incurred!X$14*BL281)</f>
        <v/>
      </c>
      <c r="Y281" s="95">
        <f t="shared" si="423"/>
        <v>2224855.3933574934</v>
      </c>
      <c r="Z281" s="95">
        <f t="shared" si="420"/>
        <v>2224855.3933574934</v>
      </c>
      <c r="AA281" s="676">
        <f>IF(ROUND(Y281,0)=0,0,SUMPRODUCT($F$17:$W$17,F281:W281))</f>
        <v>2341453.6254966911</v>
      </c>
      <c r="AB281" s="676">
        <f t="shared" si="409"/>
        <v>2251856.5542491362</v>
      </c>
      <c r="AC281" s="677">
        <f t="shared" si="424"/>
        <v>1.0397880900000001</v>
      </c>
      <c r="AD281" s="678" t="str">
        <f t="shared" si="410"/>
        <v>2021</v>
      </c>
      <c r="AE281" s="679">
        <v>44293</v>
      </c>
      <c r="AF281" s="678">
        <v>2021</v>
      </c>
      <c r="AG281" s="680"/>
      <c r="AH281" s="676">
        <f>IF(ROUND(Y281,0)=0,0,SUMPRODUCT($F$16:$W$16,F281:W281))</f>
        <v>2123848.1578161404</v>
      </c>
      <c r="AI281" s="95">
        <f t="shared" si="411"/>
        <v>1023475.2582572548</v>
      </c>
      <c r="AJ281" s="681" t="s">
        <v>3058</v>
      </c>
      <c r="AK281" s="37">
        <f t="shared" si="412"/>
        <v>1447635.6097869542</v>
      </c>
      <c r="AL281" s="31">
        <f t="shared" si="430"/>
        <v>0</v>
      </c>
      <c r="AM281" s="31">
        <f t="shared" si="430"/>
        <v>0</v>
      </c>
      <c r="AN281" s="31">
        <f t="shared" si="430"/>
        <v>0</v>
      </c>
      <c r="AO281" s="31">
        <f t="shared" si="430"/>
        <v>0</v>
      </c>
      <c r="AP281" s="31">
        <f t="shared" si="430"/>
        <v>0</v>
      </c>
      <c r="AQ281" s="31">
        <f t="shared" si="430"/>
        <v>0</v>
      </c>
      <c r="AR281" s="31">
        <f t="shared" si="430"/>
        <v>0</v>
      </c>
      <c r="AS281" s="31">
        <f t="shared" si="430"/>
        <v>0</v>
      </c>
      <c r="AT281" s="31">
        <f t="shared" si="430"/>
        <v>0</v>
      </c>
      <c r="AU281" s="31">
        <f t="shared" si="430"/>
        <v>0.7151102790576227</v>
      </c>
      <c r="AV281" s="31">
        <f t="shared" si="431"/>
        <v>0</v>
      </c>
      <c r="AW281" s="31">
        <f t="shared" si="431"/>
        <v>0.13870410379401654</v>
      </c>
      <c r="AX281" s="31">
        <f t="shared" si="431"/>
        <v>0</v>
      </c>
      <c r="AY281" s="31">
        <f t="shared" si="431"/>
        <v>0</v>
      </c>
      <c r="AZ281" s="31">
        <f t="shared" si="431"/>
        <v>0.11245924314241502</v>
      </c>
      <c r="BA281" s="31">
        <f t="shared" si="431"/>
        <v>3.3726374005945664E-2</v>
      </c>
      <c r="BB281" s="31">
        <f t="shared" si="431"/>
        <v>0</v>
      </c>
      <c r="BC281" s="31">
        <f t="shared" si="431"/>
        <v>0</v>
      </c>
      <c r="BD281" s="31">
        <f t="shared" si="431"/>
        <v>0</v>
      </c>
      <c r="BE281" s="30">
        <f t="shared" si="432"/>
        <v>1</v>
      </c>
      <c r="BF281" s="620">
        <f t="shared" si="425"/>
        <v>1.0021149400622571</v>
      </c>
      <c r="BG281" s="620">
        <f t="shared" si="413"/>
        <v>1.0042436272349191</v>
      </c>
      <c r="BH281" s="620">
        <f t="shared" si="414"/>
        <v>1.0067157698956315</v>
      </c>
      <c r="BI281" s="620">
        <f t="shared" si="415"/>
        <v>1.0097045903724329</v>
      </c>
      <c r="BJ281" s="620">
        <f t="shared" si="416"/>
        <v>1.0133904702026573</v>
      </c>
      <c r="BK281" s="620">
        <f t="shared" si="417"/>
        <v>1.0172862776432121</v>
      </c>
      <c r="BL281" s="620">
        <f t="shared" si="418"/>
        <v>1.0201254743527157</v>
      </c>
      <c r="BM281" s="621" t="str">
        <f t="shared" si="419"/>
        <v>Project</v>
      </c>
    </row>
    <row r="282" spans="1:65" x14ac:dyDescent="0.15">
      <c r="A282" s="12" t="s">
        <v>581</v>
      </c>
      <c r="B282" s="13" t="s">
        <v>582</v>
      </c>
      <c r="C282" s="13" t="s">
        <v>27</v>
      </c>
      <c r="D282" s="13" t="s">
        <v>40</v>
      </c>
      <c r="E282" s="13" t="s">
        <v>112</v>
      </c>
      <c r="F282" s="14">
        <v>0</v>
      </c>
      <c r="G282" s="14">
        <v>0</v>
      </c>
      <c r="H282" s="14">
        <v>0</v>
      </c>
      <c r="I282" s="14">
        <v>0</v>
      </c>
      <c r="J282" s="14">
        <v>0</v>
      </c>
      <c r="K282" s="14">
        <v>0</v>
      </c>
      <c r="L282" s="14">
        <v>0</v>
      </c>
      <c r="M282" s="15">
        <v>0</v>
      </c>
      <c r="N282" s="804"/>
      <c r="O282" s="14"/>
      <c r="P282" s="15"/>
      <c r="Q282" s="16">
        <f>IF(ISTEXT('Incurred 2.5% cpi'!Q282),"",'Incurred 2.5% cpi'!Q282/'Incurred 2.5% cpi'!Q$14*Incurred!Q$14)</f>
        <v>98689.95</v>
      </c>
      <c r="R282" s="127">
        <f>IF(ISTEXT('Incurred 2.5% cpi'!R282),"",'Incurred 2.5% cpi'!R282/'Incurred 2.5% cpi'!R$14*Incurred!R$14*BF282)</f>
        <v>1545139.4633883787</v>
      </c>
      <c r="S282" s="119">
        <f>IF(ISTEXT('Incurred 2.5% cpi'!S282),"",'Incurred 2.5% cpi'!S282/'Incurred 2.5% cpi'!S$14*Incurred!S$14*BG282)</f>
        <v>1595047.0008171366</v>
      </c>
      <c r="T282" s="16">
        <f>IF(ISTEXT('Incurred 2.5% cpi'!T282),"",'Incurred 2.5% cpi'!T282/'Incurred 2.5% cpi'!T$14*Incurred!T$14*BH282)</f>
        <v>1716364.6281416714</v>
      </c>
      <c r="U282" s="16">
        <f>IF(ISTEXT('Incurred 2.5% cpi'!U282),"",'Incurred 2.5% cpi'!U282/'Incurred 2.5% cpi'!U$14*Incurred!U$14*BI282)</f>
        <v>584272.6805230343</v>
      </c>
      <c r="V282" s="16" t="str">
        <f>IF(ISTEXT('Incurred 2.5% cpi'!V282),"",'Incurred 2.5% cpi'!V282/'Incurred 2.5% cpi'!V$14*Incurred!V$14*BJ282)</f>
        <v/>
      </c>
      <c r="W282" s="127" t="str">
        <f>IF(ISTEXT('Incurred 2.5% cpi'!W282),"",'Incurred 2.5% cpi'!W282/'Incurred 2.5% cpi'!W$14*Incurred!W$14*BK282)</f>
        <v/>
      </c>
      <c r="X282" s="119" t="str">
        <f>IF(ISTEXT('Incurred 2.5% cpi'!X282),"",'Incurred 2.5% cpi'!X282/'Incurred 2.5% cpi'!X$14*Incurred!X$14*BL282)</f>
        <v/>
      </c>
      <c r="Y282" s="95">
        <f t="shared" si="423"/>
        <v>5539513.7228702214</v>
      </c>
      <c r="Z282" s="95">
        <f t="shared" si="420"/>
        <v>5539513.7228702214</v>
      </c>
      <c r="AA282" s="676">
        <f>IF(ROUND(Y282,0)=0,0,SUMPRODUCT($F$17:$W$17,F282:W282))</f>
        <v>5966229.2987728678</v>
      </c>
      <c r="AB282" s="676">
        <f t="shared" si="409"/>
        <v>5737928.0991503447</v>
      </c>
      <c r="AC282" s="677">
        <f t="shared" si="424"/>
        <v>1.0397880900000001</v>
      </c>
      <c r="AD282" s="678" t="str">
        <f t="shared" si="410"/>
        <v>2021</v>
      </c>
      <c r="AE282" s="679">
        <v>44081</v>
      </c>
      <c r="AF282" s="678">
        <v>2021</v>
      </c>
      <c r="AG282" s="680"/>
      <c r="AH282" s="676">
        <f>IF(ROUND(Y282,0)=0,0,SUMPRODUCT($F$16:$W$16,F282:W282))</f>
        <v>5411751.4723869301</v>
      </c>
      <c r="AI282" s="95">
        <f t="shared" si="411"/>
        <v>584272.6805230343</v>
      </c>
      <c r="AJ282" s="681" t="s">
        <v>3058</v>
      </c>
      <c r="AK282" s="37">
        <f t="shared" si="412"/>
        <v>2610802.539383871</v>
      </c>
      <c r="AL282" s="31">
        <f t="shared" si="430"/>
        <v>0</v>
      </c>
      <c r="AM282" s="31">
        <f t="shared" si="430"/>
        <v>0</v>
      </c>
      <c r="AN282" s="31">
        <f t="shared" si="430"/>
        <v>0</v>
      </c>
      <c r="AO282" s="31">
        <f t="shared" si="430"/>
        <v>0</v>
      </c>
      <c r="AP282" s="31">
        <f t="shared" si="430"/>
        <v>0</v>
      </c>
      <c r="AQ282" s="31">
        <f t="shared" si="430"/>
        <v>0</v>
      </c>
      <c r="AR282" s="31">
        <f t="shared" si="430"/>
        <v>0</v>
      </c>
      <c r="AS282" s="31">
        <f t="shared" si="430"/>
        <v>0</v>
      </c>
      <c r="AT282" s="31">
        <f t="shared" si="430"/>
        <v>0</v>
      </c>
      <c r="AU282" s="31">
        <f t="shared" si="430"/>
        <v>9.1665507593874859E-2</v>
      </c>
      <c r="AV282" s="31">
        <f t="shared" si="431"/>
        <v>0</v>
      </c>
      <c r="AW282" s="31">
        <f t="shared" si="431"/>
        <v>1.443234156225855E-3</v>
      </c>
      <c r="AX282" s="31">
        <f t="shared" si="431"/>
        <v>0</v>
      </c>
      <c r="AY282" s="31">
        <f t="shared" si="431"/>
        <v>0</v>
      </c>
      <c r="AZ282" s="31">
        <f t="shared" si="431"/>
        <v>0.90689125824989925</v>
      </c>
      <c r="BA282" s="31">
        <f t="shared" si="431"/>
        <v>0</v>
      </c>
      <c r="BB282" s="31">
        <f t="shared" si="431"/>
        <v>0</v>
      </c>
      <c r="BC282" s="31">
        <f t="shared" si="431"/>
        <v>0</v>
      </c>
      <c r="BD282" s="31">
        <f t="shared" si="431"/>
        <v>0</v>
      </c>
      <c r="BE282" s="30">
        <f t="shared" si="432"/>
        <v>1</v>
      </c>
      <c r="BF282" s="620">
        <f t="shared" si="425"/>
        <v>1.0036039975644144</v>
      </c>
      <c r="BG282" s="620">
        <f t="shared" si="413"/>
        <v>1.0072314211129976</v>
      </c>
      <c r="BH282" s="620">
        <f t="shared" si="414"/>
        <v>1.0114441154995157</v>
      </c>
      <c r="BI282" s="620">
        <f t="shared" si="415"/>
        <v>1.0165372630128158</v>
      </c>
      <c r="BJ282" s="620">
        <f t="shared" si="416"/>
        <v>1.0228182457072736</v>
      </c>
      <c r="BK282" s="620">
        <f t="shared" si="417"/>
        <v>1.0294569589161022</v>
      </c>
      <c r="BL282" s="620">
        <f t="shared" si="418"/>
        <v>1.0342951376468144</v>
      </c>
      <c r="BM282" s="621" t="str">
        <f t="shared" si="419"/>
        <v>Project</v>
      </c>
    </row>
    <row r="283" spans="1:65" x14ac:dyDescent="0.15">
      <c r="A283" s="12" t="s">
        <v>585</v>
      </c>
      <c r="B283" s="13" t="s">
        <v>2326</v>
      </c>
      <c r="C283" s="13" t="s">
        <v>27</v>
      </c>
      <c r="D283" s="13" t="s">
        <v>55</v>
      </c>
      <c r="E283" s="13" t="s">
        <v>112</v>
      </c>
      <c r="F283" s="14">
        <v>0</v>
      </c>
      <c r="G283" s="14">
        <v>0</v>
      </c>
      <c r="H283" s="14">
        <v>0</v>
      </c>
      <c r="I283" s="14">
        <v>0</v>
      </c>
      <c r="J283" s="14">
        <v>0</v>
      </c>
      <c r="K283" s="14">
        <v>0</v>
      </c>
      <c r="L283" s="14">
        <v>0</v>
      </c>
      <c r="M283" s="15">
        <v>0</v>
      </c>
      <c r="N283" s="804"/>
      <c r="O283" s="14"/>
      <c r="P283" s="15"/>
      <c r="Q283" s="16" t="str">
        <f>IF(ISTEXT('Incurred 2.5% cpi'!Q283),"",'Incurred 2.5% cpi'!Q283/'Incurred 2.5% cpi'!Q$14*Incurred!Q$14)</f>
        <v/>
      </c>
      <c r="R283" s="127" t="str">
        <f>IF(ISTEXT('Incurred 2.5% cpi'!R283),"",'Incurred 2.5% cpi'!R283/'Incurred 2.5% cpi'!R$14*Incurred!R$14*BF283)</f>
        <v/>
      </c>
      <c r="S283" s="119" t="str">
        <f>IF(ISTEXT('Incurred 2.5% cpi'!S283),"",'Incurred 2.5% cpi'!S283/'Incurred 2.5% cpi'!S$14*Incurred!S$14*BG283)</f>
        <v/>
      </c>
      <c r="T283" s="16" t="str">
        <f>IF(ISTEXT('Incurred 2.5% cpi'!T283),"",'Incurred 2.5% cpi'!T283/'Incurred 2.5% cpi'!T$14*Incurred!T$14*BH283)</f>
        <v/>
      </c>
      <c r="U283" s="16" t="str">
        <f>IF(ISTEXT('Incurred 2.5% cpi'!U283),"",'Incurred 2.5% cpi'!U283/'Incurred 2.5% cpi'!U$14*Incurred!U$14*BI283)</f>
        <v/>
      </c>
      <c r="V283" s="16" t="str">
        <f>IF(ISTEXT('Incurred 2.5% cpi'!V283),"",'Incurred 2.5% cpi'!V283/'Incurred 2.5% cpi'!V$14*Incurred!V$14*BJ283)</f>
        <v/>
      </c>
      <c r="W283" s="127">
        <f>IF(ISTEXT('Incurred 2.5% cpi'!W283),"",'Incurred 2.5% cpi'!W283/'Incurred 2.5% cpi'!W$14*Incurred!W$14*BK283)</f>
        <v>19751.939258321909</v>
      </c>
      <c r="X283" s="119">
        <f>IF(ISTEXT('Incurred 2.5% cpi'!X283),"",'Incurred 2.5% cpi'!X283/'Incurred 2.5% cpi'!X$14*Incurred!X$14*BL283)</f>
        <v>352555.65209677769</v>
      </c>
      <c r="Y283" s="95">
        <f t="shared" si="423"/>
        <v>19751.939258321909</v>
      </c>
      <c r="Z283" s="95">
        <f t="shared" ref="Z283:Z289" si="433">-SUMIFS(F283:W283,F283:W283,"&lt;0")+SUMIFS(F283:W283,F283:W283,"&gt;0")</f>
        <v>19751.939258321909</v>
      </c>
      <c r="AA283" s="676">
        <f t="shared" ref="AA283:AA289" si="434">IF(ROUND(Y283,0)=0,0,SUMPRODUCT($F$17:$W$17,F283:W283))</f>
        <v>19751.939258321909</v>
      </c>
      <c r="AB283" s="676">
        <f t="shared" si="409"/>
        <v>19751.939258321909</v>
      </c>
      <c r="AC283" s="677">
        <f t="shared" si="424"/>
        <v>1</v>
      </c>
      <c r="AD283" s="678" t="str">
        <f>IF(AI283=0,"",INDEX($F$21:$X$21,1,MATCH(AI283,F283:X283,0)))</f>
        <v>2024</v>
      </c>
      <c r="AE283" s="679">
        <v>45334</v>
      </c>
      <c r="AF283" s="678">
        <v>2024</v>
      </c>
      <c r="AG283" s="680"/>
      <c r="AH283" s="676">
        <f t="shared" ref="AH283:AH289" si="435">IF(ROUND(Y283,0)=0,0,SUMPRODUCT($F$16:$W$16,F283:W283))</f>
        <v>17916.271904887471</v>
      </c>
      <c r="AI283" s="95">
        <f t="shared" si="411"/>
        <v>352555.65209677769</v>
      </c>
      <c r="AJ283" s="681" t="s">
        <v>3058</v>
      </c>
      <c r="AK283" s="37">
        <f t="shared" si="412"/>
        <v>61999.999999999985</v>
      </c>
      <c r="AL283" s="31">
        <f t="shared" ref="AL283:AU289" si="436">IF($AK283=0,VLOOKUP(MID($A283,4,5),ProjectSplits,AL$20,FALSE),IF(ISNA(VLOOKUP($A283,Estimates,AL$19,FALSE)),VLOOKUP(MID($A283,4,5),ProjectSplits,AL$20,FALSE),VLOOKUP($A283,Estimates,AL$19,FALSE)))</f>
        <v>0</v>
      </c>
      <c r="AM283" s="31">
        <f t="shared" si="436"/>
        <v>0</v>
      </c>
      <c r="AN283" s="31">
        <f t="shared" si="436"/>
        <v>0</v>
      </c>
      <c r="AO283" s="31">
        <f t="shared" si="436"/>
        <v>1</v>
      </c>
      <c r="AP283" s="31">
        <f t="shared" si="436"/>
        <v>0</v>
      </c>
      <c r="AQ283" s="31">
        <f t="shared" si="436"/>
        <v>0</v>
      </c>
      <c r="AR283" s="31">
        <f t="shared" si="436"/>
        <v>0</v>
      </c>
      <c r="AS283" s="31">
        <f t="shared" si="436"/>
        <v>0</v>
      </c>
      <c r="AT283" s="31">
        <f t="shared" si="436"/>
        <v>0</v>
      </c>
      <c r="AU283" s="31">
        <f t="shared" si="436"/>
        <v>0</v>
      </c>
      <c r="AV283" s="31">
        <f t="shared" ref="AV283:BD289" si="437">IF($AK283=0,VLOOKUP(MID($A283,4,5),ProjectSplits,AV$20,FALSE),IF(ISNA(VLOOKUP($A283,Estimates,AV$19,FALSE)),VLOOKUP(MID($A283,4,5),ProjectSplits,AV$20,FALSE),VLOOKUP($A283,Estimates,AV$19,FALSE)))</f>
        <v>0</v>
      </c>
      <c r="AW283" s="31">
        <f t="shared" si="437"/>
        <v>0</v>
      </c>
      <c r="AX283" s="31">
        <f t="shared" si="437"/>
        <v>0</v>
      </c>
      <c r="AY283" s="31">
        <f t="shared" si="437"/>
        <v>0</v>
      </c>
      <c r="AZ283" s="31">
        <f t="shared" si="437"/>
        <v>0</v>
      </c>
      <c r="BA283" s="31">
        <f t="shared" si="437"/>
        <v>0</v>
      </c>
      <c r="BB283" s="31">
        <f t="shared" si="437"/>
        <v>0</v>
      </c>
      <c r="BC283" s="31">
        <f t="shared" si="437"/>
        <v>0</v>
      </c>
      <c r="BD283" s="31">
        <f t="shared" si="437"/>
        <v>0</v>
      </c>
      <c r="BE283" s="30">
        <f t="shared" ref="BE283:BE289" si="438">SUM(AL283:BD283)</f>
        <v>1</v>
      </c>
      <c r="BF283" s="620">
        <f t="shared" si="425"/>
        <v>1.0047443590460903</v>
      </c>
      <c r="BG283" s="620">
        <f t="shared" si="413"/>
        <v>1.00951955642598</v>
      </c>
      <c r="BH283" s="620">
        <f t="shared" si="414"/>
        <v>1.0150652135369715</v>
      </c>
      <c r="BI283" s="620">
        <f t="shared" si="415"/>
        <v>1.0217699129841598</v>
      </c>
      <c r="BJ283" s="620">
        <f t="shared" si="416"/>
        <v>1.0300382973357538</v>
      </c>
      <c r="BK283" s="620">
        <f t="shared" si="417"/>
        <v>1.0387776037597363</v>
      </c>
      <c r="BL283" s="620">
        <f t="shared" si="418"/>
        <v>1.0451466582935969</v>
      </c>
      <c r="BM283" s="621" t="str">
        <f t="shared" si="419"/>
        <v>Project</v>
      </c>
    </row>
    <row r="284" spans="1:65" x14ac:dyDescent="0.15">
      <c r="A284" s="12" t="s">
        <v>586</v>
      </c>
      <c r="B284" s="13" t="s">
        <v>587</v>
      </c>
      <c r="C284" s="13" t="s">
        <v>27</v>
      </c>
      <c r="D284" s="13" t="s">
        <v>55</v>
      </c>
      <c r="E284" s="13" t="s">
        <v>29</v>
      </c>
      <c r="F284" s="14">
        <v>0</v>
      </c>
      <c r="G284" s="14">
        <v>0</v>
      </c>
      <c r="H284" s="14">
        <v>0</v>
      </c>
      <c r="I284" s="14">
        <v>0</v>
      </c>
      <c r="J284" s="14">
        <v>0</v>
      </c>
      <c r="K284" s="14">
        <v>0</v>
      </c>
      <c r="L284" s="14">
        <v>0</v>
      </c>
      <c r="M284" s="15">
        <v>0</v>
      </c>
      <c r="N284" s="804"/>
      <c r="O284" s="14"/>
      <c r="P284" s="15"/>
      <c r="Q284" s="16">
        <f>IF(ISTEXT('Incurred 2.5% cpi'!Q284),"",'Incurred 2.5% cpi'!Q284/'Incurred 2.5% cpi'!Q$14*Incurred!Q$14)</f>
        <v>566940.93000000005</v>
      </c>
      <c r="R284" s="127">
        <f>IF(ISTEXT('Incurred 2.5% cpi'!R284),"",'Incurred 2.5% cpi'!R284/'Incurred 2.5% cpi'!R$14*Incurred!R$14*BF284)</f>
        <v>596624.07058308879</v>
      </c>
      <c r="S284" s="119">
        <f>IF(ISTEXT('Incurred 2.5% cpi'!S284),"",'Incurred 2.5% cpi'!S284/'Incurred 2.5% cpi'!S$14*Incurred!S$14*BG284)</f>
        <v>122869.93333846137</v>
      </c>
      <c r="T284" s="16" t="str">
        <f>IF(ISTEXT('Incurred 2.5% cpi'!T284),"",'Incurred 2.5% cpi'!T284/'Incurred 2.5% cpi'!T$14*Incurred!T$14*BH284)</f>
        <v/>
      </c>
      <c r="U284" s="16" t="str">
        <f>IF(ISTEXT('Incurred 2.5% cpi'!U284),"",'Incurred 2.5% cpi'!U284/'Incurred 2.5% cpi'!U$14*Incurred!U$14*BI284)</f>
        <v/>
      </c>
      <c r="V284" s="16" t="str">
        <f>IF(ISTEXT('Incurred 2.5% cpi'!V284),"",'Incurred 2.5% cpi'!V284/'Incurred 2.5% cpi'!V$14*Incurred!V$14*BJ284)</f>
        <v/>
      </c>
      <c r="W284" s="127" t="str">
        <f>IF(ISTEXT('Incurred 2.5% cpi'!W284),"",'Incurred 2.5% cpi'!W284/'Incurred 2.5% cpi'!W$14*Incurred!W$14*BK284)</f>
        <v/>
      </c>
      <c r="X284" s="119" t="str">
        <f>IF(ISTEXT('Incurred 2.5% cpi'!X284),"",'Incurred 2.5% cpi'!X284/'Incurred 2.5% cpi'!X$14*Incurred!X$14*BL284)</f>
        <v/>
      </c>
      <c r="Y284" s="95">
        <f t="shared" si="423"/>
        <v>1286434.9339215504</v>
      </c>
      <c r="Z284" s="95">
        <f t="shared" si="433"/>
        <v>1286434.9339215504</v>
      </c>
      <c r="AA284" s="676">
        <f t="shared" si="434"/>
        <v>1427936.7027579283</v>
      </c>
      <c r="AB284" s="676">
        <f t="shared" si="409"/>
        <v>1295229.8959101313</v>
      </c>
      <c r="AC284" s="677">
        <f t="shared" si="424"/>
        <v>1.1024581097663335</v>
      </c>
      <c r="AD284" s="678" t="str">
        <f t="shared" si="410"/>
        <v>2019</v>
      </c>
      <c r="AE284" s="679">
        <v>42922</v>
      </c>
      <c r="AF284" s="678">
        <v>2018</v>
      </c>
      <c r="AG284" s="680"/>
      <c r="AH284" s="676">
        <f t="shared" si="435"/>
        <v>1295229.8959101313</v>
      </c>
      <c r="AI284" s="95">
        <f t="shared" si="411"/>
        <v>122869.93333846137</v>
      </c>
      <c r="AJ284" s="681" t="s">
        <v>3058</v>
      </c>
      <c r="AK284" s="37">
        <f t="shared" si="412"/>
        <v>0</v>
      </c>
      <c r="AL284" s="31">
        <f t="shared" si="436"/>
        <v>0</v>
      </c>
      <c r="AM284" s="31">
        <f t="shared" si="436"/>
        <v>0</v>
      </c>
      <c r="AN284" s="31">
        <f t="shared" si="436"/>
        <v>0</v>
      </c>
      <c r="AO284" s="31">
        <f t="shared" si="436"/>
        <v>1</v>
      </c>
      <c r="AP284" s="31">
        <f t="shared" si="436"/>
        <v>0</v>
      </c>
      <c r="AQ284" s="31">
        <f t="shared" si="436"/>
        <v>0</v>
      </c>
      <c r="AR284" s="31">
        <f t="shared" si="436"/>
        <v>0</v>
      </c>
      <c r="AS284" s="31">
        <f t="shared" si="436"/>
        <v>0</v>
      </c>
      <c r="AT284" s="31">
        <f t="shared" si="436"/>
        <v>0</v>
      </c>
      <c r="AU284" s="31">
        <f t="shared" si="436"/>
        <v>0</v>
      </c>
      <c r="AV284" s="31">
        <f t="shared" si="437"/>
        <v>0</v>
      </c>
      <c r="AW284" s="31">
        <f t="shared" si="437"/>
        <v>0</v>
      </c>
      <c r="AX284" s="31">
        <f t="shared" si="437"/>
        <v>0</v>
      </c>
      <c r="AY284" s="31">
        <f t="shared" si="437"/>
        <v>0</v>
      </c>
      <c r="AZ284" s="31">
        <f t="shared" si="437"/>
        <v>0</v>
      </c>
      <c r="BA284" s="31">
        <f t="shared" si="437"/>
        <v>0</v>
      </c>
      <c r="BB284" s="31">
        <f t="shared" si="437"/>
        <v>0</v>
      </c>
      <c r="BC284" s="31">
        <f t="shared" si="437"/>
        <v>0</v>
      </c>
      <c r="BD284" s="31">
        <f t="shared" si="437"/>
        <v>0</v>
      </c>
      <c r="BE284" s="30">
        <f t="shared" si="438"/>
        <v>1</v>
      </c>
      <c r="BF284" s="620">
        <f t="shared" si="425"/>
        <v>1.0046190746045656</v>
      </c>
      <c r="BG284" s="620">
        <f t="shared" si="413"/>
        <v>1.0092681731940607</v>
      </c>
      <c r="BH284" s="620">
        <f t="shared" si="414"/>
        <v>1.0146673859598225</v>
      </c>
      <c r="BI284" s="620">
        <f t="shared" si="415"/>
        <v>1.0211950341936284</v>
      </c>
      <c r="BJ284" s="620">
        <f t="shared" si="416"/>
        <v>1.0292450750544078</v>
      </c>
      <c r="BK284" s="620">
        <f t="shared" si="417"/>
        <v>1.0377536023333034</v>
      </c>
      <c r="BL284" s="620">
        <f t="shared" si="418"/>
        <v>1.0439544690397748</v>
      </c>
      <c r="BM284" s="621" t="str">
        <f t="shared" si="419"/>
        <v>Category</v>
      </c>
    </row>
    <row r="285" spans="1:65" x14ac:dyDescent="0.15">
      <c r="A285" s="12" t="s">
        <v>588</v>
      </c>
      <c r="B285" s="13" t="s">
        <v>2392</v>
      </c>
      <c r="C285" s="13" t="s">
        <v>27</v>
      </c>
      <c r="D285" s="13" t="s">
        <v>36</v>
      </c>
      <c r="E285" s="13" t="s">
        <v>32</v>
      </c>
      <c r="F285" s="14">
        <v>0</v>
      </c>
      <c r="G285" s="14">
        <v>0</v>
      </c>
      <c r="H285" s="14">
        <v>0</v>
      </c>
      <c r="I285" s="14">
        <v>0</v>
      </c>
      <c r="J285" s="14">
        <v>0</v>
      </c>
      <c r="K285" s="14">
        <v>0</v>
      </c>
      <c r="L285" s="14">
        <v>0</v>
      </c>
      <c r="M285" s="15">
        <v>0</v>
      </c>
      <c r="N285" s="804"/>
      <c r="O285" s="14">
        <v>129615.27</v>
      </c>
      <c r="P285" s="15">
        <v>55209.26</v>
      </c>
      <c r="Q285" s="16">
        <f>IF(ISTEXT('Incurred 2.5% cpi'!Q285),"",'Incurred 2.5% cpi'!Q285/'Incurred 2.5% cpi'!Q$14*Incurred!Q$14)</f>
        <v>163.02000000000001</v>
      </c>
      <c r="R285" s="127" t="str">
        <f>IF(ISTEXT('Incurred 2.5% cpi'!R285),"",'Incurred 2.5% cpi'!R285/'Incurred 2.5% cpi'!R$14*Incurred!R$14*BF285)</f>
        <v/>
      </c>
      <c r="S285" s="119" t="str">
        <f>IF(ISTEXT('Incurred 2.5% cpi'!S285),"",'Incurred 2.5% cpi'!S285/'Incurred 2.5% cpi'!S$14*Incurred!S$14*BG285)</f>
        <v/>
      </c>
      <c r="T285" s="16" t="str">
        <f>IF(ISTEXT('Incurred 2.5% cpi'!T285),"",'Incurred 2.5% cpi'!T285/'Incurred 2.5% cpi'!T$14*Incurred!T$14*BH285)</f>
        <v/>
      </c>
      <c r="U285" s="16" t="str">
        <f>IF(ISTEXT('Incurred 2.5% cpi'!U285),"",'Incurred 2.5% cpi'!U285/'Incurred 2.5% cpi'!U$14*Incurred!U$14*BI285)</f>
        <v/>
      </c>
      <c r="V285" s="16" t="str">
        <f>IF(ISTEXT('Incurred 2.5% cpi'!V285),"",'Incurred 2.5% cpi'!V285/'Incurred 2.5% cpi'!V$14*Incurred!V$14*BJ285)</f>
        <v/>
      </c>
      <c r="W285" s="127" t="str">
        <f>IF(ISTEXT('Incurred 2.5% cpi'!W285),"",'Incurred 2.5% cpi'!W285/'Incurred 2.5% cpi'!W$14*Incurred!W$14*BK285)</f>
        <v/>
      </c>
      <c r="X285" s="119" t="str">
        <f>IF(ISTEXT('Incurred 2.5% cpi'!X285),"",'Incurred 2.5% cpi'!X285/'Incurred 2.5% cpi'!X$14*Incurred!X$14*BL285)</f>
        <v/>
      </c>
      <c r="Y285" s="95">
        <f t="shared" si="423"/>
        <v>184987.55</v>
      </c>
      <c r="Z285" s="95">
        <f t="shared" si="433"/>
        <v>184987.55</v>
      </c>
      <c r="AA285" s="676">
        <f t="shared" si="434"/>
        <v>213999.52849814022</v>
      </c>
      <c r="AB285" s="676">
        <f t="shared" si="409"/>
        <v>186683.47712319554</v>
      </c>
      <c r="AC285" s="677">
        <f t="shared" si="424"/>
        <v>1.1463228122589466</v>
      </c>
      <c r="AD285" s="678" t="str">
        <f t="shared" si="410"/>
        <v>2017</v>
      </c>
      <c r="AE285" s="679">
        <v>42268</v>
      </c>
      <c r="AF285" s="678">
        <v>2016</v>
      </c>
      <c r="AG285" s="680"/>
      <c r="AH285" s="676">
        <f t="shared" si="435"/>
        <v>194111.25611248621</v>
      </c>
      <c r="AI285" s="95">
        <f t="shared" si="411"/>
        <v>163.02000000000001</v>
      </c>
      <c r="AJ285" s="681" t="s">
        <v>0</v>
      </c>
      <c r="AK285" s="37">
        <f t="shared" si="412"/>
        <v>0</v>
      </c>
      <c r="AL285" s="31">
        <f t="shared" si="436"/>
        <v>0.31017773461918163</v>
      </c>
      <c r="AM285" s="31">
        <f t="shared" si="436"/>
        <v>0</v>
      </c>
      <c r="AN285" s="31">
        <f t="shared" si="436"/>
        <v>0</v>
      </c>
      <c r="AO285" s="31">
        <f t="shared" si="436"/>
        <v>0.13864189454261708</v>
      </c>
      <c r="AP285" s="31">
        <f t="shared" si="436"/>
        <v>0</v>
      </c>
      <c r="AQ285" s="31">
        <f t="shared" si="436"/>
        <v>0</v>
      </c>
      <c r="AR285" s="31">
        <f t="shared" si="436"/>
        <v>0</v>
      </c>
      <c r="AS285" s="31">
        <f t="shared" si="436"/>
        <v>0.55118037083820126</v>
      </c>
      <c r="AT285" s="31">
        <f t="shared" si="436"/>
        <v>0</v>
      </c>
      <c r="AU285" s="31">
        <f t="shared" si="436"/>
        <v>0</v>
      </c>
      <c r="AV285" s="31">
        <f t="shared" si="437"/>
        <v>0</v>
      </c>
      <c r="AW285" s="31">
        <f t="shared" si="437"/>
        <v>0</v>
      </c>
      <c r="AX285" s="31">
        <f t="shared" si="437"/>
        <v>0</v>
      </c>
      <c r="AY285" s="31">
        <f t="shared" si="437"/>
        <v>0</v>
      </c>
      <c r="AZ285" s="31">
        <f t="shared" si="437"/>
        <v>0</v>
      </c>
      <c r="BA285" s="31">
        <f t="shared" si="437"/>
        <v>0</v>
      </c>
      <c r="BB285" s="31">
        <f t="shared" si="437"/>
        <v>0</v>
      </c>
      <c r="BC285" s="31">
        <f t="shared" si="437"/>
        <v>0</v>
      </c>
      <c r="BD285" s="31">
        <f t="shared" si="437"/>
        <v>0</v>
      </c>
      <c r="BE285" s="30">
        <f t="shared" si="438"/>
        <v>1</v>
      </c>
      <c r="BF285" s="620">
        <f t="shared" si="425"/>
        <v>1.0018756098697492</v>
      </c>
      <c r="BG285" s="620">
        <f t="shared" si="413"/>
        <v>1.0037634112036518</v>
      </c>
      <c r="BH285" s="620">
        <f t="shared" si="414"/>
        <v>1.0059558020220052</v>
      </c>
      <c r="BI285" s="620">
        <f t="shared" si="415"/>
        <v>1.0086064025213943</v>
      </c>
      <c r="BJ285" s="620">
        <f t="shared" si="416"/>
        <v>1.0118751819594745</v>
      </c>
      <c r="BK285" s="620">
        <f t="shared" si="417"/>
        <v>1.0153301332446416</v>
      </c>
      <c r="BL285" s="620">
        <f t="shared" si="418"/>
        <v>1.0178480416551621</v>
      </c>
      <c r="BM285" s="621" t="str">
        <f t="shared" si="419"/>
        <v>Category</v>
      </c>
    </row>
    <row r="286" spans="1:65" x14ac:dyDescent="0.15">
      <c r="A286" s="12" t="s">
        <v>590</v>
      </c>
      <c r="B286" s="13" t="s">
        <v>591</v>
      </c>
      <c r="C286" s="13" t="s">
        <v>27</v>
      </c>
      <c r="D286" s="13" t="s">
        <v>40</v>
      </c>
      <c r="E286" s="13" t="s">
        <v>112</v>
      </c>
      <c r="F286" s="14">
        <v>0</v>
      </c>
      <c r="G286" s="14">
        <v>0</v>
      </c>
      <c r="H286" s="14">
        <v>0</v>
      </c>
      <c r="I286" s="14">
        <v>0</v>
      </c>
      <c r="J286" s="14">
        <v>0</v>
      </c>
      <c r="K286" s="14">
        <v>0</v>
      </c>
      <c r="L286" s="14">
        <v>0</v>
      </c>
      <c r="M286" s="15">
        <v>0</v>
      </c>
      <c r="N286" s="804"/>
      <c r="O286" s="14"/>
      <c r="P286" s="15"/>
      <c r="Q286" s="16" t="str">
        <f>IF(ISTEXT('Incurred 2.5% cpi'!Q286),"",'Incurred 2.5% cpi'!Q286/'Incurred 2.5% cpi'!Q$14*Incurred!Q$14)</f>
        <v/>
      </c>
      <c r="R286" s="127" t="str">
        <f>IF(ISTEXT('Incurred 2.5% cpi'!R286),"",'Incurred 2.5% cpi'!R286/'Incurred 2.5% cpi'!R$14*Incurred!R$14*BF286)</f>
        <v/>
      </c>
      <c r="S286" s="119" t="str">
        <f>IF(ISTEXT('Incurred 2.5% cpi'!S286),"",'Incurred 2.5% cpi'!S286/'Incurred 2.5% cpi'!S$14*Incurred!S$14*BG286)</f>
        <v/>
      </c>
      <c r="T286" s="16" t="str">
        <f>IF(ISTEXT('Incurred 2.5% cpi'!T286),"",'Incurred 2.5% cpi'!T286/'Incurred 2.5% cpi'!T$14*Incurred!T$14*BH286)</f>
        <v/>
      </c>
      <c r="U286" s="16">
        <f>IF(ISTEXT('Incurred 2.5% cpi'!U286),"",'Incurred 2.5% cpi'!U286/'Incurred 2.5% cpi'!U$14*Incurred!U$14*BI286)</f>
        <v>1021114.2647180279</v>
      </c>
      <c r="V286" s="16">
        <f>IF(ISTEXT('Incurred 2.5% cpi'!V286),"",'Incurred 2.5% cpi'!V286/'Incurred 2.5% cpi'!V$14*Incurred!V$14*BJ286)</f>
        <v>115331.12062105503</v>
      </c>
      <c r="W286" s="127" t="str">
        <f>IF(ISTEXT('Incurred 2.5% cpi'!W286),"",'Incurred 2.5% cpi'!W286/'Incurred 2.5% cpi'!W$14*Incurred!W$14*BK286)</f>
        <v/>
      </c>
      <c r="X286" s="119" t="str">
        <f>IF(ISTEXT('Incurred 2.5% cpi'!X286),"",'Incurred 2.5% cpi'!X286/'Incurred 2.5% cpi'!X$14*Incurred!X$14*BL286)</f>
        <v/>
      </c>
      <c r="Y286" s="95">
        <f t="shared" si="423"/>
        <v>1136445.3853390829</v>
      </c>
      <c r="Z286" s="95">
        <f t="shared" si="433"/>
        <v>1136445.3853390829</v>
      </c>
      <c r="AA286" s="676">
        <f t="shared" si="434"/>
        <v>1179345.5946802024</v>
      </c>
      <c r="AB286" s="676">
        <f t="shared" si="409"/>
        <v>1156561.336354028</v>
      </c>
      <c r="AC286" s="677">
        <f t="shared" si="424"/>
        <v>1.0197000000000001</v>
      </c>
      <c r="AD286" s="678" t="str">
        <f t="shared" si="410"/>
        <v>2022</v>
      </c>
      <c r="AE286" s="679">
        <v>44337</v>
      </c>
      <c r="AF286" s="678">
        <v>2022</v>
      </c>
      <c r="AG286" s="680"/>
      <c r="AH286" s="676">
        <f t="shared" si="435"/>
        <v>1069741.8652307482</v>
      </c>
      <c r="AI286" s="95">
        <f t="shared" si="411"/>
        <v>115331.12062105503</v>
      </c>
      <c r="AJ286" s="681" t="s">
        <v>3058</v>
      </c>
      <c r="AK286" s="37">
        <f t="shared" si="412"/>
        <v>200000.00000000003</v>
      </c>
      <c r="AL286" s="31">
        <f t="shared" si="436"/>
        <v>0</v>
      </c>
      <c r="AM286" s="31">
        <f t="shared" si="436"/>
        <v>0</v>
      </c>
      <c r="AN286" s="31">
        <f t="shared" si="436"/>
        <v>0</v>
      </c>
      <c r="AO286" s="31">
        <f t="shared" si="436"/>
        <v>1</v>
      </c>
      <c r="AP286" s="31">
        <f t="shared" si="436"/>
        <v>0</v>
      </c>
      <c r="AQ286" s="31">
        <f t="shared" si="436"/>
        <v>0</v>
      </c>
      <c r="AR286" s="31">
        <f t="shared" si="436"/>
        <v>0</v>
      </c>
      <c r="AS286" s="31">
        <f t="shared" si="436"/>
        <v>0</v>
      </c>
      <c r="AT286" s="31">
        <f t="shared" si="436"/>
        <v>0</v>
      </c>
      <c r="AU286" s="31">
        <f t="shared" si="436"/>
        <v>0</v>
      </c>
      <c r="AV286" s="31">
        <f t="shared" si="437"/>
        <v>0</v>
      </c>
      <c r="AW286" s="31">
        <f t="shared" si="437"/>
        <v>0</v>
      </c>
      <c r="AX286" s="31">
        <f t="shared" si="437"/>
        <v>0</v>
      </c>
      <c r="AY286" s="31">
        <f t="shared" si="437"/>
        <v>0</v>
      </c>
      <c r="AZ286" s="31">
        <f t="shared" si="437"/>
        <v>0</v>
      </c>
      <c r="BA286" s="31">
        <f t="shared" si="437"/>
        <v>0</v>
      </c>
      <c r="BB286" s="31">
        <f t="shared" si="437"/>
        <v>0</v>
      </c>
      <c r="BC286" s="31">
        <f t="shared" si="437"/>
        <v>0</v>
      </c>
      <c r="BD286" s="31">
        <f t="shared" si="437"/>
        <v>0</v>
      </c>
      <c r="BE286" s="30">
        <f t="shared" si="438"/>
        <v>1</v>
      </c>
      <c r="BF286" s="620">
        <f t="shared" si="425"/>
        <v>1.0047445680259546</v>
      </c>
      <c r="BG286" s="620">
        <f t="shared" si="413"/>
        <v>1.0095199757440776</v>
      </c>
      <c r="BH286" s="620">
        <f t="shared" si="414"/>
        <v>1.0150658771305676</v>
      </c>
      <c r="BI286" s="620">
        <f t="shared" si="415"/>
        <v>1.0217708719068335</v>
      </c>
      <c r="BJ286" s="620">
        <f t="shared" si="416"/>
        <v>1.0300396204648086</v>
      </c>
      <c r="BK286" s="620">
        <f t="shared" si="417"/>
        <v>1.0387793118383815</v>
      </c>
      <c r="BL286" s="620">
        <f t="shared" si="418"/>
        <v>1.0451486469168085</v>
      </c>
      <c r="BM286" s="621" t="str">
        <f t="shared" si="419"/>
        <v>Project</v>
      </c>
    </row>
    <row r="287" spans="1:65" x14ac:dyDescent="0.15">
      <c r="A287" s="12" t="s">
        <v>592</v>
      </c>
      <c r="B287" s="13" t="s">
        <v>593</v>
      </c>
      <c r="C287" s="13" t="s">
        <v>27</v>
      </c>
      <c r="D287" s="13" t="s">
        <v>40</v>
      </c>
      <c r="E287" s="13" t="s">
        <v>112</v>
      </c>
      <c r="F287" s="14">
        <v>0</v>
      </c>
      <c r="G287" s="14">
        <v>0</v>
      </c>
      <c r="H287" s="14">
        <v>0</v>
      </c>
      <c r="I287" s="14">
        <v>0</v>
      </c>
      <c r="J287" s="14">
        <v>0</v>
      </c>
      <c r="K287" s="14">
        <v>0</v>
      </c>
      <c r="L287" s="14">
        <v>0</v>
      </c>
      <c r="M287" s="15">
        <v>0</v>
      </c>
      <c r="N287" s="804"/>
      <c r="O287" s="14"/>
      <c r="P287" s="15"/>
      <c r="Q287" s="16" t="str">
        <f>IF(ISTEXT('Incurred 2.5% cpi'!Q287),"",'Incurred 2.5% cpi'!Q287/'Incurred 2.5% cpi'!Q$14*Incurred!Q$14)</f>
        <v/>
      </c>
      <c r="R287" s="127" t="str">
        <f>IF(ISTEXT('Incurred 2.5% cpi'!R287),"",'Incurred 2.5% cpi'!R287/'Incurred 2.5% cpi'!R$14*Incurred!R$14*BF287)</f>
        <v/>
      </c>
      <c r="S287" s="119" t="str">
        <f>IF(ISTEXT('Incurred 2.5% cpi'!S287),"",'Incurred 2.5% cpi'!S287/'Incurred 2.5% cpi'!S$14*Incurred!S$14*BG287)</f>
        <v/>
      </c>
      <c r="T287" s="16" t="str">
        <f>IF(ISTEXT('Incurred 2.5% cpi'!T287),"",'Incurred 2.5% cpi'!T287/'Incurred 2.5% cpi'!T$14*Incurred!T$14*BH287)</f>
        <v/>
      </c>
      <c r="U287" s="16" t="str">
        <f>IF(ISTEXT('Incurred 2.5% cpi'!U287),"",'Incurred 2.5% cpi'!U287/'Incurred 2.5% cpi'!U$14*Incurred!U$14*BI287)</f>
        <v/>
      </c>
      <c r="V287" s="16">
        <f>IF(ISTEXT('Incurred 2.5% cpi'!V287),"",'Incurred 2.5% cpi'!V287/'Incurred 2.5% cpi'!V$14*Incurred!V$14*BJ287)</f>
        <v>284746.607108386</v>
      </c>
      <c r="W287" s="127">
        <f>IF(ISTEXT('Incurred 2.5% cpi'!W287),"",'Incurred 2.5% cpi'!W287/'Incurred 2.5% cpi'!W$14*Incurred!W$14*BK287)</f>
        <v>967385.61280629633</v>
      </c>
      <c r="X287" s="119" t="str">
        <f>IF(ISTEXT('Incurred 2.5% cpi'!X287),"",'Incurred 2.5% cpi'!X287/'Incurred 2.5% cpi'!X$14*Incurred!X$14*BL287)</f>
        <v/>
      </c>
      <c r="Y287" s="95">
        <f t="shared" si="423"/>
        <v>1252132.2199146822</v>
      </c>
      <c r="Z287" s="95">
        <f t="shared" si="433"/>
        <v>1252132.2199146822</v>
      </c>
      <c r="AA287" s="676">
        <f t="shared" si="434"/>
        <v>1257741.7280747176</v>
      </c>
      <c r="AB287" s="676">
        <f t="shared" si="409"/>
        <v>1257741.7280747176</v>
      </c>
      <c r="AC287" s="677">
        <f t="shared" si="424"/>
        <v>1</v>
      </c>
      <c r="AD287" s="678" t="str">
        <f t="shared" si="410"/>
        <v>2023</v>
      </c>
      <c r="AE287" s="679">
        <v>44970</v>
      </c>
      <c r="AF287" s="678">
        <v>2023</v>
      </c>
      <c r="AG287" s="680"/>
      <c r="AH287" s="676">
        <f t="shared" si="435"/>
        <v>1140852.1711009014</v>
      </c>
      <c r="AI287" s="95">
        <f t="shared" si="411"/>
        <v>967385.61280629633</v>
      </c>
      <c r="AJ287" s="681" t="s">
        <v>3058</v>
      </c>
      <c r="AK287" s="37">
        <f t="shared" si="412"/>
        <v>200000</v>
      </c>
      <c r="AL287" s="31">
        <f t="shared" si="436"/>
        <v>0</v>
      </c>
      <c r="AM287" s="31">
        <f t="shared" si="436"/>
        <v>0</v>
      </c>
      <c r="AN287" s="31">
        <f t="shared" si="436"/>
        <v>0</v>
      </c>
      <c r="AO287" s="31">
        <f t="shared" si="436"/>
        <v>1</v>
      </c>
      <c r="AP287" s="31">
        <f t="shared" si="436"/>
        <v>0</v>
      </c>
      <c r="AQ287" s="31">
        <f t="shared" si="436"/>
        <v>0</v>
      </c>
      <c r="AR287" s="31">
        <f t="shared" si="436"/>
        <v>0</v>
      </c>
      <c r="AS287" s="31">
        <f t="shared" si="436"/>
        <v>0</v>
      </c>
      <c r="AT287" s="31">
        <f t="shared" si="436"/>
        <v>0</v>
      </c>
      <c r="AU287" s="31">
        <f t="shared" si="436"/>
        <v>0</v>
      </c>
      <c r="AV287" s="31">
        <f t="shared" si="437"/>
        <v>0</v>
      </c>
      <c r="AW287" s="31">
        <f t="shared" si="437"/>
        <v>0</v>
      </c>
      <c r="AX287" s="31">
        <f t="shared" si="437"/>
        <v>0</v>
      </c>
      <c r="AY287" s="31">
        <f t="shared" si="437"/>
        <v>0</v>
      </c>
      <c r="AZ287" s="31">
        <f t="shared" si="437"/>
        <v>0</v>
      </c>
      <c r="BA287" s="31">
        <f t="shared" si="437"/>
        <v>0</v>
      </c>
      <c r="BB287" s="31">
        <f t="shared" si="437"/>
        <v>0</v>
      </c>
      <c r="BC287" s="31">
        <f t="shared" si="437"/>
        <v>0</v>
      </c>
      <c r="BD287" s="31">
        <f t="shared" si="437"/>
        <v>0</v>
      </c>
      <c r="BE287" s="30">
        <f t="shared" si="438"/>
        <v>1</v>
      </c>
      <c r="BF287" s="620">
        <f t="shared" si="425"/>
        <v>1.0048004684933676</v>
      </c>
      <c r="BG287" s="620">
        <f t="shared" si="413"/>
        <v>1.0096321400319421</v>
      </c>
      <c r="BH287" s="620">
        <f t="shared" si="414"/>
        <v>1.0152433831899137</v>
      </c>
      <c r="BI287" s="620">
        <f t="shared" si="415"/>
        <v>1.0220273761679011</v>
      </c>
      <c r="BJ287" s="620">
        <f t="shared" si="416"/>
        <v>1.0303935470637549</v>
      </c>
      <c r="BK287" s="620">
        <f t="shared" si="417"/>
        <v>1.0392362094201772</v>
      </c>
      <c r="BL287" s="620">
        <f t="shared" si="418"/>
        <v>1.0456805879601052</v>
      </c>
      <c r="BM287" s="621" t="str">
        <f t="shared" si="419"/>
        <v>Project</v>
      </c>
    </row>
    <row r="288" spans="1:65" x14ac:dyDescent="0.15">
      <c r="A288" s="12" t="s">
        <v>594</v>
      </c>
      <c r="B288" s="13" t="s">
        <v>595</v>
      </c>
      <c r="C288" s="13" t="s">
        <v>27</v>
      </c>
      <c r="D288" s="13" t="s">
        <v>40</v>
      </c>
      <c r="E288" s="13" t="s">
        <v>112</v>
      </c>
      <c r="F288" s="14">
        <v>0</v>
      </c>
      <c r="G288" s="14">
        <v>0</v>
      </c>
      <c r="H288" s="14">
        <v>0</v>
      </c>
      <c r="I288" s="14">
        <v>0</v>
      </c>
      <c r="J288" s="14">
        <v>0</v>
      </c>
      <c r="K288" s="14">
        <v>0</v>
      </c>
      <c r="L288" s="14">
        <v>0</v>
      </c>
      <c r="M288" s="15">
        <v>0</v>
      </c>
      <c r="N288" s="804"/>
      <c r="O288" s="14"/>
      <c r="P288" s="15"/>
      <c r="Q288" s="16" t="str">
        <f>IF(ISTEXT('Incurred 2.5% cpi'!Q288),"",'Incurred 2.5% cpi'!Q288/'Incurred 2.5% cpi'!Q$14*Incurred!Q$14)</f>
        <v/>
      </c>
      <c r="R288" s="127" t="str">
        <f>IF(ISTEXT('Incurred 2.5% cpi'!R288),"",'Incurred 2.5% cpi'!R288/'Incurred 2.5% cpi'!R$14*Incurred!R$14*BF288)</f>
        <v/>
      </c>
      <c r="S288" s="119" t="str">
        <f>IF(ISTEXT('Incurred 2.5% cpi'!S288),"",'Incurred 2.5% cpi'!S288/'Incurred 2.5% cpi'!S$14*Incurred!S$14*BG288)</f>
        <v/>
      </c>
      <c r="T288" s="16" t="str">
        <f>IF(ISTEXT('Incurred 2.5% cpi'!T288),"",'Incurred 2.5% cpi'!T288/'Incurred 2.5% cpi'!T$14*Incurred!T$14*BH288)</f>
        <v/>
      </c>
      <c r="U288" s="16">
        <f>IF(ISTEXT('Incurred 2.5% cpi'!U288),"",'Incurred 2.5% cpi'!U288/'Incurred 2.5% cpi'!U$14*Incurred!U$14*BI288)</f>
        <v>452904.40380415641</v>
      </c>
      <c r="V288" s="16" t="str">
        <f>IF(ISTEXT('Incurred 2.5% cpi'!V288),"",'Incurred 2.5% cpi'!V288/'Incurred 2.5% cpi'!V$14*Incurred!V$14*BJ288)</f>
        <v/>
      </c>
      <c r="W288" s="127" t="str">
        <f>IF(ISTEXT('Incurred 2.5% cpi'!W288),"",'Incurred 2.5% cpi'!W288/'Incurred 2.5% cpi'!W$14*Incurred!W$14*BK288)</f>
        <v/>
      </c>
      <c r="X288" s="119" t="str">
        <f>IF(ISTEXT('Incurred 2.5% cpi'!X288),"",'Incurred 2.5% cpi'!X288/'Incurred 2.5% cpi'!X$14*Incurred!X$14*BL288)</f>
        <v/>
      </c>
      <c r="Y288" s="95">
        <f t="shared" si="423"/>
        <v>452904.40380415641</v>
      </c>
      <c r="Z288" s="95">
        <f t="shared" si="433"/>
        <v>452904.40380415641</v>
      </c>
      <c r="AA288" s="676">
        <f t="shared" si="434"/>
        <v>470924.60498411255</v>
      </c>
      <c r="AB288" s="676">
        <f t="shared" si="409"/>
        <v>452904.40380415641</v>
      </c>
      <c r="AC288" s="677">
        <f t="shared" si="424"/>
        <v>1.0397880900000001</v>
      </c>
      <c r="AD288" s="678" t="str">
        <f t="shared" si="410"/>
        <v>2021</v>
      </c>
      <c r="AE288" s="679">
        <v>44266</v>
      </c>
      <c r="AF288" s="678">
        <v>2021</v>
      </c>
      <c r="AG288" s="680"/>
      <c r="AH288" s="676">
        <f t="shared" si="435"/>
        <v>427158.72903681145</v>
      </c>
      <c r="AI288" s="95">
        <f t="shared" si="411"/>
        <v>452904.40380415641</v>
      </c>
      <c r="AJ288" s="681" t="s">
        <v>3058</v>
      </c>
      <c r="AK288" s="37">
        <f t="shared" si="412"/>
        <v>80000.000000000029</v>
      </c>
      <c r="AL288" s="31">
        <f t="shared" si="436"/>
        <v>0</v>
      </c>
      <c r="AM288" s="31">
        <f t="shared" si="436"/>
        <v>0</v>
      </c>
      <c r="AN288" s="31">
        <f t="shared" si="436"/>
        <v>0</v>
      </c>
      <c r="AO288" s="31">
        <f t="shared" si="436"/>
        <v>1</v>
      </c>
      <c r="AP288" s="31">
        <f t="shared" si="436"/>
        <v>0</v>
      </c>
      <c r="AQ288" s="31">
        <f t="shared" si="436"/>
        <v>0</v>
      </c>
      <c r="AR288" s="31">
        <f t="shared" si="436"/>
        <v>0</v>
      </c>
      <c r="AS288" s="31">
        <f t="shared" si="436"/>
        <v>0</v>
      </c>
      <c r="AT288" s="31">
        <f t="shared" si="436"/>
        <v>0</v>
      </c>
      <c r="AU288" s="31">
        <f t="shared" si="436"/>
        <v>0</v>
      </c>
      <c r="AV288" s="31">
        <f t="shared" si="437"/>
        <v>0</v>
      </c>
      <c r="AW288" s="31">
        <f t="shared" si="437"/>
        <v>0</v>
      </c>
      <c r="AX288" s="31">
        <f t="shared" si="437"/>
        <v>0</v>
      </c>
      <c r="AY288" s="31">
        <f t="shared" si="437"/>
        <v>0</v>
      </c>
      <c r="AZ288" s="31">
        <f t="shared" si="437"/>
        <v>0</v>
      </c>
      <c r="BA288" s="31">
        <f t="shared" si="437"/>
        <v>0</v>
      </c>
      <c r="BB288" s="31">
        <f t="shared" si="437"/>
        <v>0</v>
      </c>
      <c r="BC288" s="31">
        <f t="shared" si="437"/>
        <v>0</v>
      </c>
      <c r="BD288" s="31">
        <f t="shared" si="437"/>
        <v>0</v>
      </c>
      <c r="BE288" s="30">
        <f t="shared" si="438"/>
        <v>1</v>
      </c>
      <c r="BF288" s="620">
        <f t="shared" si="425"/>
        <v>1.0047436108337606</v>
      </c>
      <c r="BG288" s="620">
        <f t="shared" si="413"/>
        <v>1.0095180551379406</v>
      </c>
      <c r="BH288" s="620">
        <f t="shared" si="414"/>
        <v>1.0150628376673529</v>
      </c>
      <c r="BI288" s="620">
        <f t="shared" si="415"/>
        <v>1.021766479745412</v>
      </c>
      <c r="BJ288" s="620">
        <f t="shared" si="416"/>
        <v>1.0300335601258988</v>
      </c>
      <c r="BK288" s="620">
        <f t="shared" si="417"/>
        <v>1.0387714883116925</v>
      </c>
      <c r="BL288" s="620">
        <f t="shared" si="418"/>
        <v>1.0451395384095303</v>
      </c>
      <c r="BM288" s="621" t="str">
        <f t="shared" si="419"/>
        <v>Project</v>
      </c>
    </row>
    <row r="289" spans="1:65" x14ac:dyDescent="0.15">
      <c r="A289" s="12" t="s">
        <v>596</v>
      </c>
      <c r="B289" s="13" t="s">
        <v>597</v>
      </c>
      <c r="C289" s="13" t="s">
        <v>27</v>
      </c>
      <c r="D289" s="13" t="s">
        <v>40</v>
      </c>
      <c r="E289" s="13" t="s">
        <v>112</v>
      </c>
      <c r="F289" s="14">
        <v>0</v>
      </c>
      <c r="G289" s="14">
        <v>0</v>
      </c>
      <c r="H289" s="14">
        <v>0</v>
      </c>
      <c r="I289" s="14">
        <v>0</v>
      </c>
      <c r="J289" s="14">
        <v>0</v>
      </c>
      <c r="K289" s="14">
        <v>0</v>
      </c>
      <c r="L289" s="14">
        <v>0</v>
      </c>
      <c r="M289" s="15">
        <v>0</v>
      </c>
      <c r="N289" s="804"/>
      <c r="O289" s="14"/>
      <c r="P289" s="15"/>
      <c r="Q289" s="16" t="str">
        <f>IF(ISTEXT('Incurred 2.5% cpi'!Q289),"",'Incurred 2.5% cpi'!Q289/'Incurred 2.5% cpi'!Q$14*Incurred!Q$14)</f>
        <v/>
      </c>
      <c r="R289" s="127" t="str">
        <f>IF(ISTEXT('Incurred 2.5% cpi'!R289),"",'Incurred 2.5% cpi'!R289/'Incurred 2.5% cpi'!R$14*Incurred!R$14*BF289)</f>
        <v/>
      </c>
      <c r="S289" s="119" t="str">
        <f>IF(ISTEXT('Incurred 2.5% cpi'!S289),"",'Incurred 2.5% cpi'!S289/'Incurred 2.5% cpi'!S$14*Incurred!S$14*BG289)</f>
        <v/>
      </c>
      <c r="T289" s="16">
        <f>IF(ISTEXT('Incurred 2.5% cpi'!T289),"",'Incurred 2.5% cpi'!T289/'Incurred 2.5% cpi'!T$14*Incurred!T$14*BH289)</f>
        <v>550631.2622282363</v>
      </c>
      <c r="U289" s="16">
        <f>IF(ISTEXT('Incurred 2.5% cpi'!U289),"",'Incurred 2.5% cpi'!U289/'Incurred 2.5% cpi'!U$14*Incurred!U$14*BI289)</f>
        <v>518628.93749405426</v>
      </c>
      <c r="V289" s="16">
        <f>IF(ISTEXT('Incurred 2.5% cpi'!V289),"",'Incurred 2.5% cpi'!V289/'Incurred 2.5% cpi'!V$14*Incurred!V$14*BJ289)</f>
        <v>10925208.1549065</v>
      </c>
      <c r="W289" s="127" t="str">
        <f>IF(ISTEXT('Incurred 2.5% cpi'!W289),"",'Incurred 2.5% cpi'!W289/'Incurred 2.5% cpi'!W$14*Incurred!W$14*BK289)</f>
        <v/>
      </c>
      <c r="X289" s="119" t="str">
        <f>IF(ISTEXT('Incurred 2.5% cpi'!X289),"",'Incurred 2.5% cpi'!X289/'Incurred 2.5% cpi'!X$14*Incurred!X$14*BL289)</f>
        <v/>
      </c>
      <c r="Y289" s="95">
        <f t="shared" si="423"/>
        <v>11994468.35462879</v>
      </c>
      <c r="Z289" s="95">
        <f t="shared" si="433"/>
        <v>11994468.35462879</v>
      </c>
      <c r="AA289" s="676">
        <f t="shared" si="434"/>
        <v>12263517.810960816</v>
      </c>
      <c r="AB289" s="676">
        <f t="shared" si="409"/>
        <v>12026593.910915775</v>
      </c>
      <c r="AC289" s="677">
        <f t="shared" si="424"/>
        <v>1.0197000000000001</v>
      </c>
      <c r="AD289" s="678" t="str">
        <f t="shared" si="410"/>
        <v>2022</v>
      </c>
      <c r="AE289" s="679">
        <v>44602</v>
      </c>
      <c r="AF289" s="678">
        <v>2022</v>
      </c>
      <c r="AG289" s="680"/>
      <c r="AH289" s="676">
        <f t="shared" si="435"/>
        <v>11123794.820249517</v>
      </c>
      <c r="AI289" s="95">
        <f t="shared" si="411"/>
        <v>10925208.1549065</v>
      </c>
      <c r="AJ289" s="681" t="s">
        <v>3058</v>
      </c>
      <c r="AK289" s="37">
        <f t="shared" si="412"/>
        <v>8255447.277073076</v>
      </c>
      <c r="AL289" s="31">
        <f t="shared" si="436"/>
        <v>0</v>
      </c>
      <c r="AM289" s="31">
        <f t="shared" si="436"/>
        <v>6.6625178811027128E-2</v>
      </c>
      <c r="AN289" s="31">
        <f t="shared" si="436"/>
        <v>2.4623727083152296E-2</v>
      </c>
      <c r="AO289" s="31">
        <f t="shared" si="436"/>
        <v>0</v>
      </c>
      <c r="AP289" s="31">
        <f t="shared" si="436"/>
        <v>0</v>
      </c>
      <c r="AQ289" s="31">
        <f t="shared" si="436"/>
        <v>0</v>
      </c>
      <c r="AR289" s="31">
        <f t="shared" si="436"/>
        <v>0</v>
      </c>
      <c r="AS289" s="31">
        <f t="shared" si="436"/>
        <v>0</v>
      </c>
      <c r="AT289" s="31">
        <f t="shared" si="436"/>
        <v>0</v>
      </c>
      <c r="AU289" s="31">
        <f t="shared" si="436"/>
        <v>1.5448232602996638E-2</v>
      </c>
      <c r="AV289" s="31">
        <f t="shared" si="437"/>
        <v>0</v>
      </c>
      <c r="AW289" s="31">
        <f t="shared" si="437"/>
        <v>1.4233026516009572E-3</v>
      </c>
      <c r="AX289" s="31">
        <f t="shared" si="437"/>
        <v>0</v>
      </c>
      <c r="AY289" s="31">
        <f t="shared" si="437"/>
        <v>0</v>
      </c>
      <c r="AZ289" s="31">
        <f t="shared" si="437"/>
        <v>0</v>
      </c>
      <c r="BA289" s="31">
        <f t="shared" si="437"/>
        <v>0.8686433753275592</v>
      </c>
      <c r="BB289" s="31">
        <f t="shared" si="437"/>
        <v>0</v>
      </c>
      <c r="BC289" s="31">
        <f t="shared" si="437"/>
        <v>0</v>
      </c>
      <c r="BD289" s="31">
        <f t="shared" si="437"/>
        <v>2.3236183523663752E-2</v>
      </c>
      <c r="BE289" s="30">
        <f t="shared" si="438"/>
        <v>0.99999999999999989</v>
      </c>
      <c r="BF289" s="620">
        <f t="shared" si="425"/>
        <v>1.0038091276544363</v>
      </c>
      <c r="BG289" s="620">
        <f t="shared" si="413"/>
        <v>1.0076430146386266</v>
      </c>
      <c r="BH289" s="620">
        <f t="shared" si="414"/>
        <v>1.0120954845419969</v>
      </c>
      <c r="BI289" s="620">
        <f t="shared" si="415"/>
        <v>1.0174785206551713</v>
      </c>
      <c r="BJ289" s="620">
        <f t="shared" si="416"/>
        <v>1.0241170004129629</v>
      </c>
      <c r="BK289" s="620">
        <f t="shared" si="417"/>
        <v>1.0311335717678689</v>
      </c>
      <c r="BL289" s="620">
        <f t="shared" si="418"/>
        <v>1.0362471269439963</v>
      </c>
      <c r="BM289" s="621" t="str">
        <f t="shared" si="419"/>
        <v>Project</v>
      </c>
    </row>
    <row r="290" spans="1:65" x14ac:dyDescent="0.15">
      <c r="A290" s="12" t="s">
        <v>601</v>
      </c>
      <c r="B290" s="13" t="s">
        <v>2328</v>
      </c>
      <c r="C290" s="13" t="s">
        <v>27</v>
      </c>
      <c r="D290" s="13" t="s">
        <v>55</v>
      </c>
      <c r="E290" s="13" t="s">
        <v>112</v>
      </c>
      <c r="F290" s="14">
        <v>0</v>
      </c>
      <c r="G290" s="14">
        <v>0</v>
      </c>
      <c r="H290" s="14">
        <v>0</v>
      </c>
      <c r="I290" s="14">
        <v>0</v>
      </c>
      <c r="J290" s="14">
        <v>0</v>
      </c>
      <c r="K290" s="14">
        <v>0</v>
      </c>
      <c r="L290" s="14">
        <v>0</v>
      </c>
      <c r="M290" s="15">
        <v>0</v>
      </c>
      <c r="N290" s="804"/>
      <c r="O290" s="14"/>
      <c r="P290" s="15"/>
      <c r="Q290" s="16" t="str">
        <f>IF(ISTEXT('Incurred 2.5% cpi'!Q290),"",'Incurred 2.5% cpi'!Q290/'Incurred 2.5% cpi'!Q$14*Incurred!Q$14)</f>
        <v/>
      </c>
      <c r="R290" s="127" t="str">
        <f>IF(ISTEXT('Incurred 2.5% cpi'!R290),"",'Incurred 2.5% cpi'!R290/'Incurred 2.5% cpi'!R$14*Incurred!R$14*BF290)</f>
        <v/>
      </c>
      <c r="S290" s="119" t="str">
        <f>IF(ISTEXT('Incurred 2.5% cpi'!S290),"",'Incurred 2.5% cpi'!S290/'Incurred 2.5% cpi'!S$14*Incurred!S$14*BG290)</f>
        <v/>
      </c>
      <c r="T290" s="16">
        <f>IF(ISTEXT('Incurred 2.5% cpi'!T290),"",'Incurred 2.5% cpi'!T290/'Incurred 2.5% cpi'!T$14*Incurred!T$14*BH290)</f>
        <v>77044.642755894951</v>
      </c>
      <c r="U290" s="16">
        <f>IF(ISTEXT('Incurred 2.5% cpi'!U290),"",'Incurred 2.5% cpi'!U290/'Incurred 2.5% cpi'!U$14*Incurred!U$14*BI290)</f>
        <v>555251.39946273819</v>
      </c>
      <c r="V290" s="16">
        <f>IF(ISTEXT('Incurred 2.5% cpi'!V290),"",'Incurred 2.5% cpi'!V290/'Incurred 2.5% cpi'!V$14*Incurred!V$14*BJ290)</f>
        <v>138567.8860312879</v>
      </c>
      <c r="W290" s="127" t="str">
        <f>IF(ISTEXT('Incurred 2.5% cpi'!W290),"",'Incurred 2.5% cpi'!W290/'Incurred 2.5% cpi'!W$14*Incurred!W$14*BK290)</f>
        <v/>
      </c>
      <c r="X290" s="119" t="str">
        <f>IF(ISTEXT('Incurred 2.5% cpi'!X290),"",'Incurred 2.5% cpi'!X290/'Incurred 2.5% cpi'!X$14*Incurred!X$14*BL290)</f>
        <v/>
      </c>
      <c r="Y290" s="95">
        <f t="shared" si="423"/>
        <v>770863.92824992095</v>
      </c>
      <c r="Z290" s="95">
        <f t="shared" ref="Z290" si="439">-SUMIFS(F290:W290,F290:W290,"&lt;0")+SUMIFS(F290:W290,F290:W290,"&gt;0")</f>
        <v>770863.92824992095</v>
      </c>
      <c r="AA290" s="676">
        <f>IF(ROUND(Y290,0)=0,0,SUMPRODUCT($F$17:$W$17,F290:W290))</f>
        <v>800329.73644731322</v>
      </c>
      <c r="AB290" s="676">
        <f t="shared" si="409"/>
        <v>784867.8399993265</v>
      </c>
      <c r="AC290" s="677">
        <f t="shared" si="424"/>
        <v>1.0197000000000001</v>
      </c>
      <c r="AD290" s="678" t="str">
        <f t="shared" si="410"/>
        <v>2022</v>
      </c>
      <c r="AE290" s="679">
        <v>44385</v>
      </c>
      <c r="AF290" s="678">
        <v>2022</v>
      </c>
      <c r="AG290" s="680"/>
      <c r="AH290" s="676">
        <f>IF(ROUND(Y290,0)=0,0,SUMPRODUCT($F$16:$W$16,F290:W290))</f>
        <v>725950.24641520705</v>
      </c>
      <c r="AI290" s="95">
        <f t="shared" si="411"/>
        <v>138567.8860312879</v>
      </c>
      <c r="AJ290" s="681" t="s">
        <v>3058</v>
      </c>
      <c r="AK290" s="37">
        <f t="shared" si="412"/>
        <v>0</v>
      </c>
      <c r="AL290" s="31">
        <f t="shared" ref="AL290:AU290" si="440">IF($AK290=0,VLOOKUP(MID($A290,4,5),ProjectSplits,AL$20,FALSE),IF(ISNA(VLOOKUP($A290,Estimates,AL$19,FALSE)),VLOOKUP(MID($A290,4,5),ProjectSplits,AL$20,FALSE),VLOOKUP($A290,Estimates,AL$19,FALSE)))</f>
        <v>0</v>
      </c>
      <c r="AM290" s="31">
        <f t="shared" si="440"/>
        <v>0</v>
      </c>
      <c r="AN290" s="31">
        <f t="shared" si="440"/>
        <v>0</v>
      </c>
      <c r="AO290" s="31">
        <f t="shared" si="440"/>
        <v>1</v>
      </c>
      <c r="AP290" s="31">
        <f t="shared" si="440"/>
        <v>0</v>
      </c>
      <c r="AQ290" s="31">
        <f t="shared" si="440"/>
        <v>0</v>
      </c>
      <c r="AR290" s="31">
        <f t="shared" si="440"/>
        <v>0</v>
      </c>
      <c r="AS290" s="31">
        <f t="shared" si="440"/>
        <v>0</v>
      </c>
      <c r="AT290" s="31">
        <f t="shared" si="440"/>
        <v>0</v>
      </c>
      <c r="AU290" s="31">
        <f t="shared" si="440"/>
        <v>0</v>
      </c>
      <c r="AV290" s="31">
        <f t="shared" ref="AV290:BD290" si="441">IF($AK290=0,VLOOKUP(MID($A290,4,5),ProjectSplits,AV$20,FALSE),IF(ISNA(VLOOKUP($A290,Estimates,AV$19,FALSE)),VLOOKUP(MID($A290,4,5),ProjectSplits,AV$20,FALSE),VLOOKUP($A290,Estimates,AV$19,FALSE)))</f>
        <v>0</v>
      </c>
      <c r="AW290" s="31">
        <f t="shared" si="441"/>
        <v>0</v>
      </c>
      <c r="AX290" s="31">
        <f t="shared" si="441"/>
        <v>0</v>
      </c>
      <c r="AY290" s="31">
        <f t="shared" si="441"/>
        <v>0</v>
      </c>
      <c r="AZ290" s="31">
        <f t="shared" si="441"/>
        <v>0</v>
      </c>
      <c r="BA290" s="31">
        <f t="shared" si="441"/>
        <v>0</v>
      </c>
      <c r="BB290" s="31">
        <f t="shared" si="441"/>
        <v>0</v>
      </c>
      <c r="BC290" s="31">
        <f t="shared" si="441"/>
        <v>0</v>
      </c>
      <c r="BD290" s="31">
        <f t="shared" si="441"/>
        <v>0</v>
      </c>
      <c r="BE290" s="30">
        <f t="shared" ref="BE290" si="442">SUM(AL290:BD290)</f>
        <v>1</v>
      </c>
      <c r="BF290" s="620">
        <f t="shared" si="425"/>
        <v>1.0059304488076128</v>
      </c>
      <c r="BG290" s="620">
        <f t="shared" si="413"/>
        <v>1.011899445532475</v>
      </c>
      <c r="BH290" s="620">
        <f t="shared" si="414"/>
        <v>1.0188315169212143</v>
      </c>
      <c r="BI290" s="620">
        <f t="shared" si="415"/>
        <v>1.0272123912301998</v>
      </c>
      <c r="BJ290" s="620">
        <f t="shared" si="416"/>
        <v>1.0375478716696922</v>
      </c>
      <c r="BK290" s="620">
        <f t="shared" si="417"/>
        <v>1.0484720046996705</v>
      </c>
      <c r="BL290" s="620">
        <f t="shared" si="418"/>
        <v>1.0564333228669962</v>
      </c>
      <c r="BM290" s="621" t="str">
        <f t="shared" si="419"/>
        <v>Project</v>
      </c>
    </row>
    <row r="291" spans="1:65" x14ac:dyDescent="0.15">
      <c r="A291" s="12" t="s">
        <v>605</v>
      </c>
      <c r="B291" s="13" t="s">
        <v>2330</v>
      </c>
      <c r="C291" s="13" t="s">
        <v>27</v>
      </c>
      <c r="D291" s="13" t="s">
        <v>55</v>
      </c>
      <c r="E291" s="13" t="s">
        <v>112</v>
      </c>
      <c r="F291" s="14">
        <v>0</v>
      </c>
      <c r="G291" s="14">
        <v>0</v>
      </c>
      <c r="H291" s="14">
        <v>0</v>
      </c>
      <c r="I291" s="14">
        <v>0</v>
      </c>
      <c r="J291" s="14">
        <v>0</v>
      </c>
      <c r="K291" s="14">
        <v>0</v>
      </c>
      <c r="L291" s="14">
        <v>0</v>
      </c>
      <c r="M291" s="15">
        <v>0</v>
      </c>
      <c r="N291" s="804"/>
      <c r="O291" s="14"/>
      <c r="P291" s="15"/>
      <c r="Q291" s="16" t="str">
        <f>IF(ISTEXT('Incurred 2.5% cpi'!Q291),"",'Incurred 2.5% cpi'!Q291/'Incurred 2.5% cpi'!Q$14*Incurred!Q$14)</f>
        <v/>
      </c>
      <c r="R291" s="127" t="str">
        <f>IF(ISTEXT('Incurred 2.5% cpi'!R291),"",'Incurred 2.5% cpi'!R291/'Incurred 2.5% cpi'!R$14*Incurred!R$14*BF291)</f>
        <v/>
      </c>
      <c r="S291" s="119" t="str">
        <f>IF(ISTEXT('Incurred 2.5% cpi'!S291),"",'Incurred 2.5% cpi'!S291/'Incurred 2.5% cpi'!S$14*Incurred!S$14*BG291)</f>
        <v/>
      </c>
      <c r="T291" s="16" t="str">
        <f>IF(ISTEXT('Incurred 2.5% cpi'!T291),"",'Incurred 2.5% cpi'!T291/'Incurred 2.5% cpi'!T$14*Incurred!T$14*BH291)</f>
        <v/>
      </c>
      <c r="U291" s="16" t="str">
        <f>IF(ISTEXT('Incurred 2.5% cpi'!U291),"",'Incurred 2.5% cpi'!U291/'Incurred 2.5% cpi'!U$14*Incurred!U$14*BI291)</f>
        <v/>
      </c>
      <c r="V291" s="16" t="str">
        <f>IF(ISTEXT('Incurred 2.5% cpi'!V291),"",'Incurred 2.5% cpi'!V291/'Incurred 2.5% cpi'!V$14*Incurred!V$14*BJ291)</f>
        <v/>
      </c>
      <c r="W291" s="127">
        <f>IF(ISTEXT('Incurred 2.5% cpi'!W291),"",'Incurred 2.5% cpi'!W291/'Incurred 2.5% cpi'!W$14*Incurred!W$14*BK291)</f>
        <v>534832.42107666261</v>
      </c>
      <c r="X291" s="119">
        <f>IF(ISTEXT('Incurred 2.5% cpi'!X291),"",'Incurred 2.5% cpi'!X291/'Incurred 2.5% cpi'!X$14*Incurred!X$14*BL291)</f>
        <v>7876.7726578715055</v>
      </c>
      <c r="Y291" s="95">
        <f t="shared" si="423"/>
        <v>534832.42107666261</v>
      </c>
      <c r="Z291" s="95">
        <f t="shared" ref="Z291" si="443">-SUMIFS(F291:W291,F291:W291,"&lt;0")+SUMIFS(F291:W291,F291:W291,"&gt;0")</f>
        <v>534832.42107666261</v>
      </c>
      <c r="AA291" s="676">
        <f t="shared" ref="AA291:AA295" si="444">IF(ROUND(Y291,0)=0,0,SUMPRODUCT($F$17:$W$17,F291:W291))</f>
        <v>534832.42107666261</v>
      </c>
      <c r="AB291" s="676">
        <f t="shared" si="409"/>
        <v>534832.42107666261</v>
      </c>
      <c r="AC291" s="677">
        <f t="shared" si="424"/>
        <v>1</v>
      </c>
      <c r="AD291" s="678" t="str">
        <f>IF(AI291=0,"",INDEX($F$21:$X$21,1,MATCH(AI291,F291:X291,0)))</f>
        <v>2024</v>
      </c>
      <c r="AE291" s="679">
        <v>45044</v>
      </c>
      <c r="AF291" s="678">
        <v>2023</v>
      </c>
      <c r="AG291" s="680"/>
      <c r="AH291" s="676">
        <f t="shared" ref="AH291:AH295" si="445">IF(ROUND(Y291,0)=0,0,SUMPRODUCT($F$16:$W$16,F291:W291))</f>
        <v>485127.2046880952</v>
      </c>
      <c r="AI291" s="95">
        <f t="shared" si="411"/>
        <v>7876.7726578715055</v>
      </c>
      <c r="AJ291" s="681" t="s">
        <v>3058</v>
      </c>
      <c r="AK291" s="37">
        <f t="shared" si="412"/>
        <v>89999.999999999985</v>
      </c>
      <c r="AL291" s="31">
        <f t="shared" ref="AL291:AU295" si="446">IF($AK291=0,VLOOKUP(MID($A291,4,5),ProjectSplits,AL$20,FALSE),IF(ISNA(VLOOKUP($A291,Estimates,AL$19,FALSE)),VLOOKUP(MID($A291,4,5),ProjectSplits,AL$20,FALSE),VLOOKUP($A291,Estimates,AL$19,FALSE)))</f>
        <v>0</v>
      </c>
      <c r="AM291" s="31">
        <f t="shared" si="446"/>
        <v>0</v>
      </c>
      <c r="AN291" s="31">
        <f t="shared" si="446"/>
        <v>0</v>
      </c>
      <c r="AO291" s="31">
        <f t="shared" si="446"/>
        <v>1</v>
      </c>
      <c r="AP291" s="31">
        <f t="shared" si="446"/>
        <v>0</v>
      </c>
      <c r="AQ291" s="31">
        <f t="shared" si="446"/>
        <v>0</v>
      </c>
      <c r="AR291" s="31">
        <f t="shared" si="446"/>
        <v>0</v>
      </c>
      <c r="AS291" s="31">
        <f t="shared" si="446"/>
        <v>0</v>
      </c>
      <c r="AT291" s="31">
        <f t="shared" si="446"/>
        <v>0</v>
      </c>
      <c r="AU291" s="31">
        <f t="shared" si="446"/>
        <v>0</v>
      </c>
      <c r="AV291" s="31">
        <f t="shared" ref="AV291:BD295" si="447">IF($AK291=0,VLOOKUP(MID($A291,4,5),ProjectSplits,AV$20,FALSE),IF(ISNA(VLOOKUP($A291,Estimates,AV$19,FALSE)),VLOOKUP(MID($A291,4,5),ProjectSplits,AV$20,FALSE),VLOOKUP($A291,Estimates,AV$19,FALSE)))</f>
        <v>0</v>
      </c>
      <c r="AW291" s="31">
        <f t="shared" si="447"/>
        <v>0</v>
      </c>
      <c r="AX291" s="31">
        <f t="shared" si="447"/>
        <v>0</v>
      </c>
      <c r="AY291" s="31">
        <f t="shared" si="447"/>
        <v>0</v>
      </c>
      <c r="AZ291" s="31">
        <f t="shared" si="447"/>
        <v>0</v>
      </c>
      <c r="BA291" s="31">
        <f t="shared" si="447"/>
        <v>0</v>
      </c>
      <c r="BB291" s="31">
        <f t="shared" si="447"/>
        <v>0</v>
      </c>
      <c r="BC291" s="31">
        <f t="shared" si="447"/>
        <v>0</v>
      </c>
      <c r="BD291" s="31">
        <f t="shared" si="447"/>
        <v>0</v>
      </c>
      <c r="BE291" s="30">
        <f t="shared" ref="BE291:BE295" si="448">SUM(AL291:BD291)</f>
        <v>1</v>
      </c>
      <c r="BF291" s="620">
        <f t="shared" si="425"/>
        <v>1.0047502599901774</v>
      </c>
      <c r="BG291" s="620">
        <f t="shared" si="413"/>
        <v>1.009531396670291</v>
      </c>
      <c r="BH291" s="620">
        <f t="shared" si="414"/>
        <v>1.0150839513647538</v>
      </c>
      <c r="BI291" s="620">
        <f t="shared" si="415"/>
        <v>1.0217969899903592</v>
      </c>
      <c r="BJ291" s="620">
        <f t="shared" si="416"/>
        <v>1.0300756584020918</v>
      </c>
      <c r="BK291" s="620">
        <f t="shared" si="417"/>
        <v>1.0388258346101837</v>
      </c>
      <c r="BL291" s="620">
        <f t="shared" si="418"/>
        <v>1.0452028108536635</v>
      </c>
      <c r="BM291" s="621" t="str">
        <f t="shared" si="419"/>
        <v>Project</v>
      </c>
    </row>
    <row r="292" spans="1:65" x14ac:dyDescent="0.15">
      <c r="A292" s="12" t="s">
        <v>607</v>
      </c>
      <c r="B292" s="13" t="s">
        <v>2332</v>
      </c>
      <c r="C292" s="13" t="s">
        <v>27</v>
      </c>
      <c r="D292" s="13" t="s">
        <v>55</v>
      </c>
      <c r="E292" s="13" t="s">
        <v>112</v>
      </c>
      <c r="F292" s="14">
        <v>0</v>
      </c>
      <c r="G292" s="14">
        <v>0</v>
      </c>
      <c r="H292" s="14">
        <v>0</v>
      </c>
      <c r="I292" s="14">
        <v>0</v>
      </c>
      <c r="J292" s="14">
        <v>0</v>
      </c>
      <c r="K292" s="14">
        <v>0</v>
      </c>
      <c r="L292" s="14">
        <v>0</v>
      </c>
      <c r="M292" s="15">
        <v>0</v>
      </c>
      <c r="N292" s="804"/>
      <c r="O292" s="14"/>
      <c r="P292" s="15"/>
      <c r="Q292" s="16" t="str">
        <f>IF(ISTEXT('Incurred 2.5% cpi'!Q292),"",'Incurred 2.5% cpi'!Q292/'Incurred 2.5% cpi'!Q$14*Incurred!Q$14)</f>
        <v/>
      </c>
      <c r="R292" s="127" t="str">
        <f>IF(ISTEXT('Incurred 2.5% cpi'!R292),"",'Incurred 2.5% cpi'!R292/'Incurred 2.5% cpi'!R$14*Incurred!R$14*BF292)</f>
        <v/>
      </c>
      <c r="S292" s="119">
        <f>IF(ISTEXT('Incurred 2.5% cpi'!S292),"",'Incurred 2.5% cpi'!S292/'Incurred 2.5% cpi'!S$14*Incurred!S$14*BG292)</f>
        <v>108759.65136604935</v>
      </c>
      <c r="T292" s="16">
        <f>IF(ISTEXT('Incurred 2.5% cpi'!T292),"",'Incurred 2.5% cpi'!T292/'Incurred 2.5% cpi'!T$14*Incurred!T$14*BH292)</f>
        <v>156854.74508511703</v>
      </c>
      <c r="U292" s="16">
        <f>IF(ISTEXT('Incurred 2.5% cpi'!U292),"",'Incurred 2.5% cpi'!U292/'Incurred 2.5% cpi'!U$14*Incurred!U$14*BI292)</f>
        <v>19974.608258064367</v>
      </c>
      <c r="V292" s="16" t="str">
        <f>IF(ISTEXT('Incurred 2.5% cpi'!V292),"",'Incurred 2.5% cpi'!V292/'Incurred 2.5% cpi'!V$14*Incurred!V$14*BJ292)</f>
        <v/>
      </c>
      <c r="W292" s="127" t="str">
        <f>IF(ISTEXT('Incurred 2.5% cpi'!W292),"",'Incurred 2.5% cpi'!W292/'Incurred 2.5% cpi'!W$14*Incurred!W$14*BK292)</f>
        <v/>
      </c>
      <c r="X292" s="119" t="str">
        <f>IF(ISTEXT('Incurred 2.5% cpi'!X292),"",'Incurred 2.5% cpi'!X292/'Incurred 2.5% cpi'!X$14*Incurred!X$14*BL292)</f>
        <v/>
      </c>
      <c r="Y292" s="95">
        <f t="shared" si="423"/>
        <v>285589.00470923074</v>
      </c>
      <c r="Z292" s="95">
        <f t="shared" ref="Z292:Z322" si="449">-SUMIFS(F292:W292,F292:W292,"&lt;0")+SUMIFS(F292:W292,F292:W292,"&gt;0")</f>
        <v>285589.00470923074</v>
      </c>
      <c r="AA292" s="676">
        <f t="shared" si="444"/>
        <v>304664.54628129536</v>
      </c>
      <c r="AB292" s="676">
        <f t="shared" si="409"/>
        <v>287345.67224117729</v>
      </c>
      <c r="AC292" s="677">
        <f t="shared" si="424"/>
        <v>1.060271915373</v>
      </c>
      <c r="AD292" s="678" t="str">
        <f t="shared" si="410"/>
        <v>2021</v>
      </c>
      <c r="AE292" s="679">
        <v>43990</v>
      </c>
      <c r="AF292" s="678">
        <v>2020</v>
      </c>
      <c r="AG292" s="680"/>
      <c r="AH292" s="676">
        <f t="shared" si="445"/>
        <v>276350.2246319991</v>
      </c>
      <c r="AI292" s="95">
        <f t="shared" si="411"/>
        <v>19974.608258064367</v>
      </c>
      <c r="AJ292" s="681" t="s">
        <v>3058</v>
      </c>
      <c r="AK292" s="37">
        <f t="shared" si="412"/>
        <v>52000</v>
      </c>
      <c r="AL292" s="31">
        <f t="shared" si="446"/>
        <v>0</v>
      </c>
      <c r="AM292" s="31">
        <f t="shared" si="446"/>
        <v>0</v>
      </c>
      <c r="AN292" s="31">
        <f t="shared" si="446"/>
        <v>0</v>
      </c>
      <c r="AO292" s="31">
        <f t="shared" si="446"/>
        <v>1</v>
      </c>
      <c r="AP292" s="31">
        <f t="shared" si="446"/>
        <v>0</v>
      </c>
      <c r="AQ292" s="31">
        <f t="shared" si="446"/>
        <v>0</v>
      </c>
      <c r="AR292" s="31">
        <f t="shared" si="446"/>
        <v>0</v>
      </c>
      <c r="AS292" s="31">
        <f t="shared" si="446"/>
        <v>0</v>
      </c>
      <c r="AT292" s="31">
        <f t="shared" si="446"/>
        <v>0</v>
      </c>
      <c r="AU292" s="31">
        <f t="shared" si="446"/>
        <v>0</v>
      </c>
      <c r="AV292" s="31">
        <f t="shared" si="447"/>
        <v>0</v>
      </c>
      <c r="AW292" s="31">
        <f t="shared" si="447"/>
        <v>0</v>
      </c>
      <c r="AX292" s="31">
        <f t="shared" si="447"/>
        <v>0</v>
      </c>
      <c r="AY292" s="31">
        <f t="shared" si="447"/>
        <v>0</v>
      </c>
      <c r="AZ292" s="31">
        <f t="shared" si="447"/>
        <v>0</v>
      </c>
      <c r="BA292" s="31">
        <f t="shared" si="447"/>
        <v>0</v>
      </c>
      <c r="BB292" s="31">
        <f t="shared" si="447"/>
        <v>0</v>
      </c>
      <c r="BC292" s="31">
        <f t="shared" si="447"/>
        <v>0</v>
      </c>
      <c r="BD292" s="31">
        <f t="shared" si="447"/>
        <v>0</v>
      </c>
      <c r="BE292" s="30">
        <f t="shared" si="448"/>
        <v>1</v>
      </c>
      <c r="BF292" s="620">
        <f t="shared" si="425"/>
        <v>1.0047443590460903</v>
      </c>
      <c r="BG292" s="620">
        <f t="shared" si="413"/>
        <v>1.00951955642598</v>
      </c>
      <c r="BH292" s="620">
        <f t="shared" si="414"/>
        <v>1.0150652135369715</v>
      </c>
      <c r="BI292" s="620">
        <f t="shared" si="415"/>
        <v>1.0217699129841598</v>
      </c>
      <c r="BJ292" s="620">
        <f t="shared" si="416"/>
        <v>1.0300382973357538</v>
      </c>
      <c r="BK292" s="620">
        <f t="shared" si="417"/>
        <v>1.0387776037597363</v>
      </c>
      <c r="BL292" s="620">
        <f t="shared" si="418"/>
        <v>1.0451466582935969</v>
      </c>
      <c r="BM292" s="621" t="str">
        <f t="shared" si="419"/>
        <v>Project</v>
      </c>
    </row>
    <row r="293" spans="1:65" x14ac:dyDescent="0.15">
      <c r="A293" s="12" t="s">
        <v>608</v>
      </c>
      <c r="B293" s="13" t="s">
        <v>609</v>
      </c>
      <c r="C293" s="13" t="s">
        <v>27</v>
      </c>
      <c r="D293" s="13" t="s">
        <v>44</v>
      </c>
      <c r="E293" s="13" t="s">
        <v>45</v>
      </c>
      <c r="F293" s="14">
        <v>0</v>
      </c>
      <c r="G293" s="14">
        <v>0</v>
      </c>
      <c r="H293" s="14">
        <v>0</v>
      </c>
      <c r="I293" s="14">
        <v>0</v>
      </c>
      <c r="J293" s="14">
        <v>0</v>
      </c>
      <c r="K293" s="14">
        <v>0</v>
      </c>
      <c r="L293" s="14">
        <v>0</v>
      </c>
      <c r="M293" s="15">
        <v>0</v>
      </c>
      <c r="N293" s="804"/>
      <c r="O293" s="14"/>
      <c r="P293" s="15">
        <v>8906.7900000000009</v>
      </c>
      <c r="Q293" s="16" t="str">
        <f>IF(ISTEXT('Incurred 2.5% cpi'!Q293),"",'Incurred 2.5% cpi'!Q293/'Incurred 2.5% cpi'!Q$14*Incurred!Q$14)</f>
        <v/>
      </c>
      <c r="R293" s="127" t="str">
        <f>IF(ISTEXT('Incurred 2.5% cpi'!R293),"",'Incurred 2.5% cpi'!R293/'Incurred 2.5% cpi'!R$14*Incurred!R$14*BF293)</f>
        <v/>
      </c>
      <c r="S293" s="119" t="str">
        <f>IF(ISTEXT('Incurred 2.5% cpi'!S293),"",'Incurred 2.5% cpi'!S293/'Incurred 2.5% cpi'!S$14*Incurred!S$14*BG293)</f>
        <v/>
      </c>
      <c r="T293" s="16" t="str">
        <f>IF(ISTEXT('Incurred 2.5% cpi'!T293),"",'Incurred 2.5% cpi'!T293/'Incurred 2.5% cpi'!T$14*Incurred!T$14*BH293)</f>
        <v/>
      </c>
      <c r="U293" s="16" t="str">
        <f>IF(ISTEXT('Incurred 2.5% cpi'!U293),"",'Incurred 2.5% cpi'!U293/'Incurred 2.5% cpi'!U$14*Incurred!U$14*BI293)</f>
        <v/>
      </c>
      <c r="V293" s="16" t="str">
        <f>IF(ISTEXT('Incurred 2.5% cpi'!V293),"",'Incurred 2.5% cpi'!V293/'Incurred 2.5% cpi'!V$14*Incurred!V$14*BJ293)</f>
        <v/>
      </c>
      <c r="W293" s="127" t="str">
        <f>IF(ISTEXT('Incurred 2.5% cpi'!W293),"",'Incurred 2.5% cpi'!W293/'Incurred 2.5% cpi'!W$14*Incurred!W$14*BK293)</f>
        <v/>
      </c>
      <c r="X293" s="119" t="str">
        <f>IF(ISTEXT('Incurred 2.5% cpi'!X293),"",'Incurred 2.5% cpi'!X293/'Incurred 2.5% cpi'!X$14*Incurred!X$14*BL293)</f>
        <v/>
      </c>
      <c r="Y293" s="95">
        <f t="shared" si="423"/>
        <v>8906.7900000000009</v>
      </c>
      <c r="Z293" s="95">
        <f t="shared" si="449"/>
        <v>8906.7900000000009</v>
      </c>
      <c r="AA293" s="676">
        <f t="shared" si="444"/>
        <v>10210.056560999865</v>
      </c>
      <c r="AB293" s="676">
        <f t="shared" si="409"/>
        <v>9443.619293125088</v>
      </c>
      <c r="AC293" s="677">
        <f t="shared" si="424"/>
        <v>1.0811592721058483</v>
      </c>
      <c r="AD293" s="678" t="str">
        <f t="shared" si="410"/>
        <v>2016</v>
      </c>
      <c r="AE293" s="679">
        <v>43496</v>
      </c>
      <c r="AF293" s="678">
        <v>2019</v>
      </c>
      <c r="AG293" s="680"/>
      <c r="AH293" s="676">
        <f t="shared" si="445"/>
        <v>9261.1741621311012</v>
      </c>
      <c r="AI293" s="95">
        <f t="shared" si="411"/>
        <v>8906.7900000000009</v>
      </c>
      <c r="AJ293" s="681" t="s">
        <v>0</v>
      </c>
      <c r="AK293" s="37">
        <f t="shared" si="412"/>
        <v>0</v>
      </c>
      <c r="AL293" s="31">
        <f t="shared" si="446"/>
        <v>0</v>
      </c>
      <c r="AM293" s="31">
        <f t="shared" si="446"/>
        <v>0</v>
      </c>
      <c r="AN293" s="31">
        <f t="shared" si="446"/>
        <v>0</v>
      </c>
      <c r="AO293" s="31">
        <f t="shared" si="446"/>
        <v>0</v>
      </c>
      <c r="AP293" s="31">
        <f t="shared" si="446"/>
        <v>0</v>
      </c>
      <c r="AQ293" s="31">
        <f t="shared" si="446"/>
        <v>1</v>
      </c>
      <c r="AR293" s="31">
        <f t="shared" si="446"/>
        <v>0</v>
      </c>
      <c r="AS293" s="31">
        <f t="shared" si="446"/>
        <v>0</v>
      </c>
      <c r="AT293" s="31">
        <f t="shared" si="446"/>
        <v>0</v>
      </c>
      <c r="AU293" s="31">
        <f t="shared" si="446"/>
        <v>0</v>
      </c>
      <c r="AV293" s="31">
        <f t="shared" si="447"/>
        <v>0</v>
      </c>
      <c r="AW293" s="31">
        <f t="shared" si="447"/>
        <v>0</v>
      </c>
      <c r="AX293" s="31">
        <f t="shared" si="447"/>
        <v>0</v>
      </c>
      <c r="AY293" s="31">
        <f t="shared" si="447"/>
        <v>0</v>
      </c>
      <c r="AZ293" s="31">
        <f t="shared" si="447"/>
        <v>0</v>
      </c>
      <c r="BA293" s="31">
        <f t="shared" si="447"/>
        <v>0</v>
      </c>
      <c r="BB293" s="31">
        <f t="shared" si="447"/>
        <v>0</v>
      </c>
      <c r="BC293" s="31">
        <f t="shared" si="447"/>
        <v>0</v>
      </c>
      <c r="BD293" s="31">
        <f t="shared" si="447"/>
        <v>0</v>
      </c>
      <c r="BE293" s="30">
        <f t="shared" si="448"/>
        <v>1</v>
      </c>
      <c r="BF293" s="620">
        <f t="shared" si="425"/>
        <v>1.0013788876313259</v>
      </c>
      <c r="BG293" s="620">
        <f t="shared" si="413"/>
        <v>1.0027667380322551</v>
      </c>
      <c r="BH293" s="620">
        <f t="shared" si="414"/>
        <v>1.0043785127574885</v>
      </c>
      <c r="BI293" s="620">
        <f t="shared" si="415"/>
        <v>1.0063271484002954</v>
      </c>
      <c r="BJ293" s="620">
        <f t="shared" si="416"/>
        <v>1.0087302491780192</v>
      </c>
      <c r="BK293" s="620">
        <f t="shared" si="417"/>
        <v>1.0112702174682198</v>
      </c>
      <c r="BL293" s="620">
        <f t="shared" si="418"/>
        <v>1.0131213021847563</v>
      </c>
      <c r="BM293" s="621" t="str">
        <f t="shared" si="419"/>
        <v>Category</v>
      </c>
    </row>
    <row r="294" spans="1:65" x14ac:dyDescent="0.15">
      <c r="A294" s="12" t="s">
        <v>610</v>
      </c>
      <c r="B294" s="13" t="s">
        <v>2333</v>
      </c>
      <c r="C294" s="13" t="s">
        <v>27</v>
      </c>
      <c r="D294" s="13" t="s">
        <v>55</v>
      </c>
      <c r="E294" s="13" t="s">
        <v>112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0</v>
      </c>
      <c r="M294" s="15">
        <v>0</v>
      </c>
      <c r="N294" s="804"/>
      <c r="O294" s="14"/>
      <c r="P294" s="15"/>
      <c r="Q294" s="16" t="str">
        <f>IF(ISTEXT('Incurred 2.5% cpi'!Q294),"",'Incurred 2.5% cpi'!Q294/'Incurred 2.5% cpi'!Q$14*Incurred!Q$14)</f>
        <v/>
      </c>
      <c r="R294" s="127" t="str">
        <f>IF(ISTEXT('Incurred 2.5% cpi'!R294),"",'Incurred 2.5% cpi'!R294/'Incurred 2.5% cpi'!R$14*Incurred!R$14*BF294)</f>
        <v/>
      </c>
      <c r="S294" s="119" t="str">
        <f>IF(ISTEXT('Incurred 2.5% cpi'!S294),"",'Incurred 2.5% cpi'!S294/'Incurred 2.5% cpi'!S$14*Incurred!S$14*BG294)</f>
        <v/>
      </c>
      <c r="T294" s="16">
        <f>IF(ISTEXT('Incurred 2.5% cpi'!T294),"",'Incurred 2.5% cpi'!T294/'Incurred 2.5% cpi'!T$14*Incurred!T$14*BH294)</f>
        <v>460812.29645649041</v>
      </c>
      <c r="U294" s="16">
        <f>IF(ISTEXT('Incurred 2.5% cpi'!U294),"",'Incurred 2.5% cpi'!U294/'Incurred 2.5% cpi'!U$14*Incurred!U$14*BI294)</f>
        <v>230846.29732504912</v>
      </c>
      <c r="V294" s="16" t="str">
        <f>IF(ISTEXT('Incurred 2.5% cpi'!V294),"",'Incurred 2.5% cpi'!V294/'Incurred 2.5% cpi'!V$14*Incurred!V$14*BJ294)</f>
        <v/>
      </c>
      <c r="W294" s="127" t="str">
        <f>IF(ISTEXT('Incurred 2.5% cpi'!W294),"",'Incurred 2.5% cpi'!W294/'Incurred 2.5% cpi'!W$14*Incurred!W$14*BK294)</f>
        <v/>
      </c>
      <c r="X294" s="119" t="str">
        <f>IF(ISTEXT('Incurred 2.5% cpi'!X294),"",'Incurred 2.5% cpi'!X294/'Incurred 2.5% cpi'!X$14*Incurred!X$14*BL294)</f>
        <v/>
      </c>
      <c r="Y294" s="95">
        <f t="shared" si="423"/>
        <v>691658.59378153947</v>
      </c>
      <c r="Z294" s="95">
        <f t="shared" si="449"/>
        <v>691658.59378153947</v>
      </c>
      <c r="AA294" s="676">
        <f t="shared" si="444"/>
        <v>728617.56677053869</v>
      </c>
      <c r="AB294" s="676">
        <f t="shared" si="409"/>
        <v>700736.59602173232</v>
      </c>
      <c r="AC294" s="677">
        <f t="shared" si="424"/>
        <v>1.0397880900000001</v>
      </c>
      <c r="AD294" s="678" t="str">
        <f t="shared" si="410"/>
        <v>2021</v>
      </c>
      <c r="AE294" s="679">
        <v>44096</v>
      </c>
      <c r="AF294" s="678">
        <v>2021</v>
      </c>
      <c r="AG294" s="680"/>
      <c r="AH294" s="676">
        <f t="shared" si="445"/>
        <v>660902.72302951233</v>
      </c>
      <c r="AI294" s="95">
        <f t="shared" si="411"/>
        <v>230846.29732504912</v>
      </c>
      <c r="AJ294" s="681" t="s">
        <v>3058</v>
      </c>
      <c r="AK294" s="37">
        <f t="shared" si="412"/>
        <v>117800.00000000007</v>
      </c>
      <c r="AL294" s="31">
        <f t="shared" si="446"/>
        <v>0</v>
      </c>
      <c r="AM294" s="31">
        <f t="shared" si="446"/>
        <v>0</v>
      </c>
      <c r="AN294" s="31">
        <f t="shared" si="446"/>
        <v>0</v>
      </c>
      <c r="AO294" s="31">
        <f t="shared" si="446"/>
        <v>1</v>
      </c>
      <c r="AP294" s="31">
        <f t="shared" si="446"/>
        <v>0</v>
      </c>
      <c r="AQ294" s="31">
        <f t="shared" si="446"/>
        <v>0</v>
      </c>
      <c r="AR294" s="31">
        <f t="shared" si="446"/>
        <v>0</v>
      </c>
      <c r="AS294" s="31">
        <f t="shared" si="446"/>
        <v>0</v>
      </c>
      <c r="AT294" s="31">
        <f t="shared" si="446"/>
        <v>0</v>
      </c>
      <c r="AU294" s="31">
        <f t="shared" si="446"/>
        <v>0</v>
      </c>
      <c r="AV294" s="31">
        <f t="shared" si="447"/>
        <v>0</v>
      </c>
      <c r="AW294" s="31">
        <f t="shared" si="447"/>
        <v>0</v>
      </c>
      <c r="AX294" s="31">
        <f t="shared" si="447"/>
        <v>0</v>
      </c>
      <c r="AY294" s="31">
        <f t="shared" si="447"/>
        <v>0</v>
      </c>
      <c r="AZ294" s="31">
        <f t="shared" si="447"/>
        <v>0</v>
      </c>
      <c r="BA294" s="31">
        <f t="shared" si="447"/>
        <v>0</v>
      </c>
      <c r="BB294" s="31">
        <f t="shared" si="447"/>
        <v>0</v>
      </c>
      <c r="BC294" s="31">
        <f t="shared" si="447"/>
        <v>0</v>
      </c>
      <c r="BD294" s="31">
        <f t="shared" si="447"/>
        <v>0</v>
      </c>
      <c r="BE294" s="30">
        <f t="shared" si="448"/>
        <v>1</v>
      </c>
      <c r="BF294" s="620">
        <f t="shared" si="425"/>
        <v>1.004803071922538</v>
      </c>
      <c r="BG294" s="620">
        <f t="shared" si="413"/>
        <v>1.0096373638125724</v>
      </c>
      <c r="BH294" s="620">
        <f t="shared" si="414"/>
        <v>1.0152516501056337</v>
      </c>
      <c r="BI294" s="620">
        <f t="shared" si="415"/>
        <v>1.0220393222339446</v>
      </c>
      <c r="BJ294" s="620">
        <f t="shared" si="416"/>
        <v>1.0304100303397361</v>
      </c>
      <c r="BK294" s="620">
        <f t="shared" si="417"/>
        <v>1.0392574883208259</v>
      </c>
      <c r="BL294" s="620">
        <f t="shared" si="418"/>
        <v>1.0457053618286094</v>
      </c>
      <c r="BM294" s="621" t="str">
        <f t="shared" si="419"/>
        <v>Project</v>
      </c>
    </row>
    <row r="295" spans="1:65" x14ac:dyDescent="0.15">
      <c r="A295" s="12" t="s">
        <v>611</v>
      </c>
      <c r="B295" s="13" t="s">
        <v>2334</v>
      </c>
      <c r="C295" s="13" t="s">
        <v>27</v>
      </c>
      <c r="D295" s="13" t="s">
        <v>55</v>
      </c>
      <c r="E295" s="13" t="s">
        <v>112</v>
      </c>
      <c r="F295" s="14">
        <v>0</v>
      </c>
      <c r="G295" s="14">
        <v>0</v>
      </c>
      <c r="H295" s="14">
        <v>0</v>
      </c>
      <c r="I295" s="14">
        <v>0</v>
      </c>
      <c r="J295" s="14">
        <v>0</v>
      </c>
      <c r="K295" s="14">
        <v>0</v>
      </c>
      <c r="L295" s="14">
        <v>0</v>
      </c>
      <c r="M295" s="15">
        <v>0</v>
      </c>
      <c r="N295" s="804"/>
      <c r="O295" s="14"/>
      <c r="P295" s="15"/>
      <c r="Q295" s="16" t="str">
        <f>IF(ISTEXT('Incurred 2.5% cpi'!Q295),"",'Incurred 2.5% cpi'!Q295/'Incurred 2.5% cpi'!Q$14*Incurred!Q$14)</f>
        <v/>
      </c>
      <c r="R295" s="127" t="str">
        <f>IF(ISTEXT('Incurred 2.5% cpi'!R295),"",'Incurred 2.5% cpi'!R295/'Incurred 2.5% cpi'!R$14*Incurred!R$14*BF295)</f>
        <v/>
      </c>
      <c r="S295" s="119">
        <f>IF(ISTEXT('Incurred 2.5% cpi'!S295),"",'Incurred 2.5% cpi'!S295/'Incurred 2.5% cpi'!S$14*Incurred!S$14*BG295)</f>
        <v>38198.150106323701</v>
      </c>
      <c r="T295" s="16">
        <f>IF(ISTEXT('Incurred 2.5% cpi'!T295),"",'Incurred 2.5% cpi'!T295/'Incurred 2.5% cpi'!T$14*Incurred!T$14*BH295)</f>
        <v>247482.69389835041</v>
      </c>
      <c r="U295" s="16">
        <f>IF(ISTEXT('Incurred 2.5% cpi'!U295),"",'Incurred 2.5% cpi'!U295/'Incurred 2.5% cpi'!U$14*Incurred!U$14*BI295)</f>
        <v>424452.02817118121</v>
      </c>
      <c r="V295" s="16">
        <f>IF(ISTEXT('Incurred 2.5% cpi'!V295),"",'Incurred 2.5% cpi'!V295/'Incurred 2.5% cpi'!V$14*Incurred!V$14*BJ295)</f>
        <v>194615.14148684344</v>
      </c>
      <c r="W295" s="127" t="str">
        <f>IF(ISTEXT('Incurred 2.5% cpi'!W295),"",'Incurred 2.5% cpi'!W295/'Incurred 2.5% cpi'!W$14*Incurred!W$14*BK295)</f>
        <v/>
      </c>
      <c r="X295" s="119" t="str">
        <f>IF(ISTEXT('Incurred 2.5% cpi'!X295),"",'Incurred 2.5% cpi'!X295/'Incurred 2.5% cpi'!X$14*Incurred!X$14*BL295)</f>
        <v/>
      </c>
      <c r="Y295" s="95">
        <f t="shared" si="423"/>
        <v>904748.0136626988</v>
      </c>
      <c r="Z295" s="95">
        <f t="shared" si="449"/>
        <v>904748.0136626988</v>
      </c>
      <c r="AA295" s="676">
        <f t="shared" si="444"/>
        <v>943486.45748888981</v>
      </c>
      <c r="AB295" s="676">
        <f t="shared" si="409"/>
        <v>925258.85798655462</v>
      </c>
      <c r="AC295" s="677">
        <f t="shared" si="424"/>
        <v>1.0197000000000001</v>
      </c>
      <c r="AD295" s="678" t="str">
        <f t="shared" si="410"/>
        <v>2022</v>
      </c>
      <c r="AE295" s="679">
        <v>44469</v>
      </c>
      <c r="AF295" s="678">
        <v>2022</v>
      </c>
      <c r="AG295" s="680"/>
      <c r="AH295" s="676">
        <f t="shared" si="445"/>
        <v>855802.546265329</v>
      </c>
      <c r="AI295" s="95">
        <f t="shared" si="411"/>
        <v>194615.14148684344</v>
      </c>
      <c r="AJ295" s="681" t="s">
        <v>3058</v>
      </c>
      <c r="AK295" s="37">
        <f t="shared" si="412"/>
        <v>151999.9999999998</v>
      </c>
      <c r="AL295" s="31">
        <f t="shared" si="446"/>
        <v>0</v>
      </c>
      <c r="AM295" s="31">
        <f t="shared" si="446"/>
        <v>0</v>
      </c>
      <c r="AN295" s="31">
        <f t="shared" si="446"/>
        <v>0</v>
      </c>
      <c r="AO295" s="31">
        <f t="shared" si="446"/>
        <v>1</v>
      </c>
      <c r="AP295" s="31">
        <f t="shared" si="446"/>
        <v>0</v>
      </c>
      <c r="AQ295" s="31">
        <f t="shared" si="446"/>
        <v>0</v>
      </c>
      <c r="AR295" s="31">
        <f t="shared" si="446"/>
        <v>0</v>
      </c>
      <c r="AS295" s="31">
        <f t="shared" si="446"/>
        <v>0</v>
      </c>
      <c r="AT295" s="31">
        <f t="shared" si="446"/>
        <v>0</v>
      </c>
      <c r="AU295" s="31">
        <f t="shared" si="446"/>
        <v>0</v>
      </c>
      <c r="AV295" s="31">
        <f t="shared" si="447"/>
        <v>0</v>
      </c>
      <c r="AW295" s="31">
        <f t="shared" si="447"/>
        <v>0</v>
      </c>
      <c r="AX295" s="31">
        <f t="shared" si="447"/>
        <v>0</v>
      </c>
      <c r="AY295" s="31">
        <f t="shared" si="447"/>
        <v>0</v>
      </c>
      <c r="AZ295" s="31">
        <f t="shared" si="447"/>
        <v>0</v>
      </c>
      <c r="BA295" s="31">
        <f t="shared" si="447"/>
        <v>0</v>
      </c>
      <c r="BB295" s="31">
        <f t="shared" si="447"/>
        <v>0</v>
      </c>
      <c r="BC295" s="31">
        <f t="shared" si="447"/>
        <v>0</v>
      </c>
      <c r="BD295" s="31">
        <f t="shared" si="447"/>
        <v>0</v>
      </c>
      <c r="BE295" s="30">
        <f t="shared" si="448"/>
        <v>1</v>
      </c>
      <c r="BF295" s="620">
        <f t="shared" si="425"/>
        <v>1.0048041821446516</v>
      </c>
      <c r="BG295" s="620">
        <f t="shared" si="413"/>
        <v>1.0096395914732432</v>
      </c>
      <c r="BH295" s="620">
        <f t="shared" si="414"/>
        <v>1.0152551754992751</v>
      </c>
      <c r="BI295" s="620">
        <f t="shared" si="415"/>
        <v>1.0220444165867477</v>
      </c>
      <c r="BJ295" s="620">
        <f t="shared" si="416"/>
        <v>1.030417059567843</v>
      </c>
      <c r="BK295" s="620">
        <f t="shared" si="417"/>
        <v>1.0392665626241799</v>
      </c>
      <c r="BL295" s="620">
        <f t="shared" si="418"/>
        <v>1.0457159265472371</v>
      </c>
      <c r="BM295" s="621" t="str">
        <f t="shared" si="419"/>
        <v>Project</v>
      </c>
    </row>
    <row r="296" spans="1:65" x14ac:dyDescent="0.15">
      <c r="A296" s="12" t="s">
        <v>614</v>
      </c>
      <c r="B296" s="13" t="s">
        <v>2335</v>
      </c>
      <c r="C296" s="13" t="s">
        <v>27</v>
      </c>
      <c r="D296" s="13" t="s">
        <v>55</v>
      </c>
      <c r="E296" s="13" t="s">
        <v>112</v>
      </c>
      <c r="F296" s="14">
        <v>0</v>
      </c>
      <c r="G296" s="14">
        <v>0</v>
      </c>
      <c r="H296" s="14">
        <v>0</v>
      </c>
      <c r="I296" s="14">
        <v>0</v>
      </c>
      <c r="J296" s="14">
        <v>0</v>
      </c>
      <c r="K296" s="14">
        <v>0</v>
      </c>
      <c r="L296" s="14">
        <v>0</v>
      </c>
      <c r="M296" s="15">
        <v>0</v>
      </c>
      <c r="N296" s="804"/>
      <c r="O296" s="14"/>
      <c r="P296" s="15"/>
      <c r="Q296" s="16" t="str">
        <f>IF(ISTEXT('Incurred 2.5% cpi'!Q296),"",'Incurred 2.5% cpi'!Q296/'Incurred 2.5% cpi'!Q$14*Incurred!Q$14)</f>
        <v/>
      </c>
      <c r="R296" s="127" t="str">
        <f>IF(ISTEXT('Incurred 2.5% cpi'!R296),"",'Incurred 2.5% cpi'!R296/'Incurred 2.5% cpi'!R$14*Incurred!R$14*BF296)</f>
        <v/>
      </c>
      <c r="S296" s="119">
        <f>IF(ISTEXT('Incurred 2.5% cpi'!S296),"",'Incurred 2.5% cpi'!S296/'Incurred 2.5% cpi'!S$14*Incurred!S$14*BG296)</f>
        <v>419132.39599818666</v>
      </c>
      <c r="T296" s="16">
        <f>IF(ISTEXT('Incurred 2.5% cpi'!T296),"",'Incurred 2.5% cpi'!T296/'Incurred 2.5% cpi'!T$14*Incurred!T$14*BH296)</f>
        <v>520878.7890814835</v>
      </c>
      <c r="U296" s="16">
        <f>IF(ISTEXT('Incurred 2.5% cpi'!U296),"",'Incurred 2.5% cpi'!U296/'Incurred 2.5% cpi'!U$14*Incurred!U$14*BI296)</f>
        <v>2115214.1523064328</v>
      </c>
      <c r="V296" s="16" t="str">
        <f>IF(ISTEXT('Incurred 2.5% cpi'!V296),"",'Incurred 2.5% cpi'!V296/'Incurred 2.5% cpi'!V$14*Incurred!V$14*BJ296)</f>
        <v/>
      </c>
      <c r="W296" s="127" t="str">
        <f>IF(ISTEXT('Incurred 2.5% cpi'!W296),"",'Incurred 2.5% cpi'!W296/'Incurred 2.5% cpi'!W$14*Incurred!W$14*BK296)</f>
        <v/>
      </c>
      <c r="X296" s="119" t="str">
        <f>IF(ISTEXT('Incurred 2.5% cpi'!X296),"",'Incurred 2.5% cpi'!X296/'Incurred 2.5% cpi'!X$14*Incurred!X$14*BL296)</f>
        <v/>
      </c>
      <c r="Y296" s="95">
        <f t="shared" si="423"/>
        <v>3055225.3373861029</v>
      </c>
      <c r="Z296" s="95">
        <f t="shared" si="449"/>
        <v>3055225.3373861029</v>
      </c>
      <c r="AA296" s="676">
        <f t="shared" ref="AA296:AA313" si="450">IF(ROUND(Y296,0)=0,0,SUMPRODUCT($F$17:$W$17,F296:W296))</f>
        <v>3204796.5109176477</v>
      </c>
      <c r="AB296" s="676">
        <f t="shared" si="409"/>
        <v>3082163.1270248992</v>
      </c>
      <c r="AC296" s="677">
        <f t="shared" si="424"/>
        <v>1.0397880900000001</v>
      </c>
      <c r="AD296" s="678" t="str">
        <f t="shared" si="410"/>
        <v>2021</v>
      </c>
      <c r="AE296" s="679">
        <v>44209</v>
      </c>
      <c r="AF296" s="678">
        <v>2021</v>
      </c>
      <c r="AG296" s="680"/>
      <c r="AH296" s="676">
        <f t="shared" ref="AH296:AH313" si="451">IF(ROUND(Y296,0)=0,0,SUMPRODUCT($F$16:$W$16,F296:W296))</f>
        <v>2906955.3595981132</v>
      </c>
      <c r="AI296" s="95">
        <f t="shared" si="411"/>
        <v>2115214.1523064328</v>
      </c>
      <c r="AJ296" s="681" t="s">
        <v>3058</v>
      </c>
      <c r="AK296" s="37">
        <f t="shared" si="412"/>
        <v>545264.99999999977</v>
      </c>
      <c r="AL296" s="31">
        <f t="shared" ref="AL296:AU305" si="452">IF($AK296=0,VLOOKUP(MID($A296,4,5),ProjectSplits,AL$20,FALSE),IF(ISNA(VLOOKUP($A296,Estimates,AL$19,FALSE)),VLOOKUP(MID($A296,4,5),ProjectSplits,AL$20,FALSE),VLOOKUP($A296,Estimates,AL$19,FALSE)))</f>
        <v>0</v>
      </c>
      <c r="AM296" s="31">
        <f t="shared" si="452"/>
        <v>0</v>
      </c>
      <c r="AN296" s="31">
        <f t="shared" si="452"/>
        <v>0</v>
      </c>
      <c r="AO296" s="31">
        <f t="shared" si="452"/>
        <v>1</v>
      </c>
      <c r="AP296" s="31">
        <f t="shared" si="452"/>
        <v>0</v>
      </c>
      <c r="AQ296" s="31">
        <f t="shared" si="452"/>
        <v>0</v>
      </c>
      <c r="AR296" s="31">
        <f t="shared" si="452"/>
        <v>0</v>
      </c>
      <c r="AS296" s="31">
        <f t="shared" si="452"/>
        <v>0</v>
      </c>
      <c r="AT296" s="31">
        <f t="shared" si="452"/>
        <v>0</v>
      </c>
      <c r="AU296" s="31">
        <f t="shared" si="452"/>
        <v>0</v>
      </c>
      <c r="AV296" s="31">
        <f t="shared" ref="AV296:BD305" si="453">IF($AK296=0,VLOOKUP(MID($A296,4,5),ProjectSplits,AV$20,FALSE),IF(ISNA(VLOOKUP($A296,Estimates,AV$19,FALSE)),VLOOKUP(MID($A296,4,5),ProjectSplits,AV$20,FALSE),VLOOKUP($A296,Estimates,AV$19,FALSE)))</f>
        <v>0</v>
      </c>
      <c r="AW296" s="31">
        <f t="shared" si="453"/>
        <v>0</v>
      </c>
      <c r="AX296" s="31">
        <f t="shared" si="453"/>
        <v>0</v>
      </c>
      <c r="AY296" s="31">
        <f t="shared" si="453"/>
        <v>0</v>
      </c>
      <c r="AZ296" s="31">
        <f t="shared" si="453"/>
        <v>0</v>
      </c>
      <c r="BA296" s="31">
        <f t="shared" si="453"/>
        <v>0</v>
      </c>
      <c r="BB296" s="31">
        <f t="shared" si="453"/>
        <v>0</v>
      </c>
      <c r="BC296" s="31">
        <f t="shared" si="453"/>
        <v>0</v>
      </c>
      <c r="BD296" s="31">
        <f t="shared" si="453"/>
        <v>0</v>
      </c>
      <c r="BE296" s="30">
        <f t="shared" ref="BE296:BE313" si="454">SUM(AL296:BD296)</f>
        <v>1</v>
      </c>
      <c r="BF296" s="620">
        <f t="shared" si="425"/>
        <v>1.0047445003533846</v>
      </c>
      <c r="BG296" s="620">
        <f t="shared" si="413"/>
        <v>1.0095198399590661</v>
      </c>
      <c r="BH296" s="620">
        <f t="shared" si="414"/>
        <v>1.015065662243434</v>
      </c>
      <c r="BI296" s="620">
        <f t="shared" si="415"/>
        <v>1.0217705613852341</v>
      </c>
      <c r="BJ296" s="620">
        <f t="shared" si="416"/>
        <v>1.0300391920046612</v>
      </c>
      <c r="BK296" s="620">
        <f t="shared" si="417"/>
        <v>1.0387787587225494</v>
      </c>
      <c r="BL296" s="620">
        <f t="shared" si="418"/>
        <v>1.0451480029540814</v>
      </c>
      <c r="BM296" s="621" t="str">
        <f t="shared" si="419"/>
        <v>Project</v>
      </c>
    </row>
    <row r="297" spans="1:65" x14ac:dyDescent="0.15">
      <c r="A297" s="12" t="s">
        <v>615</v>
      </c>
      <c r="B297" s="13" t="s">
        <v>616</v>
      </c>
      <c r="C297" s="13" t="s">
        <v>27</v>
      </c>
      <c r="D297" s="13" t="s">
        <v>28</v>
      </c>
      <c r="E297" s="13" t="s">
        <v>32</v>
      </c>
      <c r="F297" s="14">
        <v>0</v>
      </c>
      <c r="G297" s="14">
        <v>0</v>
      </c>
      <c r="H297" s="14">
        <v>0</v>
      </c>
      <c r="I297" s="14">
        <v>0</v>
      </c>
      <c r="J297" s="14">
        <v>0</v>
      </c>
      <c r="K297" s="14">
        <v>0</v>
      </c>
      <c r="L297" s="14">
        <v>0</v>
      </c>
      <c r="M297" s="15">
        <v>0</v>
      </c>
      <c r="N297" s="804"/>
      <c r="O297" s="14"/>
      <c r="P297" s="15">
        <v>40481.32</v>
      </c>
      <c r="Q297" s="16" t="str">
        <f>IF(ISTEXT('Incurred 2.5% cpi'!Q297),"",'Incurred 2.5% cpi'!Q297/'Incurred 2.5% cpi'!Q$14*Incurred!Q$14)</f>
        <v/>
      </c>
      <c r="R297" s="127" t="str">
        <f>IF(ISTEXT('Incurred 2.5% cpi'!R297),"",'Incurred 2.5% cpi'!R297/'Incurred 2.5% cpi'!R$14*Incurred!R$14*BF297)</f>
        <v/>
      </c>
      <c r="S297" s="119" t="str">
        <f>IF(ISTEXT('Incurred 2.5% cpi'!S297),"",'Incurred 2.5% cpi'!S297/'Incurred 2.5% cpi'!S$14*Incurred!S$14*BG297)</f>
        <v/>
      </c>
      <c r="T297" s="16" t="str">
        <f>IF(ISTEXT('Incurred 2.5% cpi'!T297),"",'Incurred 2.5% cpi'!T297/'Incurred 2.5% cpi'!T$14*Incurred!T$14*BH297)</f>
        <v/>
      </c>
      <c r="U297" s="16" t="str">
        <f>IF(ISTEXT('Incurred 2.5% cpi'!U297),"",'Incurred 2.5% cpi'!U297/'Incurred 2.5% cpi'!U$14*Incurred!U$14*BI297)</f>
        <v/>
      </c>
      <c r="V297" s="16" t="str">
        <f>IF(ISTEXT('Incurred 2.5% cpi'!V297),"",'Incurred 2.5% cpi'!V297/'Incurred 2.5% cpi'!V$14*Incurred!V$14*BJ297)</f>
        <v/>
      </c>
      <c r="W297" s="127" t="str">
        <f>IF(ISTEXT('Incurred 2.5% cpi'!W297),"",'Incurred 2.5% cpi'!W297/'Incurred 2.5% cpi'!W$14*Incurred!W$14*BK297)</f>
        <v/>
      </c>
      <c r="X297" s="119" t="str">
        <f>IF(ISTEXT('Incurred 2.5% cpi'!X297),"",'Incurred 2.5% cpi'!X297/'Incurred 2.5% cpi'!X$14*Incurred!X$14*BL297)</f>
        <v/>
      </c>
      <c r="Y297" s="95">
        <f t="shared" si="423"/>
        <v>40481.32</v>
      </c>
      <c r="Z297" s="95">
        <f t="shared" si="449"/>
        <v>40481.32</v>
      </c>
      <c r="AA297" s="676">
        <f t="shared" si="450"/>
        <v>46404.660586354337</v>
      </c>
      <c r="AB297" s="676">
        <f t="shared" si="409"/>
        <v>40481.32</v>
      </c>
      <c r="AC297" s="677">
        <f t="shared" si="424"/>
        <v>1.1463228122589466</v>
      </c>
      <c r="AD297" s="678" t="str">
        <f t="shared" si="410"/>
        <v>2016</v>
      </c>
      <c r="AE297" s="679">
        <v>42325</v>
      </c>
      <c r="AF297" s="678">
        <v>2016</v>
      </c>
      <c r="AG297" s="680"/>
      <c r="AH297" s="676">
        <f t="shared" si="451"/>
        <v>42091.994403478799</v>
      </c>
      <c r="AI297" s="95">
        <f t="shared" si="411"/>
        <v>40481.32</v>
      </c>
      <c r="AJ297" s="681" t="s">
        <v>0</v>
      </c>
      <c r="AK297" s="37">
        <f t="shared" si="412"/>
        <v>0</v>
      </c>
      <c r="AL297" s="31">
        <f t="shared" si="452"/>
        <v>0</v>
      </c>
      <c r="AM297" s="31">
        <f t="shared" si="452"/>
        <v>0</v>
      </c>
      <c r="AN297" s="31">
        <f t="shared" si="452"/>
        <v>0</v>
      </c>
      <c r="AO297" s="31">
        <f t="shared" si="452"/>
        <v>0</v>
      </c>
      <c r="AP297" s="31">
        <f t="shared" si="452"/>
        <v>0</v>
      </c>
      <c r="AQ297" s="31">
        <f t="shared" si="452"/>
        <v>0</v>
      </c>
      <c r="AR297" s="31">
        <f t="shared" si="452"/>
        <v>0</v>
      </c>
      <c r="AS297" s="31">
        <f t="shared" si="452"/>
        <v>1</v>
      </c>
      <c r="AT297" s="31">
        <f t="shared" si="452"/>
        <v>0</v>
      </c>
      <c r="AU297" s="31">
        <f t="shared" si="452"/>
        <v>0</v>
      </c>
      <c r="AV297" s="31">
        <f t="shared" si="453"/>
        <v>0</v>
      </c>
      <c r="AW297" s="31">
        <f t="shared" si="453"/>
        <v>0</v>
      </c>
      <c r="AX297" s="31">
        <f t="shared" si="453"/>
        <v>0</v>
      </c>
      <c r="AY297" s="31">
        <f t="shared" si="453"/>
        <v>0</v>
      </c>
      <c r="AZ297" s="31">
        <f t="shared" si="453"/>
        <v>0</v>
      </c>
      <c r="BA297" s="31">
        <f t="shared" si="453"/>
        <v>0</v>
      </c>
      <c r="BB297" s="31">
        <f t="shared" si="453"/>
        <v>0</v>
      </c>
      <c r="BC297" s="31">
        <f t="shared" si="453"/>
        <v>0</v>
      </c>
      <c r="BD297" s="31">
        <f t="shared" si="453"/>
        <v>0</v>
      </c>
      <c r="BE297" s="30">
        <f t="shared" si="454"/>
        <v>1</v>
      </c>
      <c r="BF297" s="620">
        <f t="shared" si="425"/>
        <v>1.0030444840366091</v>
      </c>
      <c r="BG297" s="620">
        <f t="shared" si="413"/>
        <v>1.0061087572194563</v>
      </c>
      <c r="BH297" s="620">
        <f t="shared" si="414"/>
        <v>1.0096674390946898</v>
      </c>
      <c r="BI297" s="620">
        <f t="shared" si="415"/>
        <v>1.0139698854818469</v>
      </c>
      <c r="BJ297" s="620">
        <f t="shared" si="416"/>
        <v>1.0192757579764089</v>
      </c>
      <c r="BK297" s="620">
        <f t="shared" si="417"/>
        <v>1.0248838240271385</v>
      </c>
      <c r="BL297" s="620">
        <f t="shared" si="418"/>
        <v>1.0289708850333266</v>
      </c>
      <c r="BM297" s="621" t="str">
        <f t="shared" si="419"/>
        <v>Category</v>
      </c>
    </row>
    <row r="298" spans="1:65" x14ac:dyDescent="0.15">
      <c r="A298" s="12" t="s">
        <v>617</v>
      </c>
      <c r="B298" s="13" t="s">
        <v>618</v>
      </c>
      <c r="C298" s="13" t="s">
        <v>27</v>
      </c>
      <c r="D298" s="13" t="s">
        <v>54</v>
      </c>
      <c r="E298" s="13" t="s">
        <v>29</v>
      </c>
      <c r="F298" s="14">
        <v>0</v>
      </c>
      <c r="G298" s="14">
        <v>0</v>
      </c>
      <c r="H298" s="14">
        <v>0</v>
      </c>
      <c r="I298" s="14">
        <v>0</v>
      </c>
      <c r="J298" s="14">
        <v>0</v>
      </c>
      <c r="K298" s="14">
        <v>0</v>
      </c>
      <c r="L298" s="14">
        <v>0</v>
      </c>
      <c r="M298" s="15">
        <v>0</v>
      </c>
      <c r="N298" s="804"/>
      <c r="O298" s="14"/>
      <c r="P298" s="15">
        <v>48019.06</v>
      </c>
      <c r="Q298" s="16">
        <f>IF(ISTEXT('Incurred 2.5% cpi'!Q298),"",'Incurred 2.5% cpi'!Q298/'Incurred 2.5% cpi'!Q$14*Incurred!Q$14)</f>
        <v>212085.78</v>
      </c>
      <c r="R298" s="127">
        <f>IF(ISTEXT('Incurred 2.5% cpi'!R298),"",'Incurred 2.5% cpi'!R298/'Incurred 2.5% cpi'!R$14*Incurred!R$14*BF298)</f>
        <v>1783449.5065876066</v>
      </c>
      <c r="S298" s="119">
        <f>IF(ISTEXT('Incurred 2.5% cpi'!S298),"",'Incurred 2.5% cpi'!S298/'Incurred 2.5% cpi'!S$14*Incurred!S$14*BG298)</f>
        <v>1041205.1956538879</v>
      </c>
      <c r="T298" s="16" t="str">
        <f>IF(ISTEXT('Incurred 2.5% cpi'!T298),"",'Incurred 2.5% cpi'!T298/'Incurred 2.5% cpi'!T$14*Incurred!T$14*BH298)</f>
        <v/>
      </c>
      <c r="U298" s="16" t="str">
        <f>IF(ISTEXT('Incurred 2.5% cpi'!U298),"",'Incurred 2.5% cpi'!U298/'Incurred 2.5% cpi'!U$14*Incurred!U$14*BI298)</f>
        <v/>
      </c>
      <c r="V298" s="16" t="str">
        <f>IF(ISTEXT('Incurred 2.5% cpi'!V298),"",'Incurred 2.5% cpi'!V298/'Incurred 2.5% cpi'!V$14*Incurred!V$14*BJ298)</f>
        <v/>
      </c>
      <c r="W298" s="127" t="str">
        <f>IF(ISTEXT('Incurred 2.5% cpi'!W298),"",'Incurred 2.5% cpi'!W298/'Incurred 2.5% cpi'!W$14*Incurred!W$14*BK298)</f>
        <v/>
      </c>
      <c r="X298" s="119" t="str">
        <f>IF(ISTEXT('Incurred 2.5% cpi'!X298),"",'Incurred 2.5% cpi'!X298/'Incurred 2.5% cpi'!X$14*Incurred!X$14*BL298)</f>
        <v/>
      </c>
      <c r="Y298" s="95">
        <f t="shared" si="423"/>
        <v>3084759.5422414946</v>
      </c>
      <c r="Z298" s="95">
        <f t="shared" si="449"/>
        <v>3084759.5422414946</v>
      </c>
      <c r="AA298" s="676">
        <f t="shared" si="450"/>
        <v>3385354.2244267114</v>
      </c>
      <c r="AB298" s="676">
        <f t="shared" si="409"/>
        <v>3131226.1863442417</v>
      </c>
      <c r="AC298" s="677">
        <f t="shared" si="424"/>
        <v>1.0811592721058483</v>
      </c>
      <c r="AD298" s="678" t="str">
        <f t="shared" si="410"/>
        <v>2019</v>
      </c>
      <c r="AE298" s="679">
        <v>43360</v>
      </c>
      <c r="AF298" s="678">
        <v>2019</v>
      </c>
      <c r="AG298" s="680"/>
      <c r="AH298" s="676">
        <f t="shared" si="451"/>
        <v>3070732.7511466527</v>
      </c>
      <c r="AI298" s="95">
        <f t="shared" si="411"/>
        <v>1041205.1956538879</v>
      </c>
      <c r="AJ298" s="681" t="s">
        <v>3058</v>
      </c>
      <c r="AK298" s="37">
        <f t="shared" si="412"/>
        <v>0</v>
      </c>
      <c r="AL298" s="31">
        <f t="shared" si="452"/>
        <v>0.4</v>
      </c>
      <c r="AM298" s="31">
        <f t="shared" si="452"/>
        <v>0</v>
      </c>
      <c r="AN298" s="31">
        <f t="shared" si="452"/>
        <v>0</v>
      </c>
      <c r="AO298" s="31">
        <f t="shared" si="452"/>
        <v>0.2</v>
      </c>
      <c r="AP298" s="31">
        <f t="shared" si="452"/>
        <v>0</v>
      </c>
      <c r="AQ298" s="31">
        <f t="shared" si="452"/>
        <v>0</v>
      </c>
      <c r="AR298" s="31">
        <f t="shared" si="452"/>
        <v>0.4</v>
      </c>
      <c r="AS298" s="31">
        <f t="shared" si="452"/>
        <v>0</v>
      </c>
      <c r="AT298" s="31">
        <f t="shared" si="452"/>
        <v>0</v>
      </c>
      <c r="AU298" s="31">
        <f t="shared" si="452"/>
        <v>0</v>
      </c>
      <c r="AV298" s="31">
        <f t="shared" si="453"/>
        <v>0</v>
      </c>
      <c r="AW298" s="31">
        <f t="shared" si="453"/>
        <v>0</v>
      </c>
      <c r="AX298" s="31">
        <f t="shared" si="453"/>
        <v>0</v>
      </c>
      <c r="AY298" s="31">
        <f t="shared" si="453"/>
        <v>0</v>
      </c>
      <c r="AZ298" s="31">
        <f t="shared" si="453"/>
        <v>0</v>
      </c>
      <c r="BA298" s="31">
        <f t="shared" si="453"/>
        <v>0</v>
      </c>
      <c r="BB298" s="31">
        <f t="shared" si="453"/>
        <v>0</v>
      </c>
      <c r="BC298" s="31">
        <f t="shared" si="453"/>
        <v>0</v>
      </c>
      <c r="BD298" s="31">
        <f t="shared" si="453"/>
        <v>0</v>
      </c>
      <c r="BE298" s="30">
        <f t="shared" si="454"/>
        <v>1</v>
      </c>
      <c r="BF298" s="620">
        <f t="shared" si="425"/>
        <v>1.0030818160192299</v>
      </c>
      <c r="BG298" s="620">
        <f t="shared" si="413"/>
        <v>1.006183663842585</v>
      </c>
      <c r="BH298" s="620">
        <f t="shared" si="414"/>
        <v>1.0097859828820543</v>
      </c>
      <c r="BI298" s="620">
        <f t="shared" si="415"/>
        <v>1.0141411866007726</v>
      </c>
      <c r="BJ298" s="620">
        <f t="shared" si="416"/>
        <v>1.0195121206090012</v>
      </c>
      <c r="BK298" s="620">
        <f t="shared" si="417"/>
        <v>1.0251889537223347</v>
      </c>
      <c r="BL298" s="620">
        <f t="shared" si="418"/>
        <v>1.0293261309677997</v>
      </c>
      <c r="BM298" s="621" t="str">
        <f t="shared" si="419"/>
        <v>Category</v>
      </c>
    </row>
    <row r="299" spans="1:65" x14ac:dyDescent="0.15">
      <c r="A299" s="12" t="s">
        <v>619</v>
      </c>
      <c r="B299" s="13" t="s">
        <v>620</v>
      </c>
      <c r="C299" s="13" t="s">
        <v>27</v>
      </c>
      <c r="D299" s="13" t="s">
        <v>28</v>
      </c>
      <c r="E299" s="13" t="s">
        <v>112</v>
      </c>
      <c r="F299" s="14">
        <v>0</v>
      </c>
      <c r="G299" s="14">
        <v>0</v>
      </c>
      <c r="H299" s="14">
        <v>0</v>
      </c>
      <c r="I299" s="14">
        <v>0</v>
      </c>
      <c r="J299" s="14">
        <v>0</v>
      </c>
      <c r="K299" s="14">
        <v>0</v>
      </c>
      <c r="L299" s="14">
        <v>0</v>
      </c>
      <c r="M299" s="15">
        <v>0</v>
      </c>
      <c r="N299" s="804"/>
      <c r="O299" s="14"/>
      <c r="P299" s="15"/>
      <c r="Q299" s="16" t="str">
        <f>IF(ISTEXT('Incurred 2.5% cpi'!Q299),"",'Incurred 2.5% cpi'!Q299/'Incurred 2.5% cpi'!Q$14*Incurred!Q$14)</f>
        <v/>
      </c>
      <c r="R299" s="127" t="str">
        <f>IF(ISTEXT('Incurred 2.5% cpi'!R299),"",'Incurred 2.5% cpi'!R299/'Incurred 2.5% cpi'!R$14*Incurred!R$14*BF299)</f>
        <v/>
      </c>
      <c r="S299" s="119">
        <f>IF(ISTEXT('Incurred 2.5% cpi'!S299),"",'Incurred 2.5% cpi'!S299/'Incurred 2.5% cpi'!S$14*Incurred!S$14*BG299)</f>
        <v>50480.683963491021</v>
      </c>
      <c r="T299" s="16">
        <f>IF(ISTEXT('Incurred 2.5% cpi'!T299),"",'Incurred 2.5% cpi'!T299/'Incurred 2.5% cpi'!T$14*Incurred!T$14*BH299)</f>
        <v>1491323.2315145822</v>
      </c>
      <c r="U299" s="16">
        <f>IF(ISTEXT('Incurred 2.5% cpi'!U299),"",'Incurred 2.5% cpi'!U299/'Incurred 2.5% cpi'!U$14*Incurred!U$14*BI299)</f>
        <v>139950.39649595573</v>
      </c>
      <c r="V299" s="16" t="str">
        <f>IF(ISTEXT('Incurred 2.5% cpi'!V299),"",'Incurred 2.5% cpi'!V299/'Incurred 2.5% cpi'!V$14*Incurred!V$14*BJ299)</f>
        <v/>
      </c>
      <c r="W299" s="127" t="str">
        <f>IF(ISTEXT('Incurred 2.5% cpi'!W299),"",'Incurred 2.5% cpi'!W299/'Incurred 2.5% cpi'!W$14*Incurred!W$14*BK299)</f>
        <v/>
      </c>
      <c r="X299" s="119" t="str">
        <f>IF(ISTEXT('Incurred 2.5% cpi'!X299),"",'Incurred 2.5% cpi'!X299/'Incurred 2.5% cpi'!X$14*Incurred!X$14*BL299)</f>
        <v/>
      </c>
      <c r="Y299" s="95">
        <f t="shared" si="423"/>
        <v>1681754.3119740291</v>
      </c>
      <c r="Z299" s="95">
        <f t="shared" si="449"/>
        <v>1681754.3119740291</v>
      </c>
      <c r="AA299" s="676">
        <f t="shared" si="450"/>
        <v>1781304.554114864</v>
      </c>
      <c r="AB299" s="676">
        <f t="shared" si="409"/>
        <v>1680045.0226847772</v>
      </c>
      <c r="AC299" s="677">
        <f t="shared" si="424"/>
        <v>1.060271915373</v>
      </c>
      <c r="AD299" s="678" t="str">
        <f t="shared" si="410"/>
        <v>2021</v>
      </c>
      <c r="AE299" s="679">
        <v>43992</v>
      </c>
      <c r="AF299" s="678">
        <v>2020</v>
      </c>
      <c r="AG299" s="680"/>
      <c r="AH299" s="676">
        <f t="shared" si="451"/>
        <v>1615757.1324795389</v>
      </c>
      <c r="AI299" s="95">
        <f t="shared" si="411"/>
        <v>139950.39649595573</v>
      </c>
      <c r="AJ299" s="681" t="s">
        <v>3058</v>
      </c>
      <c r="AK299" s="37">
        <f t="shared" si="412"/>
        <v>0</v>
      </c>
      <c r="AL299" s="31">
        <f t="shared" si="452"/>
        <v>0</v>
      </c>
      <c r="AM299" s="31">
        <f t="shared" si="452"/>
        <v>0</v>
      </c>
      <c r="AN299" s="31">
        <f t="shared" si="452"/>
        <v>0</v>
      </c>
      <c r="AO299" s="31">
        <f t="shared" si="452"/>
        <v>0</v>
      </c>
      <c r="AP299" s="31">
        <f t="shared" si="452"/>
        <v>0</v>
      </c>
      <c r="AQ299" s="31">
        <f t="shared" si="452"/>
        <v>0</v>
      </c>
      <c r="AR299" s="31">
        <f t="shared" si="452"/>
        <v>0</v>
      </c>
      <c r="AS299" s="31">
        <f t="shared" si="452"/>
        <v>1</v>
      </c>
      <c r="AT299" s="31">
        <f t="shared" si="452"/>
        <v>0</v>
      </c>
      <c r="AU299" s="31">
        <f t="shared" si="452"/>
        <v>0</v>
      </c>
      <c r="AV299" s="31">
        <f t="shared" si="453"/>
        <v>0</v>
      </c>
      <c r="AW299" s="31">
        <f t="shared" si="453"/>
        <v>0</v>
      </c>
      <c r="AX299" s="31">
        <f t="shared" si="453"/>
        <v>0</v>
      </c>
      <c r="AY299" s="31">
        <f t="shared" si="453"/>
        <v>0</v>
      </c>
      <c r="AZ299" s="31">
        <f t="shared" si="453"/>
        <v>0</v>
      </c>
      <c r="BA299" s="31">
        <f t="shared" si="453"/>
        <v>0</v>
      </c>
      <c r="BB299" s="31">
        <f t="shared" si="453"/>
        <v>0</v>
      </c>
      <c r="BC299" s="31">
        <f t="shared" si="453"/>
        <v>0</v>
      </c>
      <c r="BD299" s="31">
        <f t="shared" si="453"/>
        <v>0</v>
      </c>
      <c r="BE299" s="30">
        <f t="shared" si="454"/>
        <v>1</v>
      </c>
      <c r="BF299" s="620">
        <f t="shared" si="425"/>
        <v>1.0059304488076128</v>
      </c>
      <c r="BG299" s="620">
        <f t="shared" si="413"/>
        <v>1.011899445532475</v>
      </c>
      <c r="BH299" s="620">
        <f t="shared" si="414"/>
        <v>1.0188315169212143</v>
      </c>
      <c r="BI299" s="620">
        <f t="shared" si="415"/>
        <v>1.0272123912301998</v>
      </c>
      <c r="BJ299" s="620">
        <f t="shared" si="416"/>
        <v>1.0375478716696922</v>
      </c>
      <c r="BK299" s="620">
        <f t="shared" si="417"/>
        <v>1.0484720046996705</v>
      </c>
      <c r="BL299" s="620">
        <f t="shared" si="418"/>
        <v>1.0564333228669962</v>
      </c>
      <c r="BM299" s="621" t="str">
        <f t="shared" si="419"/>
        <v>Project</v>
      </c>
    </row>
    <row r="300" spans="1:65" x14ac:dyDescent="0.15">
      <c r="A300" s="12" t="s">
        <v>621</v>
      </c>
      <c r="B300" s="13" t="s">
        <v>622</v>
      </c>
      <c r="C300" s="13" t="s">
        <v>27</v>
      </c>
      <c r="D300" s="13" t="s">
        <v>54</v>
      </c>
      <c r="E300" s="13" t="s">
        <v>32</v>
      </c>
      <c r="F300" s="14">
        <v>0</v>
      </c>
      <c r="G300" s="14">
        <v>0</v>
      </c>
      <c r="H300" s="14">
        <v>0</v>
      </c>
      <c r="I300" s="14">
        <v>0</v>
      </c>
      <c r="J300" s="14">
        <v>0</v>
      </c>
      <c r="K300" s="14">
        <v>0</v>
      </c>
      <c r="L300" s="14">
        <v>0</v>
      </c>
      <c r="M300" s="15">
        <v>0</v>
      </c>
      <c r="N300" s="804"/>
      <c r="O300" s="14"/>
      <c r="P300" s="15">
        <v>187262.35</v>
      </c>
      <c r="Q300" s="16">
        <f>IF(ISTEXT('Incurred 2.5% cpi'!Q300),"",'Incurred 2.5% cpi'!Q300/'Incurred 2.5% cpi'!Q$14*Incurred!Q$14)</f>
        <v>29471.98</v>
      </c>
      <c r="R300" s="127" t="str">
        <f>IF(ISTEXT('Incurred 2.5% cpi'!R300),"",'Incurred 2.5% cpi'!R300/'Incurred 2.5% cpi'!R$14*Incurred!R$14*BF300)</f>
        <v/>
      </c>
      <c r="S300" s="119" t="str">
        <f>IF(ISTEXT('Incurred 2.5% cpi'!S300),"",'Incurred 2.5% cpi'!S300/'Incurred 2.5% cpi'!S$14*Incurred!S$14*BG300)</f>
        <v/>
      </c>
      <c r="T300" s="16" t="str">
        <f>IF(ISTEXT('Incurred 2.5% cpi'!T300),"",'Incurred 2.5% cpi'!T300/'Incurred 2.5% cpi'!T$14*Incurred!T$14*BH300)</f>
        <v/>
      </c>
      <c r="U300" s="16" t="str">
        <f>IF(ISTEXT('Incurred 2.5% cpi'!U300),"",'Incurred 2.5% cpi'!U300/'Incurred 2.5% cpi'!U$14*Incurred!U$14*BI300)</f>
        <v/>
      </c>
      <c r="V300" s="16" t="str">
        <f>IF(ISTEXT('Incurred 2.5% cpi'!V300),"",'Incurred 2.5% cpi'!V300/'Incurred 2.5% cpi'!V$14*Incurred!V$14*BJ300)</f>
        <v/>
      </c>
      <c r="W300" s="127" t="str">
        <f>IF(ISTEXT('Incurred 2.5% cpi'!W300),"",'Incurred 2.5% cpi'!W300/'Incurred 2.5% cpi'!W$14*Incurred!W$14*BK300)</f>
        <v/>
      </c>
      <c r="X300" s="119" t="str">
        <f>IF(ISTEXT('Incurred 2.5% cpi'!X300),"",'Incurred 2.5% cpi'!X300/'Incurred 2.5% cpi'!X$14*Incurred!X$14*BL300)</f>
        <v/>
      </c>
      <c r="Y300" s="95">
        <f t="shared" si="423"/>
        <v>216734.33000000002</v>
      </c>
      <c r="Z300" s="95">
        <f t="shared" si="449"/>
        <v>216734.33000000002</v>
      </c>
      <c r="AA300" s="676">
        <f t="shared" si="450"/>
        <v>247794.81202431922</v>
      </c>
      <c r="AB300" s="676">
        <f t="shared" si="409"/>
        <v>220423.39829500005</v>
      </c>
      <c r="AC300" s="677">
        <f t="shared" si="424"/>
        <v>1.1241765345287305</v>
      </c>
      <c r="AD300" s="678" t="str">
        <f t="shared" si="410"/>
        <v>2017</v>
      </c>
      <c r="AE300" s="679">
        <v>42558</v>
      </c>
      <c r="AF300" s="678">
        <v>2017</v>
      </c>
      <c r="AG300" s="680"/>
      <c r="AH300" s="676">
        <f t="shared" si="451"/>
        <v>224765.7392414115</v>
      </c>
      <c r="AI300" s="95">
        <f t="shared" si="411"/>
        <v>29471.98</v>
      </c>
      <c r="AJ300" s="681" t="s">
        <v>0</v>
      </c>
      <c r="AK300" s="37">
        <f t="shared" si="412"/>
        <v>161800.00500264816</v>
      </c>
      <c r="AL300" s="31">
        <f t="shared" si="452"/>
        <v>0</v>
      </c>
      <c r="AM300" s="31">
        <f t="shared" si="452"/>
        <v>0</v>
      </c>
      <c r="AN300" s="31">
        <f t="shared" si="452"/>
        <v>0</v>
      </c>
      <c r="AO300" s="31">
        <f t="shared" si="452"/>
        <v>0</v>
      </c>
      <c r="AP300" s="31">
        <f t="shared" si="452"/>
        <v>0</v>
      </c>
      <c r="AQ300" s="31">
        <f t="shared" si="452"/>
        <v>0</v>
      </c>
      <c r="AR300" s="31">
        <f t="shared" si="452"/>
        <v>0</v>
      </c>
      <c r="AS300" s="31">
        <f t="shared" si="452"/>
        <v>0</v>
      </c>
      <c r="AT300" s="31">
        <f t="shared" si="452"/>
        <v>0</v>
      </c>
      <c r="AU300" s="31">
        <f t="shared" si="452"/>
        <v>0</v>
      </c>
      <c r="AV300" s="31">
        <f t="shared" si="453"/>
        <v>0</v>
      </c>
      <c r="AW300" s="31">
        <f t="shared" si="453"/>
        <v>0</v>
      </c>
      <c r="AX300" s="31">
        <f t="shared" si="453"/>
        <v>0</v>
      </c>
      <c r="AY300" s="31">
        <f t="shared" si="453"/>
        <v>0</v>
      </c>
      <c r="AZ300" s="31">
        <f t="shared" si="453"/>
        <v>0.93819530475393786</v>
      </c>
      <c r="BA300" s="31">
        <f t="shared" si="453"/>
        <v>6.1804695246062157E-2</v>
      </c>
      <c r="BB300" s="31">
        <f t="shared" si="453"/>
        <v>0</v>
      </c>
      <c r="BC300" s="31">
        <f t="shared" si="453"/>
        <v>0</v>
      </c>
      <c r="BD300" s="31">
        <f t="shared" si="453"/>
        <v>0</v>
      </c>
      <c r="BE300" s="30">
        <f t="shared" si="454"/>
        <v>1</v>
      </c>
      <c r="BF300" s="620">
        <f t="shared" si="425"/>
        <v>1.0030818160192299</v>
      </c>
      <c r="BG300" s="620">
        <f t="shared" si="413"/>
        <v>1.006183663842585</v>
      </c>
      <c r="BH300" s="620">
        <f t="shared" si="414"/>
        <v>1.0097859828820543</v>
      </c>
      <c r="BI300" s="620">
        <f t="shared" si="415"/>
        <v>1.0141411866007726</v>
      </c>
      <c r="BJ300" s="620">
        <f t="shared" si="416"/>
        <v>1.0195121206090012</v>
      </c>
      <c r="BK300" s="620">
        <f t="shared" si="417"/>
        <v>1.0251889537223347</v>
      </c>
      <c r="BL300" s="620">
        <f t="shared" si="418"/>
        <v>1.0293261309677997</v>
      </c>
      <c r="BM300" s="621" t="str">
        <f t="shared" si="419"/>
        <v>Category</v>
      </c>
    </row>
    <row r="301" spans="1:65" x14ac:dyDescent="0.15">
      <c r="A301" s="12" t="s">
        <v>623</v>
      </c>
      <c r="B301" s="13" t="s">
        <v>624</v>
      </c>
      <c r="C301" s="13" t="s">
        <v>27</v>
      </c>
      <c r="D301" s="13" t="s">
        <v>40</v>
      </c>
      <c r="E301" s="13" t="s">
        <v>29</v>
      </c>
      <c r="F301" s="14">
        <v>0</v>
      </c>
      <c r="G301" s="14">
        <v>0</v>
      </c>
      <c r="H301" s="14">
        <v>0</v>
      </c>
      <c r="I301" s="14">
        <v>0</v>
      </c>
      <c r="J301" s="14">
        <v>0</v>
      </c>
      <c r="K301" s="14">
        <v>0</v>
      </c>
      <c r="L301" s="14">
        <v>0</v>
      </c>
      <c r="M301" s="15">
        <v>0</v>
      </c>
      <c r="N301" s="804"/>
      <c r="O301" s="14"/>
      <c r="P301" s="15"/>
      <c r="Q301" s="16">
        <f>IF(ISTEXT('Incurred 2.5% cpi'!Q301),"",'Incurred 2.5% cpi'!Q301/'Incurred 2.5% cpi'!Q$14*Incurred!Q$14)</f>
        <v>243869.46</v>
      </c>
      <c r="R301" s="127">
        <f>IF(ISTEXT('Incurred 2.5% cpi'!R301),"",'Incurred 2.5% cpi'!R301/'Incurred 2.5% cpi'!R$14*Incurred!R$14*BF301)</f>
        <v>1504415.1352754647</v>
      </c>
      <c r="S301" s="119">
        <f>IF(ISTEXT('Incurred 2.5% cpi'!S301),"",'Incurred 2.5% cpi'!S301/'Incurred 2.5% cpi'!S$14*Incurred!S$14*BG301)</f>
        <v>48616.60096132334</v>
      </c>
      <c r="T301" s="16" t="str">
        <f>IF(ISTEXT('Incurred 2.5% cpi'!T301),"",'Incurred 2.5% cpi'!T301/'Incurred 2.5% cpi'!T$14*Incurred!T$14*BH301)</f>
        <v/>
      </c>
      <c r="U301" s="16" t="str">
        <f>IF(ISTEXT('Incurred 2.5% cpi'!U301),"",'Incurred 2.5% cpi'!U301/'Incurred 2.5% cpi'!U$14*Incurred!U$14*BI301)</f>
        <v/>
      </c>
      <c r="V301" s="16" t="str">
        <f>IF(ISTEXT('Incurred 2.5% cpi'!V301),"",'Incurred 2.5% cpi'!V301/'Incurred 2.5% cpi'!V$14*Incurred!V$14*BJ301)</f>
        <v/>
      </c>
      <c r="W301" s="127" t="str">
        <f>IF(ISTEXT('Incurred 2.5% cpi'!W301),"",'Incurred 2.5% cpi'!W301/'Incurred 2.5% cpi'!W$14*Incurred!W$14*BK301)</f>
        <v/>
      </c>
      <c r="X301" s="119" t="str">
        <f>IF(ISTEXT('Incurred 2.5% cpi'!X301),"",'Incurred 2.5% cpi'!X301/'Incurred 2.5% cpi'!X$14*Incurred!X$14*BL301)</f>
        <v/>
      </c>
      <c r="Y301" s="95">
        <f t="shared" si="423"/>
        <v>1796901.1962367881</v>
      </c>
      <c r="Z301" s="95">
        <f t="shared" si="449"/>
        <v>1796901.1962367881</v>
      </c>
      <c r="AA301" s="676">
        <f t="shared" si="450"/>
        <v>1985269.2796674492</v>
      </c>
      <c r="AB301" s="676">
        <f t="shared" si="409"/>
        <v>1800766.1806653386</v>
      </c>
      <c r="AC301" s="677">
        <f t="shared" si="424"/>
        <v>1.1024581097663335</v>
      </c>
      <c r="AD301" s="678" t="str">
        <f t="shared" si="410"/>
        <v>2019</v>
      </c>
      <c r="AE301" s="679">
        <v>43160</v>
      </c>
      <c r="AF301" s="678">
        <v>2018</v>
      </c>
      <c r="AG301" s="680"/>
      <c r="AH301" s="676">
        <f t="shared" si="451"/>
        <v>1800766.1806653391</v>
      </c>
      <c r="AI301" s="95">
        <f t="shared" si="411"/>
        <v>48616.60096132334</v>
      </c>
      <c r="AJ301" s="681" t="s">
        <v>0</v>
      </c>
      <c r="AK301" s="37">
        <f t="shared" si="412"/>
        <v>1114310.0010009985</v>
      </c>
      <c r="AL301" s="31">
        <f t="shared" si="452"/>
        <v>0</v>
      </c>
      <c r="AM301" s="31">
        <f t="shared" si="452"/>
        <v>0</v>
      </c>
      <c r="AN301" s="31">
        <f t="shared" si="452"/>
        <v>0</v>
      </c>
      <c r="AO301" s="31">
        <f t="shared" si="452"/>
        <v>0</v>
      </c>
      <c r="AP301" s="31">
        <f t="shared" si="452"/>
        <v>0</v>
      </c>
      <c r="AQ301" s="31">
        <f t="shared" si="452"/>
        <v>0</v>
      </c>
      <c r="AR301" s="31">
        <f t="shared" si="452"/>
        <v>0</v>
      </c>
      <c r="AS301" s="31">
        <f t="shared" si="452"/>
        <v>0</v>
      </c>
      <c r="AT301" s="31">
        <f t="shared" si="452"/>
        <v>0</v>
      </c>
      <c r="AU301" s="31">
        <f t="shared" si="452"/>
        <v>0</v>
      </c>
      <c r="AV301" s="31">
        <f t="shared" si="453"/>
        <v>0</v>
      </c>
      <c r="AW301" s="31">
        <f t="shared" si="453"/>
        <v>0</v>
      </c>
      <c r="AX301" s="31">
        <f t="shared" si="453"/>
        <v>0</v>
      </c>
      <c r="AY301" s="31">
        <f t="shared" si="453"/>
        <v>0</v>
      </c>
      <c r="AZ301" s="31">
        <f t="shared" si="453"/>
        <v>1</v>
      </c>
      <c r="BA301" s="31">
        <f t="shared" si="453"/>
        <v>0</v>
      </c>
      <c r="BB301" s="31">
        <f t="shared" si="453"/>
        <v>0</v>
      </c>
      <c r="BC301" s="31">
        <f t="shared" si="453"/>
        <v>0</v>
      </c>
      <c r="BD301" s="31">
        <f t="shared" si="453"/>
        <v>0</v>
      </c>
      <c r="BE301" s="30">
        <f t="shared" si="454"/>
        <v>1</v>
      </c>
      <c r="BF301" s="620">
        <f t="shared" si="425"/>
        <v>1.0034498951996242</v>
      </c>
      <c r="BG301" s="620">
        <f t="shared" si="413"/>
        <v>1.0069222147180459</v>
      </c>
      <c r="BH301" s="620">
        <f t="shared" si="414"/>
        <v>1.0109547796356901</v>
      </c>
      <c r="BI301" s="620">
        <f t="shared" si="415"/>
        <v>1.0158301506211216</v>
      </c>
      <c r="BJ301" s="620">
        <f t="shared" si="416"/>
        <v>1.0218425664619335</v>
      </c>
      <c r="BK301" s="620">
        <f t="shared" si="417"/>
        <v>1.0281974167140426</v>
      </c>
      <c r="BL301" s="620">
        <f t="shared" si="418"/>
        <v>1.0328287210586446</v>
      </c>
      <c r="BM301" s="621" t="str">
        <f t="shared" si="419"/>
        <v>Category</v>
      </c>
    </row>
    <row r="302" spans="1:65" x14ac:dyDescent="0.15">
      <c r="A302" s="12" t="s">
        <v>625</v>
      </c>
      <c r="B302" s="13" t="s">
        <v>626</v>
      </c>
      <c r="C302" s="13" t="s">
        <v>27</v>
      </c>
      <c r="D302" s="13" t="s">
        <v>40</v>
      </c>
      <c r="E302" s="13" t="s">
        <v>29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5">
        <v>0</v>
      </c>
      <c r="N302" s="804"/>
      <c r="O302" s="14"/>
      <c r="P302" s="15"/>
      <c r="Q302" s="16">
        <f>IF(ISTEXT('Incurred 2.5% cpi'!Q302),"",'Incurred 2.5% cpi'!Q302/'Incurred 2.5% cpi'!Q$14*Incurred!Q$14)</f>
        <v>163121.26</v>
      </c>
      <c r="R302" s="127">
        <f>IF(ISTEXT('Incurred 2.5% cpi'!R302),"",'Incurred 2.5% cpi'!R302/'Incurred 2.5% cpi'!R$14*Incurred!R$14*BF302)</f>
        <v>1862385.6468734201</v>
      </c>
      <c r="S302" s="119">
        <f>IF(ISTEXT('Incurred 2.5% cpi'!S302),"",'Incurred 2.5% cpi'!S302/'Incurred 2.5% cpi'!S$14*Incurred!S$14*BG302)</f>
        <v>472974.27347312309</v>
      </c>
      <c r="T302" s="16" t="str">
        <f>IF(ISTEXT('Incurred 2.5% cpi'!T302),"",'Incurred 2.5% cpi'!T302/'Incurred 2.5% cpi'!T$14*Incurred!T$14*BH302)</f>
        <v/>
      </c>
      <c r="U302" s="16" t="str">
        <f>IF(ISTEXT('Incurred 2.5% cpi'!U302),"",'Incurred 2.5% cpi'!U302/'Incurred 2.5% cpi'!U$14*Incurred!U$14*BI302)</f>
        <v/>
      </c>
      <c r="V302" s="16" t="str">
        <f>IF(ISTEXT('Incurred 2.5% cpi'!V302),"",'Incurred 2.5% cpi'!V302/'Incurred 2.5% cpi'!V$14*Incurred!V$14*BJ302)</f>
        <v/>
      </c>
      <c r="W302" s="127" t="str">
        <f>IF(ISTEXT('Incurred 2.5% cpi'!W302),"",'Incurred 2.5% cpi'!W302/'Incurred 2.5% cpi'!W$14*Incurred!W$14*BK302)</f>
        <v/>
      </c>
      <c r="X302" s="119" t="str">
        <f>IF(ISTEXT('Incurred 2.5% cpi'!X302),"",'Incurred 2.5% cpi'!X302/'Incurred 2.5% cpi'!X$14*Incurred!X$14*BL302)</f>
        <v/>
      </c>
      <c r="Y302" s="95">
        <f t="shared" si="423"/>
        <v>2498481.180346543</v>
      </c>
      <c r="Z302" s="95">
        <f t="shared" si="449"/>
        <v>2498481.180346543</v>
      </c>
      <c r="AA302" s="676">
        <f t="shared" si="450"/>
        <v>2747939.7739157756</v>
      </c>
      <c r="AB302" s="676">
        <f t="shared" si="409"/>
        <v>2541660.4609637433</v>
      </c>
      <c r="AC302" s="677">
        <f t="shared" si="424"/>
        <v>1.0811592721058483</v>
      </c>
      <c r="AD302" s="678" t="str">
        <f t="shared" si="410"/>
        <v>2019</v>
      </c>
      <c r="AE302" s="679">
        <v>43334</v>
      </c>
      <c r="AF302" s="678">
        <v>2019</v>
      </c>
      <c r="AG302" s="680"/>
      <c r="AH302" s="676">
        <f t="shared" si="451"/>
        <v>2492557.0863624038</v>
      </c>
      <c r="AI302" s="95">
        <f t="shared" si="411"/>
        <v>472974.27347312309</v>
      </c>
      <c r="AJ302" s="681" t="s">
        <v>3058</v>
      </c>
      <c r="AK302" s="37">
        <f t="shared" si="412"/>
        <v>1489691.0000000012</v>
      </c>
      <c r="AL302" s="31">
        <f t="shared" si="452"/>
        <v>0</v>
      </c>
      <c r="AM302" s="31">
        <f t="shared" si="452"/>
        <v>0</v>
      </c>
      <c r="AN302" s="31">
        <f t="shared" si="452"/>
        <v>0</v>
      </c>
      <c r="AO302" s="31">
        <f t="shared" si="452"/>
        <v>0</v>
      </c>
      <c r="AP302" s="31">
        <f t="shared" si="452"/>
        <v>0</v>
      </c>
      <c r="AQ302" s="31">
        <f t="shared" si="452"/>
        <v>0</v>
      </c>
      <c r="AR302" s="31">
        <f t="shared" si="452"/>
        <v>0</v>
      </c>
      <c r="AS302" s="31">
        <f t="shared" si="452"/>
        <v>0</v>
      </c>
      <c r="AT302" s="31">
        <f t="shared" si="452"/>
        <v>0</v>
      </c>
      <c r="AU302" s="31">
        <f t="shared" si="452"/>
        <v>0</v>
      </c>
      <c r="AV302" s="31">
        <f t="shared" si="453"/>
        <v>0</v>
      </c>
      <c r="AW302" s="31">
        <f t="shared" si="453"/>
        <v>0</v>
      </c>
      <c r="AX302" s="31">
        <f t="shared" si="453"/>
        <v>0</v>
      </c>
      <c r="AY302" s="31">
        <f t="shared" si="453"/>
        <v>0</v>
      </c>
      <c r="AZ302" s="31">
        <f t="shared" si="453"/>
        <v>1</v>
      </c>
      <c r="BA302" s="31">
        <f t="shared" si="453"/>
        <v>0</v>
      </c>
      <c r="BB302" s="31">
        <f t="shared" si="453"/>
        <v>0</v>
      </c>
      <c r="BC302" s="31">
        <f t="shared" si="453"/>
        <v>0</v>
      </c>
      <c r="BD302" s="31">
        <f t="shared" si="453"/>
        <v>0</v>
      </c>
      <c r="BE302" s="30">
        <f t="shared" si="454"/>
        <v>1</v>
      </c>
      <c r="BF302" s="620">
        <f t="shared" si="425"/>
        <v>1.0034498951996242</v>
      </c>
      <c r="BG302" s="620">
        <f t="shared" si="413"/>
        <v>1.0069222147180459</v>
      </c>
      <c r="BH302" s="620">
        <f t="shared" si="414"/>
        <v>1.0109547796356901</v>
      </c>
      <c r="BI302" s="620">
        <f t="shared" si="415"/>
        <v>1.0158301506211216</v>
      </c>
      <c r="BJ302" s="620">
        <f t="shared" si="416"/>
        <v>1.0218425664619335</v>
      </c>
      <c r="BK302" s="620">
        <f t="shared" si="417"/>
        <v>1.0281974167140426</v>
      </c>
      <c r="BL302" s="620">
        <f t="shared" si="418"/>
        <v>1.0328287210586446</v>
      </c>
      <c r="BM302" s="621" t="str">
        <f t="shared" si="419"/>
        <v>Category</v>
      </c>
    </row>
    <row r="303" spans="1:65" x14ac:dyDescent="0.15">
      <c r="A303" s="12" t="s">
        <v>627</v>
      </c>
      <c r="B303" s="13" t="s">
        <v>628</v>
      </c>
      <c r="C303" s="13" t="s">
        <v>27</v>
      </c>
      <c r="D303" s="13" t="s">
        <v>54</v>
      </c>
      <c r="E303" s="13" t="s">
        <v>112</v>
      </c>
      <c r="F303" s="14">
        <v>0</v>
      </c>
      <c r="G303" s="14">
        <v>0</v>
      </c>
      <c r="H303" s="14">
        <v>0</v>
      </c>
      <c r="I303" s="14">
        <v>0</v>
      </c>
      <c r="J303" s="14">
        <v>0</v>
      </c>
      <c r="K303" s="14">
        <v>0</v>
      </c>
      <c r="L303" s="14">
        <v>0</v>
      </c>
      <c r="M303" s="15">
        <v>0</v>
      </c>
      <c r="N303" s="804"/>
      <c r="O303" s="14"/>
      <c r="P303" s="15"/>
      <c r="Q303" s="16" t="str">
        <f>IF(ISTEXT('Incurred 2.5% cpi'!Q303),"",'Incurred 2.5% cpi'!Q303/'Incurred 2.5% cpi'!Q$14*Incurred!Q$14)</f>
        <v/>
      </c>
      <c r="R303" s="127">
        <f>IF(ISTEXT('Incurred 2.5% cpi'!R303),"",'Incurred 2.5% cpi'!R303/'Incurred 2.5% cpi'!R$14*Incurred!R$14*BF303)</f>
        <v>199696.29247258822</v>
      </c>
      <c r="S303" s="119" t="str">
        <f>IF(ISTEXT('Incurred 2.5% cpi'!S303),"",'Incurred 2.5% cpi'!S303/'Incurred 2.5% cpi'!S$14*Incurred!S$14*BG303)</f>
        <v/>
      </c>
      <c r="T303" s="16" t="str">
        <f>IF(ISTEXT('Incurred 2.5% cpi'!T303),"",'Incurred 2.5% cpi'!T303/'Incurred 2.5% cpi'!T$14*Incurred!T$14*BH303)</f>
        <v/>
      </c>
      <c r="U303" s="16" t="str">
        <f>IF(ISTEXT('Incurred 2.5% cpi'!U303),"",'Incurred 2.5% cpi'!U303/'Incurred 2.5% cpi'!U$14*Incurred!U$14*BI303)</f>
        <v/>
      </c>
      <c r="V303" s="16" t="str">
        <f>IF(ISTEXT('Incurred 2.5% cpi'!V303),"",'Incurred 2.5% cpi'!V303/'Incurred 2.5% cpi'!V$14*Incurred!V$14*BJ303)</f>
        <v/>
      </c>
      <c r="W303" s="127" t="str">
        <f>IF(ISTEXT('Incurred 2.5% cpi'!W303),"",'Incurred 2.5% cpi'!W303/'Incurred 2.5% cpi'!W$14*Incurred!W$14*BK303)</f>
        <v/>
      </c>
      <c r="X303" s="119" t="str">
        <f>IF(ISTEXT('Incurred 2.5% cpi'!X303),"",'Incurred 2.5% cpi'!X303/'Incurred 2.5% cpi'!X$14*Incurred!X$14*BL303)</f>
        <v/>
      </c>
      <c r="Y303" s="95">
        <f t="shared" si="423"/>
        <v>199696.29247258822</v>
      </c>
      <c r="Z303" s="95">
        <f t="shared" si="449"/>
        <v>199696.29247258822</v>
      </c>
      <c r="AA303" s="676">
        <f t="shared" si="450"/>
        <v>220156.7971266745</v>
      </c>
      <c r="AB303" s="676">
        <f t="shared" si="409"/>
        <v>199696.29247258822</v>
      </c>
      <c r="AC303" s="677">
        <f t="shared" si="424"/>
        <v>1.1024581097663335</v>
      </c>
      <c r="AD303" s="678" t="str">
        <f t="shared" si="410"/>
        <v>2018</v>
      </c>
      <c r="AE303" s="679">
        <v>43040</v>
      </c>
      <c r="AF303" s="678">
        <v>2018</v>
      </c>
      <c r="AG303" s="680"/>
      <c r="AH303" s="676">
        <f t="shared" si="451"/>
        <v>199696.29247258822</v>
      </c>
      <c r="AI303" s="95">
        <f t="shared" si="411"/>
        <v>199696.29247258822</v>
      </c>
      <c r="AJ303" s="681" t="s">
        <v>0</v>
      </c>
      <c r="AK303" s="37">
        <f t="shared" si="412"/>
        <v>0</v>
      </c>
      <c r="AL303" s="31">
        <f t="shared" si="452"/>
        <v>0</v>
      </c>
      <c r="AM303" s="31">
        <f t="shared" si="452"/>
        <v>0</v>
      </c>
      <c r="AN303" s="31">
        <f t="shared" si="452"/>
        <v>0</v>
      </c>
      <c r="AO303" s="31">
        <f t="shared" si="452"/>
        <v>0</v>
      </c>
      <c r="AP303" s="31">
        <f t="shared" si="452"/>
        <v>0</v>
      </c>
      <c r="AQ303" s="31">
        <f t="shared" si="452"/>
        <v>0</v>
      </c>
      <c r="AR303" s="31">
        <f t="shared" si="452"/>
        <v>0</v>
      </c>
      <c r="AS303" s="31">
        <f t="shared" si="452"/>
        <v>0</v>
      </c>
      <c r="AT303" s="31">
        <f t="shared" si="452"/>
        <v>0</v>
      </c>
      <c r="AU303" s="31">
        <f t="shared" si="452"/>
        <v>0</v>
      </c>
      <c r="AV303" s="31">
        <f t="shared" si="453"/>
        <v>0</v>
      </c>
      <c r="AW303" s="31">
        <f t="shared" si="453"/>
        <v>0</v>
      </c>
      <c r="AX303" s="31">
        <f t="shared" si="453"/>
        <v>0</v>
      </c>
      <c r="AY303" s="31">
        <f t="shared" si="453"/>
        <v>0</v>
      </c>
      <c r="AZ303" s="31">
        <f t="shared" si="453"/>
        <v>1</v>
      </c>
      <c r="BA303" s="31">
        <f t="shared" si="453"/>
        <v>0</v>
      </c>
      <c r="BB303" s="31">
        <f t="shared" si="453"/>
        <v>0</v>
      </c>
      <c r="BC303" s="31">
        <f t="shared" si="453"/>
        <v>0</v>
      </c>
      <c r="BD303" s="31">
        <f t="shared" si="453"/>
        <v>0</v>
      </c>
      <c r="BE303" s="30">
        <f t="shared" si="454"/>
        <v>1</v>
      </c>
      <c r="BF303" s="620">
        <f t="shared" si="425"/>
        <v>1.0030818160192299</v>
      </c>
      <c r="BG303" s="620">
        <f t="shared" si="413"/>
        <v>1.006183663842585</v>
      </c>
      <c r="BH303" s="620">
        <f t="shared" si="414"/>
        <v>1.0097859828820543</v>
      </c>
      <c r="BI303" s="620">
        <f t="shared" si="415"/>
        <v>1.0141411866007726</v>
      </c>
      <c r="BJ303" s="620">
        <f t="shared" si="416"/>
        <v>1.0195121206090012</v>
      </c>
      <c r="BK303" s="620">
        <f t="shared" si="417"/>
        <v>1.0251889537223347</v>
      </c>
      <c r="BL303" s="620">
        <f t="shared" si="418"/>
        <v>1.0293261309677997</v>
      </c>
      <c r="BM303" s="621" t="str">
        <f t="shared" si="419"/>
        <v>Category</v>
      </c>
    </row>
    <row r="304" spans="1:65" x14ac:dyDescent="0.15">
      <c r="A304" s="12" t="s">
        <v>629</v>
      </c>
      <c r="B304" s="13" t="s">
        <v>630</v>
      </c>
      <c r="C304" s="13" t="s">
        <v>27</v>
      </c>
      <c r="D304" s="13" t="s">
        <v>40</v>
      </c>
      <c r="E304" s="13" t="s">
        <v>32</v>
      </c>
      <c r="F304" s="14">
        <v>0</v>
      </c>
      <c r="G304" s="14">
        <v>0</v>
      </c>
      <c r="H304" s="14">
        <v>0</v>
      </c>
      <c r="I304" s="14">
        <v>0</v>
      </c>
      <c r="J304" s="14">
        <v>0</v>
      </c>
      <c r="K304" s="14">
        <v>0</v>
      </c>
      <c r="L304" s="14">
        <v>0</v>
      </c>
      <c r="M304" s="15">
        <v>0</v>
      </c>
      <c r="N304" s="804"/>
      <c r="O304" s="14"/>
      <c r="P304" s="15">
        <v>420650.41</v>
      </c>
      <c r="Q304" s="16">
        <f>IF(ISTEXT('Incurred 2.5% cpi'!Q304),"",'Incurred 2.5% cpi'!Q304/'Incurred 2.5% cpi'!Q$14*Incurred!Q$14)</f>
        <v>62007.65</v>
      </c>
      <c r="R304" s="127" t="str">
        <f>IF(ISTEXT('Incurred 2.5% cpi'!R304),"",'Incurred 2.5% cpi'!R304/'Incurred 2.5% cpi'!R$14*Incurred!R$14*BF304)</f>
        <v/>
      </c>
      <c r="S304" s="119" t="str">
        <f>IF(ISTEXT('Incurred 2.5% cpi'!S304),"",'Incurred 2.5% cpi'!S304/'Incurred 2.5% cpi'!S$14*Incurred!S$14*BG304)</f>
        <v/>
      </c>
      <c r="T304" s="16" t="str">
        <f>IF(ISTEXT('Incurred 2.5% cpi'!T304),"",'Incurred 2.5% cpi'!T304/'Incurred 2.5% cpi'!T$14*Incurred!T$14*BH304)</f>
        <v/>
      </c>
      <c r="U304" s="16" t="str">
        <f>IF(ISTEXT('Incurred 2.5% cpi'!U304),"",'Incurred 2.5% cpi'!U304/'Incurred 2.5% cpi'!U$14*Incurred!U$14*BI304)</f>
        <v/>
      </c>
      <c r="V304" s="16" t="str">
        <f>IF(ISTEXT('Incurred 2.5% cpi'!V304),"",'Incurred 2.5% cpi'!V304/'Incurred 2.5% cpi'!V$14*Incurred!V$14*BJ304)</f>
        <v/>
      </c>
      <c r="W304" s="127" t="str">
        <f>IF(ISTEXT('Incurred 2.5% cpi'!W304),"",'Incurred 2.5% cpi'!W304/'Incurred 2.5% cpi'!W$14*Incurred!W$14*BK304)</f>
        <v/>
      </c>
      <c r="X304" s="119" t="str">
        <f>IF(ISTEXT('Incurred 2.5% cpi'!X304),"",'Incurred 2.5% cpi'!X304/'Incurred 2.5% cpi'!X$14*Incurred!X$14*BL304)</f>
        <v/>
      </c>
      <c r="Y304" s="95">
        <f t="shared" si="423"/>
        <v>482658.06</v>
      </c>
      <c r="Z304" s="95">
        <f t="shared" si="449"/>
        <v>482658.06</v>
      </c>
      <c r="AA304" s="676">
        <f t="shared" si="450"/>
        <v>551908.70606034936</v>
      </c>
      <c r="AB304" s="676">
        <f t="shared" si="409"/>
        <v>490944.87307700008</v>
      </c>
      <c r="AC304" s="677">
        <f t="shared" si="424"/>
        <v>1.1241765345287305</v>
      </c>
      <c r="AD304" s="678" t="str">
        <f t="shared" si="410"/>
        <v>2017</v>
      </c>
      <c r="AE304" s="679">
        <v>42727</v>
      </c>
      <c r="AF304" s="678">
        <v>2017</v>
      </c>
      <c r="AG304" s="680"/>
      <c r="AH304" s="676">
        <f>IF(ROUND(Y304,0)=0,0,SUMPRODUCT($F$16:$W$16,F304:W304))</f>
        <v>500616.4870766169</v>
      </c>
      <c r="AI304" s="95">
        <f t="shared" si="411"/>
        <v>62007.65</v>
      </c>
      <c r="AJ304" s="681" t="s">
        <v>0</v>
      </c>
      <c r="AK304" s="37">
        <f t="shared" si="412"/>
        <v>0</v>
      </c>
      <c r="AL304" s="31">
        <f t="shared" si="452"/>
        <v>0</v>
      </c>
      <c r="AM304" s="31">
        <f t="shared" si="452"/>
        <v>0</v>
      </c>
      <c r="AN304" s="31">
        <f t="shared" si="452"/>
        <v>0</v>
      </c>
      <c r="AO304" s="31">
        <f t="shared" si="452"/>
        <v>0</v>
      </c>
      <c r="AP304" s="31">
        <f t="shared" si="452"/>
        <v>0</v>
      </c>
      <c r="AQ304" s="31">
        <f t="shared" si="452"/>
        <v>0</v>
      </c>
      <c r="AR304" s="31">
        <f t="shared" si="452"/>
        <v>1</v>
      </c>
      <c r="AS304" s="31">
        <f t="shared" si="452"/>
        <v>0</v>
      </c>
      <c r="AT304" s="31">
        <f t="shared" si="452"/>
        <v>0</v>
      </c>
      <c r="AU304" s="31">
        <f t="shared" si="452"/>
        <v>0</v>
      </c>
      <c r="AV304" s="31">
        <f t="shared" si="453"/>
        <v>0</v>
      </c>
      <c r="AW304" s="31">
        <f t="shared" si="453"/>
        <v>0</v>
      </c>
      <c r="AX304" s="31">
        <f t="shared" si="453"/>
        <v>0</v>
      </c>
      <c r="AY304" s="31">
        <f t="shared" si="453"/>
        <v>0</v>
      </c>
      <c r="AZ304" s="31">
        <f t="shared" si="453"/>
        <v>0</v>
      </c>
      <c r="BA304" s="31">
        <f t="shared" si="453"/>
        <v>0</v>
      </c>
      <c r="BB304" s="31">
        <f t="shared" si="453"/>
        <v>0</v>
      </c>
      <c r="BC304" s="31">
        <f t="shared" si="453"/>
        <v>0</v>
      </c>
      <c r="BD304" s="31">
        <f t="shared" si="453"/>
        <v>0</v>
      </c>
      <c r="BE304" s="30">
        <f t="shared" si="454"/>
        <v>1</v>
      </c>
      <c r="BF304" s="620">
        <f t="shared" si="425"/>
        <v>1.0034498951996242</v>
      </c>
      <c r="BG304" s="620">
        <f t="shared" si="413"/>
        <v>1.0069222147180459</v>
      </c>
      <c r="BH304" s="620">
        <f t="shared" si="414"/>
        <v>1.0109547796356901</v>
      </c>
      <c r="BI304" s="620">
        <f t="shared" si="415"/>
        <v>1.0158301506211216</v>
      </c>
      <c r="BJ304" s="620">
        <f t="shared" si="416"/>
        <v>1.0218425664619335</v>
      </c>
      <c r="BK304" s="620">
        <f t="shared" si="417"/>
        <v>1.0281974167140426</v>
      </c>
      <c r="BL304" s="620">
        <f t="shared" si="418"/>
        <v>1.0328287210586446</v>
      </c>
      <c r="BM304" s="621" t="str">
        <f t="shared" si="419"/>
        <v>Category</v>
      </c>
    </row>
    <row r="305" spans="1:65" x14ac:dyDescent="0.15">
      <c r="A305" s="91" t="s">
        <v>631</v>
      </c>
      <c r="B305" s="13" t="s">
        <v>632</v>
      </c>
      <c r="C305" s="13" t="s">
        <v>27</v>
      </c>
      <c r="D305" s="13" t="s">
        <v>40</v>
      </c>
      <c r="E305" s="13" t="s">
        <v>29</v>
      </c>
      <c r="F305" s="14">
        <v>0</v>
      </c>
      <c r="G305" s="14">
        <v>0</v>
      </c>
      <c r="H305" s="14">
        <v>0</v>
      </c>
      <c r="I305" s="14">
        <v>0</v>
      </c>
      <c r="J305" s="14">
        <v>0</v>
      </c>
      <c r="K305" s="14">
        <v>0</v>
      </c>
      <c r="L305" s="14">
        <v>0</v>
      </c>
      <c r="M305" s="15">
        <v>0</v>
      </c>
      <c r="N305" s="804"/>
      <c r="O305" s="14"/>
      <c r="P305" s="15">
        <v>1350.18</v>
      </c>
      <c r="Q305" s="16">
        <f>IF(ISTEXT('Incurred 2.5% cpi'!Q305),"",'Incurred 2.5% cpi'!Q305/'Incurred 2.5% cpi'!Q$14*Incurred!Q$14)</f>
        <v>226243.79</v>
      </c>
      <c r="R305" s="127">
        <f>IF(ISTEXT('Incurred 2.5% cpi'!R305),"",'Incurred 2.5% cpi'!R305/'Incurred 2.5% cpi'!R$14*Incurred!R$14*BF305)</f>
        <v>237683.20638789964</v>
      </c>
      <c r="S305" s="119">
        <f>IF(ISTEXT('Incurred 2.5% cpi'!S305),"",'Incurred 2.5% cpi'!S305/'Incurred 2.5% cpi'!S$14*Incurred!S$14*BG305)</f>
        <v>1313637.2282299278</v>
      </c>
      <c r="T305" s="16" t="str">
        <f>IF(ISTEXT('Incurred 2.5% cpi'!T305),"",'Incurred 2.5% cpi'!T305/'Incurred 2.5% cpi'!T$14*Incurred!T$14*BH305)</f>
        <v/>
      </c>
      <c r="U305" s="16" t="str">
        <f>IF(ISTEXT('Incurred 2.5% cpi'!U305),"",'Incurred 2.5% cpi'!U305/'Incurred 2.5% cpi'!U$14*Incurred!U$14*BI305)</f>
        <v/>
      </c>
      <c r="V305" s="16" t="str">
        <f>IF(ISTEXT('Incurred 2.5% cpi'!V305),"",'Incurred 2.5% cpi'!V305/'Incurred 2.5% cpi'!V$14*Incurred!V$14*BJ305)</f>
        <v/>
      </c>
      <c r="W305" s="127" t="str">
        <f>IF(ISTEXT('Incurred 2.5% cpi'!W305),"",'Incurred 2.5% cpi'!W305/'Incurred 2.5% cpi'!W$14*Incurred!W$14*BK305)</f>
        <v/>
      </c>
      <c r="X305" s="119" t="str">
        <f>IF(ISTEXT('Incurred 2.5% cpi'!X305),"",'Incurred 2.5% cpi'!X305/'Incurred 2.5% cpi'!X$14*Incurred!X$14*BL305)</f>
        <v/>
      </c>
      <c r="Y305" s="95">
        <f t="shared" si="423"/>
        <v>1778914.4046178274</v>
      </c>
      <c r="Z305" s="95">
        <f t="shared" si="449"/>
        <v>1778914.4046178274</v>
      </c>
      <c r="AA305" s="676">
        <f t="shared" si="450"/>
        <v>1938172.5498573198</v>
      </c>
      <c r="AB305" s="676">
        <f t="shared" si="409"/>
        <v>1792679.9499968288</v>
      </c>
      <c r="AC305" s="677">
        <f t="shared" si="424"/>
        <v>1.0811592721058483</v>
      </c>
      <c r="AD305" s="678" t="str">
        <f t="shared" si="410"/>
        <v>2019</v>
      </c>
      <c r="AE305" s="679">
        <v>43493</v>
      </c>
      <c r="AF305" s="678">
        <v>2019</v>
      </c>
      <c r="AG305" s="680"/>
      <c r="AH305" s="676">
        <f t="shared" si="451"/>
        <v>1758046.4352229366</v>
      </c>
      <c r="AI305" s="95">
        <f t="shared" si="411"/>
        <v>1313637.2282299278</v>
      </c>
      <c r="AJ305" s="681" t="s">
        <v>3058</v>
      </c>
      <c r="AK305" s="37">
        <f t="shared" si="412"/>
        <v>1320000.0000000005</v>
      </c>
      <c r="AL305" s="31">
        <f t="shared" si="452"/>
        <v>0</v>
      </c>
      <c r="AM305" s="31">
        <f t="shared" si="452"/>
        <v>0</v>
      </c>
      <c r="AN305" s="31">
        <f t="shared" si="452"/>
        <v>0</v>
      </c>
      <c r="AO305" s="31">
        <f t="shared" si="452"/>
        <v>0</v>
      </c>
      <c r="AP305" s="31">
        <f t="shared" si="452"/>
        <v>0</v>
      </c>
      <c r="AQ305" s="31">
        <f t="shared" si="452"/>
        <v>0</v>
      </c>
      <c r="AR305" s="31">
        <f t="shared" si="452"/>
        <v>0</v>
      </c>
      <c r="AS305" s="31">
        <f t="shared" si="452"/>
        <v>0</v>
      </c>
      <c r="AT305" s="31">
        <f t="shared" si="452"/>
        <v>0</v>
      </c>
      <c r="AU305" s="31">
        <f t="shared" si="452"/>
        <v>1</v>
      </c>
      <c r="AV305" s="31">
        <f t="shared" si="453"/>
        <v>0</v>
      </c>
      <c r="AW305" s="31">
        <f t="shared" si="453"/>
        <v>0</v>
      </c>
      <c r="AX305" s="31">
        <f t="shared" si="453"/>
        <v>0</v>
      </c>
      <c r="AY305" s="31">
        <f t="shared" si="453"/>
        <v>0</v>
      </c>
      <c r="AZ305" s="31">
        <f t="shared" si="453"/>
        <v>0</v>
      </c>
      <c r="BA305" s="31">
        <f t="shared" si="453"/>
        <v>0</v>
      </c>
      <c r="BB305" s="31">
        <f t="shared" si="453"/>
        <v>0</v>
      </c>
      <c r="BC305" s="31">
        <f t="shared" si="453"/>
        <v>0</v>
      </c>
      <c r="BD305" s="31">
        <f t="shared" si="453"/>
        <v>0</v>
      </c>
      <c r="BE305" s="30">
        <f t="shared" si="454"/>
        <v>1</v>
      </c>
      <c r="BF305" s="620">
        <f t="shared" si="425"/>
        <v>1.0034498951996242</v>
      </c>
      <c r="BG305" s="620">
        <f t="shared" si="413"/>
        <v>1.0069222147180459</v>
      </c>
      <c r="BH305" s="620">
        <f t="shared" si="414"/>
        <v>1.0109547796356901</v>
      </c>
      <c r="BI305" s="620">
        <f t="shared" si="415"/>
        <v>1.0158301506211216</v>
      </c>
      <c r="BJ305" s="620">
        <f t="shared" si="416"/>
        <v>1.0218425664619335</v>
      </c>
      <c r="BK305" s="620">
        <f t="shared" si="417"/>
        <v>1.0281974167140426</v>
      </c>
      <c r="BL305" s="620">
        <f t="shared" si="418"/>
        <v>1.0328287210586446</v>
      </c>
      <c r="BM305" s="621" t="str">
        <f t="shared" si="419"/>
        <v>Category</v>
      </c>
    </row>
    <row r="306" spans="1:65" x14ac:dyDescent="0.15">
      <c r="A306" s="12" t="s">
        <v>633</v>
      </c>
      <c r="B306" s="13" t="s">
        <v>634</v>
      </c>
      <c r="C306" s="13" t="s">
        <v>27</v>
      </c>
      <c r="D306" s="13" t="s">
        <v>54</v>
      </c>
      <c r="E306" s="13" t="s">
        <v>29</v>
      </c>
      <c r="F306" s="14">
        <v>0</v>
      </c>
      <c r="G306" s="14">
        <v>0</v>
      </c>
      <c r="H306" s="14">
        <v>0</v>
      </c>
      <c r="I306" s="14">
        <v>0</v>
      </c>
      <c r="J306" s="14">
        <v>0</v>
      </c>
      <c r="K306" s="14">
        <v>0</v>
      </c>
      <c r="L306" s="14">
        <v>0</v>
      </c>
      <c r="M306" s="15">
        <v>0</v>
      </c>
      <c r="N306" s="804"/>
      <c r="O306" s="14"/>
      <c r="P306" s="15"/>
      <c r="Q306" s="16">
        <f>IF(ISTEXT('Incurred 2.5% cpi'!Q306),"",'Incurred 2.5% cpi'!Q306/'Incurred 2.5% cpi'!Q$14*Incurred!Q$14)</f>
        <v>1412316.98</v>
      </c>
      <c r="R306" s="127">
        <f>IF(ISTEXT('Incurred 2.5% cpi'!R306),"",'Incurred 2.5% cpi'!R306/'Incurred 2.5% cpi'!R$14*Incurred!R$14*BF306)</f>
        <v>7493002.2502308134</v>
      </c>
      <c r="S306" s="119">
        <f>IF(ISTEXT('Incurred 2.5% cpi'!S306),"",'Incurred 2.5% cpi'!S306/'Incurred 2.5% cpi'!S$14*Incurred!S$14*BG306)</f>
        <v>2628194.456780009</v>
      </c>
      <c r="T306" s="16" t="str">
        <f>IF(ISTEXT('Incurred 2.5% cpi'!T306),"",'Incurred 2.5% cpi'!T306/'Incurred 2.5% cpi'!T$14*Incurred!T$14*BH306)</f>
        <v/>
      </c>
      <c r="U306" s="16" t="str">
        <f>IF(ISTEXT('Incurred 2.5% cpi'!U306),"",'Incurred 2.5% cpi'!U306/'Incurred 2.5% cpi'!U$14*Incurred!U$14*BI306)</f>
        <v/>
      </c>
      <c r="V306" s="16" t="str">
        <f>IF(ISTEXT('Incurred 2.5% cpi'!V306),"",'Incurred 2.5% cpi'!V306/'Incurred 2.5% cpi'!V$14*Incurred!V$14*BJ306)</f>
        <v/>
      </c>
      <c r="W306" s="127" t="str">
        <f>IF(ISTEXT('Incurred 2.5% cpi'!W306),"",'Incurred 2.5% cpi'!W306/'Incurred 2.5% cpi'!W$14*Incurred!W$14*BK306)</f>
        <v/>
      </c>
      <c r="X306" s="119" t="str">
        <f>IF(ISTEXT('Incurred 2.5% cpi'!X306),"",'Incurred 2.5% cpi'!X306/'Incurred 2.5% cpi'!X$14*Incurred!X$14*BL306)</f>
        <v/>
      </c>
      <c r="Y306" s="95">
        <f t="shared" si="423"/>
        <v>11533513.687010823</v>
      </c>
      <c r="Z306" s="95">
        <f t="shared" si="449"/>
        <v>11533513.687010823</v>
      </c>
      <c r="AA306" s="676">
        <f t="shared" si="450"/>
        <v>12689911.511341728</v>
      </c>
      <c r="AB306" s="676">
        <f t="shared" si="409"/>
        <v>11737319.226449138</v>
      </c>
      <c r="AC306" s="677">
        <f t="shared" si="424"/>
        <v>1.0811592721058483</v>
      </c>
      <c r="AD306" s="678" t="str">
        <f t="shared" si="410"/>
        <v>2019</v>
      </c>
      <c r="AE306" s="679">
        <v>43292</v>
      </c>
      <c r="AF306" s="678">
        <v>2019</v>
      </c>
      <c r="AG306" s="680"/>
      <c r="AH306" s="676">
        <f t="shared" si="451"/>
        <v>11510561.171373088</v>
      </c>
      <c r="AI306" s="95">
        <f t="shared" si="411"/>
        <v>2628194.456780009</v>
      </c>
      <c r="AJ306" s="681" t="s">
        <v>3058</v>
      </c>
      <c r="AK306" s="37">
        <f t="shared" si="412"/>
        <v>5261396.8340399992</v>
      </c>
      <c r="AL306" s="31">
        <f t="shared" ref="AL306:AU313" si="455">IF($AK306=0,VLOOKUP(MID($A306,4,5),ProjectSplits,AL$20,FALSE),IF(ISNA(VLOOKUP($A306,Estimates,AL$19,FALSE)),VLOOKUP(MID($A306,4,5),ProjectSplits,AL$20,FALSE),VLOOKUP($A306,Estimates,AL$19,FALSE)))</f>
        <v>0</v>
      </c>
      <c r="AM306" s="31">
        <f t="shared" si="455"/>
        <v>0</v>
      </c>
      <c r="AN306" s="31">
        <f t="shared" si="455"/>
        <v>0</v>
      </c>
      <c r="AO306" s="31">
        <f t="shared" si="455"/>
        <v>0</v>
      </c>
      <c r="AP306" s="31">
        <f t="shared" si="455"/>
        <v>0</v>
      </c>
      <c r="AQ306" s="31">
        <f t="shared" si="455"/>
        <v>0</v>
      </c>
      <c r="AR306" s="31">
        <f t="shared" si="455"/>
        <v>0</v>
      </c>
      <c r="AS306" s="31">
        <f t="shared" si="455"/>
        <v>0</v>
      </c>
      <c r="AT306" s="31">
        <f t="shared" si="455"/>
        <v>0</v>
      </c>
      <c r="AU306" s="31">
        <f t="shared" si="455"/>
        <v>0.53950080701675884</v>
      </c>
      <c r="AV306" s="31">
        <f t="shared" ref="AV306:BD313" si="456">IF($AK306=0,VLOOKUP(MID($A306,4,5),ProjectSplits,AV$20,FALSE),IF(ISNA(VLOOKUP($A306,Estimates,AV$19,FALSE)),VLOOKUP(MID($A306,4,5),ProjectSplits,AV$20,FALSE),VLOOKUP($A306,Estimates,AV$19,FALSE)))</f>
        <v>0</v>
      </c>
      <c r="AW306" s="31">
        <f t="shared" si="456"/>
        <v>4.3465636144460681E-3</v>
      </c>
      <c r="AX306" s="31">
        <f t="shared" si="456"/>
        <v>0</v>
      </c>
      <c r="AY306" s="31">
        <f t="shared" si="456"/>
        <v>0</v>
      </c>
      <c r="AZ306" s="31">
        <f t="shared" si="456"/>
        <v>0.45615262936879514</v>
      </c>
      <c r="BA306" s="31">
        <f t="shared" si="456"/>
        <v>0</v>
      </c>
      <c r="BB306" s="31">
        <f t="shared" si="456"/>
        <v>0</v>
      </c>
      <c r="BC306" s="31">
        <f t="shared" si="456"/>
        <v>0</v>
      </c>
      <c r="BD306" s="31">
        <f t="shared" si="456"/>
        <v>0</v>
      </c>
      <c r="BE306" s="30">
        <f t="shared" si="454"/>
        <v>1</v>
      </c>
      <c r="BF306" s="620">
        <f t="shared" si="425"/>
        <v>1.0030818160192299</v>
      </c>
      <c r="BG306" s="620">
        <f t="shared" si="413"/>
        <v>1.006183663842585</v>
      </c>
      <c r="BH306" s="620">
        <f t="shared" si="414"/>
        <v>1.0097859828820543</v>
      </c>
      <c r="BI306" s="620">
        <f t="shared" si="415"/>
        <v>1.0141411866007726</v>
      </c>
      <c r="BJ306" s="620">
        <f t="shared" si="416"/>
        <v>1.0195121206090012</v>
      </c>
      <c r="BK306" s="620">
        <f t="shared" si="417"/>
        <v>1.0251889537223347</v>
      </c>
      <c r="BL306" s="620">
        <f t="shared" si="418"/>
        <v>1.0293261309677997</v>
      </c>
      <c r="BM306" s="621" t="str">
        <f t="shared" si="419"/>
        <v>Category</v>
      </c>
    </row>
    <row r="307" spans="1:65" x14ac:dyDescent="0.15">
      <c r="A307" s="12" t="s">
        <v>635</v>
      </c>
      <c r="B307" s="13" t="s">
        <v>636</v>
      </c>
      <c r="C307" s="13" t="s">
        <v>27</v>
      </c>
      <c r="D307" s="13" t="s">
        <v>54</v>
      </c>
      <c r="E307" s="13" t="s">
        <v>29</v>
      </c>
      <c r="F307" s="14">
        <v>0</v>
      </c>
      <c r="G307" s="14">
        <v>0</v>
      </c>
      <c r="H307" s="14">
        <v>0</v>
      </c>
      <c r="I307" s="14">
        <v>0</v>
      </c>
      <c r="J307" s="14">
        <v>0</v>
      </c>
      <c r="K307" s="14">
        <v>0</v>
      </c>
      <c r="L307" s="14">
        <v>0</v>
      </c>
      <c r="M307" s="15">
        <v>0</v>
      </c>
      <c r="N307" s="804"/>
      <c r="O307" s="14"/>
      <c r="P307" s="15"/>
      <c r="Q307" s="16">
        <f>IF(ISTEXT('Incurred 2.5% cpi'!Q307),"",'Incurred 2.5% cpi'!Q307/'Incurred 2.5% cpi'!Q$14*Incurred!Q$14)</f>
        <v>234278.82</v>
      </c>
      <c r="R307" s="127">
        <f>IF(ISTEXT('Incurred 2.5% cpi'!R307),"",'Incurred 2.5% cpi'!R307/'Incurred 2.5% cpi'!R$14*Incurred!R$14*BF307)</f>
        <v>1315543.4165398094</v>
      </c>
      <c r="S307" s="119">
        <f>IF(ISTEXT('Incurred 2.5% cpi'!S307),"",'Incurred 2.5% cpi'!S307/'Incurred 2.5% cpi'!S$14*Incurred!S$14*BG307)</f>
        <v>256819.68277981639</v>
      </c>
      <c r="T307" s="16" t="str">
        <f>IF(ISTEXT('Incurred 2.5% cpi'!T307),"",'Incurred 2.5% cpi'!T307/'Incurred 2.5% cpi'!T$14*Incurred!T$14*BH307)</f>
        <v/>
      </c>
      <c r="U307" s="16" t="str">
        <f>IF(ISTEXT('Incurred 2.5% cpi'!U307),"",'Incurred 2.5% cpi'!U307/'Incurred 2.5% cpi'!U$14*Incurred!U$14*BI307)</f>
        <v/>
      </c>
      <c r="V307" s="16" t="str">
        <f>IF(ISTEXT('Incurred 2.5% cpi'!V307),"",'Incurred 2.5% cpi'!V307/'Incurred 2.5% cpi'!V$14*Incurred!V$14*BJ307)</f>
        <v/>
      </c>
      <c r="W307" s="127" t="str">
        <f>IF(ISTEXT('Incurred 2.5% cpi'!W307),"",'Incurred 2.5% cpi'!W307/'Incurred 2.5% cpi'!W$14*Incurred!W$14*BK307)</f>
        <v/>
      </c>
      <c r="X307" s="119" t="str">
        <f>IF(ISTEXT('Incurred 2.5% cpi'!X307),"",'Incurred 2.5% cpi'!X307/'Incurred 2.5% cpi'!X$14*Incurred!X$14*BL307)</f>
        <v/>
      </c>
      <c r="Y307" s="95">
        <f t="shared" si="423"/>
        <v>1806641.9193196259</v>
      </c>
      <c r="Z307" s="95">
        <f t="shared" si="449"/>
        <v>1806641.9193196259</v>
      </c>
      <c r="AA307" s="676">
        <f t="shared" si="450"/>
        <v>1991365.2415917839</v>
      </c>
      <c r="AB307" s="676">
        <f t="shared" si="409"/>
        <v>1841879.6314007139</v>
      </c>
      <c r="AC307" s="677">
        <f t="shared" si="424"/>
        <v>1.0811592721058483</v>
      </c>
      <c r="AD307" s="678" t="str">
        <f t="shared" si="410"/>
        <v>2019</v>
      </c>
      <c r="AE307" s="679">
        <v>43290</v>
      </c>
      <c r="AF307" s="678">
        <v>2019</v>
      </c>
      <c r="AG307" s="680"/>
      <c r="AH307" s="676">
        <f t="shared" si="451"/>
        <v>1806295.6079245994</v>
      </c>
      <c r="AI307" s="95">
        <f t="shared" si="411"/>
        <v>256819.68277981639</v>
      </c>
      <c r="AJ307" s="681" t="s">
        <v>3058</v>
      </c>
      <c r="AK307" s="37">
        <f t="shared" si="412"/>
        <v>880087.2</v>
      </c>
      <c r="AL307" s="31">
        <f t="shared" si="455"/>
        <v>0</v>
      </c>
      <c r="AM307" s="31">
        <f t="shared" si="455"/>
        <v>0</v>
      </c>
      <c r="AN307" s="31">
        <f t="shared" si="455"/>
        <v>0</v>
      </c>
      <c r="AO307" s="31">
        <f t="shared" si="455"/>
        <v>0</v>
      </c>
      <c r="AP307" s="31">
        <f t="shared" si="455"/>
        <v>0</v>
      </c>
      <c r="AQ307" s="31">
        <f t="shared" si="455"/>
        <v>0</v>
      </c>
      <c r="AR307" s="31">
        <f t="shared" si="455"/>
        <v>0</v>
      </c>
      <c r="AS307" s="31">
        <f t="shared" si="455"/>
        <v>0</v>
      </c>
      <c r="AT307" s="31">
        <f t="shared" si="455"/>
        <v>0</v>
      </c>
      <c r="AU307" s="31">
        <f t="shared" si="455"/>
        <v>0.80302042797577333</v>
      </c>
      <c r="AV307" s="31">
        <f t="shared" si="456"/>
        <v>0</v>
      </c>
      <c r="AW307" s="31">
        <f t="shared" si="456"/>
        <v>0</v>
      </c>
      <c r="AX307" s="31">
        <f t="shared" si="456"/>
        <v>0</v>
      </c>
      <c r="AY307" s="31">
        <f t="shared" si="456"/>
        <v>0</v>
      </c>
      <c r="AZ307" s="31">
        <f t="shared" si="456"/>
        <v>3.7904425834167359E-2</v>
      </c>
      <c r="BA307" s="31">
        <f t="shared" si="456"/>
        <v>0.15907514619005939</v>
      </c>
      <c r="BB307" s="31">
        <f t="shared" si="456"/>
        <v>0</v>
      </c>
      <c r="BC307" s="31">
        <f t="shared" si="456"/>
        <v>0</v>
      </c>
      <c r="BD307" s="31">
        <f t="shared" si="456"/>
        <v>0</v>
      </c>
      <c r="BE307" s="30">
        <f t="shared" si="454"/>
        <v>1</v>
      </c>
      <c r="BF307" s="620">
        <f t="shared" si="425"/>
        <v>1.0030818160192299</v>
      </c>
      <c r="BG307" s="620">
        <f t="shared" si="413"/>
        <v>1.006183663842585</v>
      </c>
      <c r="BH307" s="620">
        <f t="shared" si="414"/>
        <v>1.0097859828820543</v>
      </c>
      <c r="BI307" s="620">
        <f t="shared" si="415"/>
        <v>1.0141411866007726</v>
      </c>
      <c r="BJ307" s="620">
        <f t="shared" si="416"/>
        <v>1.0195121206090012</v>
      </c>
      <c r="BK307" s="620">
        <f t="shared" si="417"/>
        <v>1.0251889537223347</v>
      </c>
      <c r="BL307" s="620">
        <f t="shared" si="418"/>
        <v>1.0293261309677997</v>
      </c>
      <c r="BM307" s="621" t="str">
        <f t="shared" si="419"/>
        <v>Category</v>
      </c>
    </row>
    <row r="308" spans="1:65" x14ac:dyDescent="0.15">
      <c r="A308" s="12" t="s">
        <v>2296</v>
      </c>
      <c r="B308" s="13" t="s">
        <v>2297</v>
      </c>
      <c r="C308" s="13" t="s">
        <v>27</v>
      </c>
      <c r="D308" s="13" t="s">
        <v>28</v>
      </c>
      <c r="E308" s="13" t="s">
        <v>112</v>
      </c>
      <c r="F308" s="14">
        <v>0</v>
      </c>
      <c r="G308" s="14">
        <v>0</v>
      </c>
      <c r="H308" s="14">
        <v>0</v>
      </c>
      <c r="I308" s="14">
        <v>0</v>
      </c>
      <c r="J308" s="14">
        <v>0</v>
      </c>
      <c r="K308" s="14">
        <v>0</v>
      </c>
      <c r="L308" s="14">
        <v>0</v>
      </c>
      <c r="M308" s="15">
        <v>0</v>
      </c>
      <c r="N308" s="804"/>
      <c r="O308" s="14"/>
      <c r="P308" s="15"/>
      <c r="Q308" s="16">
        <f>IF(ISTEXT('Incurred 2.5% cpi'!Q308),"",'Incurred 2.5% cpi'!Q308/'Incurred 2.5% cpi'!Q$14*Incurred!Q$14)</f>
        <v>433093.65</v>
      </c>
      <c r="R308" s="127">
        <f>IF(ISTEXT('Incurred 2.5% cpi'!R308),"",'Incurred 2.5% cpi'!R308/'Incurred 2.5% cpi'!R$14*Incurred!R$14*BF308)</f>
        <v>226691.29721562786</v>
      </c>
      <c r="S308" s="119">
        <f>IF(ISTEXT('Incurred 2.5% cpi'!S308),"",'Incurred 2.5% cpi'!S308/'Incurred 2.5% cpi'!S$14*Incurred!S$14*BG308)</f>
        <v>6546164.7443279</v>
      </c>
      <c r="T308" s="16">
        <f>IF(ISTEXT('Incurred 2.5% cpi'!T308),"",'Incurred 2.5% cpi'!T308/'Incurred 2.5% cpi'!T$14*Incurred!T$14*BH308)</f>
        <v>22068.711997338327</v>
      </c>
      <c r="U308" s="16" t="str">
        <f>IF(ISTEXT('Incurred 2.5% cpi'!U308),"",'Incurred 2.5% cpi'!U308/'Incurred 2.5% cpi'!U$14*Incurred!U$14*BI308)</f>
        <v/>
      </c>
      <c r="V308" s="16" t="str">
        <f>IF(ISTEXT('Incurred 2.5% cpi'!V308),"",'Incurred 2.5% cpi'!V308/'Incurred 2.5% cpi'!V$14*Incurred!V$14*BJ308)</f>
        <v/>
      </c>
      <c r="W308" s="127" t="str">
        <f>IF(ISTEXT('Incurred 2.5% cpi'!W308),"",'Incurred 2.5% cpi'!W308/'Incurred 2.5% cpi'!W$14*Incurred!W$14*BK308)</f>
        <v/>
      </c>
      <c r="X308" s="119" t="str">
        <f>IF(ISTEXT('Incurred 2.5% cpi'!X308),"",'Incurred 2.5% cpi'!X308/'Incurred 2.5% cpi'!X$14*Incurred!X$14*BL308)</f>
        <v/>
      </c>
      <c r="Y308" s="95">
        <f t="shared" si="423"/>
        <v>7228018.4035408664</v>
      </c>
      <c r="Z308" s="95">
        <f t="shared" si="449"/>
        <v>7228018.4035408664</v>
      </c>
      <c r="AA308" s="676">
        <f t="shared" si="450"/>
        <v>7837636.9232139699</v>
      </c>
      <c r="AB308" s="676">
        <f t="shared" si="409"/>
        <v>7249289.8367768377</v>
      </c>
      <c r="AC308" s="677">
        <f t="shared" si="424"/>
        <v>1.0811592721058483</v>
      </c>
      <c r="AD308" s="678" t="str">
        <f t="shared" si="410"/>
        <v>2020</v>
      </c>
      <c r="AE308" s="679">
        <v>43615</v>
      </c>
      <c r="AF308" s="678">
        <v>2019</v>
      </c>
      <c r="AG308" s="680"/>
      <c r="AH308" s="676">
        <f t="shared" si="451"/>
        <v>7109237.8511099713</v>
      </c>
      <c r="AI308" s="95">
        <f t="shared" si="411"/>
        <v>22068.711997338327</v>
      </c>
      <c r="AJ308" s="681" t="s">
        <v>3058</v>
      </c>
      <c r="AK308" s="37">
        <f t="shared" si="412"/>
        <v>16603181.20644086</v>
      </c>
      <c r="AL308" s="31">
        <f t="shared" si="455"/>
        <v>0</v>
      </c>
      <c r="AM308" s="31">
        <f t="shared" si="455"/>
        <v>3.4933059742490844E-4</v>
      </c>
      <c r="AN308" s="31">
        <f t="shared" si="455"/>
        <v>5.7293188165107901E-3</v>
      </c>
      <c r="AO308" s="31">
        <f t="shared" si="455"/>
        <v>0</v>
      </c>
      <c r="AP308" s="31">
        <f t="shared" si="455"/>
        <v>0</v>
      </c>
      <c r="AQ308" s="31">
        <f t="shared" si="455"/>
        <v>2.2887180190058198E-2</v>
      </c>
      <c r="AR308" s="31">
        <f t="shared" si="455"/>
        <v>0</v>
      </c>
      <c r="AS308" s="31">
        <f t="shared" si="455"/>
        <v>0</v>
      </c>
      <c r="AT308" s="31">
        <f t="shared" si="455"/>
        <v>0</v>
      </c>
      <c r="AU308" s="31">
        <f t="shared" si="455"/>
        <v>2.3922160084433781E-2</v>
      </c>
      <c r="AV308" s="31">
        <f t="shared" si="456"/>
        <v>0</v>
      </c>
      <c r="AW308" s="31">
        <f t="shared" si="456"/>
        <v>5.1179790769362542E-2</v>
      </c>
      <c r="AX308" s="31">
        <f t="shared" si="456"/>
        <v>8.5224631487493471E-3</v>
      </c>
      <c r="AY308" s="31">
        <f t="shared" si="456"/>
        <v>0</v>
      </c>
      <c r="AZ308" s="31">
        <f t="shared" si="456"/>
        <v>0.88194995932970033</v>
      </c>
      <c r="BA308" s="31">
        <f t="shared" si="456"/>
        <v>9.034413232917709E-4</v>
      </c>
      <c r="BB308" s="31">
        <f t="shared" si="456"/>
        <v>4.556355740468164E-3</v>
      </c>
      <c r="BC308" s="31">
        <f t="shared" si="456"/>
        <v>0</v>
      </c>
      <c r="BD308" s="31">
        <f t="shared" si="456"/>
        <v>0</v>
      </c>
      <c r="BE308" s="30">
        <f t="shared" si="454"/>
        <v>0.99999999999999989</v>
      </c>
      <c r="BF308" s="620">
        <f t="shared" si="425"/>
        <v>1.0030444840366091</v>
      </c>
      <c r="BG308" s="620">
        <f t="shared" si="413"/>
        <v>1.0061087572194563</v>
      </c>
      <c r="BH308" s="620">
        <f t="shared" si="414"/>
        <v>1.0096674390946898</v>
      </c>
      <c r="BI308" s="620">
        <f t="shared" si="415"/>
        <v>1.0139698854818469</v>
      </c>
      <c r="BJ308" s="620">
        <f t="shared" si="416"/>
        <v>1.0192757579764089</v>
      </c>
      <c r="BK308" s="620">
        <f t="shared" si="417"/>
        <v>1.0248838240271385</v>
      </c>
      <c r="BL308" s="620">
        <f t="shared" si="418"/>
        <v>1.0289708850333266</v>
      </c>
      <c r="BM308" s="621" t="str">
        <f t="shared" si="419"/>
        <v>Category</v>
      </c>
    </row>
    <row r="309" spans="1:65" x14ac:dyDescent="0.15">
      <c r="A309" s="12" t="s">
        <v>637</v>
      </c>
      <c r="B309" s="13" t="s">
        <v>638</v>
      </c>
      <c r="C309" s="13" t="s">
        <v>27</v>
      </c>
      <c r="D309" s="13" t="s">
        <v>60</v>
      </c>
      <c r="E309" s="13" t="s">
        <v>29</v>
      </c>
      <c r="F309" s="14">
        <v>0</v>
      </c>
      <c r="G309" s="14">
        <v>0</v>
      </c>
      <c r="H309" s="14">
        <v>0</v>
      </c>
      <c r="I309" s="14">
        <v>0</v>
      </c>
      <c r="J309" s="14">
        <v>0</v>
      </c>
      <c r="K309" s="14">
        <v>0</v>
      </c>
      <c r="L309" s="14">
        <v>0</v>
      </c>
      <c r="M309" s="15">
        <v>0</v>
      </c>
      <c r="N309" s="804"/>
      <c r="O309" s="14"/>
      <c r="P309" s="15">
        <v>334653.59999999998</v>
      </c>
      <c r="Q309" s="16">
        <f>IF(ISTEXT('Incurred 2.5% cpi'!Q309),"",'Incurred 2.5% cpi'!Q309/'Incurred 2.5% cpi'!Q$14*Incurred!Q$14)</f>
        <v>2895413.5</v>
      </c>
      <c r="R309" s="127">
        <f>IF(ISTEXT('Incurred 2.5% cpi'!R309),"",'Incurred 2.5% cpi'!R309/'Incurred 2.5% cpi'!R$14*Incurred!R$14*BF309)</f>
        <v>88518.517136077819</v>
      </c>
      <c r="S309" s="119" t="str">
        <f>IF(ISTEXT('Incurred 2.5% cpi'!S309),"",'Incurred 2.5% cpi'!S309/'Incurred 2.5% cpi'!S$14*Incurred!S$14*BG309)</f>
        <v/>
      </c>
      <c r="T309" s="16" t="str">
        <f>IF(ISTEXT('Incurred 2.5% cpi'!T309),"",'Incurred 2.5% cpi'!T309/'Incurred 2.5% cpi'!T$14*Incurred!T$14*BH309)</f>
        <v/>
      </c>
      <c r="U309" s="16" t="str">
        <f>IF(ISTEXT('Incurred 2.5% cpi'!U309),"",'Incurred 2.5% cpi'!U309/'Incurred 2.5% cpi'!U$14*Incurred!U$14*BI309)</f>
        <v/>
      </c>
      <c r="V309" s="16" t="str">
        <f>IF(ISTEXT('Incurred 2.5% cpi'!V309),"",'Incurred 2.5% cpi'!V309/'Incurred 2.5% cpi'!V$14*Incurred!V$14*BJ309)</f>
        <v/>
      </c>
      <c r="W309" s="127" t="str">
        <f>IF(ISTEXT('Incurred 2.5% cpi'!W309),"",'Incurred 2.5% cpi'!W309/'Incurred 2.5% cpi'!W$14*Incurred!W$14*BK309)</f>
        <v/>
      </c>
      <c r="X309" s="119" t="str">
        <f>IF(ISTEXT('Incurred 2.5% cpi'!X309),"",'Incurred 2.5% cpi'!X309/'Incurred 2.5% cpi'!X$14*Incurred!X$14*BL309)</f>
        <v/>
      </c>
      <c r="Y309" s="95">
        <f t="shared" si="423"/>
        <v>3318585.617136078</v>
      </c>
      <c r="Z309" s="95">
        <f t="shared" si="449"/>
        <v>3318585.617136078</v>
      </c>
      <c r="AA309" s="676">
        <f t="shared" si="450"/>
        <v>3736164.9274234418</v>
      </c>
      <c r="AB309" s="676">
        <f t="shared" si="409"/>
        <v>3323468.1677372772</v>
      </c>
      <c r="AC309" s="677">
        <f t="shared" si="424"/>
        <v>1.1241765345287305</v>
      </c>
      <c r="AD309" s="678" t="str">
        <f t="shared" si="410"/>
        <v>2018</v>
      </c>
      <c r="AE309" s="679">
        <v>42913</v>
      </c>
      <c r="AF309" s="678">
        <v>2017</v>
      </c>
      <c r="AG309" s="680"/>
      <c r="AH309" s="676">
        <f t="shared" si="451"/>
        <v>3388940.490641702</v>
      </c>
      <c r="AI309" s="95">
        <f t="shared" si="411"/>
        <v>88518.517136077819</v>
      </c>
      <c r="AJ309" s="681" t="s">
        <v>0</v>
      </c>
      <c r="AK309" s="37">
        <f t="shared" si="412"/>
        <v>0</v>
      </c>
      <c r="AL309" s="31">
        <f t="shared" si="455"/>
        <v>0</v>
      </c>
      <c r="AM309" s="31">
        <f t="shared" si="455"/>
        <v>0</v>
      </c>
      <c r="AN309" s="31">
        <f t="shared" si="455"/>
        <v>0</v>
      </c>
      <c r="AO309" s="31">
        <f t="shared" si="455"/>
        <v>0</v>
      </c>
      <c r="AP309" s="31">
        <f t="shared" si="455"/>
        <v>0</v>
      </c>
      <c r="AQ309" s="31">
        <f t="shared" si="455"/>
        <v>0</v>
      </c>
      <c r="AR309" s="31">
        <f t="shared" si="455"/>
        <v>0</v>
      </c>
      <c r="AS309" s="31">
        <f t="shared" si="455"/>
        <v>0</v>
      </c>
      <c r="AT309" s="31">
        <f t="shared" si="455"/>
        <v>0</v>
      </c>
      <c r="AU309" s="31">
        <f t="shared" si="455"/>
        <v>1</v>
      </c>
      <c r="AV309" s="31">
        <f t="shared" si="456"/>
        <v>0</v>
      </c>
      <c r="AW309" s="31">
        <f t="shared" si="456"/>
        <v>0</v>
      </c>
      <c r="AX309" s="31">
        <f t="shared" si="456"/>
        <v>0</v>
      </c>
      <c r="AY309" s="31">
        <f t="shared" si="456"/>
        <v>0</v>
      </c>
      <c r="AZ309" s="31">
        <f t="shared" si="456"/>
        <v>0</v>
      </c>
      <c r="BA309" s="31">
        <f t="shared" si="456"/>
        <v>0</v>
      </c>
      <c r="BB309" s="31">
        <f t="shared" si="456"/>
        <v>0</v>
      </c>
      <c r="BC309" s="31">
        <f t="shared" si="456"/>
        <v>0</v>
      </c>
      <c r="BD309" s="31">
        <f t="shared" si="456"/>
        <v>0</v>
      </c>
      <c r="BE309" s="30">
        <f t="shared" si="454"/>
        <v>1</v>
      </c>
      <c r="BF309" s="620">
        <f t="shared" si="425"/>
        <v>1.0002847743844534</v>
      </c>
      <c r="BG309" s="620">
        <f t="shared" si="413"/>
        <v>1.0005713998024055</v>
      </c>
      <c r="BH309" s="620">
        <f t="shared" si="414"/>
        <v>1.0009042711291389</v>
      </c>
      <c r="BI309" s="620">
        <f t="shared" si="415"/>
        <v>1.0013067125631596</v>
      </c>
      <c r="BJ309" s="620">
        <f t="shared" si="416"/>
        <v>1.001803012282737</v>
      </c>
      <c r="BK309" s="620">
        <f t="shared" si="417"/>
        <v>1.0023275785272521</v>
      </c>
      <c r="BL309" s="620">
        <f t="shared" si="418"/>
        <v>1.0027098732833635</v>
      </c>
      <c r="BM309" s="621" t="str">
        <f t="shared" si="419"/>
        <v>Category</v>
      </c>
    </row>
    <row r="310" spans="1:65" x14ac:dyDescent="0.15">
      <c r="A310" s="12" t="s">
        <v>2393</v>
      </c>
      <c r="B310" s="13" t="s">
        <v>2394</v>
      </c>
      <c r="C310" s="13" t="s">
        <v>27</v>
      </c>
      <c r="D310" s="13" t="s">
        <v>36</v>
      </c>
      <c r="E310" s="13" t="s">
        <v>29</v>
      </c>
      <c r="F310" s="14">
        <v>0</v>
      </c>
      <c r="G310" s="14">
        <v>0</v>
      </c>
      <c r="H310" s="14">
        <v>0</v>
      </c>
      <c r="I310" s="14">
        <v>0</v>
      </c>
      <c r="J310" s="14">
        <v>0</v>
      </c>
      <c r="K310" s="14">
        <v>0</v>
      </c>
      <c r="L310" s="14">
        <v>0</v>
      </c>
      <c r="M310" s="15">
        <v>0</v>
      </c>
      <c r="N310" s="804"/>
      <c r="O310" s="14"/>
      <c r="P310" s="15"/>
      <c r="Q310" s="16">
        <f>IF(ISTEXT('Incurred 2.5% cpi'!Q310),"",'Incurred 2.5% cpi'!Q310/'Incurred 2.5% cpi'!Q$14*Incurred!Q$14)</f>
        <v>26172.05</v>
      </c>
      <c r="R310" s="127">
        <f>IF(ISTEXT('Incurred 2.5% cpi'!R310),"",'Incurred 2.5% cpi'!R310/'Incurred 2.5% cpi'!R$14*Incurred!R$14*BF310)</f>
        <v>285368.03290796385</v>
      </c>
      <c r="S310" s="119" t="str">
        <f>IF(ISTEXT('Incurred 2.5% cpi'!S310),"",'Incurred 2.5% cpi'!S310/'Incurred 2.5% cpi'!S$14*Incurred!S$14*BG310)</f>
        <v/>
      </c>
      <c r="T310" s="16" t="str">
        <f>IF(ISTEXT('Incurred 2.5% cpi'!T310),"",'Incurred 2.5% cpi'!T310/'Incurred 2.5% cpi'!T$14*Incurred!T$14*BH310)</f>
        <v/>
      </c>
      <c r="U310" s="16" t="str">
        <f>IF(ISTEXT('Incurred 2.5% cpi'!U310),"",'Incurred 2.5% cpi'!U310/'Incurred 2.5% cpi'!U$14*Incurred!U$14*BI310)</f>
        <v/>
      </c>
      <c r="V310" s="16" t="str">
        <f>IF(ISTEXT('Incurred 2.5% cpi'!V310),"",'Incurred 2.5% cpi'!V310/'Incurred 2.5% cpi'!V$14*Incurred!V$14*BJ310)</f>
        <v/>
      </c>
      <c r="W310" s="127" t="str">
        <f>IF(ISTEXT('Incurred 2.5% cpi'!W310),"",'Incurred 2.5% cpi'!W310/'Incurred 2.5% cpi'!W$14*Incurred!W$14*BK310)</f>
        <v/>
      </c>
      <c r="X310" s="119" t="str">
        <f>IF(ISTEXT('Incurred 2.5% cpi'!X310),"",'Incurred 2.5% cpi'!X310/'Incurred 2.5% cpi'!X$14*Incurred!X$14*BL310)</f>
        <v/>
      </c>
      <c r="Y310" s="95">
        <f t="shared" si="423"/>
        <v>311540.08290796384</v>
      </c>
      <c r="Z310" s="95">
        <f t="shared" si="449"/>
        <v>311540.08290796384</v>
      </c>
      <c r="AA310" s="676">
        <f t="shared" si="450"/>
        <v>344028.30661796336</v>
      </c>
      <c r="AB310" s="676">
        <f t="shared" si="409"/>
        <v>312055.67229296389</v>
      </c>
      <c r="AC310" s="677">
        <f t="shared" si="424"/>
        <v>1.1024581097663335</v>
      </c>
      <c r="AD310" s="678" t="str">
        <f t="shared" si="410"/>
        <v>2018</v>
      </c>
      <c r="AE310" s="679">
        <v>43032</v>
      </c>
      <c r="AF310" s="678">
        <v>2018</v>
      </c>
      <c r="AG310" s="680"/>
      <c r="AH310" s="676">
        <f t="shared" si="451"/>
        <v>312055.67229296383</v>
      </c>
      <c r="AI310" s="95">
        <f t="shared" si="411"/>
        <v>285368.03290796385</v>
      </c>
      <c r="AJ310" s="681" t="s">
        <v>0</v>
      </c>
      <c r="AK310" s="37">
        <f t="shared" si="412"/>
        <v>0</v>
      </c>
      <c r="AL310" s="31">
        <f t="shared" si="455"/>
        <v>0</v>
      </c>
      <c r="AM310" s="31">
        <f t="shared" si="455"/>
        <v>0</v>
      </c>
      <c r="AN310" s="31">
        <f t="shared" si="455"/>
        <v>0</v>
      </c>
      <c r="AO310" s="31">
        <f t="shared" si="455"/>
        <v>0</v>
      </c>
      <c r="AP310" s="31">
        <f t="shared" si="455"/>
        <v>0</v>
      </c>
      <c r="AQ310" s="31">
        <f t="shared" si="455"/>
        <v>0</v>
      </c>
      <c r="AR310" s="31">
        <f t="shared" si="455"/>
        <v>0</v>
      </c>
      <c r="AS310" s="31">
        <f t="shared" si="455"/>
        <v>1</v>
      </c>
      <c r="AT310" s="31">
        <f t="shared" si="455"/>
        <v>0</v>
      </c>
      <c r="AU310" s="31">
        <f t="shared" si="455"/>
        <v>0</v>
      </c>
      <c r="AV310" s="31">
        <f t="shared" si="456"/>
        <v>0</v>
      </c>
      <c r="AW310" s="31">
        <f t="shared" si="456"/>
        <v>0</v>
      </c>
      <c r="AX310" s="31">
        <f t="shared" si="456"/>
        <v>0</v>
      </c>
      <c r="AY310" s="31">
        <f t="shared" si="456"/>
        <v>0</v>
      </c>
      <c r="AZ310" s="31">
        <f t="shared" si="456"/>
        <v>0</v>
      </c>
      <c r="BA310" s="31">
        <f t="shared" si="456"/>
        <v>0</v>
      </c>
      <c r="BB310" s="31">
        <f t="shared" si="456"/>
        <v>0</v>
      </c>
      <c r="BC310" s="31">
        <f t="shared" si="456"/>
        <v>0</v>
      </c>
      <c r="BD310" s="31">
        <f t="shared" si="456"/>
        <v>0</v>
      </c>
      <c r="BE310" s="30">
        <f t="shared" si="454"/>
        <v>1</v>
      </c>
      <c r="BF310" s="620">
        <f t="shared" si="425"/>
        <v>1.0018756098697492</v>
      </c>
      <c r="BG310" s="620">
        <f t="shared" si="413"/>
        <v>1.0037634112036518</v>
      </c>
      <c r="BH310" s="620">
        <f t="shared" si="414"/>
        <v>1.0059558020220052</v>
      </c>
      <c r="BI310" s="620">
        <f t="shared" si="415"/>
        <v>1.0086064025213943</v>
      </c>
      <c r="BJ310" s="620">
        <f t="shared" si="416"/>
        <v>1.0118751819594745</v>
      </c>
      <c r="BK310" s="620">
        <f t="shared" si="417"/>
        <v>1.0153301332446416</v>
      </c>
      <c r="BL310" s="620">
        <f t="shared" si="418"/>
        <v>1.0178480416551621</v>
      </c>
      <c r="BM310" s="621" t="str">
        <f t="shared" si="419"/>
        <v>Category</v>
      </c>
    </row>
    <row r="311" spans="1:65" x14ac:dyDescent="0.15">
      <c r="A311" s="12" t="s">
        <v>2395</v>
      </c>
      <c r="B311" s="13" t="s">
        <v>2396</v>
      </c>
      <c r="C311" s="13" t="s">
        <v>27</v>
      </c>
      <c r="D311" s="13" t="s">
        <v>36</v>
      </c>
      <c r="E311" s="13" t="s">
        <v>29</v>
      </c>
      <c r="F311" s="14">
        <v>0</v>
      </c>
      <c r="G311" s="14">
        <v>0</v>
      </c>
      <c r="H311" s="14">
        <v>0</v>
      </c>
      <c r="I311" s="14">
        <v>0</v>
      </c>
      <c r="J311" s="14">
        <v>0</v>
      </c>
      <c r="K311" s="14">
        <v>0</v>
      </c>
      <c r="L311" s="14">
        <v>0</v>
      </c>
      <c r="M311" s="15">
        <v>0</v>
      </c>
      <c r="N311" s="804"/>
      <c r="O311" s="14"/>
      <c r="P311" s="15"/>
      <c r="Q311" s="16">
        <f>IF(ISTEXT('Incurred 2.5% cpi'!Q311),"",'Incurred 2.5% cpi'!Q311/'Incurred 2.5% cpi'!Q$14*Incurred!Q$14)</f>
        <v>451253.7</v>
      </c>
      <c r="R311" s="127">
        <f>IF(ISTEXT('Incurred 2.5% cpi'!R311),"",'Incurred 2.5% cpi'!R311/'Incurred 2.5% cpi'!R$14*Incurred!R$14*BF311)</f>
        <v>297275.77946196526</v>
      </c>
      <c r="S311" s="119" t="str">
        <f>IF(ISTEXT('Incurred 2.5% cpi'!S311),"",'Incurred 2.5% cpi'!S311/'Incurred 2.5% cpi'!S$14*Incurred!S$14*BG311)</f>
        <v/>
      </c>
      <c r="T311" s="16" t="str">
        <f>IF(ISTEXT('Incurred 2.5% cpi'!T311),"",'Incurred 2.5% cpi'!T311/'Incurred 2.5% cpi'!T$14*Incurred!T$14*BH311)</f>
        <v/>
      </c>
      <c r="U311" s="16" t="str">
        <f>IF(ISTEXT('Incurred 2.5% cpi'!U311),"",'Incurred 2.5% cpi'!U311/'Incurred 2.5% cpi'!U$14*Incurred!U$14*BI311)</f>
        <v/>
      </c>
      <c r="V311" s="16" t="str">
        <f>IF(ISTEXT('Incurred 2.5% cpi'!V311),"",'Incurred 2.5% cpi'!V311/'Incurred 2.5% cpi'!V$14*Incurred!V$14*BJ311)</f>
        <v/>
      </c>
      <c r="W311" s="127" t="str">
        <f>IF(ISTEXT('Incurred 2.5% cpi'!W311),"",'Incurred 2.5% cpi'!W311/'Incurred 2.5% cpi'!W$14*Incurred!W$14*BK311)</f>
        <v/>
      </c>
      <c r="X311" s="119" t="str">
        <f>IF(ISTEXT('Incurred 2.5% cpi'!X311),"",'Incurred 2.5% cpi'!X311/'Incurred 2.5% cpi'!X$14*Incurred!X$14*BL311)</f>
        <v/>
      </c>
      <c r="Y311" s="95">
        <f t="shared" si="423"/>
        <v>748529.47946196527</v>
      </c>
      <c r="Z311" s="95">
        <f t="shared" si="449"/>
        <v>748529.47946196527</v>
      </c>
      <c r="AA311" s="676">
        <f t="shared" si="450"/>
        <v>835022.91456421907</v>
      </c>
      <c r="AB311" s="676">
        <f t="shared" ref="AB311:AB328" si="457">IF(AC311="","",AA311/AC311)</f>
        <v>757419.17735196534</v>
      </c>
      <c r="AC311" s="677">
        <f t="shared" si="424"/>
        <v>1.1024581097663335</v>
      </c>
      <c r="AD311" s="678" t="str">
        <f t="shared" ref="AD311:AD353" si="458">IF(AI311=0,"",INDEX($F$21:$W$21,1,MATCH(AI311,F311:W311,0)))</f>
        <v>2018</v>
      </c>
      <c r="AE311" s="679">
        <v>42923</v>
      </c>
      <c r="AF311" s="678">
        <v>2018</v>
      </c>
      <c r="AG311" s="680"/>
      <c r="AH311" s="676">
        <f t="shared" si="451"/>
        <v>757419.17735196534</v>
      </c>
      <c r="AI311" s="95">
        <f t="shared" ref="AI311:AI352" si="459">IF(ROUND(Z311,0)=0,0,LOOKUP(2,1/(F311:X311&lt;&gt;""),F311:X311))</f>
        <v>297275.77946196526</v>
      </c>
      <c r="AJ311" s="681" t="s">
        <v>0</v>
      </c>
      <c r="AK311" s="37">
        <f t="shared" ref="AK311:AK346" si="460">IF(ISNA(VLOOKUP($A311,Estimates,71,FALSE)),0,VLOOKUP($A311,Estimates,71,FALSE))</f>
        <v>0</v>
      </c>
      <c r="AL311" s="31">
        <f t="shared" si="455"/>
        <v>0.5</v>
      </c>
      <c r="AM311" s="31">
        <f t="shared" si="455"/>
        <v>0</v>
      </c>
      <c r="AN311" s="31">
        <f t="shared" si="455"/>
        <v>0</v>
      </c>
      <c r="AO311" s="31">
        <f t="shared" si="455"/>
        <v>0</v>
      </c>
      <c r="AP311" s="31">
        <f t="shared" si="455"/>
        <v>0</v>
      </c>
      <c r="AQ311" s="31">
        <f t="shared" si="455"/>
        <v>0</v>
      </c>
      <c r="AR311" s="31">
        <f t="shared" si="455"/>
        <v>0</v>
      </c>
      <c r="AS311" s="31">
        <f t="shared" si="455"/>
        <v>0.5</v>
      </c>
      <c r="AT311" s="31">
        <f t="shared" si="455"/>
        <v>0</v>
      </c>
      <c r="AU311" s="31">
        <f t="shared" si="455"/>
        <v>0</v>
      </c>
      <c r="AV311" s="31">
        <f t="shared" si="456"/>
        <v>0</v>
      </c>
      <c r="AW311" s="31">
        <f t="shared" si="456"/>
        <v>0</v>
      </c>
      <c r="AX311" s="31">
        <f t="shared" si="456"/>
        <v>0</v>
      </c>
      <c r="AY311" s="31">
        <f t="shared" si="456"/>
        <v>0</v>
      </c>
      <c r="AZ311" s="31">
        <f t="shared" si="456"/>
        <v>0</v>
      </c>
      <c r="BA311" s="31">
        <f t="shared" si="456"/>
        <v>0</v>
      </c>
      <c r="BB311" s="31">
        <f t="shared" si="456"/>
        <v>0</v>
      </c>
      <c r="BC311" s="31">
        <f t="shared" si="456"/>
        <v>0</v>
      </c>
      <c r="BD311" s="31">
        <f t="shared" si="456"/>
        <v>0</v>
      </c>
      <c r="BE311" s="30">
        <f t="shared" si="454"/>
        <v>1</v>
      </c>
      <c r="BF311" s="620">
        <f t="shared" si="425"/>
        <v>1.0018756098697492</v>
      </c>
      <c r="BG311" s="620">
        <f t="shared" ref="BG311:BG346" si="461">1+IF(ISNA(VLOOKUP($A311,ProjLabEsc,7,FALSE)),VLOOKUP($D311,CatLabEsc,4,FALSE),VLOOKUP($A311,ProjLabEsc,7,FALSE))*LabEsc19*LabIn</f>
        <v>1.0037634112036518</v>
      </c>
      <c r="BH311" s="620">
        <f t="shared" ref="BH311:BH346" si="462">1+IF(ISNA(VLOOKUP($A311,ProjLabEsc,7,FALSE)),VLOOKUP($D311,CatLabEsc,4,FALSE),VLOOKUP($A311,ProjLabEsc,7,FALSE))*LabEsc20*LabIn</f>
        <v>1.0059558020220052</v>
      </c>
      <c r="BI311" s="620">
        <f t="shared" ref="BI311:BI346" si="463">1+IF(ISNA(VLOOKUP($A311,ProjLabEsc,7,FALSE)),VLOOKUP($D311,CatLabEsc,4,FALSE),VLOOKUP($A311,ProjLabEsc,7,FALSE))*LabEsc21*LabIn</f>
        <v>1.0086064025213943</v>
      </c>
      <c r="BJ311" s="620">
        <f t="shared" ref="BJ311:BJ346" si="464">1+IF(ISNA(VLOOKUP($A311,ProjLabEsc,7,FALSE)),VLOOKUP($D311,CatLabEsc,4,FALSE),VLOOKUP($A311,ProjLabEsc,7,FALSE))*LabEsc22*LabIn</f>
        <v>1.0118751819594745</v>
      </c>
      <c r="BK311" s="620">
        <f t="shared" ref="BK311:BK346" si="465">1+IF(ISNA(VLOOKUP($A311,ProjLabEsc,7,FALSE)),VLOOKUP($D311,CatLabEsc,4,FALSE),VLOOKUP($A311,ProjLabEsc,7,FALSE))*LabEsc23*LabIn</f>
        <v>1.0153301332446416</v>
      </c>
      <c r="BL311" s="620">
        <f t="shared" ref="BL311:BL346" si="466">1+IF(ISNA(VLOOKUP($A311,ProjLabEsc,7,FALSE)),VLOOKUP($D311,CatLabEsc,4,FALSE),VLOOKUP($A311,ProjLabEsc,7,FALSE))*LabEsc24*LabIn</f>
        <v>1.0178480416551621</v>
      </c>
      <c r="BM311" s="621" t="str">
        <f t="shared" ref="BM311:BM346" si="467">IF(ISNA(VLOOKUP($A311,ProjLabEsc,7,FALSE)),"Category","Project")</f>
        <v>Category</v>
      </c>
    </row>
    <row r="312" spans="1:65" x14ac:dyDescent="0.15">
      <c r="A312" s="12" t="s">
        <v>2397</v>
      </c>
      <c r="B312" s="13" t="s">
        <v>2398</v>
      </c>
      <c r="C312" s="13" t="s">
        <v>27</v>
      </c>
      <c r="D312" s="13" t="s">
        <v>41</v>
      </c>
      <c r="E312" s="13" t="s">
        <v>112</v>
      </c>
      <c r="F312" s="14">
        <v>0</v>
      </c>
      <c r="G312" s="14">
        <v>0</v>
      </c>
      <c r="H312" s="14">
        <v>0</v>
      </c>
      <c r="I312" s="14">
        <v>0</v>
      </c>
      <c r="J312" s="14">
        <v>0</v>
      </c>
      <c r="K312" s="14">
        <v>0</v>
      </c>
      <c r="L312" s="14">
        <v>0</v>
      </c>
      <c r="M312" s="15">
        <v>0</v>
      </c>
      <c r="N312" s="804"/>
      <c r="O312" s="14"/>
      <c r="P312" s="15"/>
      <c r="Q312" s="16" t="str">
        <f>IF(ISTEXT('Incurred 2.5% cpi'!Q312),"",'Incurred 2.5% cpi'!Q312/'Incurred 2.5% cpi'!Q$14*Incurred!Q$14)</f>
        <v/>
      </c>
      <c r="R312" s="127">
        <f>IF(ISTEXT('Incurred 2.5% cpi'!R312),"",'Incurred 2.5% cpi'!R312/'Incurred 2.5% cpi'!R$14*Incurred!R$14*BF312)</f>
        <v>324461.97123953229</v>
      </c>
      <c r="S312" s="119">
        <f>IF(ISTEXT('Incurred 2.5% cpi'!S312),"",'Incurred 2.5% cpi'!S312/'Incurred 2.5% cpi'!S$14*Incurred!S$14*BG312)</f>
        <v>971808.28970249207</v>
      </c>
      <c r="T312" s="16">
        <f>IF(ISTEXT('Incurred 2.5% cpi'!T312),"",'Incurred 2.5% cpi'!T312/'Incurred 2.5% cpi'!T$14*Incurred!T$14*BH312)</f>
        <v>11425559.197839556</v>
      </c>
      <c r="U312" s="16">
        <f>IF(ISTEXT('Incurred 2.5% cpi'!U312),"",'Incurred 2.5% cpi'!U312/'Incurred 2.5% cpi'!U$14*Incurred!U$14*BI312)</f>
        <v>16326427.404968617</v>
      </c>
      <c r="V312" s="16">
        <f>IF(ISTEXT('Incurred 2.5% cpi'!V312),"",'Incurred 2.5% cpi'!V312/'Incurred 2.5% cpi'!V$14*Incurred!V$14*BJ312)</f>
        <v>8770629.6176791582</v>
      </c>
      <c r="W312" s="127" t="str">
        <f>IF(ISTEXT('Incurred 2.5% cpi'!W312),"",'Incurred 2.5% cpi'!W312/'Incurred 2.5% cpi'!W$14*Incurred!W$14*BK312)</f>
        <v/>
      </c>
      <c r="X312" s="119" t="str">
        <f>IF(ISTEXT('Incurred 2.5% cpi'!X312),"",'Incurred 2.5% cpi'!X312/'Incurred 2.5% cpi'!X$14*Incurred!X$14*BL312)</f>
        <v/>
      </c>
      <c r="Y312" s="95">
        <f t="shared" si="423"/>
        <v>37818886.481429353</v>
      </c>
      <c r="Z312" s="95">
        <f t="shared" si="449"/>
        <v>37818886.481429353</v>
      </c>
      <c r="AA312" s="676">
        <f t="shared" si="450"/>
        <v>39442020.598609328</v>
      </c>
      <c r="AB312" s="676">
        <f t="shared" si="457"/>
        <v>38680024.123378761</v>
      </c>
      <c r="AC312" s="677">
        <f t="shared" si="424"/>
        <v>1.0197000000000001</v>
      </c>
      <c r="AD312" s="678" t="str">
        <f t="shared" si="458"/>
        <v>2022</v>
      </c>
      <c r="AE312" s="679">
        <v>44512</v>
      </c>
      <c r="AF312" s="678">
        <v>2022</v>
      </c>
      <c r="AG312" s="680"/>
      <c r="AH312" s="676">
        <f t="shared" si="451"/>
        <v>35776434.722738884</v>
      </c>
      <c r="AI312" s="95">
        <f t="shared" si="459"/>
        <v>8770629.6176791582</v>
      </c>
      <c r="AJ312" s="681" t="s">
        <v>3058</v>
      </c>
      <c r="AK312" s="37">
        <f t="shared" si="460"/>
        <v>27344228.40151</v>
      </c>
      <c r="AL312" s="31">
        <f t="shared" si="455"/>
        <v>0</v>
      </c>
      <c r="AM312" s="31">
        <f t="shared" si="455"/>
        <v>0</v>
      </c>
      <c r="AN312" s="31">
        <f t="shared" si="455"/>
        <v>0</v>
      </c>
      <c r="AO312" s="31">
        <f t="shared" si="455"/>
        <v>0</v>
      </c>
      <c r="AP312" s="31">
        <f t="shared" si="455"/>
        <v>0</v>
      </c>
      <c r="AQ312" s="31">
        <f t="shared" si="455"/>
        <v>0</v>
      </c>
      <c r="AR312" s="31">
        <f t="shared" si="455"/>
        <v>0</v>
      </c>
      <c r="AS312" s="31">
        <f t="shared" si="455"/>
        <v>0</v>
      </c>
      <c r="AT312" s="31">
        <f t="shared" si="455"/>
        <v>0</v>
      </c>
      <c r="AU312" s="31">
        <f t="shared" si="455"/>
        <v>0</v>
      </c>
      <c r="AV312" s="31">
        <f t="shared" si="456"/>
        <v>0</v>
      </c>
      <c r="AW312" s="31">
        <f t="shared" si="456"/>
        <v>0</v>
      </c>
      <c r="AX312" s="31">
        <f t="shared" si="456"/>
        <v>0</v>
      </c>
      <c r="AY312" s="31">
        <f t="shared" si="456"/>
        <v>0</v>
      </c>
      <c r="AZ312" s="31">
        <f t="shared" si="456"/>
        <v>0</v>
      </c>
      <c r="BA312" s="31">
        <f t="shared" si="456"/>
        <v>0</v>
      </c>
      <c r="BB312" s="31">
        <f t="shared" si="456"/>
        <v>0</v>
      </c>
      <c r="BC312" s="31">
        <f t="shared" si="456"/>
        <v>0</v>
      </c>
      <c r="BD312" s="31">
        <f t="shared" si="456"/>
        <v>1</v>
      </c>
      <c r="BE312" s="30">
        <f t="shared" si="454"/>
        <v>1</v>
      </c>
      <c r="BF312" s="620">
        <f t="shared" si="425"/>
        <v>1.0033727120403868</v>
      </c>
      <c r="BG312" s="620">
        <f t="shared" si="461"/>
        <v>1.0067673467090361</v>
      </c>
      <c r="BH312" s="620">
        <f t="shared" si="462"/>
        <v>1.0107096926251848</v>
      </c>
      <c r="BI312" s="620">
        <f t="shared" si="463"/>
        <v>1.0154759888378087</v>
      </c>
      <c r="BJ312" s="620">
        <f t="shared" si="464"/>
        <v>1.0213538912449101</v>
      </c>
      <c r="BK312" s="620">
        <f t="shared" si="465"/>
        <v>1.0275665669118341</v>
      </c>
      <c r="BL312" s="620">
        <f t="shared" si="466"/>
        <v>1.0320942568913549</v>
      </c>
      <c r="BM312" s="621" t="str">
        <f t="shared" si="467"/>
        <v>Project</v>
      </c>
    </row>
    <row r="313" spans="1:65" x14ac:dyDescent="0.15">
      <c r="A313" s="12" t="s">
        <v>2399</v>
      </c>
      <c r="B313" s="13" t="s">
        <v>2400</v>
      </c>
      <c r="C313" s="13" t="s">
        <v>27</v>
      </c>
      <c r="D313" s="13" t="s">
        <v>41</v>
      </c>
      <c r="E313" s="13" t="s">
        <v>112</v>
      </c>
      <c r="F313" s="14">
        <v>0</v>
      </c>
      <c r="G313" s="14">
        <v>0</v>
      </c>
      <c r="H313" s="14">
        <v>0</v>
      </c>
      <c r="I313" s="14">
        <v>0</v>
      </c>
      <c r="J313" s="14">
        <v>0</v>
      </c>
      <c r="K313" s="14">
        <v>0</v>
      </c>
      <c r="L313" s="14">
        <v>0</v>
      </c>
      <c r="M313" s="15">
        <v>0</v>
      </c>
      <c r="N313" s="804"/>
      <c r="O313" s="14"/>
      <c r="P313" s="15"/>
      <c r="Q313" s="16" t="str">
        <f>IF(ISTEXT('Incurred 2.5% cpi'!Q313),"",'Incurred 2.5% cpi'!Q313/'Incurred 2.5% cpi'!Q$14*Incurred!Q$14)</f>
        <v/>
      </c>
      <c r="R313" s="127">
        <f>IF(ISTEXT('Incurred 2.5% cpi'!R313),"",'Incurred 2.5% cpi'!R313/'Incurred 2.5% cpi'!R$14*Incurred!R$14*BF313)</f>
        <v>297006.4470054729</v>
      </c>
      <c r="S313" s="119">
        <f>IF(ISTEXT('Incurred 2.5% cpi'!S313),"",'Incurred 2.5% cpi'!S313/'Incurred 2.5% cpi'!S$14*Incurred!S$14*BG313)</f>
        <v>884135.30981914874</v>
      </c>
      <c r="T313" s="16">
        <f>IF(ISTEXT('Incurred 2.5% cpi'!T313),"",'Incurred 2.5% cpi'!T313/'Incurred 2.5% cpi'!T$14*Incurred!T$14*BH313)</f>
        <v>8642496.0521136634</v>
      </c>
      <c r="U313" s="16">
        <f>IF(ISTEXT('Incurred 2.5% cpi'!U313),"",'Incurred 2.5% cpi'!U313/'Incurred 2.5% cpi'!U$14*Incurred!U$14*BI313)</f>
        <v>12136618.501715135</v>
      </c>
      <c r="V313" s="16">
        <f>IF(ISTEXT('Incurred 2.5% cpi'!V313),"",'Incurred 2.5% cpi'!V313/'Incurred 2.5% cpi'!V$14*Incurred!V$14*BJ313)</f>
        <v>12462847.989105783</v>
      </c>
      <c r="W313" s="127">
        <f>IF(ISTEXT('Incurred 2.5% cpi'!W313),"",'Incurred 2.5% cpi'!W313/'Incurred 2.5% cpi'!W$14*Incurred!W$14*BK313)</f>
        <v>6656558.6497388678</v>
      </c>
      <c r="X313" s="119" t="str">
        <f>IF(ISTEXT('Incurred 2.5% cpi'!X313),"",'Incurred 2.5% cpi'!X313/'Incurred 2.5% cpi'!X$14*Incurred!X$14*BL313)</f>
        <v/>
      </c>
      <c r="Y313" s="95">
        <f t="shared" si="423"/>
        <v>41079662.949498072</v>
      </c>
      <c r="Z313" s="95">
        <f t="shared" si="449"/>
        <v>41079662.949498072</v>
      </c>
      <c r="AA313" s="676">
        <f t="shared" si="450"/>
        <v>42431160.212126441</v>
      </c>
      <c r="AB313" s="676">
        <f t="shared" ref="AB313:AB314" si="468">IF(AC313="","",AA313/AC313)</f>
        <v>42431160.212126441</v>
      </c>
      <c r="AC313" s="677">
        <f t="shared" si="424"/>
        <v>1</v>
      </c>
      <c r="AD313" s="678" t="str">
        <f t="shared" si="458"/>
        <v>2023</v>
      </c>
      <c r="AE313" s="679">
        <v>44876</v>
      </c>
      <c r="AF313" s="678">
        <v>2023</v>
      </c>
      <c r="AG313" s="680"/>
      <c r="AH313" s="676">
        <f t="shared" si="451"/>
        <v>38487775.486652955</v>
      </c>
      <c r="AI313" s="95">
        <f t="shared" si="459"/>
        <v>6656558.6497388678</v>
      </c>
      <c r="AJ313" s="681" t="s">
        <v>3058</v>
      </c>
      <c r="AK313" s="37">
        <f t="shared" si="460"/>
        <v>29930532.46751</v>
      </c>
      <c r="AL313" s="31">
        <f t="shared" si="455"/>
        <v>0</v>
      </c>
      <c r="AM313" s="31">
        <f t="shared" si="455"/>
        <v>0</v>
      </c>
      <c r="AN313" s="31">
        <f t="shared" si="455"/>
        <v>0</v>
      </c>
      <c r="AO313" s="31">
        <f t="shared" si="455"/>
        <v>0</v>
      </c>
      <c r="AP313" s="31">
        <f t="shared" si="455"/>
        <v>0</v>
      </c>
      <c r="AQ313" s="31">
        <f t="shared" si="455"/>
        <v>0</v>
      </c>
      <c r="AR313" s="31">
        <f t="shared" si="455"/>
        <v>0</v>
      </c>
      <c r="AS313" s="31">
        <f t="shared" si="455"/>
        <v>0</v>
      </c>
      <c r="AT313" s="31">
        <f t="shared" si="455"/>
        <v>0</v>
      </c>
      <c r="AU313" s="31">
        <f t="shared" si="455"/>
        <v>0</v>
      </c>
      <c r="AV313" s="31">
        <f t="shared" si="456"/>
        <v>0</v>
      </c>
      <c r="AW313" s="31">
        <f t="shared" si="456"/>
        <v>0</v>
      </c>
      <c r="AX313" s="31">
        <f t="shared" si="456"/>
        <v>0</v>
      </c>
      <c r="AY313" s="31">
        <f t="shared" si="456"/>
        <v>0</v>
      </c>
      <c r="AZ313" s="31">
        <f t="shared" si="456"/>
        <v>0</v>
      </c>
      <c r="BA313" s="31">
        <f t="shared" si="456"/>
        <v>0</v>
      </c>
      <c r="BB313" s="31">
        <f t="shared" si="456"/>
        <v>0</v>
      </c>
      <c r="BC313" s="31">
        <f t="shared" si="456"/>
        <v>0</v>
      </c>
      <c r="BD313" s="31">
        <f t="shared" si="456"/>
        <v>1</v>
      </c>
      <c r="BE313" s="30">
        <f t="shared" si="454"/>
        <v>1</v>
      </c>
      <c r="BF313" s="620">
        <f t="shared" si="425"/>
        <v>1.0034109224514298</v>
      </c>
      <c r="BG313" s="620">
        <f t="shared" si="461"/>
        <v>1.0068440158987937</v>
      </c>
      <c r="BH313" s="620">
        <f t="shared" si="462"/>
        <v>1.0108310257696846</v>
      </c>
      <c r="BI313" s="620">
        <f t="shared" si="463"/>
        <v>1.0156513207035913</v>
      </c>
      <c r="BJ313" s="620">
        <f t="shared" si="464"/>
        <v>1.0215958155337506</v>
      </c>
      <c r="BK313" s="620">
        <f t="shared" si="465"/>
        <v>1.0278788763649185</v>
      </c>
      <c r="BL313" s="620">
        <f t="shared" si="466"/>
        <v>1.0324578618280502</v>
      </c>
      <c r="BM313" s="621" t="str">
        <f t="shared" si="467"/>
        <v>Project</v>
      </c>
    </row>
    <row r="314" spans="1:65" x14ac:dyDescent="0.15">
      <c r="A314" s="12" t="s">
        <v>1097</v>
      </c>
      <c r="B314" s="13" t="s">
        <v>2403</v>
      </c>
      <c r="C314" s="13" t="s">
        <v>27</v>
      </c>
      <c r="D314" s="13" t="s">
        <v>36</v>
      </c>
      <c r="E314" s="13" t="s">
        <v>32</v>
      </c>
      <c r="F314" s="14">
        <v>0</v>
      </c>
      <c r="G314" s="14">
        <v>0</v>
      </c>
      <c r="H314" s="14">
        <v>0</v>
      </c>
      <c r="I314" s="14">
        <v>0</v>
      </c>
      <c r="J314" s="14">
        <v>0</v>
      </c>
      <c r="K314" s="14">
        <v>0</v>
      </c>
      <c r="L314" s="14">
        <v>0</v>
      </c>
      <c r="M314" s="15">
        <v>0</v>
      </c>
      <c r="N314" s="804"/>
      <c r="O314" s="14"/>
      <c r="P314" s="15"/>
      <c r="Q314" s="16">
        <f>IF(ISTEXT('Incurred 2.5% cpi'!Q314),"",'Incurred 2.5% cpi'!Q314/'Incurred 2.5% cpi'!Q$14*Incurred!Q$14)</f>
        <v>185471.46</v>
      </c>
      <c r="R314" s="127" t="str">
        <f>IF(ISTEXT('Incurred 2.5% cpi'!R314),"",'Incurred 2.5% cpi'!R314/'Incurred 2.5% cpi'!R$14*Incurred!R$14*BF314)</f>
        <v/>
      </c>
      <c r="S314" s="119" t="str">
        <f>IF(ISTEXT('Incurred 2.5% cpi'!S314),"",'Incurred 2.5% cpi'!S314/'Incurred 2.5% cpi'!S$14*Incurred!S$14*BG314)</f>
        <v/>
      </c>
      <c r="T314" s="16" t="str">
        <f>IF(ISTEXT('Incurred 2.5% cpi'!T314),"",'Incurred 2.5% cpi'!T314/'Incurred 2.5% cpi'!T$14*Incurred!T$14*BH314)</f>
        <v/>
      </c>
      <c r="U314" s="16" t="str">
        <f>IF(ISTEXT('Incurred 2.5% cpi'!U314),"",'Incurred 2.5% cpi'!U314/'Incurred 2.5% cpi'!U$14*Incurred!U$14*BI314)</f>
        <v/>
      </c>
      <c r="V314" s="16" t="str">
        <f>IF(ISTEXT('Incurred 2.5% cpi'!V314),"",'Incurred 2.5% cpi'!V314/'Incurred 2.5% cpi'!V$14*Incurred!V$14*BJ314)</f>
        <v/>
      </c>
      <c r="W314" s="127" t="str">
        <f>IF(ISTEXT('Incurred 2.5% cpi'!W314),"",'Incurred 2.5% cpi'!W314/'Incurred 2.5% cpi'!W$14*Incurred!W$14*BK314)</f>
        <v/>
      </c>
      <c r="X314" s="119" t="str">
        <f>IF(ISTEXT('Incurred 2.5% cpi'!X314),"",'Incurred 2.5% cpi'!X314/'Incurred 2.5% cpi'!X$14*Incurred!X$14*BL314)</f>
        <v/>
      </c>
      <c r="Y314" s="95">
        <f t="shared" si="423"/>
        <v>185471.46</v>
      </c>
      <c r="Z314" s="95">
        <f t="shared" si="449"/>
        <v>185471.46</v>
      </c>
      <c r="AA314" s="676">
        <f>IF(ROUND(Y314,0)=0,0,SUMPRODUCT($F$17:$W$17,F314:W314))</f>
        <v>208502.66315678405</v>
      </c>
      <c r="AB314" s="676">
        <f t="shared" si="468"/>
        <v>185471.46</v>
      </c>
      <c r="AC314" s="677">
        <f t="shared" si="424"/>
        <v>1.1241765345287305</v>
      </c>
      <c r="AD314" s="678" t="str">
        <f t="shared" si="458"/>
        <v>2017</v>
      </c>
      <c r="AE314" s="679">
        <v>42615</v>
      </c>
      <c r="AF314" s="678">
        <v>2017</v>
      </c>
      <c r="AG314" s="680"/>
      <c r="AH314" s="676">
        <f>IF(ROUND(Y314,0)=0,0,SUMPRODUCT($F$16:$W$16,F314:W314))</f>
        <v>189125.24776200001</v>
      </c>
      <c r="AI314" s="95">
        <f t="shared" si="459"/>
        <v>185471.46</v>
      </c>
      <c r="AJ314" s="681" t="s">
        <v>0</v>
      </c>
      <c r="AK314" s="37">
        <f t="shared" si="460"/>
        <v>0</v>
      </c>
      <c r="AL314" s="31">
        <f t="shared" ref="AL314:BD314" si="469">IF($AK314=0,VLOOKUP(MID($A314,4,5),ProjectSplits,AL$20,FALSE),IF(ISNA(VLOOKUP($A314,Estimates,AL$19,FALSE)),VLOOKUP(MID($A314,4,5),ProjectSplits,AL$20,FALSE),VLOOKUP($A314,Estimates,AL$19,FALSE)))</f>
        <v>0.3</v>
      </c>
      <c r="AM314" s="31">
        <f t="shared" si="469"/>
        <v>0</v>
      </c>
      <c r="AN314" s="31">
        <f t="shared" si="469"/>
        <v>0</v>
      </c>
      <c r="AO314" s="31">
        <f t="shared" si="469"/>
        <v>0</v>
      </c>
      <c r="AP314" s="31">
        <f t="shared" si="469"/>
        <v>0</v>
      </c>
      <c r="AQ314" s="31">
        <f t="shared" si="469"/>
        <v>0</v>
      </c>
      <c r="AR314" s="31">
        <f t="shared" si="469"/>
        <v>0</v>
      </c>
      <c r="AS314" s="31">
        <f t="shared" si="469"/>
        <v>0.7</v>
      </c>
      <c r="AT314" s="31">
        <f t="shared" si="469"/>
        <v>0</v>
      </c>
      <c r="AU314" s="31">
        <f t="shared" si="469"/>
        <v>0</v>
      </c>
      <c r="AV314" s="31">
        <f t="shared" si="469"/>
        <v>0</v>
      </c>
      <c r="AW314" s="31">
        <f t="shared" si="469"/>
        <v>0</v>
      </c>
      <c r="AX314" s="31">
        <f t="shared" si="469"/>
        <v>0</v>
      </c>
      <c r="AY314" s="31">
        <f t="shared" si="469"/>
        <v>0</v>
      </c>
      <c r="AZ314" s="31">
        <f t="shared" si="469"/>
        <v>0</v>
      </c>
      <c r="BA314" s="31">
        <f t="shared" si="469"/>
        <v>0</v>
      </c>
      <c r="BB314" s="31">
        <f t="shared" si="469"/>
        <v>0</v>
      </c>
      <c r="BC314" s="31">
        <f t="shared" si="469"/>
        <v>0</v>
      </c>
      <c r="BD314" s="31">
        <f t="shared" si="469"/>
        <v>0</v>
      </c>
      <c r="BE314" s="30">
        <f>SUM(AL314:BD314)</f>
        <v>1</v>
      </c>
      <c r="BF314" s="620">
        <f t="shared" si="425"/>
        <v>1.0018756098697492</v>
      </c>
      <c r="BG314" s="620">
        <f t="shared" si="461"/>
        <v>1.0037634112036518</v>
      </c>
      <c r="BH314" s="620">
        <f t="shared" si="462"/>
        <v>1.0059558020220052</v>
      </c>
      <c r="BI314" s="620">
        <f t="shared" si="463"/>
        <v>1.0086064025213943</v>
      </c>
      <c r="BJ314" s="620">
        <f t="shared" si="464"/>
        <v>1.0118751819594745</v>
      </c>
      <c r="BK314" s="620">
        <f t="shared" si="465"/>
        <v>1.0153301332446416</v>
      </c>
      <c r="BL314" s="620">
        <f t="shared" si="466"/>
        <v>1.0178480416551621</v>
      </c>
      <c r="BM314" s="621" t="str">
        <f t="shared" si="467"/>
        <v>Category</v>
      </c>
    </row>
    <row r="315" spans="1:65" x14ac:dyDescent="0.15">
      <c r="A315" s="12" t="s">
        <v>2413</v>
      </c>
      <c r="B315" s="13" t="s">
        <v>2298</v>
      </c>
      <c r="C315" s="13" t="s">
        <v>27</v>
      </c>
      <c r="D315" s="13" t="s">
        <v>54</v>
      </c>
      <c r="E315" s="13" t="s">
        <v>112</v>
      </c>
      <c r="F315" s="14">
        <v>0</v>
      </c>
      <c r="G315" s="14">
        <v>0</v>
      </c>
      <c r="H315" s="14">
        <v>0</v>
      </c>
      <c r="I315" s="14">
        <v>0</v>
      </c>
      <c r="J315" s="14">
        <v>0</v>
      </c>
      <c r="K315" s="14">
        <v>0</v>
      </c>
      <c r="L315" s="14">
        <v>0</v>
      </c>
      <c r="M315" s="15">
        <v>0</v>
      </c>
      <c r="N315" s="804"/>
      <c r="O315" s="14"/>
      <c r="P315" s="15"/>
      <c r="Q315" s="16" t="str">
        <f>IF(ISTEXT('Incurred 2.5% cpi'!Q315),"",'Incurred 2.5% cpi'!Q315/'Incurred 2.5% cpi'!Q$14*Incurred!Q$14)</f>
        <v/>
      </c>
      <c r="R315" s="127" t="str">
        <f>IF(ISTEXT('Incurred 2.5% cpi'!R315),"",'Incurred 2.5% cpi'!R315/'Incurred 2.5% cpi'!R$14*Incurred!R$14*BF315)</f>
        <v/>
      </c>
      <c r="S315" s="119">
        <f>IF(ISTEXT('Incurred 2.5% cpi'!S315),"",'Incurred 2.5% cpi'!S315/'Incurred 2.5% cpi'!S$14*Incurred!S$14*BG315)</f>
        <v>136908.81176098005</v>
      </c>
      <c r="T315" s="16" t="str">
        <f>IF(ISTEXT('Incurred 2.5% cpi'!T315),"",'Incurred 2.5% cpi'!T315/'Incurred 2.5% cpi'!T$14*Incurred!T$14*BH315)</f>
        <v/>
      </c>
      <c r="U315" s="16" t="str">
        <f>IF(ISTEXT('Incurred 2.5% cpi'!U315),"",'Incurred 2.5% cpi'!U315/'Incurred 2.5% cpi'!U$14*Incurred!U$14*BI315)</f>
        <v/>
      </c>
      <c r="V315" s="16" t="str">
        <f>IF(ISTEXT('Incurred 2.5% cpi'!V315),"",'Incurred 2.5% cpi'!V315/'Incurred 2.5% cpi'!V$14*Incurred!V$14*BJ315)</f>
        <v/>
      </c>
      <c r="W315" s="127" t="str">
        <f>IF(ISTEXT('Incurred 2.5% cpi'!W315),"",'Incurred 2.5% cpi'!W315/'Incurred 2.5% cpi'!W$14*Incurred!W$14*BK315)</f>
        <v/>
      </c>
      <c r="X315" s="119" t="str">
        <f>IF(ISTEXT('Incurred 2.5% cpi'!X315),"",'Incurred 2.5% cpi'!X315/'Incurred 2.5% cpi'!X$14*Incurred!X$14*BL315)</f>
        <v/>
      </c>
      <c r="Y315" s="95">
        <f t="shared" si="423"/>
        <v>136908.81176098005</v>
      </c>
      <c r="Z315" s="95">
        <f t="shared" si="449"/>
        <v>136908.81176098005</v>
      </c>
      <c r="AA315" s="676">
        <f>IF(ROUND(Y315,0)=0,0,SUMPRODUCT($F$17:$W$17,F315:W315))</f>
        <v>148020.2312683778</v>
      </c>
      <c r="AB315" s="676">
        <f t="shared" si="457"/>
        <v>136908.81176098005</v>
      </c>
      <c r="AC315" s="677">
        <f t="shared" si="424"/>
        <v>1.0811592721058483</v>
      </c>
      <c r="AD315" s="678" t="str">
        <f t="shared" si="458"/>
        <v>2019</v>
      </c>
      <c r="AE315" s="679">
        <v>43563</v>
      </c>
      <c r="AF315" s="678">
        <v>2019</v>
      </c>
      <c r="AG315" s="680"/>
      <c r="AH315" s="676">
        <f>IF(ROUND(Y315,0)=0,0,SUMPRODUCT($F$16:$W$16,F315:W315))</f>
        <v>134263.81461310195</v>
      </c>
      <c r="AI315" s="95">
        <f t="shared" si="459"/>
        <v>136908.81176098005</v>
      </c>
      <c r="AJ315" s="681" t="s">
        <v>3058</v>
      </c>
      <c r="AK315" s="37">
        <f t="shared" si="460"/>
        <v>24999.999999999996</v>
      </c>
      <c r="AL315" s="31">
        <f t="shared" ref="AL315:AU318" si="470">IF($AK315=0,VLOOKUP(MID($A315,4,5),ProjectSplits,AL$20,FALSE),IF(ISNA(VLOOKUP($A315,Estimates,AL$19,FALSE)),VLOOKUP(MID($A315,4,5),ProjectSplits,AL$20,FALSE),VLOOKUP($A315,Estimates,AL$19,FALSE)))</f>
        <v>0</v>
      </c>
      <c r="AM315" s="31">
        <f t="shared" si="470"/>
        <v>0</v>
      </c>
      <c r="AN315" s="31">
        <f t="shared" si="470"/>
        <v>0</v>
      </c>
      <c r="AO315" s="31">
        <f t="shared" si="470"/>
        <v>0</v>
      </c>
      <c r="AP315" s="31">
        <f t="shared" si="470"/>
        <v>0</v>
      </c>
      <c r="AQ315" s="31">
        <f t="shared" si="470"/>
        <v>0</v>
      </c>
      <c r="AR315" s="31">
        <f t="shared" si="470"/>
        <v>0</v>
      </c>
      <c r="AS315" s="31">
        <f t="shared" si="470"/>
        <v>0</v>
      </c>
      <c r="AT315" s="31">
        <f t="shared" si="470"/>
        <v>0</v>
      </c>
      <c r="AU315" s="31">
        <f t="shared" si="470"/>
        <v>0</v>
      </c>
      <c r="AV315" s="31">
        <f t="shared" ref="AV315:BD318" si="471">IF($AK315=0,VLOOKUP(MID($A315,4,5),ProjectSplits,AV$20,FALSE),IF(ISNA(VLOOKUP($A315,Estimates,AV$19,FALSE)),VLOOKUP(MID($A315,4,5),ProjectSplits,AV$20,FALSE),VLOOKUP($A315,Estimates,AV$19,FALSE)))</f>
        <v>0</v>
      </c>
      <c r="AW315" s="31">
        <f t="shared" si="471"/>
        <v>0</v>
      </c>
      <c r="AX315" s="31">
        <f t="shared" si="471"/>
        <v>0</v>
      </c>
      <c r="AY315" s="31">
        <f t="shared" si="471"/>
        <v>0</v>
      </c>
      <c r="AZ315" s="31">
        <f t="shared" si="471"/>
        <v>0</v>
      </c>
      <c r="BA315" s="31">
        <f t="shared" si="471"/>
        <v>1</v>
      </c>
      <c r="BB315" s="31">
        <f t="shared" si="471"/>
        <v>0</v>
      </c>
      <c r="BC315" s="31">
        <f t="shared" si="471"/>
        <v>0</v>
      </c>
      <c r="BD315" s="31">
        <f t="shared" si="471"/>
        <v>0</v>
      </c>
      <c r="BE315" s="30">
        <f t="shared" ref="BE315:BE317" si="472">SUM(AL315:BD315)</f>
        <v>1</v>
      </c>
      <c r="BF315" s="620">
        <f t="shared" si="425"/>
        <v>1.0050448400218033</v>
      </c>
      <c r="BG315" s="620">
        <f t="shared" si="461"/>
        <v>1.0101224715037482</v>
      </c>
      <c r="BH315" s="620">
        <f t="shared" si="462"/>
        <v>1.0160193592959534</v>
      </c>
      <c r="BI315" s="620">
        <f t="shared" si="463"/>
        <v>1.0231486966367291</v>
      </c>
      <c r="BJ315" s="620">
        <f t="shared" si="464"/>
        <v>1.0319407538750927</v>
      </c>
      <c r="BK315" s="620">
        <f t="shared" si="465"/>
        <v>1.0412335587370776</v>
      </c>
      <c r="BL315" s="620">
        <f t="shared" si="466"/>
        <v>1.0480059933064945</v>
      </c>
      <c r="BM315" s="621" t="str">
        <f t="shared" si="467"/>
        <v>Project</v>
      </c>
    </row>
    <row r="316" spans="1:65" x14ac:dyDescent="0.15">
      <c r="A316" s="12" t="s">
        <v>2414</v>
      </c>
      <c r="B316" s="13" t="s">
        <v>2415</v>
      </c>
      <c r="C316" s="13" t="s">
        <v>2373</v>
      </c>
      <c r="D316" s="13" t="s">
        <v>28</v>
      </c>
      <c r="E316" s="13" t="s">
        <v>29</v>
      </c>
      <c r="F316" s="14">
        <v>0</v>
      </c>
      <c r="G316" s="14">
        <v>0</v>
      </c>
      <c r="H316" s="14">
        <v>0</v>
      </c>
      <c r="I316" s="14">
        <v>0</v>
      </c>
      <c r="J316" s="14">
        <v>0</v>
      </c>
      <c r="K316" s="14">
        <v>0</v>
      </c>
      <c r="L316" s="14">
        <v>0</v>
      </c>
      <c r="M316" s="15">
        <v>0</v>
      </c>
      <c r="N316" s="804"/>
      <c r="O316" s="14"/>
      <c r="P316" s="15"/>
      <c r="Q316" s="16">
        <f>IF(ISTEXT('Incurred 2.5% cpi'!Q316),"",'Incurred 2.5% cpi'!Q316/'Incurred 2.5% cpi'!Q$14*Incurred!Q$14)</f>
        <v>1909648.53</v>
      </c>
      <c r="R316" s="127">
        <f>IF(ISTEXT('Incurred 2.5% cpi'!R316),"",'Incurred 2.5% cpi'!R316/'Incurred 2.5% cpi'!R$14*Incurred!R$14*BF316)</f>
        <v>1017195.4007114497</v>
      </c>
      <c r="S316" s="119" t="str">
        <f>IF(ISTEXT('Incurred 2.5% cpi'!S316),"",'Incurred 2.5% cpi'!S316/'Incurred 2.5% cpi'!S$14*Incurred!S$14*BG316)</f>
        <v/>
      </c>
      <c r="T316" s="16" t="str">
        <f>IF(ISTEXT('Incurred 2.5% cpi'!T316),"",'Incurred 2.5% cpi'!T316/'Incurred 2.5% cpi'!T$14*Incurred!T$14*BH316)</f>
        <v/>
      </c>
      <c r="U316" s="16" t="str">
        <f>IF(ISTEXT('Incurred 2.5% cpi'!U316),"",'Incurred 2.5% cpi'!U316/'Incurred 2.5% cpi'!U$14*Incurred!U$14*BI316)</f>
        <v/>
      </c>
      <c r="V316" s="16" t="str">
        <f>IF(ISTEXT('Incurred 2.5% cpi'!V316),"",'Incurred 2.5% cpi'!V316/'Incurred 2.5% cpi'!V$14*Incurred!V$14*BJ316)</f>
        <v/>
      </c>
      <c r="W316" s="127" t="str">
        <f>IF(ISTEXT('Incurred 2.5% cpi'!W316),"",'Incurred 2.5% cpi'!W316/'Incurred 2.5% cpi'!W$14*Incurred!W$14*BK316)</f>
        <v/>
      </c>
      <c r="X316" s="119" t="str">
        <f>IF(ISTEXT('Incurred 2.5% cpi'!X316),"",'Incurred 2.5% cpi'!X316/'Incurred 2.5% cpi'!X$14*Incurred!X$14*BL316)</f>
        <v/>
      </c>
      <c r="Y316" s="95">
        <f t="shared" si="423"/>
        <v>2926843.9307114496</v>
      </c>
      <c r="Z316" s="95">
        <f t="shared" si="449"/>
        <v>2926843.9307114496</v>
      </c>
      <c r="AA316" s="676">
        <f>IF(ROUND(Y316,0)=0,0,SUMPRODUCT($F$17:$W$17,F316:W316))</f>
        <v>3268197.3853546372</v>
      </c>
      <c r="AB316" s="676">
        <f t="shared" si="457"/>
        <v>2964464.00675245</v>
      </c>
      <c r="AC316" s="677">
        <f t="shared" si="424"/>
        <v>1.1024581097663335</v>
      </c>
      <c r="AD316" s="678" t="str">
        <f t="shared" si="458"/>
        <v>2018</v>
      </c>
      <c r="AE316" s="679">
        <v>43370</v>
      </c>
      <c r="AF316" s="678" t="s">
        <v>3038</v>
      </c>
      <c r="AG316" s="680"/>
      <c r="AH316" s="676">
        <f>IF(ROUND(Y316,0)=0,0,SUMPRODUCT($F$16:$W$16,F316:W316))</f>
        <v>2964464.00675245</v>
      </c>
      <c r="AI316" s="95">
        <f t="shared" si="459"/>
        <v>1017195.4007114497</v>
      </c>
      <c r="AJ316" s="681" t="s">
        <v>0</v>
      </c>
      <c r="AK316" s="37">
        <f t="shared" si="460"/>
        <v>0</v>
      </c>
      <c r="AL316" s="31">
        <f t="shared" si="470"/>
        <v>0</v>
      </c>
      <c r="AM316" s="31">
        <f t="shared" si="470"/>
        <v>0</v>
      </c>
      <c r="AN316" s="31">
        <f t="shared" si="470"/>
        <v>0</v>
      </c>
      <c r="AO316" s="31">
        <f t="shared" si="470"/>
        <v>0</v>
      </c>
      <c r="AP316" s="31">
        <f t="shared" si="470"/>
        <v>0</v>
      </c>
      <c r="AQ316" s="31">
        <f t="shared" si="470"/>
        <v>0</v>
      </c>
      <c r="AR316" s="31">
        <f t="shared" si="470"/>
        <v>0</v>
      </c>
      <c r="AS316" s="31">
        <f t="shared" si="470"/>
        <v>1</v>
      </c>
      <c r="AT316" s="31">
        <f t="shared" si="470"/>
        <v>0</v>
      </c>
      <c r="AU316" s="31">
        <f t="shared" si="470"/>
        <v>0</v>
      </c>
      <c r="AV316" s="31">
        <f t="shared" si="471"/>
        <v>0</v>
      </c>
      <c r="AW316" s="31">
        <f t="shared" si="471"/>
        <v>0</v>
      </c>
      <c r="AX316" s="31">
        <f t="shared" si="471"/>
        <v>0</v>
      </c>
      <c r="AY316" s="31">
        <f t="shared" si="471"/>
        <v>0</v>
      </c>
      <c r="AZ316" s="31">
        <f t="shared" si="471"/>
        <v>0</v>
      </c>
      <c r="BA316" s="31">
        <f t="shared" si="471"/>
        <v>0</v>
      </c>
      <c r="BB316" s="31">
        <f t="shared" si="471"/>
        <v>0</v>
      </c>
      <c r="BC316" s="31">
        <f t="shared" si="471"/>
        <v>0</v>
      </c>
      <c r="BD316" s="31">
        <f t="shared" si="471"/>
        <v>0</v>
      </c>
      <c r="BE316" s="30">
        <f t="shared" si="472"/>
        <v>1</v>
      </c>
      <c r="BF316" s="620">
        <f t="shared" si="425"/>
        <v>1.0030444840366091</v>
      </c>
      <c r="BG316" s="620">
        <f t="shared" si="461"/>
        <v>1.0061087572194563</v>
      </c>
      <c r="BH316" s="620">
        <f t="shared" si="462"/>
        <v>1.0096674390946898</v>
      </c>
      <c r="BI316" s="620">
        <f t="shared" si="463"/>
        <v>1.0139698854818469</v>
      </c>
      <c r="BJ316" s="620">
        <f t="shared" si="464"/>
        <v>1.0192757579764089</v>
      </c>
      <c r="BK316" s="620">
        <f t="shared" si="465"/>
        <v>1.0248838240271385</v>
      </c>
      <c r="BL316" s="620">
        <f t="shared" si="466"/>
        <v>1.0289708850333266</v>
      </c>
      <c r="BM316" s="621" t="str">
        <f t="shared" si="467"/>
        <v>Category</v>
      </c>
    </row>
    <row r="317" spans="1:65" x14ac:dyDescent="0.15">
      <c r="A317" s="12" t="s">
        <v>2416</v>
      </c>
      <c r="B317" s="13" t="s">
        <v>2417</v>
      </c>
      <c r="C317" s="13" t="s">
        <v>2373</v>
      </c>
      <c r="D317" s="13" t="s">
        <v>28</v>
      </c>
      <c r="E317" s="13" t="s">
        <v>29</v>
      </c>
      <c r="F317" s="14">
        <v>0</v>
      </c>
      <c r="G317" s="14">
        <v>0</v>
      </c>
      <c r="H317" s="14">
        <v>0</v>
      </c>
      <c r="I317" s="14">
        <v>0</v>
      </c>
      <c r="J317" s="14">
        <v>0</v>
      </c>
      <c r="K317" s="14">
        <v>0</v>
      </c>
      <c r="L317" s="14">
        <v>0</v>
      </c>
      <c r="M317" s="15">
        <v>0</v>
      </c>
      <c r="N317" s="804"/>
      <c r="O317" s="14"/>
      <c r="P317" s="15"/>
      <c r="Q317" s="16">
        <f>IF(ISTEXT('Incurred 2.5% cpi'!Q317),"",'Incurred 2.5% cpi'!Q317/'Incurred 2.5% cpi'!Q$14*Incurred!Q$14)</f>
        <v>122484.25</v>
      </c>
      <c r="R317" s="127">
        <f>IF(ISTEXT('Incurred 2.5% cpi'!R317),"",'Incurred 2.5% cpi'!R317/'Incurred 2.5% cpi'!R$14*Incurred!R$14*BF317)</f>
        <v>384620.1789967845</v>
      </c>
      <c r="S317" s="119" t="str">
        <f>IF(ISTEXT('Incurred 2.5% cpi'!S317),"",'Incurred 2.5% cpi'!S317/'Incurred 2.5% cpi'!S$14*Incurred!S$14*BG317)</f>
        <v/>
      </c>
      <c r="T317" s="16" t="str">
        <f>IF(ISTEXT('Incurred 2.5% cpi'!T317),"",'Incurred 2.5% cpi'!T317/'Incurred 2.5% cpi'!T$14*Incurred!T$14*BH317)</f>
        <v/>
      </c>
      <c r="U317" s="16" t="str">
        <f>IF(ISTEXT('Incurred 2.5% cpi'!U317),"",'Incurred 2.5% cpi'!U317/'Incurred 2.5% cpi'!U$14*Incurred!U$14*BI317)</f>
        <v/>
      </c>
      <c r="V317" s="16" t="str">
        <f>IF(ISTEXT('Incurred 2.5% cpi'!V317),"",'Incurred 2.5% cpi'!V317/'Incurred 2.5% cpi'!V$14*Incurred!V$14*BJ317)</f>
        <v/>
      </c>
      <c r="W317" s="127" t="str">
        <f>IF(ISTEXT('Incurred 2.5% cpi'!W317),"",'Incurred 2.5% cpi'!W317/'Incurred 2.5% cpi'!W$14*Incurred!W$14*BK317)</f>
        <v/>
      </c>
      <c r="X317" s="119" t="str">
        <f>IF(ISTEXT('Incurred 2.5% cpi'!X317),"",'Incurred 2.5% cpi'!X317/'Incurred 2.5% cpi'!X$14*Incurred!X$14*BL317)</f>
        <v/>
      </c>
      <c r="Y317" s="95">
        <f t="shared" si="423"/>
        <v>507104.4289967845</v>
      </c>
      <c r="Z317" s="95">
        <f t="shared" si="449"/>
        <v>507104.4289967845</v>
      </c>
      <c r="AA317" s="676">
        <f>IF(ROUND(Y317,0)=0,0,SUMPRODUCT($F$17:$W$17,F317:W317))</f>
        <v>561721.55521413451</v>
      </c>
      <c r="AB317" s="676">
        <f t="shared" si="457"/>
        <v>509517.3687217845</v>
      </c>
      <c r="AC317" s="677">
        <f t="shared" si="424"/>
        <v>1.1024581097663335</v>
      </c>
      <c r="AD317" s="678" t="str">
        <f t="shared" si="458"/>
        <v>2018</v>
      </c>
      <c r="AE317" s="679">
        <v>44494</v>
      </c>
      <c r="AF317" s="678" t="s">
        <v>3038</v>
      </c>
      <c r="AG317" s="680"/>
      <c r="AH317" s="676">
        <f>IF(ROUND(Y317,0)=0,0,SUMPRODUCT($F$16:$W$16,F317:W317))</f>
        <v>509517.3687217845</v>
      </c>
      <c r="AI317" s="95">
        <f t="shared" si="459"/>
        <v>384620.1789967845</v>
      </c>
      <c r="AJ317" s="681" t="s">
        <v>0</v>
      </c>
      <c r="AK317" s="37">
        <f t="shared" si="460"/>
        <v>0</v>
      </c>
      <c r="AL317" s="31">
        <f t="shared" si="470"/>
        <v>0</v>
      </c>
      <c r="AM317" s="31">
        <f t="shared" si="470"/>
        <v>0</v>
      </c>
      <c r="AN317" s="31">
        <f t="shared" si="470"/>
        <v>0</v>
      </c>
      <c r="AO317" s="31">
        <f t="shared" si="470"/>
        <v>0</v>
      </c>
      <c r="AP317" s="31">
        <f t="shared" si="470"/>
        <v>0</v>
      </c>
      <c r="AQ317" s="31">
        <f t="shared" si="470"/>
        <v>0</v>
      </c>
      <c r="AR317" s="31">
        <f t="shared" si="470"/>
        <v>0</v>
      </c>
      <c r="AS317" s="31">
        <f t="shared" si="470"/>
        <v>0</v>
      </c>
      <c r="AT317" s="31">
        <f t="shared" si="470"/>
        <v>0</v>
      </c>
      <c r="AU317" s="31">
        <f t="shared" si="470"/>
        <v>0.1</v>
      </c>
      <c r="AV317" s="31">
        <f t="shared" si="471"/>
        <v>0</v>
      </c>
      <c r="AW317" s="31">
        <f t="shared" si="471"/>
        <v>0</v>
      </c>
      <c r="AX317" s="31">
        <f t="shared" si="471"/>
        <v>0</v>
      </c>
      <c r="AY317" s="31">
        <f t="shared" si="471"/>
        <v>0</v>
      </c>
      <c r="AZ317" s="31">
        <f t="shared" si="471"/>
        <v>0.1</v>
      </c>
      <c r="BA317" s="31">
        <f t="shared" si="471"/>
        <v>0.8</v>
      </c>
      <c r="BB317" s="31">
        <f t="shared" si="471"/>
        <v>0</v>
      </c>
      <c r="BC317" s="31">
        <f t="shared" si="471"/>
        <v>0</v>
      </c>
      <c r="BD317" s="31">
        <f t="shared" si="471"/>
        <v>0</v>
      </c>
      <c r="BE317" s="30">
        <f t="shared" si="472"/>
        <v>1</v>
      </c>
      <c r="BF317" s="620">
        <f t="shared" si="425"/>
        <v>1.0030444840366091</v>
      </c>
      <c r="BG317" s="620">
        <f t="shared" si="461"/>
        <v>1.0061087572194563</v>
      </c>
      <c r="BH317" s="620">
        <f t="shared" si="462"/>
        <v>1.0096674390946898</v>
      </c>
      <c r="BI317" s="620">
        <f t="shared" si="463"/>
        <v>1.0139698854818469</v>
      </c>
      <c r="BJ317" s="620">
        <f t="shared" si="464"/>
        <v>1.0192757579764089</v>
      </c>
      <c r="BK317" s="620">
        <f t="shared" si="465"/>
        <v>1.0248838240271385</v>
      </c>
      <c r="BL317" s="620">
        <f t="shared" si="466"/>
        <v>1.0289708850333266</v>
      </c>
      <c r="BM317" s="621" t="str">
        <f t="shared" si="467"/>
        <v>Category</v>
      </c>
    </row>
    <row r="318" spans="1:65" x14ac:dyDescent="0.15">
      <c r="A318" s="12" t="s">
        <v>2418</v>
      </c>
      <c r="B318" s="13" t="s">
        <v>2419</v>
      </c>
      <c r="C318" s="13" t="s">
        <v>27</v>
      </c>
      <c r="D318" s="13" t="s">
        <v>28</v>
      </c>
      <c r="E318" s="13" t="s">
        <v>112</v>
      </c>
      <c r="F318" s="14">
        <v>0</v>
      </c>
      <c r="G318" s="14">
        <v>0</v>
      </c>
      <c r="H318" s="14">
        <v>0</v>
      </c>
      <c r="I318" s="14">
        <v>0</v>
      </c>
      <c r="J318" s="14">
        <v>0</v>
      </c>
      <c r="K318" s="14">
        <v>0</v>
      </c>
      <c r="L318" s="14">
        <v>0</v>
      </c>
      <c r="M318" s="15">
        <v>0</v>
      </c>
      <c r="N318" s="804"/>
      <c r="O318" s="14"/>
      <c r="P318" s="15"/>
      <c r="Q318" s="16">
        <f>IF(ISTEXT('Incurred 2.5% cpi'!Q318),"",'Incurred 2.5% cpi'!Q318/'Incurred 2.5% cpi'!Q$14*Incurred!Q$14)</f>
        <v>392.56</v>
      </c>
      <c r="R318" s="127">
        <f>IF(ISTEXT('Incurred 2.5% cpi'!R318),"",'Incurred 2.5% cpi'!R318/'Incurred 2.5% cpi'!R$14*Incurred!R$14*BF318)</f>
        <v>512952.93146953068</v>
      </c>
      <c r="S318" s="119">
        <f>IF(ISTEXT('Incurred 2.5% cpi'!S318),"",'Incurred 2.5% cpi'!S318/'Incurred 2.5% cpi'!S$14*Incurred!S$14*BG318)</f>
        <v>578.85827122987507</v>
      </c>
      <c r="T318" s="16" t="str">
        <f>IF(ISTEXT('Incurred 2.5% cpi'!T318),"",'Incurred 2.5% cpi'!T318/'Incurred 2.5% cpi'!T$14*Incurred!T$14*BH318)</f>
        <v/>
      </c>
      <c r="U318" s="16" t="str">
        <f>IF(ISTEXT('Incurred 2.5% cpi'!U318),"",'Incurred 2.5% cpi'!U318/'Incurred 2.5% cpi'!U$14*Incurred!U$14*BI318)</f>
        <v/>
      </c>
      <c r="V318" s="16" t="str">
        <f>IF(ISTEXT('Incurred 2.5% cpi'!V318),"",'Incurred 2.5% cpi'!V318/'Incurred 2.5% cpi'!V$14*Incurred!V$14*BJ318)</f>
        <v/>
      </c>
      <c r="W318" s="127" t="str">
        <f>IF(ISTEXT('Incurred 2.5% cpi'!W318),"",'Incurred 2.5% cpi'!W318/'Incurred 2.5% cpi'!W$14*Incurred!W$14*BK318)</f>
        <v/>
      </c>
      <c r="X318" s="119" t="str">
        <f>IF(ISTEXT('Incurred 2.5% cpi'!X318),"",'Incurred 2.5% cpi'!X318/'Incurred 2.5% cpi'!X$14*Incurred!X$14*BL318)</f>
        <v/>
      </c>
      <c r="Y318" s="95">
        <f t="shared" si="423"/>
        <v>513924.34974076058</v>
      </c>
      <c r="Z318" s="95">
        <f t="shared" si="449"/>
        <v>513924.34974076058</v>
      </c>
      <c r="AA318" s="676">
        <f>IF(ROUND(Y318,0)=0,0,SUMPRODUCT($F$17:$W$17,F318:W318))</f>
        <v>566576.26395456831</v>
      </c>
      <c r="AB318" s="676">
        <f t="shared" ref="AB318" si="473">IF(AC318="","",AA318/AC318)</f>
        <v>513920.89997383609</v>
      </c>
      <c r="AC318" s="677">
        <f t="shared" si="424"/>
        <v>1.1024581097663335</v>
      </c>
      <c r="AD318" s="678" t="str">
        <f t="shared" si="458"/>
        <v>2019</v>
      </c>
      <c r="AE318" s="679">
        <v>43221</v>
      </c>
      <c r="AF318" s="678">
        <v>2018</v>
      </c>
      <c r="AG318" s="680"/>
      <c r="AH318" s="676">
        <f>IF(ROUND(Y318,0)=0,0,SUMPRODUCT($F$16:$W$16,F318:W318))</f>
        <v>513920.89997383615</v>
      </c>
      <c r="AI318" s="95">
        <f t="shared" si="459"/>
        <v>578.85827122987507</v>
      </c>
      <c r="AJ318" s="681" t="s">
        <v>0</v>
      </c>
      <c r="AK318" s="37">
        <f t="shared" si="460"/>
        <v>334426.19891999988</v>
      </c>
      <c r="AL318" s="31">
        <f t="shared" si="470"/>
        <v>0</v>
      </c>
      <c r="AM318" s="31">
        <f t="shared" si="470"/>
        <v>0</v>
      </c>
      <c r="AN318" s="31">
        <f t="shared" si="470"/>
        <v>0</v>
      </c>
      <c r="AO318" s="31">
        <f t="shared" si="470"/>
        <v>0</v>
      </c>
      <c r="AP318" s="31">
        <f t="shared" si="470"/>
        <v>0</v>
      </c>
      <c r="AQ318" s="31">
        <f t="shared" si="470"/>
        <v>0</v>
      </c>
      <c r="AR318" s="31">
        <f t="shared" si="470"/>
        <v>0</v>
      </c>
      <c r="AS318" s="31">
        <f t="shared" si="470"/>
        <v>0</v>
      </c>
      <c r="AT318" s="31">
        <f t="shared" si="470"/>
        <v>0</v>
      </c>
      <c r="AU318" s="31">
        <f t="shared" si="470"/>
        <v>0.93649720330350006</v>
      </c>
      <c r="AV318" s="31">
        <f t="shared" si="471"/>
        <v>0</v>
      </c>
      <c r="AW318" s="31">
        <f t="shared" si="471"/>
        <v>6.3502796696499927E-2</v>
      </c>
      <c r="AX318" s="31">
        <f t="shared" si="471"/>
        <v>0</v>
      </c>
      <c r="AY318" s="31">
        <f t="shared" si="471"/>
        <v>0</v>
      </c>
      <c r="AZ318" s="31">
        <f t="shared" si="471"/>
        <v>0</v>
      </c>
      <c r="BA318" s="31">
        <f t="shared" si="471"/>
        <v>0</v>
      </c>
      <c r="BB318" s="31">
        <f t="shared" si="471"/>
        <v>0</v>
      </c>
      <c r="BC318" s="31">
        <f t="shared" si="471"/>
        <v>0</v>
      </c>
      <c r="BD318" s="31">
        <f t="shared" si="471"/>
        <v>0</v>
      </c>
      <c r="BE318" s="30">
        <f t="shared" ref="BE318" si="474">SUM(AL318:BD318)</f>
        <v>1</v>
      </c>
      <c r="BF318" s="620">
        <f t="shared" si="425"/>
        <v>1.0030444840366091</v>
      </c>
      <c r="BG318" s="620">
        <f t="shared" si="461"/>
        <v>1.0061087572194563</v>
      </c>
      <c r="BH318" s="620">
        <f t="shared" si="462"/>
        <v>1.0096674390946898</v>
      </c>
      <c r="BI318" s="620">
        <f t="shared" si="463"/>
        <v>1.0139698854818469</v>
      </c>
      <c r="BJ318" s="620">
        <f t="shared" si="464"/>
        <v>1.0192757579764089</v>
      </c>
      <c r="BK318" s="620">
        <f t="shared" si="465"/>
        <v>1.0248838240271385</v>
      </c>
      <c r="BL318" s="620">
        <f t="shared" si="466"/>
        <v>1.0289708850333266</v>
      </c>
      <c r="BM318" s="621" t="str">
        <f t="shared" si="467"/>
        <v>Category</v>
      </c>
    </row>
    <row r="319" spans="1:65" x14ac:dyDescent="0.15">
      <c r="A319" s="12" t="s">
        <v>2421</v>
      </c>
      <c r="B319" s="13" t="s">
        <v>2422</v>
      </c>
      <c r="C319" s="13" t="s">
        <v>27</v>
      </c>
      <c r="D319" s="13" t="s">
        <v>40</v>
      </c>
      <c r="E319" s="13" t="s">
        <v>112</v>
      </c>
      <c r="F319" s="14">
        <v>0</v>
      </c>
      <c r="G319" s="14">
        <v>0</v>
      </c>
      <c r="H319" s="14">
        <v>0</v>
      </c>
      <c r="I319" s="14">
        <v>0</v>
      </c>
      <c r="J319" s="14">
        <v>0</v>
      </c>
      <c r="K319" s="14">
        <v>0</v>
      </c>
      <c r="L319" s="14">
        <v>0</v>
      </c>
      <c r="M319" s="15">
        <v>0</v>
      </c>
      <c r="N319" s="804"/>
      <c r="O319" s="14"/>
      <c r="P319" s="15"/>
      <c r="Q319" s="16" t="str">
        <f>IF(ISTEXT('Incurred 2.5% cpi'!Q319),"",'Incurred 2.5% cpi'!Q319/'Incurred 2.5% cpi'!Q$14*Incurred!Q$14)</f>
        <v/>
      </c>
      <c r="R319" s="127" t="str">
        <f>IF(ISTEXT('Incurred 2.5% cpi'!R319),"",'Incurred 2.5% cpi'!R319/'Incurred 2.5% cpi'!R$14*Incurred!R$14*BF319)</f>
        <v/>
      </c>
      <c r="S319" s="119">
        <f>IF(ISTEXT('Incurred 2.5% cpi'!S319),"",'Incurred 2.5% cpi'!S319/'Incurred 2.5% cpi'!S$14*Incurred!S$14*BG319)</f>
        <v>20251.028818474344</v>
      </c>
      <c r="T319" s="16" t="str">
        <f>IF(ISTEXT('Incurred 2.5% cpi'!T319),"",'Incurred 2.5% cpi'!T319/'Incurred 2.5% cpi'!T$14*Incurred!T$14*BH319)</f>
        <v/>
      </c>
      <c r="U319" s="16">
        <f>IF(ISTEXT('Incurred 2.5% cpi'!U319),"",'Incurred 2.5% cpi'!U319/'Incurred 2.5% cpi'!U$14*Incurred!U$14*BI319)</f>
        <v>137500.04982851376</v>
      </c>
      <c r="V319" s="16">
        <f>IF(ISTEXT('Incurred 2.5% cpi'!V319),"",'Incurred 2.5% cpi'!V319/'Incurred 2.5% cpi'!V$14*Incurred!V$14*BJ319)</f>
        <v>1344085.3857366459</v>
      </c>
      <c r="W319" s="127">
        <f>IF(ISTEXT('Incurred 2.5% cpi'!W319),"",'Incurred 2.5% cpi'!W319/'Incurred 2.5% cpi'!W$14*Incurred!W$14*BK319)</f>
        <v>1270029.2773147172</v>
      </c>
      <c r="X319" s="119" t="str">
        <f>IF(ISTEXT('Incurred 2.5% cpi'!X319),"",'Incurred 2.5% cpi'!X319/'Incurred 2.5% cpi'!X$14*Incurred!X$14*BL319)</f>
        <v/>
      </c>
      <c r="Y319" s="95">
        <f t="shared" si="423"/>
        <v>2771865.7416983512</v>
      </c>
      <c r="Z319" s="95">
        <f t="shared" si="449"/>
        <v>2771865.7416983512</v>
      </c>
      <c r="AA319" s="676">
        <f t="shared" ref="AA319:AA330" si="475">IF(ROUND(Y319,0)=0,0,SUMPRODUCT($F$17:$W$17,F319:W319))</f>
        <v>2805458.6469132463</v>
      </c>
      <c r="AB319" s="676">
        <f t="shared" si="457"/>
        <v>2805458.6469132463</v>
      </c>
      <c r="AC319" s="677">
        <f t="shared" ref="AC319:AC328" si="476">IF(AF319="","",IF(AF319&lt;AD319,INDEX($F$17:$W$17,1,MATCH(TEXT(AF319,"000"),$F$21:$W$21)),INDEX($F$17:$W$17,1,MATCH(AD319,$F$21:$W$21))))</f>
        <v>1</v>
      </c>
      <c r="AD319" s="678" t="str">
        <f t="shared" si="458"/>
        <v>2023</v>
      </c>
      <c r="AE319" s="679">
        <v>44951</v>
      </c>
      <c r="AF319" s="678">
        <v>2023</v>
      </c>
      <c r="AG319" s="680"/>
      <c r="AH319" s="676">
        <f t="shared" ref="AH319:AH330" si="477">IF(ROUND(Y319,0)=0,0,SUMPRODUCT($F$16:$W$16,F319:W319))</f>
        <v>2544730.3820984773</v>
      </c>
      <c r="AI319" s="95">
        <f t="shared" si="459"/>
        <v>1270029.2773147172</v>
      </c>
      <c r="AJ319" s="681" t="s">
        <v>3058</v>
      </c>
      <c r="AK319" s="37">
        <f t="shared" si="460"/>
        <v>1459312.3068159986</v>
      </c>
      <c r="AL319" s="31">
        <f t="shared" ref="AL319:AU330" si="478">IF($AK319=0,VLOOKUP(MID($A319,4,5),ProjectSplits,AL$20,FALSE),IF(ISNA(VLOOKUP($A319,Estimates,AL$19,FALSE)),VLOOKUP(MID($A319,4,5),ProjectSplits,AL$20,FALSE),VLOOKUP($A319,Estimates,AL$19,FALSE)))</f>
        <v>0</v>
      </c>
      <c r="AM319" s="31">
        <f t="shared" si="478"/>
        <v>0</v>
      </c>
      <c r="AN319" s="31">
        <f t="shared" si="478"/>
        <v>0</v>
      </c>
      <c r="AO319" s="31">
        <f t="shared" si="478"/>
        <v>0</v>
      </c>
      <c r="AP319" s="31">
        <f t="shared" si="478"/>
        <v>0</v>
      </c>
      <c r="AQ319" s="31">
        <f t="shared" si="478"/>
        <v>0</v>
      </c>
      <c r="AR319" s="31">
        <f t="shared" si="478"/>
        <v>0</v>
      </c>
      <c r="AS319" s="31">
        <f t="shared" si="478"/>
        <v>0</v>
      </c>
      <c r="AT319" s="31">
        <f t="shared" si="478"/>
        <v>0</v>
      </c>
      <c r="AU319" s="31">
        <f t="shared" si="478"/>
        <v>1</v>
      </c>
      <c r="AV319" s="31">
        <f t="shared" ref="AV319:BD330" si="479">IF($AK319=0,VLOOKUP(MID($A319,4,5),ProjectSplits,AV$20,FALSE),IF(ISNA(VLOOKUP($A319,Estimates,AV$19,FALSE)),VLOOKUP(MID($A319,4,5),ProjectSplits,AV$20,FALSE),VLOOKUP($A319,Estimates,AV$19,FALSE)))</f>
        <v>0</v>
      </c>
      <c r="AW319" s="31">
        <f t="shared" si="479"/>
        <v>0</v>
      </c>
      <c r="AX319" s="31">
        <f t="shared" si="479"/>
        <v>0</v>
      </c>
      <c r="AY319" s="31">
        <f t="shared" si="479"/>
        <v>0</v>
      </c>
      <c r="AZ319" s="31">
        <f t="shared" si="479"/>
        <v>0</v>
      </c>
      <c r="BA319" s="31">
        <f t="shared" si="479"/>
        <v>0</v>
      </c>
      <c r="BB319" s="31">
        <f t="shared" si="479"/>
        <v>0</v>
      </c>
      <c r="BC319" s="31">
        <f t="shared" si="479"/>
        <v>0</v>
      </c>
      <c r="BD319" s="31">
        <f t="shared" si="479"/>
        <v>0</v>
      </c>
      <c r="BE319" s="30">
        <f t="shared" ref="BE319:BE328" si="480">SUM(AL319:BD319)</f>
        <v>1</v>
      </c>
      <c r="BF319" s="620">
        <f t="shared" ref="BF319:BF346" si="481">1+IF(ISNA(VLOOKUP($A319,ProjLabEsc,7,FALSE)),VLOOKUP(D319,CatLabEsc,4,FALSE),VLOOKUP(A319,ProjLabEsc,7,FALSE))*Labesc18*LabIn</f>
        <v>1.0029362901212093</v>
      </c>
      <c r="BG319" s="620">
        <f t="shared" si="461"/>
        <v>1.0058916661282065</v>
      </c>
      <c r="BH319" s="620">
        <f t="shared" si="462"/>
        <v>1.0093238806871019</v>
      </c>
      <c r="BI319" s="620">
        <f t="shared" si="463"/>
        <v>1.0134734280888062</v>
      </c>
      <c r="BJ319" s="620">
        <f t="shared" si="464"/>
        <v>1.0185907421567528</v>
      </c>
      <c r="BK319" s="620">
        <f t="shared" si="465"/>
        <v>1.0239995105213873</v>
      </c>
      <c r="BL319" s="620">
        <f t="shared" si="466"/>
        <v>1.0279413268399962</v>
      </c>
      <c r="BM319" s="621" t="str">
        <f t="shared" si="467"/>
        <v>Project</v>
      </c>
    </row>
    <row r="320" spans="1:65" x14ac:dyDescent="0.15">
      <c r="A320" s="91" t="s">
        <v>2423</v>
      </c>
      <c r="B320" s="13" t="s">
        <v>2424</v>
      </c>
      <c r="C320" s="13" t="s">
        <v>27</v>
      </c>
      <c r="D320" s="13" t="s">
        <v>107</v>
      </c>
      <c r="E320" s="13" t="s">
        <v>29</v>
      </c>
      <c r="F320" s="14">
        <v>0</v>
      </c>
      <c r="G320" s="14">
        <v>0</v>
      </c>
      <c r="H320" s="14">
        <v>0</v>
      </c>
      <c r="I320" s="14">
        <v>0</v>
      </c>
      <c r="J320" s="14">
        <v>0</v>
      </c>
      <c r="K320" s="14">
        <v>0</v>
      </c>
      <c r="L320" s="14">
        <v>0</v>
      </c>
      <c r="M320" s="15">
        <v>0</v>
      </c>
      <c r="N320" s="804"/>
      <c r="O320" s="14"/>
      <c r="P320" s="15"/>
      <c r="Q320" s="16">
        <f>IF(ISTEXT('Incurred 2.5% cpi'!Q320),"",'Incurred 2.5% cpi'!Q320/'Incurred 2.5% cpi'!Q$14*Incurred!Q$14)</f>
        <v>805285.85</v>
      </c>
      <c r="R320" s="127">
        <f>IF(ISTEXT('Incurred 2.5% cpi'!R320),"",'Incurred 2.5% cpi'!R320/'Incurred 2.5% cpi'!R$14*Incurred!R$14*BF320)</f>
        <v>3023758.7892393968</v>
      </c>
      <c r="S320" s="119" t="str">
        <f>IF(ISTEXT('Incurred 2.5% cpi'!S320),"",'Incurred 2.5% cpi'!S320/'Incurred 2.5% cpi'!S$14*Incurred!S$14*BG320)</f>
        <v/>
      </c>
      <c r="T320" s="16" t="str">
        <f>IF(ISTEXT('Incurred 2.5% cpi'!T320),"",'Incurred 2.5% cpi'!T320/'Incurred 2.5% cpi'!T$14*Incurred!T$14*BH320)</f>
        <v/>
      </c>
      <c r="U320" s="16" t="str">
        <f>IF(ISTEXT('Incurred 2.5% cpi'!U320),"",'Incurred 2.5% cpi'!U320/'Incurred 2.5% cpi'!U$14*Incurred!U$14*BI320)</f>
        <v/>
      </c>
      <c r="V320" s="16" t="str">
        <f>IF(ISTEXT('Incurred 2.5% cpi'!V320),"",'Incurred 2.5% cpi'!V320/'Incurred 2.5% cpi'!V$14*Incurred!V$14*BJ320)</f>
        <v/>
      </c>
      <c r="W320" s="127" t="str">
        <f>IF(ISTEXT('Incurred 2.5% cpi'!W320),"",'Incurred 2.5% cpi'!W320/'Incurred 2.5% cpi'!W$14*Incurred!W$14*BK320)</f>
        <v/>
      </c>
      <c r="X320" s="119" t="str">
        <f>IF(ISTEXT('Incurred 2.5% cpi'!X320),"",'Incurred 2.5% cpi'!X320/'Incurred 2.5% cpi'!X$14*Incurred!X$14*BL320)</f>
        <v/>
      </c>
      <c r="Y320" s="95">
        <f t="shared" si="423"/>
        <v>3829044.6392393969</v>
      </c>
      <c r="Z320" s="95">
        <f t="shared" si="449"/>
        <v>3829044.6392393969</v>
      </c>
      <c r="AA320" s="676">
        <f t="shared" si="475"/>
        <v>4238850.8553322256</v>
      </c>
      <c r="AB320" s="676">
        <f t="shared" si="457"/>
        <v>3844908.7704843967</v>
      </c>
      <c r="AC320" s="677">
        <f t="shared" si="476"/>
        <v>1.1024581097663335</v>
      </c>
      <c r="AD320" s="678" t="str">
        <f t="shared" si="458"/>
        <v>2018</v>
      </c>
      <c r="AE320" s="679">
        <v>43178</v>
      </c>
      <c r="AF320" s="678">
        <v>2018</v>
      </c>
      <c r="AG320" s="680"/>
      <c r="AH320" s="676">
        <f t="shared" si="477"/>
        <v>3844908.7704843967</v>
      </c>
      <c r="AI320" s="95">
        <f t="shared" si="459"/>
        <v>3023758.7892393968</v>
      </c>
      <c r="AJ320" s="681" t="s">
        <v>0</v>
      </c>
      <c r="AK320" s="37">
        <f t="shared" si="460"/>
        <v>3398556.7399999956</v>
      </c>
      <c r="AL320" s="31">
        <f t="shared" si="478"/>
        <v>0</v>
      </c>
      <c r="AM320" s="31">
        <f t="shared" si="478"/>
        <v>0</v>
      </c>
      <c r="AN320" s="31">
        <f t="shared" si="478"/>
        <v>0</v>
      </c>
      <c r="AO320" s="31">
        <f t="shared" si="478"/>
        <v>0</v>
      </c>
      <c r="AP320" s="31">
        <f t="shared" si="478"/>
        <v>0</v>
      </c>
      <c r="AQ320" s="31">
        <f t="shared" si="478"/>
        <v>0</v>
      </c>
      <c r="AR320" s="31">
        <f t="shared" si="478"/>
        <v>0</v>
      </c>
      <c r="AS320" s="31">
        <f t="shared" si="478"/>
        <v>0</v>
      </c>
      <c r="AT320" s="31">
        <f t="shared" si="478"/>
        <v>0</v>
      </c>
      <c r="AU320" s="31">
        <f t="shared" si="478"/>
        <v>0</v>
      </c>
      <c r="AV320" s="31">
        <f t="shared" si="479"/>
        <v>0</v>
      </c>
      <c r="AW320" s="31">
        <f t="shared" si="479"/>
        <v>0</v>
      </c>
      <c r="AX320" s="31">
        <f t="shared" si="479"/>
        <v>0</v>
      </c>
      <c r="AY320" s="31">
        <f t="shared" si="479"/>
        <v>0</v>
      </c>
      <c r="AZ320" s="31">
        <f t="shared" si="479"/>
        <v>0</v>
      </c>
      <c r="BA320" s="31">
        <f t="shared" si="479"/>
        <v>1</v>
      </c>
      <c r="BB320" s="31">
        <f t="shared" si="479"/>
        <v>0</v>
      </c>
      <c r="BC320" s="31">
        <f t="shared" si="479"/>
        <v>0</v>
      </c>
      <c r="BD320" s="31">
        <f t="shared" si="479"/>
        <v>0</v>
      </c>
      <c r="BE320" s="30">
        <f t="shared" si="480"/>
        <v>1</v>
      </c>
      <c r="BF320" s="620">
        <f t="shared" si="481"/>
        <v>1.0028412957077109</v>
      </c>
      <c r="BG320" s="620">
        <f t="shared" si="461"/>
        <v>1.0057010598375218</v>
      </c>
      <c r="BH320" s="620">
        <f t="shared" si="462"/>
        <v>1.0090222359105849</v>
      </c>
      <c r="BI320" s="620">
        <f t="shared" si="463"/>
        <v>1.0130375377829182</v>
      </c>
      <c r="BJ320" s="620">
        <f t="shared" si="464"/>
        <v>1.0179892972808102</v>
      </c>
      <c r="BK320" s="620">
        <f t="shared" si="465"/>
        <v>1.0232230819901049</v>
      </c>
      <c r="BL320" s="620">
        <f t="shared" si="466"/>
        <v>1.027037373263896</v>
      </c>
      <c r="BM320" s="621" t="str">
        <f t="shared" si="467"/>
        <v>Category</v>
      </c>
    </row>
    <row r="321" spans="1:65" x14ac:dyDescent="0.15">
      <c r="A321" s="91" t="s">
        <v>2425</v>
      </c>
      <c r="B321" s="13" t="s">
        <v>2426</v>
      </c>
      <c r="C321" s="13" t="s">
        <v>27</v>
      </c>
      <c r="D321" s="13" t="s">
        <v>40</v>
      </c>
      <c r="E321" s="13" t="s">
        <v>29</v>
      </c>
      <c r="F321" s="14">
        <v>0</v>
      </c>
      <c r="G321" s="14">
        <v>0</v>
      </c>
      <c r="H321" s="14">
        <v>0</v>
      </c>
      <c r="I321" s="14">
        <v>0</v>
      </c>
      <c r="J321" s="14">
        <v>0</v>
      </c>
      <c r="K321" s="14">
        <v>0</v>
      </c>
      <c r="L321" s="14">
        <v>0</v>
      </c>
      <c r="M321" s="15">
        <v>0</v>
      </c>
      <c r="N321" s="804"/>
      <c r="O321" s="14"/>
      <c r="P321" s="15"/>
      <c r="Q321" s="16">
        <f>IF(ISTEXT('Incurred 2.5% cpi'!Q321),"",'Incurred 2.5% cpi'!Q321/'Incurred 2.5% cpi'!Q$14*Incurred!Q$14)</f>
        <v>617043.84</v>
      </c>
      <c r="R321" s="127">
        <f>IF(ISTEXT('Incurred 2.5% cpi'!R321),"",'Incurred 2.5% cpi'!R321/'Incurred 2.5% cpi'!R$14*Incurred!R$14*BF321)</f>
        <v>49217.477759223744</v>
      </c>
      <c r="S321" s="119" t="str">
        <f>IF(ISTEXT('Incurred 2.5% cpi'!S321),"",'Incurred 2.5% cpi'!S321/'Incurred 2.5% cpi'!S$14*Incurred!S$14*BG321)</f>
        <v/>
      </c>
      <c r="T321" s="16" t="str">
        <f>IF(ISTEXT('Incurred 2.5% cpi'!T321),"",'Incurred 2.5% cpi'!T321/'Incurred 2.5% cpi'!T$14*Incurred!T$14*BH321)</f>
        <v/>
      </c>
      <c r="U321" s="16" t="str">
        <f>IF(ISTEXT('Incurred 2.5% cpi'!U321),"",'Incurred 2.5% cpi'!U321/'Incurred 2.5% cpi'!U$14*Incurred!U$14*BI321)</f>
        <v/>
      </c>
      <c r="V321" s="16" t="str">
        <f>IF(ISTEXT('Incurred 2.5% cpi'!V321),"",'Incurred 2.5% cpi'!V321/'Incurred 2.5% cpi'!V$14*Incurred!V$14*BJ321)</f>
        <v/>
      </c>
      <c r="W321" s="127" t="str">
        <f>IF(ISTEXT('Incurred 2.5% cpi'!W321),"",'Incurred 2.5% cpi'!W321/'Incurred 2.5% cpi'!W$14*Incurred!W$14*BK321)</f>
        <v/>
      </c>
      <c r="X321" s="119" t="str">
        <f>IF(ISTEXT('Incurred 2.5% cpi'!X321),"",'Incurred 2.5% cpi'!X321/'Incurred 2.5% cpi'!X$14*Incurred!X$14*BL321)</f>
        <v/>
      </c>
      <c r="Y321" s="95">
        <f t="shared" si="423"/>
        <v>666261.31775922375</v>
      </c>
      <c r="Z321" s="95">
        <f t="shared" si="449"/>
        <v>666261.31775922375</v>
      </c>
      <c r="AA321" s="676">
        <f t="shared" si="475"/>
        <v>747926.41320140078</v>
      </c>
      <c r="AB321" s="676">
        <f t="shared" si="457"/>
        <v>665310.46524195711</v>
      </c>
      <c r="AC321" s="677">
        <f t="shared" si="476"/>
        <v>1.1241765345287305</v>
      </c>
      <c r="AD321" s="678" t="str">
        <f t="shared" si="458"/>
        <v>2018</v>
      </c>
      <c r="AE321" s="679">
        <v>42915</v>
      </c>
      <c r="AF321" s="678">
        <v>2017</v>
      </c>
      <c r="AG321" s="680"/>
      <c r="AH321" s="676">
        <f t="shared" si="477"/>
        <v>678417.08140722383</v>
      </c>
      <c r="AI321" s="95">
        <f t="shared" si="459"/>
        <v>49217.477759223744</v>
      </c>
      <c r="AJ321" s="681" t="s">
        <v>0</v>
      </c>
      <c r="AK321" s="37">
        <f t="shared" si="460"/>
        <v>0</v>
      </c>
      <c r="AL321" s="31">
        <f t="shared" si="478"/>
        <v>0</v>
      </c>
      <c r="AM321" s="31">
        <f t="shared" si="478"/>
        <v>0</v>
      </c>
      <c r="AN321" s="31">
        <f t="shared" si="478"/>
        <v>0</v>
      </c>
      <c r="AO321" s="31">
        <f t="shared" si="478"/>
        <v>0</v>
      </c>
      <c r="AP321" s="31">
        <f t="shared" si="478"/>
        <v>0</v>
      </c>
      <c r="AQ321" s="31">
        <f t="shared" si="478"/>
        <v>0</v>
      </c>
      <c r="AR321" s="31">
        <f t="shared" si="478"/>
        <v>0</v>
      </c>
      <c r="AS321" s="31">
        <f t="shared" si="478"/>
        <v>1</v>
      </c>
      <c r="AT321" s="31">
        <f t="shared" si="478"/>
        <v>0</v>
      </c>
      <c r="AU321" s="31">
        <f t="shared" si="478"/>
        <v>0</v>
      </c>
      <c r="AV321" s="31">
        <f t="shared" si="479"/>
        <v>0</v>
      </c>
      <c r="AW321" s="31">
        <f t="shared" si="479"/>
        <v>0</v>
      </c>
      <c r="AX321" s="31">
        <f t="shared" si="479"/>
        <v>0</v>
      </c>
      <c r="AY321" s="31">
        <f t="shared" si="479"/>
        <v>0</v>
      </c>
      <c r="AZ321" s="31">
        <f t="shared" si="479"/>
        <v>0</v>
      </c>
      <c r="BA321" s="31">
        <f t="shared" si="479"/>
        <v>0</v>
      </c>
      <c r="BB321" s="31">
        <f t="shared" si="479"/>
        <v>0</v>
      </c>
      <c r="BC321" s="31">
        <f t="shared" si="479"/>
        <v>0</v>
      </c>
      <c r="BD321" s="31">
        <f t="shared" si="479"/>
        <v>0</v>
      </c>
      <c r="BE321" s="30">
        <f t="shared" si="480"/>
        <v>1</v>
      </c>
      <c r="BF321" s="620">
        <f t="shared" si="481"/>
        <v>1.0034498951996242</v>
      </c>
      <c r="BG321" s="620">
        <f t="shared" si="461"/>
        <v>1.0069222147180459</v>
      </c>
      <c r="BH321" s="620">
        <f t="shared" si="462"/>
        <v>1.0109547796356901</v>
      </c>
      <c r="BI321" s="620">
        <f t="shared" si="463"/>
        <v>1.0158301506211216</v>
      </c>
      <c r="BJ321" s="620">
        <f t="shared" si="464"/>
        <v>1.0218425664619335</v>
      </c>
      <c r="BK321" s="620">
        <f t="shared" si="465"/>
        <v>1.0281974167140426</v>
      </c>
      <c r="BL321" s="620">
        <f t="shared" si="466"/>
        <v>1.0328287210586446</v>
      </c>
      <c r="BM321" s="621" t="str">
        <f t="shared" si="467"/>
        <v>Category</v>
      </c>
    </row>
    <row r="322" spans="1:65" x14ac:dyDescent="0.15">
      <c r="A322" s="91" t="s">
        <v>2427</v>
      </c>
      <c r="B322" s="13" t="s">
        <v>2428</v>
      </c>
      <c r="C322" s="13" t="s">
        <v>27</v>
      </c>
      <c r="D322" s="13" t="s">
        <v>40</v>
      </c>
      <c r="E322" s="13" t="s">
        <v>112</v>
      </c>
      <c r="F322" s="14">
        <v>0</v>
      </c>
      <c r="G322" s="14">
        <v>0</v>
      </c>
      <c r="H322" s="14">
        <v>0</v>
      </c>
      <c r="I322" s="14">
        <v>0</v>
      </c>
      <c r="J322" s="14">
        <v>0</v>
      </c>
      <c r="K322" s="14">
        <v>0</v>
      </c>
      <c r="L322" s="14">
        <v>0</v>
      </c>
      <c r="M322" s="15">
        <v>0</v>
      </c>
      <c r="N322" s="804"/>
      <c r="O322" s="14"/>
      <c r="P322" s="15"/>
      <c r="Q322" s="16" t="str">
        <f>IF(ISTEXT('Incurred 2.5% cpi'!Q322),"",'Incurred 2.5% cpi'!Q322/'Incurred 2.5% cpi'!Q$14*Incurred!Q$14)</f>
        <v/>
      </c>
      <c r="R322" s="127" t="str">
        <f>IF(ISTEXT('Incurred 2.5% cpi'!R322),"",'Incurred 2.5% cpi'!R322/'Incurred 2.5% cpi'!R$14*Incurred!R$14*BF322)</f>
        <v/>
      </c>
      <c r="S322" s="119" t="str">
        <f>IF(ISTEXT('Incurred 2.5% cpi'!S322),"",'Incurred 2.5% cpi'!S322/'Incurred 2.5% cpi'!S$14*Incurred!S$14*BG322)</f>
        <v/>
      </c>
      <c r="T322" s="16">
        <f>IF(ISTEXT('Incurred 2.5% cpi'!T322),"",'Incurred 2.5% cpi'!T322/'Incurred 2.5% cpi'!T$14*Incurred!T$14*BH322)</f>
        <v>287971.66212668776</v>
      </c>
      <c r="U322" s="16">
        <f>IF(ISTEXT('Incurred 2.5% cpi'!U322),"",'Incurred 2.5% cpi'!U322/'Incurred 2.5% cpi'!U$14*Incurred!U$14*BI322)</f>
        <v>1731614.9294151184</v>
      </c>
      <c r="V322" s="16">
        <f>IF(ISTEXT('Incurred 2.5% cpi'!V322),"",'Incurred 2.5% cpi'!V322/'Incurred 2.5% cpi'!V$14*Incurred!V$14*BJ322)</f>
        <v>2031165.2725220886</v>
      </c>
      <c r="W322" s="127">
        <f>IF(ISTEXT('Incurred 2.5% cpi'!W322),"",'Incurred 2.5% cpi'!W322/'Incurred 2.5% cpi'!W$14*Incurred!W$14*BK322)</f>
        <v>2151.200607289913</v>
      </c>
      <c r="X322" s="119" t="str">
        <f>IF(ISTEXT('Incurred 2.5% cpi'!X322),"",'Incurred 2.5% cpi'!X322/'Incurred 2.5% cpi'!X$14*Incurred!X$14*BL322)</f>
        <v/>
      </c>
      <c r="Y322" s="95">
        <f t="shared" si="423"/>
        <v>4052903.0646711849</v>
      </c>
      <c r="Z322" s="95">
        <f t="shared" si="449"/>
        <v>4052903.0646711849</v>
      </c>
      <c r="AA322" s="676">
        <f t="shared" si="475"/>
        <v>4179171.2748463042</v>
      </c>
      <c r="AB322" s="676">
        <f t="shared" si="457"/>
        <v>4098432.1612692988</v>
      </c>
      <c r="AC322" s="677">
        <f t="shared" si="476"/>
        <v>1.0197000000000001</v>
      </c>
      <c r="AD322" s="678" t="str">
        <f t="shared" si="458"/>
        <v>2023</v>
      </c>
      <c r="AE322" s="679">
        <v>44673</v>
      </c>
      <c r="AF322" s="678">
        <v>2022</v>
      </c>
      <c r="AG322" s="680"/>
      <c r="AH322" s="676">
        <f t="shared" si="477"/>
        <v>3790775.5748942532</v>
      </c>
      <c r="AI322" s="95">
        <f t="shared" si="459"/>
        <v>2151.200607289913</v>
      </c>
      <c r="AJ322" s="681" t="s">
        <v>3060</v>
      </c>
      <c r="AK322" s="37">
        <f t="shared" si="460"/>
        <v>1999024.1811125001</v>
      </c>
      <c r="AL322" s="31">
        <f t="shared" si="478"/>
        <v>0</v>
      </c>
      <c r="AM322" s="31">
        <f t="shared" si="478"/>
        <v>0.56420380507469547</v>
      </c>
      <c r="AN322" s="31">
        <f t="shared" si="478"/>
        <v>0.40690709966665639</v>
      </c>
      <c r="AO322" s="31">
        <f t="shared" si="478"/>
        <v>0</v>
      </c>
      <c r="AP322" s="31">
        <f t="shared" si="478"/>
        <v>0</v>
      </c>
      <c r="AQ322" s="31">
        <f t="shared" si="478"/>
        <v>0</v>
      </c>
      <c r="AR322" s="31">
        <f t="shared" si="478"/>
        <v>0</v>
      </c>
      <c r="AS322" s="31">
        <f t="shared" si="478"/>
        <v>0</v>
      </c>
      <c r="AT322" s="31">
        <f t="shared" si="478"/>
        <v>0</v>
      </c>
      <c r="AU322" s="31">
        <f t="shared" si="478"/>
        <v>0</v>
      </c>
      <c r="AV322" s="31">
        <f t="shared" si="479"/>
        <v>0</v>
      </c>
      <c r="AW322" s="31">
        <f t="shared" si="479"/>
        <v>0</v>
      </c>
      <c r="AX322" s="31">
        <f t="shared" si="479"/>
        <v>2.8889095258648089E-2</v>
      </c>
      <c r="AY322" s="31">
        <f t="shared" si="479"/>
        <v>0</v>
      </c>
      <c r="AZ322" s="31">
        <f t="shared" si="479"/>
        <v>0</v>
      </c>
      <c r="BA322" s="31">
        <f t="shared" si="479"/>
        <v>0</v>
      </c>
      <c r="BB322" s="31">
        <f t="shared" si="479"/>
        <v>0</v>
      </c>
      <c r="BC322" s="31">
        <f t="shared" si="479"/>
        <v>0</v>
      </c>
      <c r="BD322" s="31">
        <f t="shared" si="479"/>
        <v>0</v>
      </c>
      <c r="BE322" s="30">
        <f t="shared" si="480"/>
        <v>1</v>
      </c>
      <c r="BF322" s="620">
        <f t="shared" si="481"/>
        <v>1.0027028436666743</v>
      </c>
      <c r="BG322" s="620">
        <f t="shared" si="461"/>
        <v>1.0054232558171818</v>
      </c>
      <c r="BH322" s="620">
        <f t="shared" si="462"/>
        <v>1.0085825960050503</v>
      </c>
      <c r="BI322" s="620">
        <f t="shared" si="463"/>
        <v>1.0124022382921833</v>
      </c>
      <c r="BJ322" s="620">
        <f t="shared" si="464"/>
        <v>1.0171127060416152</v>
      </c>
      <c r="BK322" s="620">
        <f t="shared" si="465"/>
        <v>1.0220914563405945</v>
      </c>
      <c r="BL322" s="620">
        <f t="shared" si="466"/>
        <v>1.0257198829715288</v>
      </c>
      <c r="BM322" s="621" t="str">
        <f t="shared" si="467"/>
        <v>Project</v>
      </c>
    </row>
    <row r="323" spans="1:65" x14ac:dyDescent="0.15">
      <c r="A323" s="91" t="s">
        <v>2431</v>
      </c>
      <c r="B323" s="13" t="s">
        <v>2432</v>
      </c>
      <c r="C323" s="13" t="s">
        <v>27</v>
      </c>
      <c r="D323" s="13" t="s">
        <v>40</v>
      </c>
      <c r="E323" s="13" t="s">
        <v>112</v>
      </c>
      <c r="F323" s="14">
        <v>0</v>
      </c>
      <c r="G323" s="14">
        <v>0</v>
      </c>
      <c r="H323" s="14">
        <v>0</v>
      </c>
      <c r="I323" s="14">
        <v>0</v>
      </c>
      <c r="J323" s="14">
        <v>0</v>
      </c>
      <c r="K323" s="14">
        <v>0</v>
      </c>
      <c r="L323" s="14">
        <v>0</v>
      </c>
      <c r="M323" s="15">
        <v>0</v>
      </c>
      <c r="N323" s="804"/>
      <c r="O323" s="14"/>
      <c r="P323" s="15"/>
      <c r="Q323" s="16" t="str">
        <f>IF(ISTEXT('Incurred 2.5% cpi'!Q323),"",'Incurred 2.5% cpi'!Q323/'Incurred 2.5% cpi'!Q$14*Incurred!Q$14)</f>
        <v/>
      </c>
      <c r="R323" s="127" t="str">
        <f>IF(ISTEXT('Incurred 2.5% cpi'!R323),"",'Incurred 2.5% cpi'!R323/'Incurred 2.5% cpi'!R$14*Incurred!R$14*BF323)</f>
        <v/>
      </c>
      <c r="S323" s="119" t="str">
        <f>IF(ISTEXT('Incurred 2.5% cpi'!S323),"",'Incurred 2.5% cpi'!S323/'Incurred 2.5% cpi'!S$14*Incurred!S$14*BG323)</f>
        <v/>
      </c>
      <c r="T323" s="16" t="str">
        <f>IF(ISTEXT('Incurred 2.5% cpi'!T323),"",'Incurred 2.5% cpi'!T323/'Incurred 2.5% cpi'!T$14*Incurred!T$14*BH323)</f>
        <v/>
      </c>
      <c r="U323" s="16">
        <f>IF(ISTEXT('Incurred 2.5% cpi'!U323),"",'Incurred 2.5% cpi'!U323/'Incurred 2.5% cpi'!U$14*Incurred!U$14*BI323)</f>
        <v>954525.3775709793</v>
      </c>
      <c r="V323" s="16">
        <f>IF(ISTEXT('Incurred 2.5% cpi'!V323),"",'Incurred 2.5% cpi'!V323/'Incurred 2.5% cpi'!V$14*Incurred!V$14*BJ323)</f>
        <v>3886979.4743554122</v>
      </c>
      <c r="W323" s="127" t="str">
        <f>IF(ISTEXT('Incurred 2.5% cpi'!W323),"",'Incurred 2.5% cpi'!W323/'Incurred 2.5% cpi'!W$14*Incurred!W$14*BK323)</f>
        <v/>
      </c>
      <c r="X323" s="119" t="str">
        <f>IF(ISTEXT('Incurred 2.5% cpi'!X323),"",'Incurred 2.5% cpi'!X323/'Incurred 2.5% cpi'!X$14*Incurred!X$14*BL323)</f>
        <v/>
      </c>
      <c r="Y323" s="95">
        <f t="shared" si="423"/>
        <v>4841504.8519263919</v>
      </c>
      <c r="Z323" s="95">
        <f t="shared" ref="Z323:Z343" si="482">-SUMIFS(F323:W323,F323:W323,"&lt;0")+SUMIFS(F323:W323,F323:W323,"&gt;0")</f>
        <v>4841504.8519263919</v>
      </c>
      <c r="AA323" s="676">
        <f t="shared" si="475"/>
        <v>4956057.0892012715</v>
      </c>
      <c r="AB323" s="676">
        <f t="shared" si="457"/>
        <v>4860309.0018645395</v>
      </c>
      <c r="AC323" s="677">
        <f t="shared" si="476"/>
        <v>1.0197000000000001</v>
      </c>
      <c r="AD323" s="678" t="str">
        <f t="shared" si="458"/>
        <v>2022</v>
      </c>
      <c r="AE323" s="679">
        <v>44659</v>
      </c>
      <c r="AF323" s="678">
        <v>2022</v>
      </c>
      <c r="AG323" s="680"/>
      <c r="AH323" s="676">
        <f t="shared" si="477"/>
        <v>4495460.6848977786</v>
      </c>
      <c r="AI323" s="95">
        <f t="shared" si="459"/>
        <v>3886979.4743554122</v>
      </c>
      <c r="AJ323" s="681" t="s">
        <v>3061</v>
      </c>
      <c r="AK323" s="37">
        <f t="shared" si="460"/>
        <v>3205211.0000000005</v>
      </c>
      <c r="AL323" s="31">
        <f t="shared" si="478"/>
        <v>0</v>
      </c>
      <c r="AM323" s="31">
        <f t="shared" si="478"/>
        <v>0</v>
      </c>
      <c r="AN323" s="31">
        <f t="shared" si="478"/>
        <v>0</v>
      </c>
      <c r="AO323" s="31">
        <f t="shared" si="478"/>
        <v>0</v>
      </c>
      <c r="AP323" s="31">
        <f t="shared" si="478"/>
        <v>0</v>
      </c>
      <c r="AQ323" s="31">
        <f t="shared" si="478"/>
        <v>0</v>
      </c>
      <c r="AR323" s="31">
        <f t="shared" si="478"/>
        <v>0</v>
      </c>
      <c r="AS323" s="31">
        <f t="shared" si="478"/>
        <v>0</v>
      </c>
      <c r="AT323" s="31">
        <f t="shared" si="478"/>
        <v>0</v>
      </c>
      <c r="AU323" s="31">
        <f t="shared" si="478"/>
        <v>4.4178058792385269E-3</v>
      </c>
      <c r="AV323" s="31">
        <f t="shared" si="479"/>
        <v>0</v>
      </c>
      <c r="AW323" s="31">
        <f t="shared" si="479"/>
        <v>1.8719516437451386E-2</v>
      </c>
      <c r="AX323" s="31">
        <f t="shared" si="479"/>
        <v>0</v>
      </c>
      <c r="AY323" s="31">
        <f t="shared" si="479"/>
        <v>0</v>
      </c>
      <c r="AZ323" s="31">
        <f t="shared" si="479"/>
        <v>0.97686267768331014</v>
      </c>
      <c r="BA323" s="31">
        <f t="shared" si="479"/>
        <v>0</v>
      </c>
      <c r="BB323" s="31">
        <f t="shared" si="479"/>
        <v>0</v>
      </c>
      <c r="BC323" s="31">
        <f t="shared" si="479"/>
        <v>0</v>
      </c>
      <c r="BD323" s="31">
        <f t="shared" si="479"/>
        <v>0</v>
      </c>
      <c r="BE323" s="30">
        <f t="shared" si="480"/>
        <v>1</v>
      </c>
      <c r="BF323" s="620">
        <f t="shared" si="481"/>
        <v>1.0014797630688952</v>
      </c>
      <c r="BG323" s="620">
        <f t="shared" si="461"/>
        <v>1.0029691445977382</v>
      </c>
      <c r="BH323" s="620">
        <f t="shared" si="462"/>
        <v>1.0046988321078698</v>
      </c>
      <c r="BI323" s="620">
        <f t="shared" si="463"/>
        <v>1.0067900243076184</v>
      </c>
      <c r="BJ323" s="620">
        <f t="shared" si="464"/>
        <v>1.0093689289992867</v>
      </c>
      <c r="BK323" s="620">
        <f t="shared" si="465"/>
        <v>1.0120947140354393</v>
      </c>
      <c r="BL323" s="620">
        <f t="shared" si="466"/>
        <v>1.01408121876483</v>
      </c>
      <c r="BM323" s="621" t="str">
        <f t="shared" si="467"/>
        <v>Project</v>
      </c>
    </row>
    <row r="324" spans="1:65" x14ac:dyDescent="0.15">
      <c r="A324" s="91" t="s">
        <v>2433</v>
      </c>
      <c r="B324" s="13" t="s">
        <v>2434</v>
      </c>
      <c r="C324" s="13" t="s">
        <v>27</v>
      </c>
      <c r="D324" s="13" t="s">
        <v>40</v>
      </c>
      <c r="E324" s="13" t="s">
        <v>32</v>
      </c>
      <c r="F324" s="14">
        <v>0</v>
      </c>
      <c r="G324" s="14">
        <v>0</v>
      </c>
      <c r="H324" s="14">
        <v>0</v>
      </c>
      <c r="I324" s="14">
        <v>0</v>
      </c>
      <c r="J324" s="14">
        <v>0</v>
      </c>
      <c r="K324" s="14">
        <v>0</v>
      </c>
      <c r="L324" s="14">
        <v>0</v>
      </c>
      <c r="M324" s="15">
        <v>0</v>
      </c>
      <c r="N324" s="804"/>
      <c r="O324" s="14"/>
      <c r="P324" s="15"/>
      <c r="Q324" s="16">
        <f>IF(ISTEXT('Incurred 2.5% cpi'!Q324),"",'Incurred 2.5% cpi'!Q324/'Incurred 2.5% cpi'!Q$14*Incurred!Q$14)</f>
        <v>53395.19</v>
      </c>
      <c r="R324" s="127" t="str">
        <f>IF(ISTEXT('Incurred 2.5% cpi'!R324),"",'Incurred 2.5% cpi'!R324/'Incurred 2.5% cpi'!R$14*Incurred!R$14*BF324)</f>
        <v/>
      </c>
      <c r="S324" s="119" t="str">
        <f>IF(ISTEXT('Incurred 2.5% cpi'!S324),"",'Incurred 2.5% cpi'!S324/'Incurred 2.5% cpi'!S$14*Incurred!S$14*BG324)</f>
        <v/>
      </c>
      <c r="T324" s="16" t="str">
        <f>IF(ISTEXT('Incurred 2.5% cpi'!T324),"",'Incurred 2.5% cpi'!T324/'Incurred 2.5% cpi'!T$14*Incurred!T$14*BH324)</f>
        <v/>
      </c>
      <c r="U324" s="16" t="str">
        <f>IF(ISTEXT('Incurred 2.5% cpi'!U324),"",'Incurred 2.5% cpi'!U324/'Incurred 2.5% cpi'!U$14*Incurred!U$14*BI324)</f>
        <v/>
      </c>
      <c r="V324" s="16" t="str">
        <f>IF(ISTEXT('Incurred 2.5% cpi'!V324),"",'Incurred 2.5% cpi'!V324/'Incurred 2.5% cpi'!V$14*Incurred!V$14*BJ324)</f>
        <v/>
      </c>
      <c r="W324" s="127" t="str">
        <f>IF(ISTEXT('Incurred 2.5% cpi'!W324),"",'Incurred 2.5% cpi'!W324/'Incurred 2.5% cpi'!W$14*Incurred!W$14*BK324)</f>
        <v/>
      </c>
      <c r="X324" s="119" t="str">
        <f>IF(ISTEXT('Incurred 2.5% cpi'!X324),"",'Incurred 2.5% cpi'!X324/'Incurred 2.5% cpi'!X$14*Incurred!X$14*BL324)</f>
        <v/>
      </c>
      <c r="Y324" s="95">
        <f t="shared" si="423"/>
        <v>53395.19</v>
      </c>
      <c r="Z324" s="95">
        <f t="shared" si="482"/>
        <v>53395.19</v>
      </c>
      <c r="AA324" s="676">
        <f t="shared" si="475"/>
        <v>60025.619654703129</v>
      </c>
      <c r="AB324" s="676">
        <f t="shared" si="457"/>
        <v>53395.19</v>
      </c>
      <c r="AC324" s="677">
        <f t="shared" si="476"/>
        <v>1.1241765345287305</v>
      </c>
      <c r="AD324" s="678" t="str">
        <f t="shared" si="458"/>
        <v>2017</v>
      </c>
      <c r="AE324" s="679">
        <v>42704</v>
      </c>
      <c r="AF324" s="678">
        <v>2017</v>
      </c>
      <c r="AG324" s="680"/>
      <c r="AH324" s="676">
        <f t="shared" si="477"/>
        <v>54447.075243000007</v>
      </c>
      <c r="AI324" s="95">
        <f t="shared" si="459"/>
        <v>53395.19</v>
      </c>
      <c r="AJ324" s="681" t="s">
        <v>0</v>
      </c>
      <c r="AK324" s="37">
        <f t="shared" si="460"/>
        <v>0</v>
      </c>
      <c r="AL324" s="31">
        <f t="shared" si="478"/>
        <v>0</v>
      </c>
      <c r="AM324" s="31">
        <f t="shared" si="478"/>
        <v>0</v>
      </c>
      <c r="AN324" s="31">
        <f t="shared" si="478"/>
        <v>0</v>
      </c>
      <c r="AO324" s="31">
        <f t="shared" si="478"/>
        <v>0</v>
      </c>
      <c r="AP324" s="31">
        <f t="shared" si="478"/>
        <v>0</v>
      </c>
      <c r="AQ324" s="31">
        <f t="shared" si="478"/>
        <v>0</v>
      </c>
      <c r="AR324" s="31">
        <f t="shared" si="478"/>
        <v>0</v>
      </c>
      <c r="AS324" s="31">
        <f t="shared" si="478"/>
        <v>1</v>
      </c>
      <c r="AT324" s="31">
        <f t="shared" si="478"/>
        <v>0</v>
      </c>
      <c r="AU324" s="31">
        <f t="shared" si="478"/>
        <v>0</v>
      </c>
      <c r="AV324" s="31">
        <f t="shared" si="479"/>
        <v>0</v>
      </c>
      <c r="AW324" s="31">
        <f t="shared" si="479"/>
        <v>0</v>
      </c>
      <c r="AX324" s="31">
        <f t="shared" si="479"/>
        <v>0</v>
      </c>
      <c r="AY324" s="31">
        <f t="shared" si="479"/>
        <v>0</v>
      </c>
      <c r="AZ324" s="31">
        <f t="shared" si="479"/>
        <v>0</v>
      </c>
      <c r="BA324" s="31">
        <f t="shared" si="479"/>
        <v>0</v>
      </c>
      <c r="BB324" s="31">
        <f t="shared" si="479"/>
        <v>0</v>
      </c>
      <c r="BC324" s="31">
        <f t="shared" si="479"/>
        <v>0</v>
      </c>
      <c r="BD324" s="31">
        <f t="shared" si="479"/>
        <v>0</v>
      </c>
      <c r="BE324" s="30">
        <f t="shared" si="480"/>
        <v>1</v>
      </c>
      <c r="BF324" s="620">
        <f t="shared" si="481"/>
        <v>1.0034498951996242</v>
      </c>
      <c r="BG324" s="620">
        <f t="shared" si="461"/>
        <v>1.0069222147180459</v>
      </c>
      <c r="BH324" s="620">
        <f t="shared" si="462"/>
        <v>1.0109547796356901</v>
      </c>
      <c r="BI324" s="620">
        <f t="shared" si="463"/>
        <v>1.0158301506211216</v>
      </c>
      <c r="BJ324" s="620">
        <f t="shared" si="464"/>
        <v>1.0218425664619335</v>
      </c>
      <c r="BK324" s="620">
        <f t="shared" si="465"/>
        <v>1.0281974167140426</v>
      </c>
      <c r="BL324" s="620">
        <f t="shared" si="466"/>
        <v>1.0328287210586446</v>
      </c>
      <c r="BM324" s="621" t="str">
        <f t="shared" si="467"/>
        <v>Category</v>
      </c>
    </row>
    <row r="325" spans="1:65" x14ac:dyDescent="0.15">
      <c r="A325" s="91" t="s">
        <v>2435</v>
      </c>
      <c r="B325" s="13" t="s">
        <v>2436</v>
      </c>
      <c r="C325" s="13" t="s">
        <v>27</v>
      </c>
      <c r="D325" s="13" t="s">
        <v>107</v>
      </c>
      <c r="E325" s="13" t="s">
        <v>29</v>
      </c>
      <c r="F325" s="14">
        <v>0</v>
      </c>
      <c r="G325" s="14">
        <v>0</v>
      </c>
      <c r="H325" s="14">
        <v>0</v>
      </c>
      <c r="I325" s="14">
        <v>0</v>
      </c>
      <c r="J325" s="14">
        <v>0</v>
      </c>
      <c r="K325" s="14">
        <v>0</v>
      </c>
      <c r="L325" s="14">
        <v>0</v>
      </c>
      <c r="M325" s="15">
        <v>0</v>
      </c>
      <c r="N325" s="804"/>
      <c r="O325" s="14"/>
      <c r="P325" s="15"/>
      <c r="Q325" s="16">
        <f>IF(ISTEXT('Incurred 2.5% cpi'!Q325),"",'Incurred 2.5% cpi'!Q325/'Incurred 2.5% cpi'!Q$14*Incurred!Q$14)</f>
        <v>130000</v>
      </c>
      <c r="R325" s="127" t="str">
        <f>IF(ISTEXT('Incurred 2.5% cpi'!R325),"",'Incurred 2.5% cpi'!R325/'Incurred 2.5% cpi'!R$14*Incurred!R$14*BF325)</f>
        <v/>
      </c>
      <c r="S325" s="119" t="str">
        <f>IF(ISTEXT('Incurred 2.5% cpi'!S325),"",'Incurred 2.5% cpi'!S325/'Incurred 2.5% cpi'!S$14*Incurred!S$14*BG325)</f>
        <v/>
      </c>
      <c r="T325" s="16" t="str">
        <f>IF(ISTEXT('Incurred 2.5% cpi'!T325),"",'Incurred 2.5% cpi'!T325/'Incurred 2.5% cpi'!T$14*Incurred!T$14*BH325)</f>
        <v/>
      </c>
      <c r="U325" s="16" t="str">
        <f>IF(ISTEXT('Incurred 2.5% cpi'!U325),"",'Incurred 2.5% cpi'!U325/'Incurred 2.5% cpi'!U$14*Incurred!U$14*BI325)</f>
        <v/>
      </c>
      <c r="V325" s="16" t="str">
        <f>IF(ISTEXT('Incurred 2.5% cpi'!V325),"",'Incurred 2.5% cpi'!V325/'Incurred 2.5% cpi'!V$14*Incurred!V$14*BJ325)</f>
        <v/>
      </c>
      <c r="W325" s="127" t="str">
        <f>IF(ISTEXT('Incurred 2.5% cpi'!W325),"",'Incurred 2.5% cpi'!W325/'Incurred 2.5% cpi'!W$14*Incurred!W$14*BK325)</f>
        <v/>
      </c>
      <c r="X325" s="119" t="str">
        <f>IF(ISTEXT('Incurred 2.5% cpi'!X325),"",'Incurred 2.5% cpi'!X325/'Incurred 2.5% cpi'!X$14*Incurred!X$14*BL325)</f>
        <v/>
      </c>
      <c r="Y325" s="95">
        <f t="shared" si="423"/>
        <v>130000</v>
      </c>
      <c r="Z325" s="95">
        <f t="shared" si="482"/>
        <v>130000</v>
      </c>
      <c r="AA325" s="676">
        <f t="shared" si="475"/>
        <v>146142.94948873497</v>
      </c>
      <c r="AB325" s="676">
        <f t="shared" si="457"/>
        <v>130000.00000000001</v>
      </c>
      <c r="AC325" s="677">
        <f t="shared" si="476"/>
        <v>1.1241765345287305</v>
      </c>
      <c r="AD325" s="678" t="str">
        <f t="shared" si="458"/>
        <v>2017</v>
      </c>
      <c r="AE325" s="679">
        <v>42846</v>
      </c>
      <c r="AF325" s="678">
        <v>2017</v>
      </c>
      <c r="AG325" s="680"/>
      <c r="AH325" s="676">
        <f t="shared" si="477"/>
        <v>132561</v>
      </c>
      <c r="AI325" s="95">
        <f t="shared" si="459"/>
        <v>130000</v>
      </c>
      <c r="AJ325" s="681" t="s">
        <v>0</v>
      </c>
      <c r="AK325" s="37">
        <f t="shared" si="460"/>
        <v>0</v>
      </c>
      <c r="AL325" s="31">
        <f t="shared" si="478"/>
        <v>0</v>
      </c>
      <c r="AM325" s="31">
        <f t="shared" si="478"/>
        <v>0</v>
      </c>
      <c r="AN325" s="31">
        <f t="shared" si="478"/>
        <v>0</v>
      </c>
      <c r="AO325" s="31">
        <f t="shared" si="478"/>
        <v>0</v>
      </c>
      <c r="AP325" s="31">
        <f t="shared" si="478"/>
        <v>0</v>
      </c>
      <c r="AQ325" s="31">
        <f t="shared" si="478"/>
        <v>0</v>
      </c>
      <c r="AR325" s="31">
        <f t="shared" si="478"/>
        <v>0</v>
      </c>
      <c r="AS325" s="31">
        <f t="shared" si="478"/>
        <v>1</v>
      </c>
      <c r="AT325" s="31">
        <f t="shared" si="478"/>
        <v>0</v>
      </c>
      <c r="AU325" s="31">
        <f t="shared" si="478"/>
        <v>0</v>
      </c>
      <c r="AV325" s="31">
        <f t="shared" si="479"/>
        <v>0</v>
      </c>
      <c r="AW325" s="31">
        <f t="shared" si="479"/>
        <v>0</v>
      </c>
      <c r="AX325" s="31">
        <f t="shared" si="479"/>
        <v>0</v>
      </c>
      <c r="AY325" s="31">
        <f t="shared" si="479"/>
        <v>0</v>
      </c>
      <c r="AZ325" s="31">
        <f t="shared" si="479"/>
        <v>0</v>
      </c>
      <c r="BA325" s="31">
        <f t="shared" si="479"/>
        <v>0</v>
      </c>
      <c r="BB325" s="31">
        <f t="shared" si="479"/>
        <v>0</v>
      </c>
      <c r="BC325" s="31">
        <f t="shared" si="479"/>
        <v>0</v>
      </c>
      <c r="BD325" s="31">
        <f t="shared" si="479"/>
        <v>0</v>
      </c>
      <c r="BE325" s="30">
        <f t="shared" si="480"/>
        <v>1</v>
      </c>
      <c r="BF325" s="620">
        <f t="shared" si="481"/>
        <v>1.0028412957077109</v>
      </c>
      <c r="BG325" s="620">
        <f t="shared" si="461"/>
        <v>1.0057010598375218</v>
      </c>
      <c r="BH325" s="620">
        <f t="shared" si="462"/>
        <v>1.0090222359105849</v>
      </c>
      <c r="BI325" s="620">
        <f t="shared" si="463"/>
        <v>1.0130375377829182</v>
      </c>
      <c r="BJ325" s="620">
        <f t="shared" si="464"/>
        <v>1.0179892972808102</v>
      </c>
      <c r="BK325" s="620">
        <f t="shared" si="465"/>
        <v>1.0232230819901049</v>
      </c>
      <c r="BL325" s="620">
        <f t="shared" si="466"/>
        <v>1.027037373263896</v>
      </c>
      <c r="BM325" s="621" t="str">
        <f t="shared" si="467"/>
        <v>Category</v>
      </c>
    </row>
    <row r="326" spans="1:65" x14ac:dyDescent="0.15">
      <c r="A326" s="91" t="s">
        <v>2437</v>
      </c>
      <c r="B326" s="13" t="s">
        <v>2438</v>
      </c>
      <c r="C326" s="13" t="s">
        <v>27</v>
      </c>
      <c r="D326" s="13" t="s">
        <v>54</v>
      </c>
      <c r="E326" s="13" t="s">
        <v>29</v>
      </c>
      <c r="F326" s="14"/>
      <c r="G326" s="14"/>
      <c r="H326" s="14"/>
      <c r="I326" s="14"/>
      <c r="J326" s="14"/>
      <c r="K326" s="14"/>
      <c r="L326" s="14"/>
      <c r="M326" s="15"/>
      <c r="N326" s="804"/>
      <c r="O326" s="14"/>
      <c r="P326" s="15"/>
      <c r="Q326" s="16">
        <f>IF(ISTEXT('Incurred 2.5% cpi'!Q326),"",'Incurred 2.5% cpi'!Q326/'Incurred 2.5% cpi'!Q$14*Incurred!Q$14)</f>
        <v>266401.17</v>
      </c>
      <c r="R326" s="127">
        <f>IF(ISTEXT('Incurred 2.5% cpi'!R326),"",'Incurred 2.5% cpi'!R326/'Incurred 2.5% cpi'!R$14*Incurred!R$14*BF326)</f>
        <v>33292.127226512333</v>
      </c>
      <c r="S326" s="119" t="str">
        <f>IF(ISTEXT('Incurred 2.5% cpi'!S326),"",'Incurred 2.5% cpi'!S326/'Incurred 2.5% cpi'!S$14*Incurred!S$14*BG326)</f>
        <v/>
      </c>
      <c r="T326" s="16" t="str">
        <f>IF(ISTEXT('Incurred 2.5% cpi'!T326),"",'Incurred 2.5% cpi'!T326/'Incurred 2.5% cpi'!T$14*Incurred!T$14*BH326)</f>
        <v/>
      </c>
      <c r="U326" s="16" t="str">
        <f>IF(ISTEXT('Incurred 2.5% cpi'!U326),"",'Incurred 2.5% cpi'!U326/'Incurred 2.5% cpi'!U$14*Incurred!U$14*BI326)</f>
        <v/>
      </c>
      <c r="V326" s="16" t="str">
        <f>IF(ISTEXT('Incurred 2.5% cpi'!V326),"",'Incurred 2.5% cpi'!V326/'Incurred 2.5% cpi'!V$14*Incurred!V$14*BJ326)</f>
        <v/>
      </c>
      <c r="W326" s="127" t="str">
        <f>IF(ISTEXT('Incurred 2.5% cpi'!W326),"",'Incurred 2.5% cpi'!W326/'Incurred 2.5% cpi'!W$14*Incurred!W$14*BK326)</f>
        <v/>
      </c>
      <c r="X326" s="119" t="str">
        <f>IF(ISTEXT('Incurred 2.5% cpi'!X326),"",'Incurred 2.5% cpi'!X326/'Incurred 2.5% cpi'!X$14*Incurred!X$14*BL326)</f>
        <v/>
      </c>
      <c r="Y326" s="95">
        <f t="shared" si="423"/>
        <v>299693.29722651234</v>
      </c>
      <c r="Z326" s="95">
        <f t="shared" si="482"/>
        <v>299693.29722651234</v>
      </c>
      <c r="AA326" s="676">
        <f t="shared" si="475"/>
        <v>336185.11973724025</v>
      </c>
      <c r="AB326" s="676">
        <f t="shared" si="457"/>
        <v>304941.40027551237</v>
      </c>
      <c r="AC326" s="677">
        <f t="shared" si="476"/>
        <v>1.1024581097663335</v>
      </c>
      <c r="AD326" s="678" t="str">
        <f t="shared" si="458"/>
        <v>2018</v>
      </c>
      <c r="AE326" s="679">
        <v>42912</v>
      </c>
      <c r="AF326" s="678">
        <v>2018</v>
      </c>
      <c r="AG326" s="680"/>
      <c r="AH326" s="676">
        <f t="shared" si="477"/>
        <v>304941.40027551237</v>
      </c>
      <c r="AI326" s="95">
        <f t="shared" si="459"/>
        <v>33292.127226512333</v>
      </c>
      <c r="AJ326" s="681" t="s">
        <v>0</v>
      </c>
      <c r="AK326" s="37">
        <f t="shared" si="460"/>
        <v>0</v>
      </c>
      <c r="AL326" s="31">
        <f t="shared" si="478"/>
        <v>0</v>
      </c>
      <c r="AM326" s="31">
        <f t="shared" si="478"/>
        <v>0</v>
      </c>
      <c r="AN326" s="31">
        <f t="shared" si="478"/>
        <v>0</v>
      </c>
      <c r="AO326" s="31">
        <f t="shared" si="478"/>
        <v>0</v>
      </c>
      <c r="AP326" s="31">
        <f t="shared" si="478"/>
        <v>0</v>
      </c>
      <c r="AQ326" s="31">
        <f t="shared" si="478"/>
        <v>0</v>
      </c>
      <c r="AR326" s="31">
        <f t="shared" si="478"/>
        <v>0</v>
      </c>
      <c r="AS326" s="31">
        <f t="shared" si="478"/>
        <v>0</v>
      </c>
      <c r="AT326" s="31">
        <f t="shared" si="478"/>
        <v>0</v>
      </c>
      <c r="AU326" s="31">
        <f t="shared" si="478"/>
        <v>0</v>
      </c>
      <c r="AV326" s="31">
        <f t="shared" si="479"/>
        <v>0</v>
      </c>
      <c r="AW326" s="31">
        <f t="shared" si="479"/>
        <v>0</v>
      </c>
      <c r="AX326" s="31">
        <f t="shared" si="479"/>
        <v>0</v>
      </c>
      <c r="AY326" s="31">
        <f t="shared" si="479"/>
        <v>0</v>
      </c>
      <c r="AZ326" s="31">
        <f t="shared" si="479"/>
        <v>1</v>
      </c>
      <c r="BA326" s="31">
        <f t="shared" si="479"/>
        <v>0</v>
      </c>
      <c r="BB326" s="31">
        <f t="shared" si="479"/>
        <v>0</v>
      </c>
      <c r="BC326" s="31">
        <f t="shared" si="479"/>
        <v>0</v>
      </c>
      <c r="BD326" s="31">
        <f t="shared" si="479"/>
        <v>0</v>
      </c>
      <c r="BE326" s="30">
        <f t="shared" si="480"/>
        <v>1</v>
      </c>
      <c r="BF326" s="620">
        <f t="shared" si="481"/>
        <v>1.0030818160192299</v>
      </c>
      <c r="BG326" s="620">
        <f t="shared" si="461"/>
        <v>1.006183663842585</v>
      </c>
      <c r="BH326" s="620">
        <f t="shared" si="462"/>
        <v>1.0097859828820543</v>
      </c>
      <c r="BI326" s="620">
        <f t="shared" si="463"/>
        <v>1.0141411866007726</v>
      </c>
      <c r="BJ326" s="620">
        <f t="shared" si="464"/>
        <v>1.0195121206090012</v>
      </c>
      <c r="BK326" s="620">
        <f t="shared" si="465"/>
        <v>1.0251889537223347</v>
      </c>
      <c r="BL326" s="620">
        <f t="shared" si="466"/>
        <v>1.0293261309677997</v>
      </c>
      <c r="BM326" s="621" t="str">
        <f t="shared" si="467"/>
        <v>Category</v>
      </c>
    </row>
    <row r="327" spans="1:65" x14ac:dyDescent="0.15">
      <c r="A327" s="91" t="s">
        <v>2439</v>
      </c>
      <c r="B327" s="13" t="s">
        <v>2440</v>
      </c>
      <c r="C327" s="13" t="s">
        <v>27</v>
      </c>
      <c r="D327" s="13" t="s">
        <v>36</v>
      </c>
      <c r="E327" s="13" t="s">
        <v>29</v>
      </c>
      <c r="F327" s="14"/>
      <c r="G327" s="14"/>
      <c r="H327" s="14"/>
      <c r="I327" s="14"/>
      <c r="J327" s="14"/>
      <c r="K327" s="14"/>
      <c r="L327" s="14"/>
      <c r="M327" s="15"/>
      <c r="N327" s="804"/>
      <c r="O327" s="14"/>
      <c r="P327" s="15"/>
      <c r="Q327" s="16">
        <f>IF(ISTEXT('Incurred 2.5% cpi'!Q327),"",'Incurred 2.5% cpi'!Q327/'Incurred 2.5% cpi'!Q$14*Incurred!Q$14)</f>
        <v>1000007.56</v>
      </c>
      <c r="R327" s="127">
        <f>IF(ISTEXT('Incurred 2.5% cpi'!R327),"",'Incurred 2.5% cpi'!R327/'Incurred 2.5% cpi'!R$14*Incurred!R$14*BF327)</f>
        <v>3501457.4438677025</v>
      </c>
      <c r="S327" s="119" t="str">
        <f>IF(ISTEXT('Incurred 2.5% cpi'!S327),"",'Incurred 2.5% cpi'!S327/'Incurred 2.5% cpi'!S$14*Incurred!S$14*BG327)</f>
        <v/>
      </c>
      <c r="T327" s="16" t="str">
        <f>IF(ISTEXT('Incurred 2.5% cpi'!T327),"",'Incurred 2.5% cpi'!T327/'Incurred 2.5% cpi'!T$14*Incurred!T$14*BH327)</f>
        <v/>
      </c>
      <c r="U327" s="16" t="str">
        <f>IF(ISTEXT('Incurred 2.5% cpi'!U327),"",'Incurred 2.5% cpi'!U327/'Incurred 2.5% cpi'!U$14*Incurred!U$14*BI327)</f>
        <v/>
      </c>
      <c r="V327" s="16" t="str">
        <f>IF(ISTEXT('Incurred 2.5% cpi'!V327),"",'Incurred 2.5% cpi'!V327/'Incurred 2.5% cpi'!V$14*Incurred!V$14*BJ327)</f>
        <v/>
      </c>
      <c r="W327" s="127" t="str">
        <f>IF(ISTEXT('Incurred 2.5% cpi'!W327),"",'Incurred 2.5% cpi'!W327/'Incurred 2.5% cpi'!W$14*Incurred!W$14*BK327)</f>
        <v/>
      </c>
      <c r="X327" s="119" t="str">
        <f>IF(ISTEXT('Incurred 2.5% cpi'!X327),"",'Incurred 2.5% cpi'!X327/'Incurred 2.5% cpi'!X$14*Incurred!X$14*BL327)</f>
        <v/>
      </c>
      <c r="Y327" s="95">
        <f t="shared" si="423"/>
        <v>4501465.0038677026</v>
      </c>
      <c r="Z327" s="95">
        <f t="shared" si="482"/>
        <v>4501465.0038677026</v>
      </c>
      <c r="AA327" s="676">
        <f t="shared" si="475"/>
        <v>4984395.1882969765</v>
      </c>
      <c r="AB327" s="676">
        <f t="shared" si="457"/>
        <v>4521165.1527997022</v>
      </c>
      <c r="AC327" s="677">
        <f t="shared" si="476"/>
        <v>1.1024581097663335</v>
      </c>
      <c r="AD327" s="678" t="str">
        <f t="shared" si="458"/>
        <v>2018</v>
      </c>
      <c r="AE327" s="679">
        <v>43224</v>
      </c>
      <c r="AF327" s="678">
        <v>2018</v>
      </c>
      <c r="AG327" s="680"/>
      <c r="AH327" s="676">
        <f t="shared" si="477"/>
        <v>4521165.1527997022</v>
      </c>
      <c r="AI327" s="95">
        <f t="shared" si="459"/>
        <v>3501457.4438677025</v>
      </c>
      <c r="AJ327" s="681" t="s">
        <v>0</v>
      </c>
      <c r="AK327" s="37">
        <f t="shared" si="460"/>
        <v>0</v>
      </c>
      <c r="AL327" s="31">
        <f t="shared" si="478"/>
        <v>1</v>
      </c>
      <c r="AM327" s="31">
        <f t="shared" si="478"/>
        <v>0</v>
      </c>
      <c r="AN327" s="31">
        <f t="shared" si="478"/>
        <v>0</v>
      </c>
      <c r="AO327" s="31">
        <f t="shared" si="478"/>
        <v>0</v>
      </c>
      <c r="AP327" s="31">
        <f t="shared" si="478"/>
        <v>0</v>
      </c>
      <c r="AQ327" s="31">
        <f t="shared" si="478"/>
        <v>0</v>
      </c>
      <c r="AR327" s="31">
        <f t="shared" si="478"/>
        <v>0</v>
      </c>
      <c r="AS327" s="31">
        <f t="shared" si="478"/>
        <v>0</v>
      </c>
      <c r="AT327" s="31">
        <f t="shared" si="478"/>
        <v>0</v>
      </c>
      <c r="AU327" s="31">
        <f t="shared" si="478"/>
        <v>0</v>
      </c>
      <c r="AV327" s="31">
        <f t="shared" si="479"/>
        <v>0</v>
      </c>
      <c r="AW327" s="31">
        <f t="shared" si="479"/>
        <v>0</v>
      </c>
      <c r="AX327" s="31">
        <f t="shared" si="479"/>
        <v>0</v>
      </c>
      <c r="AY327" s="31">
        <f t="shared" si="479"/>
        <v>0</v>
      </c>
      <c r="AZ327" s="31">
        <f t="shared" si="479"/>
        <v>0</v>
      </c>
      <c r="BA327" s="31">
        <f t="shared" si="479"/>
        <v>0</v>
      </c>
      <c r="BB327" s="31">
        <f t="shared" si="479"/>
        <v>0</v>
      </c>
      <c r="BC327" s="31">
        <f t="shared" si="479"/>
        <v>0</v>
      </c>
      <c r="BD327" s="31">
        <f t="shared" si="479"/>
        <v>0</v>
      </c>
      <c r="BE327" s="30">
        <f t="shared" si="480"/>
        <v>1</v>
      </c>
      <c r="BF327" s="620">
        <f t="shared" si="481"/>
        <v>1.0018756098697492</v>
      </c>
      <c r="BG327" s="620">
        <f t="shared" si="461"/>
        <v>1.0037634112036518</v>
      </c>
      <c r="BH327" s="620">
        <f t="shared" si="462"/>
        <v>1.0059558020220052</v>
      </c>
      <c r="BI327" s="620">
        <f t="shared" si="463"/>
        <v>1.0086064025213943</v>
      </c>
      <c r="BJ327" s="620">
        <f t="shared" si="464"/>
        <v>1.0118751819594745</v>
      </c>
      <c r="BK327" s="620">
        <f t="shared" si="465"/>
        <v>1.0153301332446416</v>
      </c>
      <c r="BL327" s="620">
        <f t="shared" si="466"/>
        <v>1.0178480416551621</v>
      </c>
      <c r="BM327" s="621" t="str">
        <f t="shared" si="467"/>
        <v>Category</v>
      </c>
    </row>
    <row r="328" spans="1:65" x14ac:dyDescent="0.15">
      <c r="A328" s="91" t="s">
        <v>2441</v>
      </c>
      <c r="B328" s="13" t="s">
        <v>2442</v>
      </c>
      <c r="C328" s="13" t="s">
        <v>27</v>
      </c>
      <c r="D328" s="13" t="s">
        <v>60</v>
      </c>
      <c r="E328" s="13" t="s">
        <v>29</v>
      </c>
      <c r="F328" s="14"/>
      <c r="G328" s="14"/>
      <c r="H328" s="14"/>
      <c r="I328" s="14"/>
      <c r="J328" s="14"/>
      <c r="K328" s="14"/>
      <c r="L328" s="14"/>
      <c r="M328" s="15"/>
      <c r="N328" s="804"/>
      <c r="O328" s="14"/>
      <c r="P328" s="15"/>
      <c r="Q328" s="16">
        <f>IF(ISTEXT('Incurred 2.5% cpi'!Q328),"",'Incurred 2.5% cpi'!Q328/'Incurred 2.5% cpi'!Q$14*Incurred!Q$14)</f>
        <v>699288.29</v>
      </c>
      <c r="R328" s="127">
        <f>IF(ISTEXT('Incurred 2.5% cpi'!R328),"",'Incurred 2.5% cpi'!R328/'Incurred 2.5% cpi'!R$14*Incurred!R$14*BF328)</f>
        <v>2261432.7520570173</v>
      </c>
      <c r="S328" s="119" t="str">
        <f>IF(ISTEXT('Incurred 2.5% cpi'!S328),"",'Incurred 2.5% cpi'!S328/'Incurred 2.5% cpi'!S$14*Incurred!S$14*BG328)</f>
        <v/>
      </c>
      <c r="T328" s="16" t="str">
        <f>IF(ISTEXT('Incurred 2.5% cpi'!T328),"",'Incurred 2.5% cpi'!T328/'Incurred 2.5% cpi'!T$14*Incurred!T$14*BH328)</f>
        <v/>
      </c>
      <c r="U328" s="16" t="str">
        <f>IF(ISTEXT('Incurred 2.5% cpi'!U328),"",'Incurred 2.5% cpi'!U328/'Incurred 2.5% cpi'!U$14*Incurred!U$14*BI328)</f>
        <v/>
      </c>
      <c r="V328" s="16" t="str">
        <f>IF(ISTEXT('Incurred 2.5% cpi'!V328),"",'Incurred 2.5% cpi'!V328/'Incurred 2.5% cpi'!V$14*Incurred!V$14*BJ328)</f>
        <v/>
      </c>
      <c r="W328" s="127" t="str">
        <f>IF(ISTEXT('Incurred 2.5% cpi'!W328),"",'Incurred 2.5% cpi'!W328/'Incurred 2.5% cpi'!W$14*Incurred!W$14*BK328)</f>
        <v/>
      </c>
      <c r="X328" s="119" t="str">
        <f>IF(ISTEXT('Incurred 2.5% cpi'!X328),"",'Incurred 2.5% cpi'!X328/'Incurred 2.5% cpi'!X$14*Incurred!X$14*BL328)</f>
        <v/>
      </c>
      <c r="Y328" s="95">
        <f t="shared" si="423"/>
        <v>2960721.0420570173</v>
      </c>
      <c r="Z328" s="95">
        <f t="shared" si="482"/>
        <v>2960721.0420570173</v>
      </c>
      <c r="AA328" s="676">
        <f t="shared" si="475"/>
        <v>3279258.3636851786</v>
      </c>
      <c r="AB328" s="676">
        <f t="shared" si="457"/>
        <v>2974497.0213700174</v>
      </c>
      <c r="AC328" s="677">
        <f t="shared" si="476"/>
        <v>1.1024581097663335</v>
      </c>
      <c r="AD328" s="678" t="str">
        <f t="shared" si="458"/>
        <v>2018</v>
      </c>
      <c r="AE328" s="679">
        <v>42963</v>
      </c>
      <c r="AF328" s="678">
        <v>2018</v>
      </c>
      <c r="AG328" s="680"/>
      <c r="AH328" s="676">
        <f t="shared" si="477"/>
        <v>2974497.0213700174</v>
      </c>
      <c r="AI328" s="95">
        <f t="shared" si="459"/>
        <v>2261432.7520570173</v>
      </c>
      <c r="AJ328" s="681" t="s">
        <v>0</v>
      </c>
      <c r="AK328" s="37">
        <f t="shared" si="460"/>
        <v>0</v>
      </c>
      <c r="AL328" s="31">
        <f t="shared" si="478"/>
        <v>0</v>
      </c>
      <c r="AM328" s="31">
        <f t="shared" si="478"/>
        <v>0</v>
      </c>
      <c r="AN328" s="31">
        <f t="shared" si="478"/>
        <v>0</v>
      </c>
      <c r="AO328" s="31">
        <f t="shared" si="478"/>
        <v>0</v>
      </c>
      <c r="AP328" s="31">
        <f t="shared" si="478"/>
        <v>0</v>
      </c>
      <c r="AQ328" s="31">
        <f t="shared" si="478"/>
        <v>0</v>
      </c>
      <c r="AR328" s="31">
        <f t="shared" si="478"/>
        <v>0</v>
      </c>
      <c r="AS328" s="31">
        <f t="shared" si="478"/>
        <v>0</v>
      </c>
      <c r="AT328" s="31">
        <f t="shared" si="478"/>
        <v>0</v>
      </c>
      <c r="AU328" s="31">
        <f t="shared" si="478"/>
        <v>0</v>
      </c>
      <c r="AV328" s="31">
        <f t="shared" si="479"/>
        <v>0</v>
      </c>
      <c r="AW328" s="31">
        <f t="shared" si="479"/>
        <v>0</v>
      </c>
      <c r="AX328" s="31">
        <f t="shared" si="479"/>
        <v>0</v>
      </c>
      <c r="AY328" s="31">
        <f t="shared" si="479"/>
        <v>0</v>
      </c>
      <c r="AZ328" s="31">
        <f t="shared" si="479"/>
        <v>0</v>
      </c>
      <c r="BA328" s="31">
        <f t="shared" si="479"/>
        <v>1</v>
      </c>
      <c r="BB328" s="31">
        <f t="shared" si="479"/>
        <v>0</v>
      </c>
      <c r="BC328" s="31">
        <f t="shared" si="479"/>
        <v>0</v>
      </c>
      <c r="BD328" s="31">
        <f t="shared" si="479"/>
        <v>0</v>
      </c>
      <c r="BE328" s="30">
        <f t="shared" si="480"/>
        <v>1</v>
      </c>
      <c r="BF328" s="620">
        <f t="shared" si="481"/>
        <v>1.0002847743844534</v>
      </c>
      <c r="BG328" s="620">
        <f t="shared" si="461"/>
        <v>1.0005713998024055</v>
      </c>
      <c r="BH328" s="620">
        <f t="shared" si="462"/>
        <v>1.0009042711291389</v>
      </c>
      <c r="BI328" s="620">
        <f t="shared" si="463"/>
        <v>1.0013067125631596</v>
      </c>
      <c r="BJ328" s="620">
        <f t="shared" si="464"/>
        <v>1.001803012282737</v>
      </c>
      <c r="BK328" s="620">
        <f t="shared" si="465"/>
        <v>1.0023275785272521</v>
      </c>
      <c r="BL328" s="620">
        <f t="shared" si="466"/>
        <v>1.0027098732833635</v>
      </c>
      <c r="BM328" s="621" t="str">
        <f t="shared" si="467"/>
        <v>Category</v>
      </c>
    </row>
    <row r="329" spans="1:65" outlineLevel="1" x14ac:dyDescent="0.15">
      <c r="A329" s="91" t="s">
        <v>2607</v>
      </c>
      <c r="B329" s="91" t="s">
        <v>2608</v>
      </c>
      <c r="C329" s="13" t="s">
        <v>27</v>
      </c>
      <c r="D329" s="13" t="s">
        <v>28</v>
      </c>
      <c r="E329" s="13" t="s">
        <v>29</v>
      </c>
      <c r="F329" s="14"/>
      <c r="G329" s="14"/>
      <c r="H329" s="14"/>
      <c r="I329" s="14"/>
      <c r="J329" s="14"/>
      <c r="K329" s="14"/>
      <c r="L329" s="14"/>
      <c r="M329" s="15"/>
      <c r="N329" s="804"/>
      <c r="O329" s="14"/>
      <c r="P329" s="15"/>
      <c r="Q329" s="16">
        <f>IF(ISTEXT('Incurred 2.5% cpi'!Q329),"",'Incurred 2.5% cpi'!Q329/'Incurred 2.5% cpi'!Q$14*Incurred!Q$14)</f>
        <v>167733.92000000001</v>
      </c>
      <c r="R329" s="127">
        <f>IF(ISTEXT('Incurred 2.5% cpi'!R329),"",'Incurred 2.5% cpi'!R329/'Incurred 2.5% cpi'!R$14*Incurred!R$14*BF329)</f>
        <v>3319867.0736750313</v>
      </c>
      <c r="S329" s="119">
        <f>IF(ISTEXT('Incurred 2.5% cpi'!S329),"",'Incurred 2.5% cpi'!S329/'Incurred 2.5% cpi'!S$14*Incurred!S$14*BG329)</f>
        <v>518511.81352461589</v>
      </c>
      <c r="T329" s="16" t="str">
        <f>IF(ISTEXT('Incurred 2.5% cpi'!T329),"",'Incurred 2.5% cpi'!T329/'Incurred 2.5% cpi'!T$14*Incurred!T$14*BH329)</f>
        <v/>
      </c>
      <c r="U329" s="16" t="str">
        <f>IF(ISTEXT('Incurred 2.5% cpi'!U329),"",'Incurred 2.5% cpi'!U329/'Incurred 2.5% cpi'!U$14*Incurred!U$14*BI329)</f>
        <v/>
      </c>
      <c r="V329" s="16" t="str">
        <f>IF(ISTEXT('Incurred 2.5% cpi'!V329),"",'Incurred 2.5% cpi'!V329/'Incurred 2.5% cpi'!V$14*Incurred!V$14*BJ329)</f>
        <v/>
      </c>
      <c r="W329" s="127" t="str">
        <f>IF(ISTEXT('Incurred 2.5% cpi'!W329),"",'Incurred 2.5% cpi'!W329/'Incurred 2.5% cpi'!W$14*Incurred!W$14*BK329)</f>
        <v/>
      </c>
      <c r="X329" s="119" t="str">
        <f>IF(ISTEXT('Incurred 2.5% cpi'!X329),"",'Incurred 2.5% cpi'!X329/'Incurred 2.5% cpi'!X$14*Incurred!X$14*BL329)</f>
        <v/>
      </c>
      <c r="Y329" s="95">
        <f t="shared" ref="Y329:Y359" si="483">SUM(F329:W329)</f>
        <v>4006112.8071996472</v>
      </c>
      <c r="Z329" s="95">
        <f t="shared" si="482"/>
        <v>4006112.8071996472</v>
      </c>
      <c r="AA329" s="676">
        <f t="shared" si="475"/>
        <v>4409170.7705163406</v>
      </c>
      <c r="AB329" s="676">
        <f t="shared" ref="AB329:AB334" si="484">IF(AC329="","",AA329/AC329)</f>
        <v>4078188.0008560582</v>
      </c>
      <c r="AC329" s="677">
        <f t="shared" ref="AC329:AC334" si="485">IF(AF329="","",IF(AF329&lt;AD329,INDEX($F$17:$W$17,1,MATCH(TEXT(AF329,"000"),$F$21:$W$21)),INDEX($F$17:$W$17,1,MATCH(AD329,$F$21:$W$21))))</f>
        <v>1.0811592721058483</v>
      </c>
      <c r="AD329" s="678" t="str">
        <f t="shared" si="458"/>
        <v>2019</v>
      </c>
      <c r="AE329" s="679">
        <v>43270</v>
      </c>
      <c r="AF329" s="678">
        <v>2019</v>
      </c>
      <c r="AG329" s="680"/>
      <c r="AH329" s="676">
        <f t="shared" si="477"/>
        <v>3999399.8243170134</v>
      </c>
      <c r="AI329" s="95">
        <f t="shared" si="459"/>
        <v>518511.81352461589</v>
      </c>
      <c r="AJ329" s="681" t="s">
        <v>3058</v>
      </c>
      <c r="AK329" s="37">
        <f t="shared" si="460"/>
        <v>3954701.0815000013</v>
      </c>
      <c r="AL329" s="31">
        <f t="shared" si="478"/>
        <v>0</v>
      </c>
      <c r="AM329" s="31">
        <f t="shared" si="478"/>
        <v>0.99946898641471948</v>
      </c>
      <c r="AN329" s="31">
        <f t="shared" si="478"/>
        <v>5.3101358528050353E-4</v>
      </c>
      <c r="AO329" s="31">
        <f t="shared" si="478"/>
        <v>0</v>
      </c>
      <c r="AP329" s="31">
        <f t="shared" si="478"/>
        <v>0</v>
      </c>
      <c r="AQ329" s="31">
        <f t="shared" si="478"/>
        <v>0</v>
      </c>
      <c r="AR329" s="31">
        <f t="shared" si="478"/>
        <v>0</v>
      </c>
      <c r="AS329" s="31">
        <f t="shared" si="478"/>
        <v>0</v>
      </c>
      <c r="AT329" s="31">
        <f t="shared" si="478"/>
        <v>0</v>
      </c>
      <c r="AU329" s="31">
        <f t="shared" si="478"/>
        <v>0</v>
      </c>
      <c r="AV329" s="31">
        <f t="shared" si="479"/>
        <v>0</v>
      </c>
      <c r="AW329" s="31">
        <f t="shared" si="479"/>
        <v>0</v>
      </c>
      <c r="AX329" s="31">
        <f t="shared" si="479"/>
        <v>0</v>
      </c>
      <c r="AY329" s="31">
        <f t="shared" si="479"/>
        <v>0</v>
      </c>
      <c r="AZ329" s="31">
        <f t="shared" si="479"/>
        <v>0</v>
      </c>
      <c r="BA329" s="31">
        <f t="shared" si="479"/>
        <v>0</v>
      </c>
      <c r="BB329" s="31">
        <f t="shared" si="479"/>
        <v>0</v>
      </c>
      <c r="BC329" s="31">
        <f t="shared" si="479"/>
        <v>0</v>
      </c>
      <c r="BD329" s="31">
        <f t="shared" si="479"/>
        <v>0</v>
      </c>
      <c r="BE329" s="30">
        <f t="shared" ref="BE329:BE334" si="486">SUM(AL329:BD329)</f>
        <v>1</v>
      </c>
      <c r="BF329" s="620">
        <f t="shared" si="481"/>
        <v>1.0030444840366091</v>
      </c>
      <c r="BG329" s="620">
        <f t="shared" si="461"/>
        <v>1.0061087572194563</v>
      </c>
      <c r="BH329" s="620">
        <f t="shared" si="462"/>
        <v>1.0096674390946898</v>
      </c>
      <c r="BI329" s="620">
        <f t="shared" si="463"/>
        <v>1.0139698854818469</v>
      </c>
      <c r="BJ329" s="620">
        <f t="shared" si="464"/>
        <v>1.0192757579764089</v>
      </c>
      <c r="BK329" s="620">
        <f t="shared" si="465"/>
        <v>1.0248838240271385</v>
      </c>
      <c r="BL329" s="620">
        <f t="shared" si="466"/>
        <v>1.0289708850333266</v>
      </c>
      <c r="BM329" s="621" t="str">
        <f t="shared" si="467"/>
        <v>Category</v>
      </c>
    </row>
    <row r="330" spans="1:65" outlineLevel="1" x14ac:dyDescent="0.15">
      <c r="A330" s="91" t="s">
        <v>2609</v>
      </c>
      <c r="B330" s="91" t="s">
        <v>2610</v>
      </c>
      <c r="C330" s="13" t="s">
        <v>27</v>
      </c>
      <c r="D330" s="13" t="s">
        <v>28</v>
      </c>
      <c r="E330" s="13" t="s">
        <v>29</v>
      </c>
      <c r="F330" s="14"/>
      <c r="G330" s="14"/>
      <c r="H330" s="14"/>
      <c r="I330" s="14"/>
      <c r="J330" s="14"/>
      <c r="K330" s="14"/>
      <c r="L330" s="14"/>
      <c r="M330" s="15"/>
      <c r="N330" s="804"/>
      <c r="O330" s="14"/>
      <c r="P330" s="15"/>
      <c r="Q330" s="16">
        <f>IF(ISTEXT('Incurred 2.5% cpi'!Q330),"",'Incurred 2.5% cpi'!Q330/'Incurred 2.5% cpi'!Q$14*Incurred!Q$14)</f>
        <v>219065.98</v>
      </c>
      <c r="R330" s="127">
        <f>IF(ISTEXT('Incurred 2.5% cpi'!R330),"",'Incurred 2.5% cpi'!R330/'Incurred 2.5% cpi'!R$14*Incurred!R$14*BF330)</f>
        <v>5251654.153001179</v>
      </c>
      <c r="S330" s="119">
        <f>IF(ISTEXT('Incurred 2.5% cpi'!S330),"",'Incurred 2.5% cpi'!S330/'Incurred 2.5% cpi'!S$14*Incurred!S$14*BG330)</f>
        <v>1009926.3208481296</v>
      </c>
      <c r="T330" s="16" t="str">
        <f>IF(ISTEXT('Incurred 2.5% cpi'!T330),"",'Incurred 2.5% cpi'!T330/'Incurred 2.5% cpi'!T$14*Incurred!T$14*BH330)</f>
        <v/>
      </c>
      <c r="U330" s="16" t="str">
        <f>IF(ISTEXT('Incurred 2.5% cpi'!U330),"",'Incurred 2.5% cpi'!U330/'Incurred 2.5% cpi'!U$14*Incurred!U$14*BI330)</f>
        <v/>
      </c>
      <c r="V330" s="16" t="str">
        <f>IF(ISTEXT('Incurred 2.5% cpi'!V330),"",'Incurred 2.5% cpi'!V330/'Incurred 2.5% cpi'!V$14*Incurred!V$14*BJ330)</f>
        <v/>
      </c>
      <c r="W330" s="127" t="str">
        <f>IF(ISTEXT('Incurred 2.5% cpi'!W330),"",'Incurred 2.5% cpi'!W330/'Incurred 2.5% cpi'!W$14*Incurred!W$14*BK330)</f>
        <v/>
      </c>
      <c r="X330" s="119" t="str">
        <f>IF(ISTEXT('Incurred 2.5% cpi'!X330),"",'Incurred 2.5% cpi'!X330/'Incurred 2.5% cpi'!X$14*Incurred!X$14*BL330)</f>
        <v/>
      </c>
      <c r="Y330" s="95">
        <f t="shared" si="483"/>
        <v>6480646.4538493091</v>
      </c>
      <c r="Z330" s="95">
        <f t="shared" si="482"/>
        <v>6480646.4538493091</v>
      </c>
      <c r="AA330" s="676">
        <f t="shared" si="475"/>
        <v>7127888.7508224361</v>
      </c>
      <c r="AB330" s="676">
        <f t="shared" si="484"/>
        <v>6592820.2575916098</v>
      </c>
      <c r="AC330" s="677">
        <f t="shared" si="485"/>
        <v>1.0811592721058483</v>
      </c>
      <c r="AD330" s="678" t="str">
        <f t="shared" si="458"/>
        <v>2019</v>
      </c>
      <c r="AE330" s="679">
        <v>43278</v>
      </c>
      <c r="AF330" s="678">
        <v>2019</v>
      </c>
      <c r="AG330" s="680"/>
      <c r="AH330" s="676">
        <f t="shared" si="477"/>
        <v>6465450.8753472688</v>
      </c>
      <c r="AI330" s="95">
        <f t="shared" si="459"/>
        <v>1009926.3208481296</v>
      </c>
      <c r="AJ330" s="681" t="s">
        <v>3058</v>
      </c>
      <c r="AK330" s="37">
        <f t="shared" si="460"/>
        <v>5306398.7020000014</v>
      </c>
      <c r="AL330" s="31">
        <f t="shared" si="478"/>
        <v>0</v>
      </c>
      <c r="AM330" s="31">
        <f t="shared" si="478"/>
        <v>0.99960425137311892</v>
      </c>
      <c r="AN330" s="31">
        <f t="shared" si="478"/>
        <v>3.9574862688107143E-4</v>
      </c>
      <c r="AO330" s="31">
        <f t="shared" si="478"/>
        <v>0</v>
      </c>
      <c r="AP330" s="31">
        <f t="shared" si="478"/>
        <v>0</v>
      </c>
      <c r="AQ330" s="31">
        <f t="shared" si="478"/>
        <v>0</v>
      </c>
      <c r="AR330" s="31">
        <f t="shared" si="478"/>
        <v>0</v>
      </c>
      <c r="AS330" s="31">
        <f t="shared" si="478"/>
        <v>0</v>
      </c>
      <c r="AT330" s="31">
        <f t="shared" si="478"/>
        <v>0</v>
      </c>
      <c r="AU330" s="31">
        <f t="shared" si="478"/>
        <v>0</v>
      </c>
      <c r="AV330" s="31">
        <f t="shared" si="479"/>
        <v>0</v>
      </c>
      <c r="AW330" s="31">
        <f t="shared" si="479"/>
        <v>0</v>
      </c>
      <c r="AX330" s="31">
        <f t="shared" si="479"/>
        <v>0</v>
      </c>
      <c r="AY330" s="31">
        <f t="shared" si="479"/>
        <v>0</v>
      </c>
      <c r="AZ330" s="31">
        <f t="shared" si="479"/>
        <v>0</v>
      </c>
      <c r="BA330" s="31">
        <f t="shared" si="479"/>
        <v>0</v>
      </c>
      <c r="BB330" s="31">
        <f t="shared" si="479"/>
        <v>0</v>
      </c>
      <c r="BC330" s="31">
        <f t="shared" si="479"/>
        <v>0</v>
      </c>
      <c r="BD330" s="31">
        <f t="shared" si="479"/>
        <v>0</v>
      </c>
      <c r="BE330" s="30">
        <f t="shared" si="486"/>
        <v>1</v>
      </c>
      <c r="BF330" s="620">
        <f t="shared" si="481"/>
        <v>1.0030444840366091</v>
      </c>
      <c r="BG330" s="620">
        <f t="shared" si="461"/>
        <v>1.0061087572194563</v>
      </c>
      <c r="BH330" s="620">
        <f t="shared" si="462"/>
        <v>1.0096674390946898</v>
      </c>
      <c r="BI330" s="620">
        <f t="shared" si="463"/>
        <v>1.0139698854818469</v>
      </c>
      <c r="BJ330" s="620">
        <f t="shared" si="464"/>
        <v>1.0192757579764089</v>
      </c>
      <c r="BK330" s="620">
        <f t="shared" si="465"/>
        <v>1.0248838240271385</v>
      </c>
      <c r="BL330" s="620">
        <f t="shared" si="466"/>
        <v>1.0289708850333266</v>
      </c>
      <c r="BM330" s="621" t="str">
        <f t="shared" si="467"/>
        <v>Category</v>
      </c>
    </row>
    <row r="331" spans="1:65" outlineLevel="1" x14ac:dyDescent="0.15">
      <c r="A331" s="91" t="s">
        <v>2611</v>
      </c>
      <c r="B331" s="91" t="s">
        <v>2612</v>
      </c>
      <c r="C331" s="13" t="s">
        <v>27</v>
      </c>
      <c r="D331" s="13" t="s">
        <v>54</v>
      </c>
      <c r="E331" s="13" t="s">
        <v>112</v>
      </c>
      <c r="F331" s="14"/>
      <c r="G331" s="14"/>
      <c r="H331" s="14"/>
      <c r="I331" s="14"/>
      <c r="J331" s="14"/>
      <c r="K331" s="14"/>
      <c r="L331" s="14"/>
      <c r="M331" s="15"/>
      <c r="N331" s="804"/>
      <c r="O331" s="14"/>
      <c r="P331" s="15"/>
      <c r="Q331" s="16" t="str">
        <f>IF(ISTEXT('Incurred 2.5% cpi'!Q331),"",'Incurred 2.5% cpi'!Q331/'Incurred 2.5% cpi'!Q$14*Incurred!Q$14)</f>
        <v/>
      </c>
      <c r="R331" s="127">
        <f>IF(ISTEXT('Incurred 2.5% cpi'!R331),"",'Incurred 2.5% cpi'!R331/'Incurred 2.5% cpi'!R$14*Incurred!R$14*BF331)</f>
        <v>21796.419410780443</v>
      </c>
      <c r="S331" s="119">
        <f>IF(ISTEXT('Incurred 2.5% cpi'!S331),"",'Incurred 2.5% cpi'!S331/'Incurred 2.5% cpi'!S$14*Incurred!S$14*BG331)</f>
        <v>406940.12626618025</v>
      </c>
      <c r="T331" s="16" t="str">
        <f>IF(ISTEXT('Incurred 2.5% cpi'!T331),"",'Incurred 2.5% cpi'!T331/'Incurred 2.5% cpi'!T$14*Incurred!T$14*BH331)</f>
        <v/>
      </c>
      <c r="U331" s="16" t="str">
        <f>IF(ISTEXT('Incurred 2.5% cpi'!U331),"",'Incurred 2.5% cpi'!U331/'Incurred 2.5% cpi'!U$14*Incurred!U$14*BI331)</f>
        <v/>
      </c>
      <c r="V331" s="16" t="str">
        <f>IF(ISTEXT('Incurred 2.5% cpi'!V331),"",'Incurred 2.5% cpi'!V331/'Incurred 2.5% cpi'!V$14*Incurred!V$14*BJ331)</f>
        <v/>
      </c>
      <c r="W331" s="127" t="str">
        <f>IF(ISTEXT('Incurred 2.5% cpi'!W331),"",'Incurred 2.5% cpi'!W331/'Incurred 2.5% cpi'!W$14*Incurred!W$14*BK331)</f>
        <v/>
      </c>
      <c r="X331" s="119" t="str">
        <f>IF(ISTEXT('Incurred 2.5% cpi'!X331),"",'Incurred 2.5% cpi'!X331/'Incurred 2.5% cpi'!X$14*Incurred!X$14*BL331)</f>
        <v/>
      </c>
      <c r="Y331" s="95">
        <f t="shared" si="483"/>
        <v>428736.54567696067</v>
      </c>
      <c r="Z331" s="95">
        <f t="shared" si="482"/>
        <v>428736.54567696067</v>
      </c>
      <c r="AA331" s="676">
        <f>IF(ROUND(Y331,0)=0,0,SUMPRODUCT($F$17:$W$17,F331:W331))</f>
        <v>463996.7300478887</v>
      </c>
      <c r="AB331" s="676">
        <f t="shared" si="484"/>
        <v>429165.9351393531</v>
      </c>
      <c r="AC331" s="677">
        <f t="shared" si="485"/>
        <v>1.0811592721058483</v>
      </c>
      <c r="AD331" s="678" t="str">
        <f t="shared" si="458"/>
        <v>2019</v>
      </c>
      <c r="AE331" s="679">
        <v>43525</v>
      </c>
      <c r="AF331" s="678">
        <v>2019</v>
      </c>
      <c r="AG331" s="680"/>
      <c r="AH331" s="676">
        <f>IF(ROUND(Y331,0)=0,0,SUMPRODUCT($F$16:$W$16,F331:W331))</f>
        <v>420874.70348078164</v>
      </c>
      <c r="AI331" s="95">
        <f t="shared" si="459"/>
        <v>406940.12626618025</v>
      </c>
      <c r="AJ331" s="681" t="s">
        <v>3060</v>
      </c>
      <c r="AK331" s="37">
        <f t="shared" si="460"/>
        <v>215159.99999999988</v>
      </c>
      <c r="AL331" s="31">
        <f t="shared" ref="AL331:AU344" si="487">IF($AK331=0,VLOOKUP(MID($A331,4,5),ProjectSplits,AL$20,FALSE),IF(ISNA(VLOOKUP($A331,Estimates,AL$19,FALSE)),VLOOKUP(MID($A331,4,5),ProjectSplits,AL$20,FALSE),VLOOKUP($A331,Estimates,AL$19,FALSE)))</f>
        <v>0</v>
      </c>
      <c r="AM331" s="31">
        <f t="shared" si="487"/>
        <v>0</v>
      </c>
      <c r="AN331" s="31">
        <f t="shared" si="487"/>
        <v>0</v>
      </c>
      <c r="AO331" s="31">
        <f t="shared" si="487"/>
        <v>0</v>
      </c>
      <c r="AP331" s="31">
        <f t="shared" si="487"/>
        <v>0</v>
      </c>
      <c r="AQ331" s="31">
        <f t="shared" si="487"/>
        <v>0</v>
      </c>
      <c r="AR331" s="31">
        <f t="shared" si="487"/>
        <v>0</v>
      </c>
      <c r="AS331" s="31">
        <f t="shared" si="487"/>
        <v>0</v>
      </c>
      <c r="AT331" s="31">
        <f t="shared" si="487"/>
        <v>0</v>
      </c>
      <c r="AU331" s="31">
        <f t="shared" si="487"/>
        <v>6.5811489124372541E-2</v>
      </c>
      <c r="AV331" s="31">
        <f t="shared" ref="AV331:BD344" si="488">IF($AK331=0,VLOOKUP(MID($A331,4,5),ProjectSplits,AV$20,FALSE),IF(ISNA(VLOOKUP($A331,Estimates,AV$19,FALSE)),VLOOKUP(MID($A331,4,5),ProjectSplits,AV$20,FALSE),VLOOKUP($A331,Estimates,AV$19,FALSE)))</f>
        <v>0</v>
      </c>
      <c r="AW331" s="31">
        <f t="shared" si="488"/>
        <v>0</v>
      </c>
      <c r="AX331" s="31">
        <f t="shared" si="488"/>
        <v>0</v>
      </c>
      <c r="AY331" s="31">
        <f t="shared" si="488"/>
        <v>0</v>
      </c>
      <c r="AZ331" s="31">
        <f t="shared" si="488"/>
        <v>0.86447295036252081</v>
      </c>
      <c r="BA331" s="31">
        <f t="shared" si="488"/>
        <v>0</v>
      </c>
      <c r="BB331" s="31">
        <f t="shared" si="488"/>
        <v>6.9715560513106511E-2</v>
      </c>
      <c r="BC331" s="31">
        <f t="shared" si="488"/>
        <v>0</v>
      </c>
      <c r="BD331" s="31">
        <f t="shared" si="488"/>
        <v>0</v>
      </c>
      <c r="BE331" s="30">
        <f t="shared" si="486"/>
        <v>0.99999999999999978</v>
      </c>
      <c r="BF331" s="620">
        <f t="shared" si="481"/>
        <v>1.0039107050984442</v>
      </c>
      <c r="BG331" s="620">
        <f t="shared" si="461"/>
        <v>1.0078468297800283</v>
      </c>
      <c r="BH331" s="620">
        <f t="shared" si="462"/>
        <v>1.012418033040045</v>
      </c>
      <c r="BI331" s="620">
        <f t="shared" si="463"/>
        <v>1.0179446177814049</v>
      </c>
      <c r="BJ331" s="620">
        <f t="shared" si="464"/>
        <v>1.0247601248974445</v>
      </c>
      <c r="BK331" s="620">
        <f t="shared" si="465"/>
        <v>1.0319638061233205</v>
      </c>
      <c r="BL331" s="620">
        <f t="shared" si="466"/>
        <v>1.037213723719326</v>
      </c>
      <c r="BM331" s="621" t="str">
        <f t="shared" si="467"/>
        <v>Project</v>
      </c>
    </row>
    <row r="332" spans="1:65" outlineLevel="1" x14ac:dyDescent="0.15">
      <c r="A332" s="91" t="s">
        <v>2613</v>
      </c>
      <c r="B332" s="91" t="s">
        <v>2614</v>
      </c>
      <c r="C332" s="13" t="s">
        <v>27</v>
      </c>
      <c r="D332" s="13" t="s">
        <v>40</v>
      </c>
      <c r="E332" s="13" t="s">
        <v>29</v>
      </c>
      <c r="F332" s="14"/>
      <c r="G332" s="14"/>
      <c r="H332" s="14"/>
      <c r="I332" s="14"/>
      <c r="J332" s="14"/>
      <c r="K332" s="14"/>
      <c r="L332" s="14"/>
      <c r="M332" s="15"/>
      <c r="N332" s="804"/>
      <c r="O332" s="14"/>
      <c r="P332" s="15"/>
      <c r="Q332" s="16">
        <f>IF(ISTEXT('Incurred 2.5% cpi'!Q332),"",'Incurred 2.5% cpi'!Q332/'Incurred 2.5% cpi'!Q$14*Incurred!Q$14)</f>
        <v>446096.27</v>
      </c>
      <c r="R332" s="127">
        <f>IF(ISTEXT('Incurred 2.5% cpi'!R332),"",'Incurred 2.5% cpi'!R332/'Incurred 2.5% cpi'!R$14*Incurred!R$14*BF332)</f>
        <v>552940.70138551679</v>
      </c>
      <c r="S332" s="119" t="str">
        <f>IF(ISTEXT('Incurred 2.5% cpi'!S332),"",'Incurred 2.5% cpi'!S332/'Incurred 2.5% cpi'!S$14*Incurred!S$14*BG332)</f>
        <v/>
      </c>
      <c r="T332" s="16" t="str">
        <f>IF(ISTEXT('Incurred 2.5% cpi'!T332),"",'Incurred 2.5% cpi'!T332/'Incurred 2.5% cpi'!T$14*Incurred!T$14*BH332)</f>
        <v/>
      </c>
      <c r="U332" s="16" t="str">
        <f>IF(ISTEXT('Incurred 2.5% cpi'!U332),"",'Incurred 2.5% cpi'!U332/'Incurred 2.5% cpi'!U$14*Incurred!U$14*BI332)</f>
        <v/>
      </c>
      <c r="V332" s="16" t="str">
        <f>IF(ISTEXT('Incurred 2.5% cpi'!V332),"",'Incurred 2.5% cpi'!V332/'Incurred 2.5% cpi'!V$14*Incurred!V$14*BJ332)</f>
        <v/>
      </c>
      <c r="W332" s="127" t="str">
        <f>IF(ISTEXT('Incurred 2.5% cpi'!W332),"",'Incurred 2.5% cpi'!W332/'Incurred 2.5% cpi'!W$14*Incurred!W$14*BK332)</f>
        <v/>
      </c>
      <c r="X332" s="119" t="str">
        <f>IF(ISTEXT('Incurred 2.5% cpi'!X332),"",'Incurred 2.5% cpi'!X332/'Incurred 2.5% cpi'!X$14*Incurred!X$14*BL332)</f>
        <v/>
      </c>
      <c r="Y332" s="95">
        <f t="shared" si="483"/>
        <v>999036.97138551681</v>
      </c>
      <c r="Z332" s="95">
        <f t="shared" si="482"/>
        <v>999036.97138551681</v>
      </c>
      <c r="AA332" s="676">
        <f>IF(ROUND(Y332,0)=0,0,SUMPRODUCT($F$17:$W$17,F332:W332))</f>
        <v>1111084.9193371404</v>
      </c>
      <c r="AB332" s="676">
        <f t="shared" si="484"/>
        <v>1007825.0679045168</v>
      </c>
      <c r="AC332" s="677">
        <f t="shared" si="485"/>
        <v>1.1024581097663335</v>
      </c>
      <c r="AD332" s="678" t="str">
        <f t="shared" si="458"/>
        <v>2018</v>
      </c>
      <c r="AE332" s="679">
        <v>43007</v>
      </c>
      <c r="AF332" s="678">
        <v>2018</v>
      </c>
      <c r="AG332" s="680"/>
      <c r="AH332" s="676">
        <f>IF(ROUND(Y332,0)=0,0,SUMPRODUCT($F$16:$W$16,F332:W332))</f>
        <v>1007825.0679045168</v>
      </c>
      <c r="AI332" s="95">
        <f t="shared" si="459"/>
        <v>552940.70138551679</v>
      </c>
      <c r="AJ332" s="681" t="s">
        <v>0</v>
      </c>
      <c r="AK332" s="37">
        <f t="shared" si="460"/>
        <v>0</v>
      </c>
      <c r="AL332" s="31">
        <f t="shared" si="487"/>
        <v>0</v>
      </c>
      <c r="AM332" s="31">
        <f t="shared" si="487"/>
        <v>0</v>
      </c>
      <c r="AN332" s="31">
        <f t="shared" si="487"/>
        <v>0</v>
      </c>
      <c r="AO332" s="31">
        <f t="shared" si="487"/>
        <v>0</v>
      </c>
      <c r="AP332" s="31">
        <f t="shared" si="487"/>
        <v>0</v>
      </c>
      <c r="AQ332" s="31">
        <f t="shared" si="487"/>
        <v>0</v>
      </c>
      <c r="AR332" s="31">
        <f t="shared" si="487"/>
        <v>0</v>
      </c>
      <c r="AS332" s="31">
        <f t="shared" si="487"/>
        <v>0</v>
      </c>
      <c r="AT332" s="31">
        <f t="shared" si="487"/>
        <v>0</v>
      </c>
      <c r="AU332" s="31">
        <f t="shared" si="487"/>
        <v>0</v>
      </c>
      <c r="AV332" s="31">
        <f t="shared" si="488"/>
        <v>0</v>
      </c>
      <c r="AW332" s="31">
        <f t="shared" si="488"/>
        <v>0</v>
      </c>
      <c r="AX332" s="31">
        <f t="shared" si="488"/>
        <v>0</v>
      </c>
      <c r="AY332" s="31">
        <f t="shared" si="488"/>
        <v>0</v>
      </c>
      <c r="AZ332" s="31">
        <f t="shared" si="488"/>
        <v>1</v>
      </c>
      <c r="BA332" s="31">
        <f t="shared" si="488"/>
        <v>0</v>
      </c>
      <c r="BB332" s="31">
        <f t="shared" si="488"/>
        <v>0</v>
      </c>
      <c r="BC332" s="31">
        <f t="shared" si="488"/>
        <v>0</v>
      </c>
      <c r="BD332" s="31">
        <f t="shared" si="488"/>
        <v>0</v>
      </c>
      <c r="BE332" s="30">
        <f t="shared" si="486"/>
        <v>1</v>
      </c>
      <c r="BF332" s="620">
        <f t="shared" si="481"/>
        <v>1.0034498951996242</v>
      </c>
      <c r="BG332" s="620">
        <f t="shared" si="461"/>
        <v>1.0069222147180459</v>
      </c>
      <c r="BH332" s="620">
        <f t="shared" si="462"/>
        <v>1.0109547796356901</v>
      </c>
      <c r="BI332" s="620">
        <f t="shared" si="463"/>
        <v>1.0158301506211216</v>
      </c>
      <c r="BJ332" s="620">
        <f t="shared" si="464"/>
        <v>1.0218425664619335</v>
      </c>
      <c r="BK332" s="620">
        <f t="shared" si="465"/>
        <v>1.0281974167140426</v>
      </c>
      <c r="BL332" s="620">
        <f t="shared" si="466"/>
        <v>1.0328287210586446</v>
      </c>
      <c r="BM332" s="621" t="str">
        <f t="shared" si="467"/>
        <v>Category</v>
      </c>
    </row>
    <row r="333" spans="1:65" outlineLevel="1" x14ac:dyDescent="0.15">
      <c r="A333" s="91" t="s">
        <v>2615</v>
      </c>
      <c r="B333" s="91" t="s">
        <v>2616</v>
      </c>
      <c r="C333" s="13" t="s">
        <v>27</v>
      </c>
      <c r="D333" s="13" t="s">
        <v>54</v>
      </c>
      <c r="E333" s="13" t="s">
        <v>29</v>
      </c>
      <c r="F333" s="14"/>
      <c r="G333" s="14"/>
      <c r="H333" s="14"/>
      <c r="I333" s="14"/>
      <c r="J333" s="14"/>
      <c r="K333" s="14"/>
      <c r="L333" s="14"/>
      <c r="M333" s="15"/>
      <c r="N333" s="804"/>
      <c r="O333" s="14"/>
      <c r="P333" s="15"/>
      <c r="Q333" s="16">
        <f>IF(ISTEXT('Incurred 2.5% cpi'!Q333),"",'Incurred 2.5% cpi'!Q333/'Incurred 2.5% cpi'!Q$14*Incurred!Q$14)</f>
        <v>96525.57</v>
      </c>
      <c r="R333" s="127">
        <f>IF(ISTEXT('Incurred 2.5% cpi'!R333),"",'Incurred 2.5% cpi'!R333/'Incurred 2.5% cpi'!R$14*Incurred!R$14*BF333)</f>
        <v>3050042.2942324476</v>
      </c>
      <c r="S333" s="119">
        <f>IF(ISTEXT('Incurred 2.5% cpi'!S333),"",'Incurred 2.5% cpi'!S333/'Incurred 2.5% cpi'!S$14*Incurred!S$14*BG333)</f>
        <v>70898.339555764527</v>
      </c>
      <c r="T333" s="16" t="str">
        <f>IF(ISTEXT('Incurred 2.5% cpi'!T333),"",'Incurred 2.5% cpi'!T333/'Incurred 2.5% cpi'!T$14*Incurred!T$14*BH333)</f>
        <v/>
      </c>
      <c r="U333" s="16" t="str">
        <f>IF(ISTEXT('Incurred 2.5% cpi'!U333),"",'Incurred 2.5% cpi'!U333/'Incurred 2.5% cpi'!U$14*Incurred!U$14*BI333)</f>
        <v/>
      </c>
      <c r="V333" s="16" t="str">
        <f>IF(ISTEXT('Incurred 2.5% cpi'!V333),"",'Incurred 2.5% cpi'!V333/'Incurred 2.5% cpi'!V$14*Incurred!V$14*BJ333)</f>
        <v/>
      </c>
      <c r="W333" s="127" t="str">
        <f>IF(ISTEXT('Incurred 2.5% cpi'!W333),"",'Incurred 2.5% cpi'!W333/'Incurred 2.5% cpi'!W$14*Incurred!W$14*BK333)</f>
        <v/>
      </c>
      <c r="X333" s="119" t="str">
        <f>IF(ISTEXT('Incurred 2.5% cpi'!X333),"",'Incurred 2.5% cpi'!X333/'Incurred 2.5% cpi'!X$14*Incurred!X$14*BL333)</f>
        <v/>
      </c>
      <c r="Y333" s="95">
        <f t="shared" si="483"/>
        <v>3217466.203788212</v>
      </c>
      <c r="Z333" s="95">
        <f t="shared" si="482"/>
        <v>3217466.203788212</v>
      </c>
      <c r="AA333" s="676">
        <f>IF(ROUND(Y333,0)=0,0,SUMPRODUCT($F$17:$W$17,F333:W333))</f>
        <v>3547708.0403705095</v>
      </c>
      <c r="AB333" s="676">
        <f t="shared" si="484"/>
        <v>3217998.0435922849</v>
      </c>
      <c r="AC333" s="677">
        <f t="shared" si="485"/>
        <v>1.1024581097663335</v>
      </c>
      <c r="AD333" s="678" t="str">
        <f t="shared" si="458"/>
        <v>2019</v>
      </c>
      <c r="AE333" s="679">
        <v>43229</v>
      </c>
      <c r="AF333" s="678">
        <v>2018</v>
      </c>
      <c r="AG333" s="680"/>
      <c r="AH333" s="676">
        <f>IF(ROUND(Y333,0)=0,0,SUMPRODUCT($F$16:$W$16,F333:W333))</f>
        <v>3217998.0435922844</v>
      </c>
      <c r="AI333" s="95">
        <f t="shared" si="459"/>
        <v>70898.339555764527</v>
      </c>
      <c r="AJ333" s="681" t="s">
        <v>0</v>
      </c>
      <c r="AK333" s="37">
        <f t="shared" si="460"/>
        <v>1860929.1815088</v>
      </c>
      <c r="AL333" s="31">
        <f t="shared" si="487"/>
        <v>0</v>
      </c>
      <c r="AM333" s="31">
        <f t="shared" si="487"/>
        <v>5.373659620884777E-3</v>
      </c>
      <c r="AN333" s="31">
        <f t="shared" si="487"/>
        <v>0</v>
      </c>
      <c r="AO333" s="31">
        <f t="shared" si="487"/>
        <v>0</v>
      </c>
      <c r="AP333" s="31">
        <f t="shared" si="487"/>
        <v>0</v>
      </c>
      <c r="AQ333" s="31">
        <f t="shared" si="487"/>
        <v>0</v>
      </c>
      <c r="AR333" s="31">
        <f t="shared" si="487"/>
        <v>0</v>
      </c>
      <c r="AS333" s="31">
        <f t="shared" si="487"/>
        <v>0</v>
      </c>
      <c r="AT333" s="31">
        <f t="shared" si="487"/>
        <v>0</v>
      </c>
      <c r="AU333" s="31">
        <f t="shared" si="487"/>
        <v>0</v>
      </c>
      <c r="AV333" s="31">
        <f t="shared" si="488"/>
        <v>0</v>
      </c>
      <c r="AW333" s="31">
        <f t="shared" si="488"/>
        <v>0.99462634037911524</v>
      </c>
      <c r="AX333" s="31">
        <f t="shared" si="488"/>
        <v>0</v>
      </c>
      <c r="AY333" s="31">
        <f t="shared" si="488"/>
        <v>0</v>
      </c>
      <c r="AZ333" s="31">
        <f t="shared" si="488"/>
        <v>0</v>
      </c>
      <c r="BA333" s="31">
        <f t="shared" si="488"/>
        <v>0</v>
      </c>
      <c r="BB333" s="31">
        <f t="shared" si="488"/>
        <v>0</v>
      </c>
      <c r="BC333" s="31">
        <f t="shared" si="488"/>
        <v>0</v>
      </c>
      <c r="BD333" s="31">
        <f t="shared" si="488"/>
        <v>0</v>
      </c>
      <c r="BE333" s="30">
        <f t="shared" si="486"/>
        <v>1</v>
      </c>
      <c r="BF333" s="620">
        <f t="shared" si="481"/>
        <v>1.0030818160192299</v>
      </c>
      <c r="BG333" s="620">
        <f t="shared" si="461"/>
        <v>1.006183663842585</v>
      </c>
      <c r="BH333" s="620">
        <f t="shared" si="462"/>
        <v>1.0097859828820543</v>
      </c>
      <c r="BI333" s="620">
        <f t="shared" si="463"/>
        <v>1.0141411866007726</v>
      </c>
      <c r="BJ333" s="620">
        <f t="shared" si="464"/>
        <v>1.0195121206090012</v>
      </c>
      <c r="BK333" s="620">
        <f t="shared" si="465"/>
        <v>1.0251889537223347</v>
      </c>
      <c r="BL333" s="620">
        <f t="shared" si="466"/>
        <v>1.0293261309677997</v>
      </c>
      <c r="BM333" s="621" t="str">
        <f t="shared" si="467"/>
        <v>Category</v>
      </c>
    </row>
    <row r="334" spans="1:65" outlineLevel="1" x14ac:dyDescent="0.15">
      <c r="A334" s="91" t="s">
        <v>2617</v>
      </c>
      <c r="B334" s="91" t="s">
        <v>2618</v>
      </c>
      <c r="C334" s="13" t="s">
        <v>27</v>
      </c>
      <c r="D334" s="13" t="s">
        <v>54</v>
      </c>
      <c r="E334" s="13" t="s">
        <v>112</v>
      </c>
      <c r="F334" s="14"/>
      <c r="G334" s="14"/>
      <c r="H334" s="14"/>
      <c r="I334" s="14"/>
      <c r="J334" s="14"/>
      <c r="K334" s="14"/>
      <c r="L334" s="14"/>
      <c r="M334" s="15"/>
      <c r="N334" s="804"/>
      <c r="O334" s="14"/>
      <c r="P334" s="15"/>
      <c r="Q334" s="16">
        <f>IF(ISTEXT('Incurred 2.5% cpi'!Q334),"",'Incurred 2.5% cpi'!Q334/'Incurred 2.5% cpi'!Q$14*Incurred!Q$14)</f>
        <v>138549.64000000001</v>
      </c>
      <c r="R334" s="127">
        <f>IF(ISTEXT('Incurred 2.5% cpi'!R334),"",'Incurred 2.5% cpi'!R334/'Incurred 2.5% cpi'!R$14*Incurred!R$14*BF334)</f>
        <v>2641997.9483658988</v>
      </c>
      <c r="S334" s="119" t="str">
        <f>IF(ISTEXT('Incurred 2.5% cpi'!S334),"",'Incurred 2.5% cpi'!S334/'Incurred 2.5% cpi'!S$14*Incurred!S$14*BG334)</f>
        <v/>
      </c>
      <c r="T334" s="16" t="str">
        <f>IF(ISTEXT('Incurred 2.5% cpi'!T334),"",'Incurred 2.5% cpi'!T334/'Incurred 2.5% cpi'!T$14*Incurred!T$14*BH334)</f>
        <v/>
      </c>
      <c r="U334" s="16" t="str">
        <f>IF(ISTEXT('Incurred 2.5% cpi'!U334),"",'Incurred 2.5% cpi'!U334/'Incurred 2.5% cpi'!U$14*Incurred!U$14*BI334)</f>
        <v/>
      </c>
      <c r="V334" s="16" t="str">
        <f>IF(ISTEXT('Incurred 2.5% cpi'!V334),"",'Incurred 2.5% cpi'!V334/'Incurred 2.5% cpi'!V$14*Incurred!V$14*BJ334)</f>
        <v/>
      </c>
      <c r="W334" s="127" t="str">
        <f>IF(ISTEXT('Incurred 2.5% cpi'!W334),"",'Incurred 2.5% cpi'!W334/'Incurred 2.5% cpi'!W$14*Incurred!W$14*BK334)</f>
        <v/>
      </c>
      <c r="X334" s="119" t="str">
        <f>IF(ISTEXT('Incurred 2.5% cpi'!X334),"",'Incurred 2.5% cpi'!X334/'Incurred 2.5% cpi'!X$14*Incurred!X$14*BL334)</f>
        <v/>
      </c>
      <c r="Y334" s="95">
        <f t="shared" si="483"/>
        <v>2780547.5883658989</v>
      </c>
      <c r="Z334" s="95">
        <f t="shared" si="482"/>
        <v>2780547.5883658989</v>
      </c>
      <c r="AA334" s="676">
        <f>IF(ROUND(Y334,0)=0,0,SUMPRODUCT($F$17:$W$17,F334:W334))</f>
        <v>3068446.3183174031</v>
      </c>
      <c r="AB334" s="676">
        <f t="shared" si="484"/>
        <v>2783277.0162738985</v>
      </c>
      <c r="AC334" s="677">
        <f t="shared" si="485"/>
        <v>1.1024581097663335</v>
      </c>
      <c r="AD334" s="678" t="str">
        <f t="shared" si="458"/>
        <v>2018</v>
      </c>
      <c r="AE334" s="679">
        <v>43159</v>
      </c>
      <c r="AF334" s="678">
        <v>2018</v>
      </c>
      <c r="AG334" s="680"/>
      <c r="AH334" s="676">
        <f>IF(ROUND(Y334,0)=0,0,SUMPRODUCT($F$16:$W$16,F334:W334))</f>
        <v>2783277.016273899</v>
      </c>
      <c r="AI334" s="95">
        <f t="shared" si="459"/>
        <v>2641997.9483658988</v>
      </c>
      <c r="AJ334" s="681" t="s">
        <v>0</v>
      </c>
      <c r="AK334" s="37">
        <f t="shared" si="460"/>
        <v>2046241.4799999997</v>
      </c>
      <c r="AL334" s="31">
        <f t="shared" si="487"/>
        <v>0</v>
      </c>
      <c r="AM334" s="31">
        <f t="shared" si="487"/>
        <v>0</v>
      </c>
      <c r="AN334" s="31">
        <f t="shared" si="487"/>
        <v>0</v>
      </c>
      <c r="AO334" s="31">
        <f t="shared" si="487"/>
        <v>0</v>
      </c>
      <c r="AP334" s="31">
        <f t="shared" si="487"/>
        <v>0</v>
      </c>
      <c r="AQ334" s="31">
        <f t="shared" si="487"/>
        <v>0</v>
      </c>
      <c r="AR334" s="31">
        <f t="shared" si="487"/>
        <v>0</v>
      </c>
      <c r="AS334" s="31">
        <f t="shared" si="487"/>
        <v>0</v>
      </c>
      <c r="AT334" s="31">
        <f t="shared" si="487"/>
        <v>0</v>
      </c>
      <c r="AU334" s="31">
        <f t="shared" si="487"/>
        <v>0.94319268711139603</v>
      </c>
      <c r="AV334" s="31">
        <f t="shared" si="488"/>
        <v>0</v>
      </c>
      <c r="AW334" s="31">
        <f t="shared" si="488"/>
        <v>0</v>
      </c>
      <c r="AX334" s="31">
        <f t="shared" si="488"/>
        <v>0</v>
      </c>
      <c r="AY334" s="31">
        <f t="shared" si="488"/>
        <v>0</v>
      </c>
      <c r="AZ334" s="31">
        <f t="shared" si="488"/>
        <v>0</v>
      </c>
      <c r="BA334" s="31">
        <f t="shared" si="488"/>
        <v>0</v>
      </c>
      <c r="BB334" s="31">
        <f t="shared" si="488"/>
        <v>5.6807312888603925E-2</v>
      </c>
      <c r="BC334" s="31">
        <f t="shared" si="488"/>
        <v>0</v>
      </c>
      <c r="BD334" s="31">
        <f t="shared" si="488"/>
        <v>0</v>
      </c>
      <c r="BE334" s="30">
        <f t="shared" si="486"/>
        <v>1</v>
      </c>
      <c r="BF334" s="620">
        <f t="shared" si="481"/>
        <v>1.0030818160192299</v>
      </c>
      <c r="BG334" s="620">
        <f t="shared" si="461"/>
        <v>1.006183663842585</v>
      </c>
      <c r="BH334" s="620">
        <f t="shared" si="462"/>
        <v>1.0097859828820543</v>
      </c>
      <c r="BI334" s="620">
        <f t="shared" si="463"/>
        <v>1.0141411866007726</v>
      </c>
      <c r="BJ334" s="620">
        <f t="shared" si="464"/>
        <v>1.0195121206090012</v>
      </c>
      <c r="BK334" s="620">
        <f t="shared" si="465"/>
        <v>1.0251889537223347</v>
      </c>
      <c r="BL334" s="620">
        <f t="shared" si="466"/>
        <v>1.0293261309677997</v>
      </c>
      <c r="BM334" s="621" t="str">
        <f t="shared" si="467"/>
        <v>Category</v>
      </c>
    </row>
    <row r="335" spans="1:65" outlineLevel="1" x14ac:dyDescent="0.15">
      <c r="A335" s="91" t="s">
        <v>2619</v>
      </c>
      <c r="B335" s="91" t="s">
        <v>2620</v>
      </c>
      <c r="C335" s="13" t="s">
        <v>27</v>
      </c>
      <c r="D335" s="13" t="s">
        <v>54</v>
      </c>
      <c r="E335" s="13" t="s">
        <v>112</v>
      </c>
      <c r="F335" s="14"/>
      <c r="G335" s="14"/>
      <c r="H335" s="14"/>
      <c r="I335" s="14"/>
      <c r="J335" s="14"/>
      <c r="K335" s="14"/>
      <c r="L335" s="14"/>
      <c r="M335" s="15"/>
      <c r="N335" s="804"/>
      <c r="O335" s="14"/>
      <c r="P335" s="15"/>
      <c r="Q335" s="16">
        <f>IF(ISTEXT('Incurred 2.5% cpi'!Q335),"",'Incurred 2.5% cpi'!Q335/'Incurred 2.5% cpi'!Q$14*Incurred!Q$14)</f>
        <v>69224.160000000003</v>
      </c>
      <c r="R335" s="127">
        <f>IF(ISTEXT('Incurred 2.5% cpi'!R335),"",'Incurred 2.5% cpi'!R335/'Incurred 2.5% cpi'!R$14*Incurred!R$14*BF335)</f>
        <v>1328137.4819949926</v>
      </c>
      <c r="S335" s="119" t="str">
        <f>IF(ISTEXT('Incurred 2.5% cpi'!S335),"",'Incurred 2.5% cpi'!S335/'Incurred 2.5% cpi'!S$14*Incurred!S$14*BG335)</f>
        <v/>
      </c>
      <c r="T335" s="16" t="str">
        <f>IF(ISTEXT('Incurred 2.5% cpi'!T335),"",'Incurred 2.5% cpi'!T335/'Incurred 2.5% cpi'!T$14*Incurred!T$14*BH335)</f>
        <v/>
      </c>
      <c r="U335" s="16" t="str">
        <f>IF(ISTEXT('Incurred 2.5% cpi'!U335),"",'Incurred 2.5% cpi'!U335/'Incurred 2.5% cpi'!U$14*Incurred!U$14*BI335)</f>
        <v/>
      </c>
      <c r="V335" s="16" t="str">
        <f>IF(ISTEXT('Incurred 2.5% cpi'!V335),"",'Incurred 2.5% cpi'!V335/'Incurred 2.5% cpi'!V$14*Incurred!V$14*BJ335)</f>
        <v/>
      </c>
      <c r="W335" s="127" t="str">
        <f>IF(ISTEXT('Incurred 2.5% cpi'!W335),"",'Incurred 2.5% cpi'!W335/'Incurred 2.5% cpi'!W$14*Incurred!W$14*BK335)</f>
        <v/>
      </c>
      <c r="X335" s="119" t="str">
        <f>IF(ISTEXT('Incurred 2.5% cpi'!X335),"",'Incurred 2.5% cpi'!X335/'Incurred 2.5% cpi'!X$14*Incurred!X$14*BL335)</f>
        <v/>
      </c>
      <c r="Y335" s="95">
        <f t="shared" si="483"/>
        <v>1397361.6419949925</v>
      </c>
      <c r="Z335" s="95">
        <f t="shared" si="482"/>
        <v>1397361.6419949925</v>
      </c>
      <c r="AA335" s="676">
        <f>IF(ROUND(Y335,0)=0,0,SUMPRODUCT($F$17:$W$17,F335:W335))</f>
        <v>1542036.1142044796</v>
      </c>
      <c r="AB335" s="676">
        <f t="shared" ref="AB335:AB346" si="489">IF(AC335="","",AA335/AC335)</f>
        <v>1398725.3579469926</v>
      </c>
      <c r="AC335" s="677">
        <f t="shared" ref="AC335:AC346" si="490">IF(AF335="","",IF(AF335&lt;AD335,INDEX($F$17:$W$17,1,MATCH(TEXT(AF335,"000"),$F$21:$W$21)),INDEX($F$17:$W$17,1,MATCH(AD335,$F$21:$W$21))))</f>
        <v>1.1024581097663335</v>
      </c>
      <c r="AD335" s="678" t="str">
        <f t="shared" si="458"/>
        <v>2018</v>
      </c>
      <c r="AE335" s="679">
        <v>43159</v>
      </c>
      <c r="AF335" s="678">
        <v>2018</v>
      </c>
      <c r="AG335" s="680"/>
      <c r="AH335" s="676">
        <f>IF(ROUND(Y335,0)=0,0,SUMPRODUCT($F$16:$W$16,F335:W335))</f>
        <v>1398725.3579469926</v>
      </c>
      <c r="AI335" s="95">
        <f t="shared" si="459"/>
        <v>1328137.4819949926</v>
      </c>
      <c r="AJ335" s="681" t="s">
        <v>0</v>
      </c>
      <c r="AK335" s="37">
        <f t="shared" si="460"/>
        <v>874921.82773997076</v>
      </c>
      <c r="AL335" s="31">
        <f t="shared" si="487"/>
        <v>0</v>
      </c>
      <c r="AM335" s="31">
        <f t="shared" si="487"/>
        <v>0</v>
      </c>
      <c r="AN335" s="31">
        <f t="shared" si="487"/>
        <v>0</v>
      </c>
      <c r="AO335" s="31">
        <f t="shared" si="487"/>
        <v>0</v>
      </c>
      <c r="AP335" s="31">
        <f t="shared" si="487"/>
        <v>0</v>
      </c>
      <c r="AQ335" s="31">
        <f t="shared" si="487"/>
        <v>0</v>
      </c>
      <c r="AR335" s="31">
        <f t="shared" si="487"/>
        <v>0</v>
      </c>
      <c r="AS335" s="31">
        <f t="shared" si="487"/>
        <v>0</v>
      </c>
      <c r="AT335" s="31">
        <f t="shared" si="487"/>
        <v>0</v>
      </c>
      <c r="AU335" s="31">
        <f t="shared" si="487"/>
        <v>0.47207511893824683</v>
      </c>
      <c r="AV335" s="31">
        <f t="shared" si="488"/>
        <v>0</v>
      </c>
      <c r="AW335" s="31">
        <f t="shared" si="488"/>
        <v>0.12548892528977545</v>
      </c>
      <c r="AX335" s="31">
        <f t="shared" si="488"/>
        <v>0</v>
      </c>
      <c r="AY335" s="31">
        <f t="shared" si="488"/>
        <v>0</v>
      </c>
      <c r="AZ335" s="31">
        <f t="shared" si="488"/>
        <v>0.36814717813627323</v>
      </c>
      <c r="BA335" s="31">
        <f t="shared" si="488"/>
        <v>3.4288777635704482E-2</v>
      </c>
      <c r="BB335" s="31">
        <f t="shared" si="488"/>
        <v>0</v>
      </c>
      <c r="BC335" s="31">
        <f t="shared" si="488"/>
        <v>0</v>
      </c>
      <c r="BD335" s="31">
        <f t="shared" si="488"/>
        <v>0</v>
      </c>
      <c r="BE335" s="30">
        <f t="shared" ref="BE335:BE358" si="491">SUM(AL335:BD335)</f>
        <v>1</v>
      </c>
      <c r="BF335" s="620">
        <f t="shared" si="481"/>
        <v>1.0030818160192299</v>
      </c>
      <c r="BG335" s="620">
        <f t="shared" si="461"/>
        <v>1.006183663842585</v>
      </c>
      <c r="BH335" s="620">
        <f t="shared" si="462"/>
        <v>1.0097859828820543</v>
      </c>
      <c r="BI335" s="620">
        <f t="shared" si="463"/>
        <v>1.0141411866007726</v>
      </c>
      <c r="BJ335" s="620">
        <f t="shared" si="464"/>
        <v>1.0195121206090012</v>
      </c>
      <c r="BK335" s="620">
        <f t="shared" si="465"/>
        <v>1.0251889537223347</v>
      </c>
      <c r="BL335" s="620">
        <f t="shared" si="466"/>
        <v>1.0293261309677997</v>
      </c>
      <c r="BM335" s="621" t="str">
        <f t="shared" si="467"/>
        <v>Category</v>
      </c>
    </row>
    <row r="336" spans="1:65" outlineLevel="1" x14ac:dyDescent="0.15">
      <c r="A336" s="91" t="s">
        <v>2636</v>
      </c>
      <c r="B336" s="91" t="s">
        <v>2637</v>
      </c>
      <c r="C336" s="13" t="s">
        <v>27</v>
      </c>
      <c r="D336" s="13" t="s">
        <v>54</v>
      </c>
      <c r="E336" s="13" t="s">
        <v>112</v>
      </c>
      <c r="F336" s="14"/>
      <c r="G336" s="14"/>
      <c r="H336" s="14"/>
      <c r="I336" s="14"/>
      <c r="J336" s="14"/>
      <c r="K336" s="14"/>
      <c r="L336" s="14"/>
      <c r="M336" s="15"/>
      <c r="N336" s="804"/>
      <c r="O336" s="14"/>
      <c r="P336" s="15"/>
      <c r="Q336" s="16">
        <f>IF(ISTEXT('Incurred 2.5% cpi'!Q336),"",'Incurred 2.5% cpi'!Q336/'Incurred 2.5% cpi'!Q$14*Incurred!Q$14)</f>
        <v>102041.87</v>
      </c>
      <c r="R336" s="127">
        <f>IF(ISTEXT('Incurred 2.5% cpi'!R336),"",'Incurred 2.5% cpi'!R336/'Incurred 2.5% cpi'!R$14*Incurred!R$14*BF336)</f>
        <v>1133651.4894852822</v>
      </c>
      <c r="S336" s="119">
        <f>IF(ISTEXT('Incurred 2.5% cpi'!S336),"",'Incurred 2.5% cpi'!S336/'Incurred 2.5% cpi'!S$14*Incurred!S$14*BG336)</f>
        <v>584.8861572549165</v>
      </c>
      <c r="T336" s="16" t="str">
        <f>IF(ISTEXT('Incurred 2.5% cpi'!T336),"",'Incurred 2.5% cpi'!T336/'Incurred 2.5% cpi'!T$14*Incurred!T$14*BH336)</f>
        <v/>
      </c>
      <c r="U336" s="16" t="str">
        <f>IF(ISTEXT('Incurred 2.5% cpi'!U336),"",'Incurred 2.5% cpi'!U336/'Incurred 2.5% cpi'!U$14*Incurred!U$14*BI336)</f>
        <v/>
      </c>
      <c r="V336" s="16" t="str">
        <f>IF(ISTEXT('Incurred 2.5% cpi'!V336),"",'Incurred 2.5% cpi'!V336/'Incurred 2.5% cpi'!V$14*Incurred!V$14*BJ336)</f>
        <v/>
      </c>
      <c r="W336" s="127" t="str">
        <f>IF(ISTEXT('Incurred 2.5% cpi'!W336),"",'Incurred 2.5% cpi'!W336/'Incurred 2.5% cpi'!W$14*Incurred!W$14*BK336)</f>
        <v/>
      </c>
      <c r="X336" s="119" t="str">
        <f>IF(ISTEXT('Incurred 2.5% cpi'!X336),"",'Incurred 2.5% cpi'!X336/'Incurred 2.5% cpi'!X$14*Incurred!X$14*BL336)</f>
        <v/>
      </c>
      <c r="Y336" s="95">
        <f t="shared" si="483"/>
        <v>1236278.245642537</v>
      </c>
      <c r="Z336" s="95">
        <f t="shared" si="482"/>
        <v>1236278.245642537</v>
      </c>
      <c r="AA336" s="676">
        <f t="shared" ref="AA336:AA346" si="492">IF(ROUND(Y336,0)=0,0,SUMPRODUCT($F$17:$W$17,F336:W336))</f>
        <v>1365148.7091172065</v>
      </c>
      <c r="AB336" s="676">
        <f t="shared" si="489"/>
        <v>1238277.1708274253</v>
      </c>
      <c r="AC336" s="677">
        <f t="shared" si="490"/>
        <v>1.1024581097663335</v>
      </c>
      <c r="AD336" s="678" t="str">
        <f t="shared" si="458"/>
        <v>2019</v>
      </c>
      <c r="AE336" s="679">
        <v>43179</v>
      </c>
      <c r="AF336" s="678">
        <v>2018</v>
      </c>
      <c r="AG336" s="680"/>
      <c r="AH336" s="676">
        <f t="shared" ref="AH336:AH346" si="493">IF(ROUND(Y336,0)=0,0,SUMPRODUCT($F$16:$W$16,F336:W336))</f>
        <v>1238277.1708274251</v>
      </c>
      <c r="AI336" s="95">
        <f t="shared" si="459"/>
        <v>584.8861572549165</v>
      </c>
      <c r="AJ336" s="681" t="s">
        <v>0</v>
      </c>
      <c r="AK336" s="37">
        <f t="shared" si="460"/>
        <v>663206.21722999995</v>
      </c>
      <c r="AL336" s="31">
        <f t="shared" si="487"/>
        <v>0</v>
      </c>
      <c r="AM336" s="31">
        <f t="shared" si="487"/>
        <v>6.7851500876980109E-2</v>
      </c>
      <c r="AN336" s="31">
        <f t="shared" si="487"/>
        <v>0.63058317177229628</v>
      </c>
      <c r="AO336" s="31">
        <f t="shared" si="487"/>
        <v>0</v>
      </c>
      <c r="AP336" s="31">
        <f t="shared" si="487"/>
        <v>0</v>
      </c>
      <c r="AQ336" s="31">
        <f t="shared" si="487"/>
        <v>0</v>
      </c>
      <c r="AR336" s="31">
        <f t="shared" si="487"/>
        <v>0</v>
      </c>
      <c r="AS336" s="31">
        <f t="shared" si="487"/>
        <v>0</v>
      </c>
      <c r="AT336" s="31">
        <f t="shared" si="487"/>
        <v>0</v>
      </c>
      <c r="AU336" s="31">
        <f t="shared" si="487"/>
        <v>0</v>
      </c>
      <c r="AV336" s="31">
        <f t="shared" si="488"/>
        <v>0.30156532735072356</v>
      </c>
      <c r="AW336" s="31">
        <f t="shared" si="488"/>
        <v>0</v>
      </c>
      <c r="AX336" s="31">
        <f t="shared" si="488"/>
        <v>0</v>
      </c>
      <c r="AY336" s="31">
        <f t="shared" si="488"/>
        <v>0</v>
      </c>
      <c r="AZ336" s="31">
        <f t="shared" si="488"/>
        <v>0</v>
      </c>
      <c r="BA336" s="31">
        <f t="shared" si="488"/>
        <v>0</v>
      </c>
      <c r="BB336" s="31">
        <f t="shared" si="488"/>
        <v>0</v>
      </c>
      <c r="BC336" s="31">
        <f t="shared" si="488"/>
        <v>0</v>
      </c>
      <c r="BD336" s="31">
        <f t="shared" si="488"/>
        <v>0</v>
      </c>
      <c r="BE336" s="30">
        <f t="shared" si="491"/>
        <v>1</v>
      </c>
      <c r="BF336" s="620">
        <f t="shared" si="481"/>
        <v>1.0030818160192299</v>
      </c>
      <c r="BG336" s="620">
        <f t="shared" si="461"/>
        <v>1.006183663842585</v>
      </c>
      <c r="BH336" s="620">
        <f t="shared" si="462"/>
        <v>1.0097859828820543</v>
      </c>
      <c r="BI336" s="620">
        <f t="shared" si="463"/>
        <v>1.0141411866007726</v>
      </c>
      <c r="BJ336" s="620">
        <f t="shared" si="464"/>
        <v>1.0195121206090012</v>
      </c>
      <c r="BK336" s="620">
        <f t="shared" si="465"/>
        <v>1.0251889537223347</v>
      </c>
      <c r="BL336" s="620">
        <f t="shared" si="466"/>
        <v>1.0293261309677997</v>
      </c>
      <c r="BM336" s="621" t="str">
        <f t="shared" si="467"/>
        <v>Category</v>
      </c>
    </row>
    <row r="337" spans="1:65" outlineLevel="1" x14ac:dyDescent="0.15">
      <c r="A337" s="91" t="s">
        <v>2638</v>
      </c>
      <c r="B337" s="91" t="s">
        <v>2639</v>
      </c>
      <c r="C337" s="13" t="s">
        <v>27</v>
      </c>
      <c r="D337" s="13" t="s">
        <v>40</v>
      </c>
      <c r="E337" s="13" t="s">
        <v>112</v>
      </c>
      <c r="F337" s="14"/>
      <c r="G337" s="14"/>
      <c r="H337" s="14"/>
      <c r="I337" s="14"/>
      <c r="J337" s="14"/>
      <c r="K337" s="14"/>
      <c r="L337" s="14"/>
      <c r="M337" s="15"/>
      <c r="N337" s="804"/>
      <c r="O337" s="14"/>
      <c r="P337" s="15"/>
      <c r="Q337" s="16" t="str">
        <f>IF(ISTEXT('Incurred 2.5% cpi'!Q337),"",'Incurred 2.5% cpi'!Q337/'Incurred 2.5% cpi'!Q$14*Incurred!Q$14)</f>
        <v/>
      </c>
      <c r="R337" s="127" t="str">
        <f>IF(ISTEXT('Incurred 2.5% cpi'!R337),"",'Incurred 2.5% cpi'!R337/'Incurred 2.5% cpi'!R$14*Incurred!R$14*BF337)</f>
        <v/>
      </c>
      <c r="S337" s="119" t="str">
        <f>IF(ISTEXT('Incurred 2.5% cpi'!S337),"",'Incurred 2.5% cpi'!S337/'Incurred 2.5% cpi'!S$14*Incurred!S$14*BG337)</f>
        <v/>
      </c>
      <c r="T337" s="16" t="str">
        <f>IF(ISTEXT('Incurred 2.5% cpi'!T337),"",'Incurred 2.5% cpi'!T337/'Incurred 2.5% cpi'!T$14*Incurred!T$14*BH337)</f>
        <v/>
      </c>
      <c r="U337" s="16">
        <f>IF(ISTEXT('Incurred 2.5% cpi'!U337),"",'Incurred 2.5% cpi'!U337/'Incurred 2.5% cpi'!U$14*Incurred!U$14*BI337)</f>
        <v>77003.911723690006</v>
      </c>
      <c r="V337" s="16">
        <f>IF(ISTEXT('Incurred 2.5% cpi'!V337),"",'Incurred 2.5% cpi'!V337/'Incurred 2.5% cpi'!V$14*Incurred!V$14*BJ337)</f>
        <v>853723.64452487533</v>
      </c>
      <c r="W337" s="127">
        <f>IF(ISTEXT('Incurred 2.5% cpi'!W337),"",'Incurred 2.5% cpi'!W337/'Incurred 2.5% cpi'!W$14*Incurred!W$14*BK337)</f>
        <v>427448.5707887141</v>
      </c>
      <c r="X337" s="119" t="str">
        <f>IF(ISTEXT('Incurred 2.5% cpi'!X337),"",'Incurred 2.5% cpi'!X337/'Incurred 2.5% cpi'!X$14*Incurred!X$14*BL337)</f>
        <v/>
      </c>
      <c r="Y337" s="95">
        <f t="shared" si="483"/>
        <v>1358176.1270372793</v>
      </c>
      <c r="Z337" s="95">
        <f t="shared" si="482"/>
        <v>1358176.1270372793</v>
      </c>
      <c r="AA337" s="676">
        <f t="shared" si="492"/>
        <v>1378058.3214044338</v>
      </c>
      <c r="AB337" s="676">
        <f t="shared" si="489"/>
        <v>1378058.3214044338</v>
      </c>
      <c r="AC337" s="677">
        <f t="shared" si="490"/>
        <v>1</v>
      </c>
      <c r="AD337" s="678" t="str">
        <f t="shared" si="458"/>
        <v>2023</v>
      </c>
      <c r="AE337" s="679">
        <v>44853</v>
      </c>
      <c r="AF337" s="678">
        <v>2023</v>
      </c>
      <c r="AG337" s="680"/>
      <c r="AH337" s="676">
        <f t="shared" si="493"/>
        <v>1249987.0146508459</v>
      </c>
      <c r="AI337" s="95">
        <f t="shared" si="459"/>
        <v>427448.5707887141</v>
      </c>
      <c r="AJ337" s="681" t="s">
        <v>3060</v>
      </c>
      <c r="AK337" s="37">
        <f t="shared" si="460"/>
        <v>587549.63924349891</v>
      </c>
      <c r="AL337" s="31">
        <f t="shared" si="487"/>
        <v>0</v>
      </c>
      <c r="AM337" s="31">
        <f t="shared" si="487"/>
        <v>0</v>
      </c>
      <c r="AN337" s="31">
        <f t="shared" si="487"/>
        <v>0.24508567389371105</v>
      </c>
      <c r="AO337" s="31">
        <f t="shared" si="487"/>
        <v>0</v>
      </c>
      <c r="AP337" s="31">
        <f t="shared" si="487"/>
        <v>0</v>
      </c>
      <c r="AQ337" s="31">
        <f t="shared" si="487"/>
        <v>0</v>
      </c>
      <c r="AR337" s="31">
        <f t="shared" si="487"/>
        <v>0</v>
      </c>
      <c r="AS337" s="31">
        <f t="shared" si="487"/>
        <v>0</v>
      </c>
      <c r="AT337" s="31">
        <f t="shared" si="487"/>
        <v>0</v>
      </c>
      <c r="AU337" s="31">
        <f t="shared" si="487"/>
        <v>0</v>
      </c>
      <c r="AV337" s="31">
        <f t="shared" si="488"/>
        <v>0</v>
      </c>
      <c r="AW337" s="31">
        <f t="shared" si="488"/>
        <v>0</v>
      </c>
      <c r="AX337" s="31">
        <f t="shared" si="488"/>
        <v>0</v>
      </c>
      <c r="AY337" s="31">
        <f t="shared" si="488"/>
        <v>0</v>
      </c>
      <c r="AZ337" s="31">
        <f t="shared" si="488"/>
        <v>0.75491432610628895</v>
      </c>
      <c r="BA337" s="31">
        <f t="shared" si="488"/>
        <v>0</v>
      </c>
      <c r="BB337" s="31">
        <f t="shared" si="488"/>
        <v>0</v>
      </c>
      <c r="BC337" s="31">
        <f t="shared" si="488"/>
        <v>0</v>
      </c>
      <c r="BD337" s="31">
        <f t="shared" si="488"/>
        <v>0</v>
      </c>
      <c r="BE337" s="30">
        <f t="shared" si="491"/>
        <v>1</v>
      </c>
      <c r="BF337" s="620">
        <f t="shared" si="481"/>
        <v>1.0034498951996242</v>
      </c>
      <c r="BG337" s="620">
        <f t="shared" si="461"/>
        <v>1.0069222147180459</v>
      </c>
      <c r="BH337" s="620">
        <f t="shared" si="462"/>
        <v>1.0109547796356901</v>
      </c>
      <c r="BI337" s="620">
        <f t="shared" si="463"/>
        <v>1.0158301506211216</v>
      </c>
      <c r="BJ337" s="620">
        <f t="shared" si="464"/>
        <v>1.0218425664619335</v>
      </c>
      <c r="BK337" s="620">
        <f t="shared" si="465"/>
        <v>1.0281974167140426</v>
      </c>
      <c r="BL337" s="620">
        <f t="shared" si="466"/>
        <v>1.0328287210586446</v>
      </c>
      <c r="BM337" s="621" t="str">
        <f t="shared" si="467"/>
        <v>Category</v>
      </c>
    </row>
    <row r="338" spans="1:65" outlineLevel="1" x14ac:dyDescent="0.15">
      <c r="A338" s="91" t="s">
        <v>2640</v>
      </c>
      <c r="B338" s="91" t="s">
        <v>2641</v>
      </c>
      <c r="C338" s="13" t="s">
        <v>27</v>
      </c>
      <c r="D338" s="13" t="s">
        <v>54</v>
      </c>
      <c r="E338" s="13" t="s">
        <v>112</v>
      </c>
      <c r="F338" s="14"/>
      <c r="G338" s="14"/>
      <c r="H338" s="14"/>
      <c r="I338" s="14"/>
      <c r="J338" s="14"/>
      <c r="K338" s="14"/>
      <c r="L338" s="14"/>
      <c r="M338" s="15"/>
      <c r="N338" s="804"/>
      <c r="O338" s="14"/>
      <c r="P338" s="15"/>
      <c r="Q338" s="16">
        <f>IF(ISTEXT('Incurred 2.5% cpi'!Q338),"",'Incurred 2.5% cpi'!Q338/'Incurred 2.5% cpi'!Q$14*Incurred!Q$14)</f>
        <v>19233.89</v>
      </c>
      <c r="R338" s="127">
        <f>IF(ISTEXT('Incurred 2.5% cpi'!R338),"",'Incurred 2.5% cpi'!R338/'Incurred 2.5% cpi'!R$14*Incurred!R$14*BF338)</f>
        <v>1125588.0576069467</v>
      </c>
      <c r="S338" s="119" t="str">
        <f>IF(ISTEXT('Incurred 2.5% cpi'!S338),"",'Incurred 2.5% cpi'!S338/'Incurred 2.5% cpi'!S$14*Incurred!S$14*BG338)</f>
        <v/>
      </c>
      <c r="T338" s="16" t="str">
        <f>IF(ISTEXT('Incurred 2.5% cpi'!T338),"",'Incurred 2.5% cpi'!T338/'Incurred 2.5% cpi'!T$14*Incurred!T$14*BH338)</f>
        <v/>
      </c>
      <c r="U338" s="16" t="str">
        <f>IF(ISTEXT('Incurred 2.5% cpi'!U338),"",'Incurred 2.5% cpi'!U338/'Incurred 2.5% cpi'!U$14*Incurred!U$14*BI338)</f>
        <v/>
      </c>
      <c r="V338" s="16" t="str">
        <f>IF(ISTEXT('Incurred 2.5% cpi'!V338),"",'Incurred 2.5% cpi'!V338/'Incurred 2.5% cpi'!V$14*Incurred!V$14*BJ338)</f>
        <v/>
      </c>
      <c r="W338" s="127" t="str">
        <f>IF(ISTEXT('Incurred 2.5% cpi'!W338),"",'Incurred 2.5% cpi'!W338/'Incurred 2.5% cpi'!W$14*Incurred!W$14*BK338)</f>
        <v/>
      </c>
      <c r="X338" s="119" t="str">
        <f>IF(ISTEXT('Incurred 2.5% cpi'!X338),"",'Incurred 2.5% cpi'!X338/'Incurred 2.5% cpi'!X$14*Incurred!X$14*BL338)</f>
        <v/>
      </c>
      <c r="Y338" s="95">
        <f t="shared" si="483"/>
        <v>1144821.9476069466</v>
      </c>
      <c r="Z338" s="95">
        <f t="shared" si="482"/>
        <v>1144821.9476069466</v>
      </c>
      <c r="AA338" s="676">
        <f t="shared" si="492"/>
        <v>1262535.9701706201</v>
      </c>
      <c r="AB338" s="676">
        <f t="shared" si="489"/>
        <v>1145200.8552399466</v>
      </c>
      <c r="AC338" s="677">
        <f t="shared" si="490"/>
        <v>1.1024581097663335</v>
      </c>
      <c r="AD338" s="678" t="str">
        <f t="shared" si="458"/>
        <v>2018</v>
      </c>
      <c r="AE338" s="679">
        <v>43179</v>
      </c>
      <c r="AF338" s="678">
        <v>2018</v>
      </c>
      <c r="AG338" s="680"/>
      <c r="AH338" s="676">
        <f t="shared" si="493"/>
        <v>1145200.8552399466</v>
      </c>
      <c r="AI338" s="95">
        <f t="shared" si="459"/>
        <v>1125588.0576069467</v>
      </c>
      <c r="AJ338" s="681" t="s">
        <v>0</v>
      </c>
      <c r="AK338" s="37">
        <f t="shared" si="460"/>
        <v>612419.78339999984</v>
      </c>
      <c r="AL338" s="31">
        <f t="shared" si="487"/>
        <v>0</v>
      </c>
      <c r="AM338" s="31">
        <f t="shared" si="487"/>
        <v>2.9391545616094802E-2</v>
      </c>
      <c r="AN338" s="31">
        <f t="shared" si="487"/>
        <v>0.92162244705173246</v>
      </c>
      <c r="AO338" s="31">
        <f t="shared" si="487"/>
        <v>0</v>
      </c>
      <c r="AP338" s="31">
        <f t="shared" si="487"/>
        <v>0</v>
      </c>
      <c r="AQ338" s="31">
        <f t="shared" si="487"/>
        <v>0</v>
      </c>
      <c r="AR338" s="31">
        <f t="shared" si="487"/>
        <v>0</v>
      </c>
      <c r="AS338" s="31">
        <f t="shared" si="487"/>
        <v>0</v>
      </c>
      <c r="AT338" s="31">
        <f t="shared" si="487"/>
        <v>0</v>
      </c>
      <c r="AU338" s="31">
        <f t="shared" si="487"/>
        <v>0</v>
      </c>
      <c r="AV338" s="31">
        <f t="shared" si="488"/>
        <v>0</v>
      </c>
      <c r="AW338" s="31">
        <f t="shared" si="488"/>
        <v>0</v>
      </c>
      <c r="AX338" s="31">
        <f t="shared" si="488"/>
        <v>0</v>
      </c>
      <c r="AY338" s="31">
        <f t="shared" si="488"/>
        <v>0</v>
      </c>
      <c r="AZ338" s="31">
        <f t="shared" si="488"/>
        <v>0</v>
      </c>
      <c r="BA338" s="31">
        <f t="shared" si="488"/>
        <v>4.8986007332172676E-2</v>
      </c>
      <c r="BB338" s="31">
        <f t="shared" si="488"/>
        <v>0</v>
      </c>
      <c r="BC338" s="31">
        <f t="shared" si="488"/>
        <v>0</v>
      </c>
      <c r="BD338" s="31">
        <f t="shared" si="488"/>
        <v>0</v>
      </c>
      <c r="BE338" s="30">
        <f t="shared" si="491"/>
        <v>1</v>
      </c>
      <c r="BF338" s="620">
        <f t="shared" si="481"/>
        <v>1.0030818160192299</v>
      </c>
      <c r="BG338" s="620">
        <f t="shared" si="461"/>
        <v>1.006183663842585</v>
      </c>
      <c r="BH338" s="620">
        <f t="shared" si="462"/>
        <v>1.0097859828820543</v>
      </c>
      <c r="BI338" s="620">
        <f t="shared" si="463"/>
        <v>1.0141411866007726</v>
      </c>
      <c r="BJ338" s="620">
        <f t="shared" si="464"/>
        <v>1.0195121206090012</v>
      </c>
      <c r="BK338" s="620">
        <f t="shared" si="465"/>
        <v>1.0251889537223347</v>
      </c>
      <c r="BL338" s="620">
        <f t="shared" si="466"/>
        <v>1.0293261309677997</v>
      </c>
      <c r="BM338" s="621" t="str">
        <f t="shared" si="467"/>
        <v>Category</v>
      </c>
    </row>
    <row r="339" spans="1:65" outlineLevel="1" x14ac:dyDescent="0.15">
      <c r="A339" s="91" t="s">
        <v>2642</v>
      </c>
      <c r="B339" s="13" t="s">
        <v>2643</v>
      </c>
      <c r="C339" s="13" t="s">
        <v>27</v>
      </c>
      <c r="D339" s="13" t="s">
        <v>40</v>
      </c>
      <c r="E339" s="13" t="s">
        <v>112</v>
      </c>
      <c r="F339" s="14"/>
      <c r="G339" s="14"/>
      <c r="H339" s="14"/>
      <c r="I339" s="14"/>
      <c r="J339" s="14"/>
      <c r="K339" s="14"/>
      <c r="L339" s="14"/>
      <c r="M339" s="15"/>
      <c r="N339" s="804"/>
      <c r="O339" s="14"/>
      <c r="P339" s="15"/>
      <c r="Q339" s="16" t="str">
        <f>IF(ISTEXT('Incurred 2.5% cpi'!Q339),"",'Incurred 2.5% cpi'!Q339/'Incurred 2.5% cpi'!Q$14*Incurred!Q$14)</f>
        <v/>
      </c>
      <c r="R339" s="127" t="str">
        <f>IF(ISTEXT('Incurred 2.5% cpi'!R339),"",'Incurred 2.5% cpi'!R339/'Incurred 2.5% cpi'!R$14*Incurred!R$14*BF339)</f>
        <v/>
      </c>
      <c r="S339" s="119">
        <f>IF(ISTEXT('Incurred 2.5% cpi'!S339),"",'Incurred 2.5% cpi'!S339/'Incurred 2.5% cpi'!S$14*Incurred!S$14*BG339)</f>
        <v>459911.19014184643</v>
      </c>
      <c r="T339" s="16">
        <f>IF(ISTEXT('Incurred 2.5% cpi'!T339),"",'Incurred 2.5% cpi'!T339/'Incurred 2.5% cpi'!T$14*Incurred!T$14*BH339)</f>
        <v>427500.50929177395</v>
      </c>
      <c r="U339" s="16">
        <f>IF(ISTEXT('Incurred 2.5% cpi'!U339),"",'Incurred 2.5% cpi'!U339/'Incurred 2.5% cpi'!U$14*Incurred!U$14*BI339)</f>
        <v>435462.44022109214</v>
      </c>
      <c r="V339" s="16">
        <f>IF(ISTEXT('Incurred 2.5% cpi'!V339),"",'Incurred 2.5% cpi'!V339/'Incurred 2.5% cpi'!V$14*Incurred!V$14*BJ339)</f>
        <v>447089.22705386381</v>
      </c>
      <c r="W339" s="127">
        <f>IF(ISTEXT('Incurred 2.5% cpi'!W339),"",'Incurred 2.5% cpi'!W339/'Incurred 2.5% cpi'!W$14*Incurred!W$14*BK339)</f>
        <v>360559.30488821003</v>
      </c>
      <c r="X339" s="119" t="str">
        <f>IF(ISTEXT('Incurred 2.5% cpi'!X339),"",'Incurred 2.5% cpi'!X339/'Incurred 2.5% cpi'!X$14*Incurred!X$14*BL339)</f>
        <v/>
      </c>
      <c r="Y339" s="95">
        <f t="shared" si="483"/>
        <v>2130522.671596786</v>
      </c>
      <c r="Z339" s="95">
        <f t="shared" si="482"/>
        <v>2130522.671596786</v>
      </c>
      <c r="AA339" s="676">
        <f t="shared" si="492"/>
        <v>2219748.8800760787</v>
      </c>
      <c r="AB339" s="676">
        <f t="shared" si="489"/>
        <v>2219748.8800760787</v>
      </c>
      <c r="AC339" s="677">
        <f t="shared" si="490"/>
        <v>1</v>
      </c>
      <c r="AD339" s="678" t="str">
        <f t="shared" si="458"/>
        <v>2023</v>
      </c>
      <c r="AE339" s="679">
        <v>44974</v>
      </c>
      <c r="AF339" s="678">
        <v>2023</v>
      </c>
      <c r="AG339" s="680"/>
      <c r="AH339" s="676">
        <f t="shared" si="493"/>
        <v>2013454.1715571901</v>
      </c>
      <c r="AI339" s="95">
        <f t="shared" si="459"/>
        <v>360559.30488821003</v>
      </c>
      <c r="AJ339" s="681" t="s">
        <v>3058</v>
      </c>
      <c r="AK339" s="37">
        <f t="shared" si="460"/>
        <v>340000</v>
      </c>
      <c r="AL339" s="31">
        <f t="shared" si="487"/>
        <v>0</v>
      </c>
      <c r="AM339" s="31">
        <f t="shared" si="487"/>
        <v>0</v>
      </c>
      <c r="AN339" s="31">
        <f t="shared" si="487"/>
        <v>0</v>
      </c>
      <c r="AO339" s="443">
        <f t="shared" si="487"/>
        <v>0</v>
      </c>
      <c r="AP339" s="31">
        <f t="shared" si="487"/>
        <v>0</v>
      </c>
      <c r="AQ339" s="31">
        <f t="shared" si="487"/>
        <v>0</v>
      </c>
      <c r="AR339" s="31">
        <f t="shared" si="487"/>
        <v>0</v>
      </c>
      <c r="AS339" s="31">
        <f t="shared" si="487"/>
        <v>0</v>
      </c>
      <c r="AT339" s="31">
        <f t="shared" si="487"/>
        <v>0</v>
      </c>
      <c r="AU339" s="31">
        <f t="shared" si="487"/>
        <v>0</v>
      </c>
      <c r="AV339" s="31">
        <f t="shared" si="488"/>
        <v>0</v>
      </c>
      <c r="AW339" s="31">
        <f t="shared" si="488"/>
        <v>0</v>
      </c>
      <c r="AX339" s="31">
        <f t="shared" si="488"/>
        <v>0</v>
      </c>
      <c r="AY339" s="31">
        <f t="shared" si="488"/>
        <v>0</v>
      </c>
      <c r="AZ339" s="31">
        <f t="shared" si="488"/>
        <v>1</v>
      </c>
      <c r="BA339" s="31">
        <f t="shared" si="488"/>
        <v>0</v>
      </c>
      <c r="BB339" s="31">
        <f t="shared" si="488"/>
        <v>0</v>
      </c>
      <c r="BC339" s="31">
        <f t="shared" si="488"/>
        <v>0</v>
      </c>
      <c r="BD339" s="31">
        <f t="shared" si="488"/>
        <v>0</v>
      </c>
      <c r="BE339" s="30">
        <f t="shared" si="491"/>
        <v>1</v>
      </c>
      <c r="BF339" s="620">
        <f t="shared" si="481"/>
        <v>1.0034498951996242</v>
      </c>
      <c r="BG339" s="620">
        <f t="shared" si="461"/>
        <v>1.0069222147180459</v>
      </c>
      <c r="BH339" s="620">
        <f t="shared" si="462"/>
        <v>1.0109547796356901</v>
      </c>
      <c r="BI339" s="620">
        <f t="shared" si="463"/>
        <v>1.0158301506211216</v>
      </c>
      <c r="BJ339" s="620">
        <f t="shared" si="464"/>
        <v>1.0218425664619335</v>
      </c>
      <c r="BK339" s="620">
        <f t="shared" si="465"/>
        <v>1.0281974167140426</v>
      </c>
      <c r="BL339" s="620">
        <f t="shared" si="466"/>
        <v>1.0328287210586446</v>
      </c>
      <c r="BM339" s="621" t="str">
        <f t="shared" si="467"/>
        <v>Category</v>
      </c>
    </row>
    <row r="340" spans="1:65" outlineLevel="1" x14ac:dyDescent="0.15">
      <c r="A340" s="91" t="s">
        <v>2644</v>
      </c>
      <c r="B340" s="91" t="s">
        <v>2645</v>
      </c>
      <c r="C340" s="13" t="s">
        <v>27</v>
      </c>
      <c r="D340" s="13" t="s">
        <v>54</v>
      </c>
      <c r="E340" s="13" t="s">
        <v>112</v>
      </c>
      <c r="F340" s="14"/>
      <c r="G340" s="14"/>
      <c r="H340" s="14"/>
      <c r="I340" s="14"/>
      <c r="J340" s="14"/>
      <c r="K340" s="14"/>
      <c r="L340" s="14"/>
      <c r="M340" s="15"/>
      <c r="N340" s="804"/>
      <c r="O340" s="14"/>
      <c r="P340" s="15"/>
      <c r="Q340" s="16">
        <f>IF(ISTEXT('Incurred 2.5% cpi'!Q340),"",'Incurred 2.5% cpi'!Q340/'Incurred 2.5% cpi'!Q$14*Incurred!Q$14)</f>
        <v>6872.21</v>
      </c>
      <c r="R340" s="127">
        <f>IF(ISTEXT('Incurred 2.5% cpi'!R340),"",'Incurred 2.5% cpi'!R340/'Incurred 2.5% cpi'!R$14*Incurred!R$14*BF340)</f>
        <v>665509.64670851757</v>
      </c>
      <c r="S340" s="119" t="str">
        <f>IF(ISTEXT('Incurred 2.5% cpi'!S340),"",'Incurred 2.5% cpi'!S340/'Incurred 2.5% cpi'!S$14*Incurred!S$14*BG340)</f>
        <v/>
      </c>
      <c r="T340" s="16" t="str">
        <f>IF(ISTEXT('Incurred 2.5% cpi'!T340),"",'Incurred 2.5% cpi'!T340/'Incurred 2.5% cpi'!T$14*Incurred!T$14*BH340)</f>
        <v/>
      </c>
      <c r="U340" s="16" t="str">
        <f>IF(ISTEXT('Incurred 2.5% cpi'!U340),"",'Incurred 2.5% cpi'!U340/'Incurred 2.5% cpi'!U$14*Incurred!U$14*BI340)</f>
        <v/>
      </c>
      <c r="V340" s="16" t="str">
        <f>IF(ISTEXT('Incurred 2.5% cpi'!V340),"",'Incurred 2.5% cpi'!V340/'Incurred 2.5% cpi'!V$14*Incurred!V$14*BJ340)</f>
        <v/>
      </c>
      <c r="W340" s="127" t="str">
        <f>IF(ISTEXT('Incurred 2.5% cpi'!W340),"",'Incurred 2.5% cpi'!W340/'Incurred 2.5% cpi'!W$14*Incurred!W$14*BK340)</f>
        <v/>
      </c>
      <c r="X340" s="119" t="str">
        <f>IF(ISTEXT('Incurred 2.5% cpi'!X340),"",'Incurred 2.5% cpi'!X340/'Incurred 2.5% cpi'!X$14*Incurred!X$14*BL340)</f>
        <v/>
      </c>
      <c r="Y340" s="95">
        <f t="shared" si="483"/>
        <v>672381.85670851753</v>
      </c>
      <c r="Z340" s="95">
        <f t="shared" si="482"/>
        <v>672381.85670851753</v>
      </c>
      <c r="AA340" s="676">
        <f t="shared" si="492"/>
        <v>741422.08436388639</v>
      </c>
      <c r="AB340" s="676">
        <f t="shared" si="489"/>
        <v>672517.23924551753</v>
      </c>
      <c r="AC340" s="677">
        <f t="shared" si="490"/>
        <v>1.1024581097663335</v>
      </c>
      <c r="AD340" s="678" t="str">
        <f t="shared" si="458"/>
        <v>2018</v>
      </c>
      <c r="AE340" s="679">
        <v>43110</v>
      </c>
      <c r="AF340" s="678">
        <v>2018</v>
      </c>
      <c r="AG340" s="680"/>
      <c r="AH340" s="676">
        <f t="shared" si="493"/>
        <v>672517.23924551753</v>
      </c>
      <c r="AI340" s="95">
        <f t="shared" si="459"/>
        <v>665509.64670851757</v>
      </c>
      <c r="AJ340" s="681" t="s">
        <v>0</v>
      </c>
      <c r="AK340" s="37">
        <f t="shared" si="460"/>
        <v>95000.000000000044</v>
      </c>
      <c r="AL340" s="31">
        <f t="shared" si="487"/>
        <v>0</v>
      </c>
      <c r="AM340" s="31">
        <f t="shared" si="487"/>
        <v>0</v>
      </c>
      <c r="AN340" s="31">
        <f t="shared" si="487"/>
        <v>0</v>
      </c>
      <c r="AO340" s="31">
        <f t="shared" si="487"/>
        <v>0</v>
      </c>
      <c r="AP340" s="31">
        <f t="shared" si="487"/>
        <v>0</v>
      </c>
      <c r="AQ340" s="31">
        <f t="shared" si="487"/>
        <v>0</v>
      </c>
      <c r="AR340" s="31">
        <f t="shared" si="487"/>
        <v>0</v>
      </c>
      <c r="AS340" s="31">
        <f t="shared" si="487"/>
        <v>1</v>
      </c>
      <c r="AT340" s="31">
        <f t="shared" si="487"/>
        <v>0</v>
      </c>
      <c r="AU340" s="31">
        <f t="shared" si="487"/>
        <v>0</v>
      </c>
      <c r="AV340" s="31">
        <f t="shared" si="488"/>
        <v>0</v>
      </c>
      <c r="AW340" s="31">
        <f t="shared" si="488"/>
        <v>0</v>
      </c>
      <c r="AX340" s="31">
        <f t="shared" si="488"/>
        <v>0</v>
      </c>
      <c r="AY340" s="31">
        <f t="shared" si="488"/>
        <v>0</v>
      </c>
      <c r="AZ340" s="31">
        <f t="shared" si="488"/>
        <v>0</v>
      </c>
      <c r="BA340" s="31">
        <f t="shared" si="488"/>
        <v>0</v>
      </c>
      <c r="BB340" s="31">
        <f t="shared" si="488"/>
        <v>0</v>
      </c>
      <c r="BC340" s="31">
        <f t="shared" si="488"/>
        <v>0</v>
      </c>
      <c r="BD340" s="31">
        <f t="shared" si="488"/>
        <v>0</v>
      </c>
      <c r="BE340" s="30">
        <f t="shared" si="491"/>
        <v>1</v>
      </c>
      <c r="BF340" s="620">
        <f t="shared" si="481"/>
        <v>1.0030818160192299</v>
      </c>
      <c r="BG340" s="620">
        <f t="shared" si="461"/>
        <v>1.006183663842585</v>
      </c>
      <c r="BH340" s="620">
        <f t="shared" si="462"/>
        <v>1.0097859828820543</v>
      </c>
      <c r="BI340" s="620">
        <f t="shared" si="463"/>
        <v>1.0141411866007726</v>
      </c>
      <c r="BJ340" s="620">
        <f t="shared" si="464"/>
        <v>1.0195121206090012</v>
      </c>
      <c r="BK340" s="620">
        <f t="shared" si="465"/>
        <v>1.0251889537223347</v>
      </c>
      <c r="BL340" s="620">
        <f t="shared" si="466"/>
        <v>1.0293261309677997</v>
      </c>
      <c r="BM340" s="621" t="str">
        <f t="shared" si="467"/>
        <v>Category</v>
      </c>
    </row>
    <row r="341" spans="1:65" outlineLevel="1" x14ac:dyDescent="0.15">
      <c r="A341" s="91" t="s">
        <v>2646</v>
      </c>
      <c r="B341" s="91" t="s">
        <v>2647</v>
      </c>
      <c r="C341" s="13" t="s">
        <v>27</v>
      </c>
      <c r="D341" s="13" t="s">
        <v>54</v>
      </c>
      <c r="E341" s="13" t="s">
        <v>112</v>
      </c>
      <c r="F341" s="14"/>
      <c r="G341" s="14"/>
      <c r="H341" s="14"/>
      <c r="I341" s="14"/>
      <c r="J341" s="14"/>
      <c r="K341" s="14"/>
      <c r="L341" s="14"/>
      <c r="M341" s="15"/>
      <c r="N341" s="804"/>
      <c r="O341" s="14"/>
      <c r="P341" s="15"/>
      <c r="Q341" s="16">
        <f>IF(ISTEXT('Incurred 2.5% cpi'!Q341),"",'Incurred 2.5% cpi'!Q341/'Incurred 2.5% cpi'!Q$14*Incurred!Q$14)</f>
        <v>110830.64</v>
      </c>
      <c r="R341" s="127">
        <f>IF(ISTEXT('Incurred 2.5% cpi'!R341),"",'Incurred 2.5% cpi'!R341/'Incurred 2.5% cpi'!R$14*Incurred!R$14*BF341)</f>
        <v>1994833.7757200247</v>
      </c>
      <c r="S341" s="119">
        <f>IF(ISTEXT('Incurred 2.5% cpi'!S341),"",'Incurred 2.5% cpi'!S341/'Incurred 2.5% cpi'!S$14*Incurred!S$14*BG341)</f>
        <v>2617665.3906476484</v>
      </c>
      <c r="T341" s="16">
        <f>IF(ISTEXT('Incurred 2.5% cpi'!T341),"",'Incurred 2.5% cpi'!T341/'Incurred 2.5% cpi'!T$14*Incurred!T$14*BH341)</f>
        <v>640594.98459689796</v>
      </c>
      <c r="U341" s="16" t="str">
        <f>IF(ISTEXT('Incurred 2.5% cpi'!U341),"",'Incurred 2.5% cpi'!U341/'Incurred 2.5% cpi'!U$14*Incurred!U$14*BI341)</f>
        <v/>
      </c>
      <c r="V341" s="16" t="str">
        <f>IF(ISTEXT('Incurred 2.5% cpi'!V341),"",'Incurred 2.5% cpi'!V341/'Incurred 2.5% cpi'!V$14*Incurred!V$14*BJ341)</f>
        <v/>
      </c>
      <c r="W341" s="127" t="str">
        <f>IF(ISTEXT('Incurred 2.5% cpi'!W341),"",'Incurred 2.5% cpi'!W341/'Incurred 2.5% cpi'!W$14*Incurred!W$14*BK341)</f>
        <v/>
      </c>
      <c r="X341" s="119" t="str">
        <f>IF(ISTEXT('Incurred 2.5% cpi'!X341),"",'Incurred 2.5% cpi'!X341/'Incurred 2.5% cpi'!X$14*Incurred!X$14*BL341)</f>
        <v/>
      </c>
      <c r="Y341" s="95">
        <f t="shared" si="483"/>
        <v>5363924.7909645708</v>
      </c>
      <c r="Z341" s="95">
        <f t="shared" si="482"/>
        <v>5363924.7909645708</v>
      </c>
      <c r="AA341" s="676">
        <f t="shared" si="492"/>
        <v>5833131.9581393106</v>
      </c>
      <c r="AB341" s="676">
        <f t="shared" si="489"/>
        <v>5501543.3999185339</v>
      </c>
      <c r="AC341" s="677">
        <f t="shared" si="490"/>
        <v>1.060271915373</v>
      </c>
      <c r="AD341" s="678" t="str">
        <f t="shared" si="458"/>
        <v>2020</v>
      </c>
      <c r="AE341" s="679">
        <v>43672</v>
      </c>
      <c r="AF341" s="678">
        <v>2020</v>
      </c>
      <c r="AG341" s="680"/>
      <c r="AH341" s="676">
        <f t="shared" si="493"/>
        <v>5291023.6737935068</v>
      </c>
      <c r="AI341" s="95">
        <f t="shared" si="459"/>
        <v>640594.98459689796</v>
      </c>
      <c r="AJ341" s="681" t="s">
        <v>3058</v>
      </c>
      <c r="AK341" s="37">
        <f t="shared" si="460"/>
        <v>3282320.1200036025</v>
      </c>
      <c r="AL341" s="31">
        <f t="shared" si="487"/>
        <v>0</v>
      </c>
      <c r="AM341" s="31">
        <f t="shared" si="487"/>
        <v>0</v>
      </c>
      <c r="AN341" s="31">
        <f t="shared" si="487"/>
        <v>2.2276925262219641E-2</v>
      </c>
      <c r="AO341" s="31">
        <f t="shared" si="487"/>
        <v>0</v>
      </c>
      <c r="AP341" s="31">
        <f t="shared" si="487"/>
        <v>0</v>
      </c>
      <c r="AQ341" s="31">
        <f t="shared" si="487"/>
        <v>0</v>
      </c>
      <c r="AR341" s="31">
        <f t="shared" si="487"/>
        <v>0</v>
      </c>
      <c r="AS341" s="31">
        <f t="shared" si="487"/>
        <v>0</v>
      </c>
      <c r="AT341" s="31">
        <f t="shared" si="487"/>
        <v>0</v>
      </c>
      <c r="AU341" s="31">
        <f t="shared" si="487"/>
        <v>0</v>
      </c>
      <c r="AV341" s="31">
        <f t="shared" si="488"/>
        <v>0</v>
      </c>
      <c r="AW341" s="31">
        <f t="shared" si="488"/>
        <v>0</v>
      </c>
      <c r="AX341" s="31">
        <f t="shared" si="488"/>
        <v>0</v>
      </c>
      <c r="AY341" s="31">
        <f t="shared" si="488"/>
        <v>0</v>
      </c>
      <c r="AZ341" s="31">
        <f t="shared" si="488"/>
        <v>0.97772307473778042</v>
      </c>
      <c r="BA341" s="31">
        <f t="shared" si="488"/>
        <v>0</v>
      </c>
      <c r="BB341" s="31">
        <f t="shared" si="488"/>
        <v>0</v>
      </c>
      <c r="BC341" s="31">
        <f t="shared" si="488"/>
        <v>0</v>
      </c>
      <c r="BD341" s="31">
        <f t="shared" si="488"/>
        <v>0</v>
      </c>
      <c r="BE341" s="30">
        <f t="shared" si="491"/>
        <v>1</v>
      </c>
      <c r="BF341" s="620">
        <f t="shared" si="481"/>
        <v>1.0030818160192299</v>
      </c>
      <c r="BG341" s="620">
        <f t="shared" si="461"/>
        <v>1.006183663842585</v>
      </c>
      <c r="BH341" s="620">
        <f t="shared" si="462"/>
        <v>1.0097859828820543</v>
      </c>
      <c r="BI341" s="620">
        <f t="shared" si="463"/>
        <v>1.0141411866007726</v>
      </c>
      <c r="BJ341" s="620">
        <f t="shared" si="464"/>
        <v>1.0195121206090012</v>
      </c>
      <c r="BK341" s="620">
        <f t="shared" si="465"/>
        <v>1.0251889537223347</v>
      </c>
      <c r="BL341" s="620">
        <f t="shared" si="466"/>
        <v>1.0293261309677997</v>
      </c>
      <c r="BM341" s="621" t="str">
        <f t="shared" si="467"/>
        <v>Category</v>
      </c>
    </row>
    <row r="342" spans="1:65" outlineLevel="1" x14ac:dyDescent="0.15">
      <c r="A342" s="91" t="s">
        <v>2648</v>
      </c>
      <c r="B342" s="91" t="s">
        <v>2649</v>
      </c>
      <c r="C342" s="13" t="s">
        <v>27</v>
      </c>
      <c r="D342" s="13" t="s">
        <v>54</v>
      </c>
      <c r="E342" s="13" t="s">
        <v>112</v>
      </c>
      <c r="F342" s="14"/>
      <c r="G342" s="14"/>
      <c r="H342" s="14"/>
      <c r="I342" s="14"/>
      <c r="J342" s="14"/>
      <c r="K342" s="14"/>
      <c r="L342" s="14"/>
      <c r="M342" s="15"/>
      <c r="N342" s="804"/>
      <c r="O342" s="14"/>
      <c r="P342" s="15"/>
      <c r="Q342" s="16" t="str">
        <f>IF(ISTEXT('Incurred 2.5% cpi'!Q342),"",'Incurred 2.5% cpi'!Q342/'Incurred 2.5% cpi'!Q$14*Incurred!Q$14)</f>
        <v/>
      </c>
      <c r="R342" s="127" t="str">
        <f>IF(ISTEXT('Incurred 2.5% cpi'!R342),"",'Incurred 2.5% cpi'!R342/'Incurred 2.5% cpi'!R$14*Incurred!R$14*BF342)</f>
        <v/>
      </c>
      <c r="S342" s="119">
        <f>IF(ISTEXT('Incurred 2.5% cpi'!S342),"",'Incurred 2.5% cpi'!S342/'Incurred 2.5% cpi'!S$14*Incurred!S$14*BG342)</f>
        <v>4185709.8769553667</v>
      </c>
      <c r="T342" s="16">
        <f>IF(ISTEXT('Incurred 2.5% cpi'!T342),"",'Incurred 2.5% cpi'!T342/'Incurred 2.5% cpi'!T$14*Incurred!T$14*BH342)</f>
        <v>3573060.01067578</v>
      </c>
      <c r="U342" s="16" t="str">
        <f>IF(ISTEXT('Incurred 2.5% cpi'!U342),"",'Incurred 2.5% cpi'!U342/'Incurred 2.5% cpi'!U$14*Incurred!U$14*BI342)</f>
        <v/>
      </c>
      <c r="V342" s="16" t="str">
        <f>IF(ISTEXT('Incurred 2.5% cpi'!V342),"",'Incurred 2.5% cpi'!V342/'Incurred 2.5% cpi'!V$14*Incurred!V$14*BJ342)</f>
        <v/>
      </c>
      <c r="W342" s="127" t="str">
        <f>IF(ISTEXT('Incurred 2.5% cpi'!W342),"",'Incurred 2.5% cpi'!W342/'Incurred 2.5% cpi'!W$14*Incurred!W$14*BK342)</f>
        <v/>
      </c>
      <c r="X342" s="119" t="str">
        <f>IF(ISTEXT('Incurred 2.5% cpi'!X342),"",'Incurred 2.5% cpi'!X342/'Incurred 2.5% cpi'!X$14*Incurred!X$14*BL342)</f>
        <v/>
      </c>
      <c r="Y342" s="95">
        <f t="shared" si="483"/>
        <v>7758769.8876311462</v>
      </c>
      <c r="Z342" s="95">
        <f t="shared" si="482"/>
        <v>7758769.8876311462</v>
      </c>
      <c r="AA342" s="676">
        <f t="shared" si="492"/>
        <v>8313834.2250772053</v>
      </c>
      <c r="AB342" s="676">
        <f t="shared" si="489"/>
        <v>7841228.3722071685</v>
      </c>
      <c r="AC342" s="677">
        <f t="shared" si="490"/>
        <v>1.060271915373</v>
      </c>
      <c r="AD342" s="678" t="str">
        <f t="shared" si="458"/>
        <v>2020</v>
      </c>
      <c r="AE342" s="679">
        <v>43686</v>
      </c>
      <c r="AF342" s="678">
        <v>2020</v>
      </c>
      <c r="AG342" s="680"/>
      <c r="AH342" s="676">
        <f t="shared" si="493"/>
        <v>7541179.2533680275</v>
      </c>
      <c r="AI342" s="95">
        <f t="shared" si="459"/>
        <v>3573060.01067578</v>
      </c>
      <c r="AJ342" s="681" t="s">
        <v>3058</v>
      </c>
      <c r="AK342" s="37">
        <f t="shared" si="460"/>
        <v>1949000.0000315001</v>
      </c>
      <c r="AL342" s="31">
        <f t="shared" si="487"/>
        <v>0</v>
      </c>
      <c r="AM342" s="31">
        <f t="shared" si="487"/>
        <v>0</v>
      </c>
      <c r="AN342" s="31">
        <f t="shared" si="487"/>
        <v>0</v>
      </c>
      <c r="AO342" s="31">
        <f t="shared" si="487"/>
        <v>0</v>
      </c>
      <c r="AP342" s="31">
        <f t="shared" si="487"/>
        <v>0</v>
      </c>
      <c r="AQ342" s="31">
        <f t="shared" si="487"/>
        <v>0</v>
      </c>
      <c r="AR342" s="31">
        <f t="shared" si="487"/>
        <v>0</v>
      </c>
      <c r="AS342" s="31">
        <f t="shared" si="487"/>
        <v>0</v>
      </c>
      <c r="AT342" s="31">
        <f t="shared" si="487"/>
        <v>0</v>
      </c>
      <c r="AU342" s="31">
        <f t="shared" si="487"/>
        <v>0</v>
      </c>
      <c r="AV342" s="31">
        <f t="shared" si="488"/>
        <v>2.0010261672329239E-2</v>
      </c>
      <c r="AW342" s="31">
        <f t="shared" si="488"/>
        <v>0.97998973832767078</v>
      </c>
      <c r="AX342" s="31">
        <f t="shared" si="488"/>
        <v>0</v>
      </c>
      <c r="AY342" s="31">
        <f t="shared" si="488"/>
        <v>0</v>
      </c>
      <c r="AZ342" s="31">
        <f t="shared" si="488"/>
        <v>0</v>
      </c>
      <c r="BA342" s="31">
        <f t="shared" si="488"/>
        <v>0</v>
      </c>
      <c r="BB342" s="31">
        <f t="shared" si="488"/>
        <v>0</v>
      </c>
      <c r="BC342" s="31">
        <f t="shared" si="488"/>
        <v>0</v>
      </c>
      <c r="BD342" s="31">
        <f t="shared" si="488"/>
        <v>0</v>
      </c>
      <c r="BE342" s="30">
        <f t="shared" si="491"/>
        <v>1</v>
      </c>
      <c r="BF342" s="620">
        <f t="shared" si="481"/>
        <v>1.0030818160192299</v>
      </c>
      <c r="BG342" s="620">
        <f t="shared" si="461"/>
        <v>1.006183663842585</v>
      </c>
      <c r="BH342" s="620">
        <f t="shared" si="462"/>
        <v>1.0097859828820543</v>
      </c>
      <c r="BI342" s="620">
        <f t="shared" si="463"/>
        <v>1.0141411866007726</v>
      </c>
      <c r="BJ342" s="620">
        <f t="shared" si="464"/>
        <v>1.0195121206090012</v>
      </c>
      <c r="BK342" s="620">
        <f t="shared" si="465"/>
        <v>1.0251889537223347</v>
      </c>
      <c r="BL342" s="620">
        <f t="shared" si="466"/>
        <v>1.0293261309677997</v>
      </c>
      <c r="BM342" s="621" t="str">
        <f t="shared" si="467"/>
        <v>Category</v>
      </c>
    </row>
    <row r="343" spans="1:65" outlineLevel="1" x14ac:dyDescent="0.15">
      <c r="A343" s="91" t="s">
        <v>2650</v>
      </c>
      <c r="B343" s="91" t="s">
        <v>2651</v>
      </c>
      <c r="C343" s="13" t="s">
        <v>27</v>
      </c>
      <c r="D343" s="13" t="s">
        <v>54</v>
      </c>
      <c r="E343" s="13" t="s">
        <v>112</v>
      </c>
      <c r="F343" s="14"/>
      <c r="G343" s="14"/>
      <c r="H343" s="14"/>
      <c r="I343" s="14"/>
      <c r="J343" s="14"/>
      <c r="K343" s="14"/>
      <c r="L343" s="14"/>
      <c r="M343" s="15"/>
      <c r="N343" s="804"/>
      <c r="O343" s="14"/>
      <c r="P343" s="15"/>
      <c r="Q343" s="16">
        <f>IF(ISTEXT('Incurred 2.5% cpi'!Q343),"",'Incurred 2.5% cpi'!Q343/'Incurred 2.5% cpi'!Q$14*Incurred!Q$14)</f>
        <v>134979.29</v>
      </c>
      <c r="R343" s="127">
        <f>IF(ISTEXT('Incurred 2.5% cpi'!R343),"",'Incurred 2.5% cpi'!R343/'Incurred 2.5% cpi'!R$14*Incurred!R$14*BF343)</f>
        <v>2598444.3755109557</v>
      </c>
      <c r="S343" s="119" t="str">
        <f>IF(ISTEXT('Incurred 2.5% cpi'!S343),"",'Incurred 2.5% cpi'!S343/'Incurred 2.5% cpi'!S$14*Incurred!S$14*BG343)</f>
        <v/>
      </c>
      <c r="T343" s="16" t="str">
        <f>IF(ISTEXT('Incurred 2.5% cpi'!T343),"",'Incurred 2.5% cpi'!T343/'Incurred 2.5% cpi'!T$14*Incurred!T$14*BH343)</f>
        <v/>
      </c>
      <c r="U343" s="16" t="str">
        <f>IF(ISTEXT('Incurred 2.5% cpi'!U343),"",'Incurred 2.5% cpi'!U343/'Incurred 2.5% cpi'!U$14*Incurred!U$14*BI343)</f>
        <v/>
      </c>
      <c r="V343" s="16" t="str">
        <f>IF(ISTEXT('Incurred 2.5% cpi'!V343),"",'Incurred 2.5% cpi'!V343/'Incurred 2.5% cpi'!V$14*Incurred!V$14*BJ343)</f>
        <v/>
      </c>
      <c r="W343" s="127" t="str">
        <f>IF(ISTEXT('Incurred 2.5% cpi'!W343),"",'Incurred 2.5% cpi'!W343/'Incurred 2.5% cpi'!W$14*Incurred!W$14*BK343)</f>
        <v/>
      </c>
      <c r="X343" s="119" t="str">
        <f>IF(ISTEXT('Incurred 2.5% cpi'!X343),"",'Incurred 2.5% cpi'!X343/'Incurred 2.5% cpi'!X$14*Incurred!X$14*BL343)</f>
        <v/>
      </c>
      <c r="Y343" s="95">
        <f t="shared" si="483"/>
        <v>2733423.6655109557</v>
      </c>
      <c r="Z343" s="95">
        <f t="shared" si="482"/>
        <v>2733423.6655109557</v>
      </c>
      <c r="AA343" s="676">
        <f t="shared" si="492"/>
        <v>3016416.625024118</v>
      </c>
      <c r="AB343" s="676">
        <f t="shared" si="489"/>
        <v>2736082.7575239562</v>
      </c>
      <c r="AC343" s="677">
        <f t="shared" si="490"/>
        <v>1.1024581097663335</v>
      </c>
      <c r="AD343" s="678" t="str">
        <f t="shared" si="458"/>
        <v>2018</v>
      </c>
      <c r="AE343" s="679">
        <v>43150</v>
      </c>
      <c r="AF343" s="678">
        <v>2018</v>
      </c>
      <c r="AG343" s="680"/>
      <c r="AH343" s="676">
        <f t="shared" si="493"/>
        <v>2736082.7575239558</v>
      </c>
      <c r="AI343" s="95">
        <f t="shared" si="459"/>
        <v>2598444.3755109557</v>
      </c>
      <c r="AJ343" s="681" t="s">
        <v>0</v>
      </c>
      <c r="AK343" s="37">
        <f t="shared" si="460"/>
        <v>1110000.0000000005</v>
      </c>
      <c r="AL343" s="31">
        <f t="shared" si="487"/>
        <v>0</v>
      </c>
      <c r="AM343" s="31">
        <f t="shared" si="487"/>
        <v>0</v>
      </c>
      <c r="AN343" s="31">
        <f t="shared" si="487"/>
        <v>0</v>
      </c>
      <c r="AO343" s="31">
        <f t="shared" si="487"/>
        <v>0</v>
      </c>
      <c r="AP343" s="31">
        <f t="shared" si="487"/>
        <v>0</v>
      </c>
      <c r="AQ343" s="31">
        <f t="shared" si="487"/>
        <v>0</v>
      </c>
      <c r="AR343" s="31">
        <f t="shared" si="487"/>
        <v>0</v>
      </c>
      <c r="AS343" s="31">
        <f t="shared" si="487"/>
        <v>0</v>
      </c>
      <c r="AT343" s="31">
        <f t="shared" si="487"/>
        <v>0</v>
      </c>
      <c r="AU343" s="31">
        <f t="shared" si="487"/>
        <v>0.86486486486486491</v>
      </c>
      <c r="AV343" s="31">
        <f t="shared" si="488"/>
        <v>0</v>
      </c>
      <c r="AW343" s="31">
        <f t="shared" si="488"/>
        <v>0.13513513513513511</v>
      </c>
      <c r="AX343" s="31">
        <f t="shared" si="488"/>
        <v>0</v>
      </c>
      <c r="AY343" s="31">
        <f t="shared" si="488"/>
        <v>0</v>
      </c>
      <c r="AZ343" s="31">
        <f t="shared" si="488"/>
        <v>0</v>
      </c>
      <c r="BA343" s="31">
        <f t="shared" si="488"/>
        <v>0</v>
      </c>
      <c r="BB343" s="31">
        <f t="shared" si="488"/>
        <v>0</v>
      </c>
      <c r="BC343" s="31">
        <f t="shared" si="488"/>
        <v>0</v>
      </c>
      <c r="BD343" s="31">
        <f t="shared" si="488"/>
        <v>0</v>
      </c>
      <c r="BE343" s="30">
        <f t="shared" si="491"/>
        <v>1</v>
      </c>
      <c r="BF343" s="620">
        <f t="shared" si="481"/>
        <v>1.0030818160192299</v>
      </c>
      <c r="BG343" s="620">
        <f t="shared" si="461"/>
        <v>1.006183663842585</v>
      </c>
      <c r="BH343" s="620">
        <f t="shared" si="462"/>
        <v>1.0097859828820543</v>
      </c>
      <c r="BI343" s="620">
        <f t="shared" si="463"/>
        <v>1.0141411866007726</v>
      </c>
      <c r="BJ343" s="620">
        <f t="shared" si="464"/>
        <v>1.0195121206090012</v>
      </c>
      <c r="BK343" s="620">
        <f t="shared" si="465"/>
        <v>1.0251889537223347</v>
      </c>
      <c r="BL343" s="620">
        <f t="shared" si="466"/>
        <v>1.0293261309677997</v>
      </c>
      <c r="BM343" s="621" t="str">
        <f t="shared" si="467"/>
        <v>Category</v>
      </c>
    </row>
    <row r="344" spans="1:65" outlineLevel="1" x14ac:dyDescent="0.15">
      <c r="A344" s="91" t="s">
        <v>2653</v>
      </c>
      <c r="B344" s="91" t="s">
        <v>2654</v>
      </c>
      <c r="C344" s="13" t="s">
        <v>27</v>
      </c>
      <c r="D344" s="13" t="s">
        <v>54</v>
      </c>
      <c r="E344" s="13" t="s">
        <v>112</v>
      </c>
      <c r="F344" s="14"/>
      <c r="G344" s="14"/>
      <c r="H344" s="14"/>
      <c r="I344" s="14"/>
      <c r="J344" s="14"/>
      <c r="K344" s="14"/>
      <c r="L344" s="14"/>
      <c r="M344" s="15"/>
      <c r="N344" s="804"/>
      <c r="O344" s="14"/>
      <c r="P344" s="15"/>
      <c r="Q344" s="16" t="str">
        <f>IF(ISTEXT('Incurred 2.5% cpi'!Q344),"",'Incurred 2.5% cpi'!Q344/'Incurred 2.5% cpi'!Q$14*Incurred!Q$14)</f>
        <v/>
      </c>
      <c r="R344" s="127" t="str">
        <f>IF(ISTEXT('Incurred 2.5% cpi'!R344),"",'Incurred 2.5% cpi'!R344/'Incurred 2.5% cpi'!R$14*Incurred!R$14*BF344)</f>
        <v/>
      </c>
      <c r="S344" s="119">
        <f>IF(ISTEXT('Incurred 2.5% cpi'!S344),"",'Incurred 2.5% cpi'!S344/'Incurred 2.5% cpi'!S$14*Incurred!S$14*BG344)</f>
        <v>1615771.1867816681</v>
      </c>
      <c r="T344" s="16">
        <f>IF(ISTEXT('Incurred 2.5% cpi'!T344),"",'Incurred 2.5% cpi'!T344/'Incurred 2.5% cpi'!T$14*Incurred!T$14*BH344)</f>
        <v>2058237.5140140431</v>
      </c>
      <c r="U344" s="16" t="str">
        <f>IF(ISTEXT('Incurred 2.5% cpi'!U344),"",'Incurred 2.5% cpi'!U344/'Incurred 2.5% cpi'!U$14*Incurred!U$14*BI344)</f>
        <v/>
      </c>
      <c r="V344" s="16" t="str">
        <f>IF(ISTEXT('Incurred 2.5% cpi'!V344),"",'Incurred 2.5% cpi'!V344/'Incurred 2.5% cpi'!V$14*Incurred!V$14*BJ344)</f>
        <v/>
      </c>
      <c r="W344" s="127" t="str">
        <f>IF(ISTEXT('Incurred 2.5% cpi'!W344),"",'Incurred 2.5% cpi'!W344/'Incurred 2.5% cpi'!W$14*Incurred!W$14*BK344)</f>
        <v/>
      </c>
      <c r="X344" s="119" t="str">
        <f>IF(ISTEXT('Incurred 2.5% cpi'!X344),"",'Incurred 2.5% cpi'!X344/'Incurred 2.5% cpi'!X$14*Incurred!X$14*BL344)</f>
        <v/>
      </c>
      <c r="Y344" s="95">
        <f t="shared" si="483"/>
        <v>3674008.700795711</v>
      </c>
      <c r="Z344" s="95">
        <f t="shared" ref="Z344:Z351" si="494">-SUMIFS(F344:W344,F344:W344,"&lt;0")+SUMIFS(F344:W344,F344:W344,"&gt;0")</f>
        <v>3674008.700795711</v>
      </c>
      <c r="AA344" s="676">
        <f t="shared" si="492"/>
        <v>3929197.4314667024</v>
      </c>
      <c r="AB344" s="676">
        <f t="shared" si="489"/>
        <v>3705839.3931753105</v>
      </c>
      <c r="AC344" s="677">
        <f t="shared" si="490"/>
        <v>1.060271915373</v>
      </c>
      <c r="AD344" s="678" t="str">
        <f t="shared" si="458"/>
        <v>2020</v>
      </c>
      <c r="AE344" s="679">
        <v>43748</v>
      </c>
      <c r="AF344" s="678">
        <v>2020</v>
      </c>
      <c r="AG344" s="680"/>
      <c r="AH344" s="676">
        <f t="shared" si="493"/>
        <v>3564033.314879871</v>
      </c>
      <c r="AI344" s="95">
        <f t="shared" si="459"/>
        <v>2058237.5140140431</v>
      </c>
      <c r="AJ344" s="681" t="s">
        <v>3058</v>
      </c>
      <c r="AK344" s="37">
        <f t="shared" si="460"/>
        <v>2166899.9999999991</v>
      </c>
      <c r="AL344" s="31">
        <f t="shared" si="487"/>
        <v>0</v>
      </c>
      <c r="AM344" s="31">
        <f t="shared" si="487"/>
        <v>0</v>
      </c>
      <c r="AN344" s="31">
        <f t="shared" si="487"/>
        <v>0</v>
      </c>
      <c r="AO344" s="31">
        <f t="shared" si="487"/>
        <v>0</v>
      </c>
      <c r="AP344" s="31">
        <f t="shared" si="487"/>
        <v>0</v>
      </c>
      <c r="AQ344" s="31">
        <f t="shared" si="487"/>
        <v>0</v>
      </c>
      <c r="AR344" s="31">
        <f t="shared" si="487"/>
        <v>0</v>
      </c>
      <c r="AS344" s="31">
        <f t="shared" si="487"/>
        <v>0</v>
      </c>
      <c r="AT344" s="31">
        <f t="shared" si="487"/>
        <v>0</v>
      </c>
      <c r="AU344" s="31">
        <f t="shared" si="487"/>
        <v>0</v>
      </c>
      <c r="AV344" s="31">
        <f t="shared" si="488"/>
        <v>0</v>
      </c>
      <c r="AW344" s="31">
        <f t="shared" si="488"/>
        <v>1</v>
      </c>
      <c r="AX344" s="31">
        <f t="shared" si="488"/>
        <v>0</v>
      </c>
      <c r="AY344" s="31">
        <f t="shared" si="488"/>
        <v>0</v>
      </c>
      <c r="AZ344" s="31">
        <f t="shared" si="488"/>
        <v>0</v>
      </c>
      <c r="BA344" s="31">
        <f t="shared" si="488"/>
        <v>0</v>
      </c>
      <c r="BB344" s="31">
        <f t="shared" si="488"/>
        <v>0</v>
      </c>
      <c r="BC344" s="31">
        <f t="shared" si="488"/>
        <v>0</v>
      </c>
      <c r="BD344" s="31">
        <f t="shared" si="488"/>
        <v>0</v>
      </c>
      <c r="BE344" s="30">
        <f t="shared" si="491"/>
        <v>1</v>
      </c>
      <c r="BF344" s="620">
        <f t="shared" si="481"/>
        <v>1.0030818160192299</v>
      </c>
      <c r="BG344" s="620">
        <f t="shared" si="461"/>
        <v>1.006183663842585</v>
      </c>
      <c r="BH344" s="620">
        <f t="shared" si="462"/>
        <v>1.0097859828820543</v>
      </c>
      <c r="BI344" s="620">
        <f t="shared" si="463"/>
        <v>1.0141411866007726</v>
      </c>
      <c r="BJ344" s="620">
        <f t="shared" si="464"/>
        <v>1.0195121206090012</v>
      </c>
      <c r="BK344" s="620">
        <f t="shared" si="465"/>
        <v>1.0251889537223347</v>
      </c>
      <c r="BL344" s="620">
        <f t="shared" si="466"/>
        <v>1.0293261309677997</v>
      </c>
      <c r="BM344" s="621" t="str">
        <f t="shared" si="467"/>
        <v>Category</v>
      </c>
    </row>
    <row r="345" spans="1:65" outlineLevel="1" x14ac:dyDescent="0.15">
      <c r="A345" s="91" t="s">
        <v>2655</v>
      </c>
      <c r="B345" s="91" t="s">
        <v>2656</v>
      </c>
      <c r="C345" s="13" t="s">
        <v>27</v>
      </c>
      <c r="D345" s="13" t="s">
        <v>54</v>
      </c>
      <c r="E345" s="13" t="s">
        <v>112</v>
      </c>
      <c r="F345" s="14"/>
      <c r="G345" s="14"/>
      <c r="H345" s="14"/>
      <c r="I345" s="14"/>
      <c r="J345" s="14"/>
      <c r="K345" s="14"/>
      <c r="L345" s="14"/>
      <c r="M345" s="15"/>
      <c r="N345" s="804"/>
      <c r="O345" s="14"/>
      <c r="P345" s="15"/>
      <c r="Q345" s="16" t="str">
        <f>IF(ISTEXT('Incurred 2.5% cpi'!Q345),"",'Incurred 2.5% cpi'!Q345/'Incurred 2.5% cpi'!Q$14*Incurred!Q$14)</f>
        <v/>
      </c>
      <c r="R345" s="127" t="str">
        <f>IF(ISTEXT('Incurred 2.5% cpi'!R345),"",'Incurred 2.5% cpi'!R345/'Incurred 2.5% cpi'!R$14*Incurred!R$14*BF345)</f>
        <v/>
      </c>
      <c r="S345" s="119" t="str">
        <f>IF(ISTEXT('Incurred 2.5% cpi'!S345),"",'Incurred 2.5% cpi'!S345/'Incurred 2.5% cpi'!S$14*Incurred!S$14*BG345)</f>
        <v/>
      </c>
      <c r="T345" s="16" t="str">
        <f>IF(ISTEXT('Incurred 2.5% cpi'!T345),"",'Incurred 2.5% cpi'!T345/'Incurred 2.5% cpi'!T$14*Incurred!T$14*BH345)</f>
        <v/>
      </c>
      <c r="U345" s="16">
        <f>IF(ISTEXT('Incurred 2.5% cpi'!U345),"",'Incurred 2.5% cpi'!U345/'Incurred 2.5% cpi'!U$14*Incurred!U$14*BI345)</f>
        <v>287283.45290671464</v>
      </c>
      <c r="V345" s="16">
        <f>IF(ISTEXT('Incurred 2.5% cpi'!V345),"",'Incurred 2.5% cpi'!V345/'Incurred 2.5% cpi'!V$14*Incurred!V$14*BJ345)</f>
        <v>3021145.3937607831</v>
      </c>
      <c r="W345" s="127">
        <f>IF(ISTEXT('Incurred 2.5% cpi'!W345),"",'Incurred 2.5% cpi'!W345/'Incurred 2.5% cpi'!W$14*Incurred!W$14*BK345)</f>
        <v>1490911.2054093385</v>
      </c>
      <c r="X345" s="119" t="str">
        <f>IF(ISTEXT('Incurred 2.5% cpi'!X345),"",'Incurred 2.5% cpi'!X345/'Incurred 2.5% cpi'!X$14*Incurred!X$14*BL345)</f>
        <v/>
      </c>
      <c r="Y345" s="95">
        <f t="shared" si="483"/>
        <v>4799340.0520768361</v>
      </c>
      <c r="Z345" s="95">
        <f t="shared" si="494"/>
        <v>4799340.0520768361</v>
      </c>
      <c r="AA345" s="676">
        <f t="shared" si="492"/>
        <v>4870287.0762136867</v>
      </c>
      <c r="AB345" s="676">
        <f t="shared" si="489"/>
        <v>4870287.0762136867</v>
      </c>
      <c r="AC345" s="677">
        <f t="shared" si="490"/>
        <v>1</v>
      </c>
      <c r="AD345" s="678" t="str">
        <f t="shared" si="458"/>
        <v>2023</v>
      </c>
      <c r="AE345" s="679">
        <v>44853</v>
      </c>
      <c r="AF345" s="678">
        <v>2023</v>
      </c>
      <c r="AG345" s="680"/>
      <c r="AH345" s="676">
        <f t="shared" si="493"/>
        <v>4417661.7987289755</v>
      </c>
      <c r="AI345" s="95">
        <f t="shared" si="459"/>
        <v>1490911.2054093385</v>
      </c>
      <c r="AJ345" s="681" t="s">
        <v>3060</v>
      </c>
      <c r="AK345" s="37">
        <f t="shared" si="460"/>
        <v>0</v>
      </c>
      <c r="AL345" s="31">
        <f t="shared" ref="AL345:BA350" si="495">IF($AK345=0,VLOOKUP(MID($A345,4,5),ProjectSplits,AL$20,FALSE),IF(ISNA(VLOOKUP($A345,Estimates,AL$19,FALSE)),VLOOKUP(MID($A345,4,5),ProjectSplits,AL$20,FALSE),VLOOKUP($A345,Estimates,AL$19,FALSE)))</f>
        <v>0</v>
      </c>
      <c r="AM345" s="31">
        <f t="shared" si="495"/>
        <v>0</v>
      </c>
      <c r="AN345" s="31">
        <f t="shared" si="495"/>
        <v>9.8997133515637617E-3</v>
      </c>
      <c r="AO345" s="31">
        <f t="shared" si="495"/>
        <v>0</v>
      </c>
      <c r="AP345" s="31">
        <f t="shared" si="495"/>
        <v>0</v>
      </c>
      <c r="AQ345" s="31">
        <f t="shared" si="495"/>
        <v>0</v>
      </c>
      <c r="AR345" s="31">
        <f t="shared" si="495"/>
        <v>0</v>
      </c>
      <c r="AS345" s="31">
        <f t="shared" si="495"/>
        <v>0</v>
      </c>
      <c r="AT345" s="31">
        <f t="shared" si="495"/>
        <v>0</v>
      </c>
      <c r="AU345" s="31">
        <f t="shared" si="495"/>
        <v>0.79697883928314239</v>
      </c>
      <c r="AV345" s="31">
        <f t="shared" si="495"/>
        <v>0</v>
      </c>
      <c r="AW345" s="31">
        <f t="shared" si="495"/>
        <v>0.1331291827838956</v>
      </c>
      <c r="AX345" s="31">
        <f t="shared" si="495"/>
        <v>0</v>
      </c>
      <c r="AY345" s="31">
        <f t="shared" si="495"/>
        <v>0</v>
      </c>
      <c r="AZ345" s="31">
        <f t="shared" si="495"/>
        <v>5.0092551223795675E-2</v>
      </c>
      <c r="BA345" s="31">
        <f t="shared" si="495"/>
        <v>6.5998089050683913E-3</v>
      </c>
      <c r="BB345" s="31">
        <f t="shared" ref="AV345:BD350" si="496">IF($AK345=0,VLOOKUP(MID($A345,4,5),ProjectSplits,BB$20,FALSE),IF(ISNA(VLOOKUP($A345,Estimates,BB$19,FALSE)),VLOOKUP(MID($A345,4,5),ProjectSplits,BB$20,FALSE),VLOOKUP($A345,Estimates,BB$19,FALSE)))</f>
        <v>3.2999044525341965E-3</v>
      </c>
      <c r="BC345" s="31">
        <f t="shared" si="496"/>
        <v>0</v>
      </c>
      <c r="BD345" s="31">
        <f t="shared" si="496"/>
        <v>0</v>
      </c>
      <c r="BE345" s="30">
        <f t="shared" si="491"/>
        <v>1</v>
      </c>
      <c r="BF345" s="620">
        <f t="shared" si="481"/>
        <v>1.0030818160192299</v>
      </c>
      <c r="BG345" s="620">
        <f t="shared" si="461"/>
        <v>1.006183663842585</v>
      </c>
      <c r="BH345" s="620">
        <f t="shared" si="462"/>
        <v>1.0097859828820543</v>
      </c>
      <c r="BI345" s="620">
        <f t="shared" si="463"/>
        <v>1.0141411866007726</v>
      </c>
      <c r="BJ345" s="620">
        <f t="shared" si="464"/>
        <v>1.0195121206090012</v>
      </c>
      <c r="BK345" s="620">
        <f t="shared" si="465"/>
        <v>1.0251889537223347</v>
      </c>
      <c r="BL345" s="620">
        <f t="shared" si="466"/>
        <v>1.0293261309677997</v>
      </c>
      <c r="BM345" s="621" t="str">
        <f t="shared" si="467"/>
        <v>Category</v>
      </c>
    </row>
    <row r="346" spans="1:65" outlineLevel="1" x14ac:dyDescent="0.15">
      <c r="A346" s="91" t="s">
        <v>2657</v>
      </c>
      <c r="B346" s="91" t="s">
        <v>2658</v>
      </c>
      <c r="C346" s="13" t="s">
        <v>27</v>
      </c>
      <c r="D346" s="13" t="s">
        <v>54</v>
      </c>
      <c r="E346" s="13" t="s">
        <v>112</v>
      </c>
      <c r="F346" s="14"/>
      <c r="G346" s="14"/>
      <c r="H346" s="14"/>
      <c r="I346" s="14"/>
      <c r="J346" s="14"/>
      <c r="K346" s="14"/>
      <c r="L346" s="14"/>
      <c r="M346" s="15"/>
      <c r="N346" s="804"/>
      <c r="O346" s="14"/>
      <c r="P346" s="15"/>
      <c r="Q346" s="16" t="str">
        <f>IF(ISTEXT('Incurred 2.5% cpi'!Q346),"",'Incurred 2.5% cpi'!Q346/'Incurred 2.5% cpi'!Q$14*Incurred!Q$14)</f>
        <v/>
      </c>
      <c r="R346" s="127" t="str">
        <f>IF(ISTEXT('Incurred 2.5% cpi'!R346),"",'Incurred 2.5% cpi'!R346/'Incurred 2.5% cpi'!R$14*Incurred!R$14*BF346)</f>
        <v/>
      </c>
      <c r="S346" s="119">
        <f>IF(ISTEXT('Incurred 2.5% cpi'!S346),"",'Incurred 2.5% cpi'!S346/'Incurred 2.5% cpi'!S$14*Incurred!S$14*BG346)</f>
        <v>41445.111771690557</v>
      </c>
      <c r="T346" s="16">
        <f>IF(ISTEXT('Incurred 2.5% cpi'!T346),"",'Incurred 2.5% cpi'!T346/'Incurred 2.5% cpi'!T$14*Incurred!T$14*BH346)</f>
        <v>1329212.3723565296</v>
      </c>
      <c r="U346" s="16">
        <f>IF(ISTEXT('Incurred 2.5% cpi'!U346),"",'Incurred 2.5% cpi'!U346/'Incurred 2.5% cpi'!U$14*Incurred!U$14*BI346)</f>
        <v>3119935.67292671</v>
      </c>
      <c r="V346" s="16">
        <f>IF(ISTEXT('Incurred 2.5% cpi'!V346),"",'Incurred 2.5% cpi'!V346/'Incurred 2.5% cpi'!V$14*Incurred!V$14*BJ346)</f>
        <v>140643.63313688242</v>
      </c>
      <c r="W346" s="127" t="str">
        <f>IF(ISTEXT('Incurred 2.5% cpi'!W346),"",'Incurred 2.5% cpi'!W346/'Incurred 2.5% cpi'!W$14*Incurred!W$14*BK346)</f>
        <v/>
      </c>
      <c r="X346" s="119" t="str">
        <f>IF(ISTEXT('Incurred 2.5% cpi'!X346),"",'Incurred 2.5% cpi'!X346/'Incurred 2.5% cpi'!X$14*Incurred!X$14*BL346)</f>
        <v/>
      </c>
      <c r="Y346" s="95">
        <f t="shared" si="483"/>
        <v>4631236.7901918124</v>
      </c>
      <c r="Z346" s="95">
        <f t="shared" si="494"/>
        <v>4631236.7901918124</v>
      </c>
      <c r="AA346" s="676">
        <f t="shared" si="492"/>
        <v>4841621.581836381</v>
      </c>
      <c r="AB346" s="676">
        <f t="shared" si="489"/>
        <v>4656354.1440798584</v>
      </c>
      <c r="AC346" s="677">
        <f t="shared" si="490"/>
        <v>1.0397880900000001</v>
      </c>
      <c r="AD346" s="678" t="str">
        <f t="shared" si="458"/>
        <v>2022</v>
      </c>
      <c r="AE346" s="679">
        <v>44337</v>
      </c>
      <c r="AF346" s="678">
        <v>2021</v>
      </c>
      <c r="AG346" s="680"/>
      <c r="AH346" s="676">
        <f t="shared" si="493"/>
        <v>4391660.3623720147</v>
      </c>
      <c r="AI346" s="95">
        <f t="shared" si="459"/>
        <v>140643.63313688242</v>
      </c>
      <c r="AJ346" s="681" t="s">
        <v>3060</v>
      </c>
      <c r="AK346" s="37">
        <f t="shared" si="460"/>
        <v>3030390.7715632184</v>
      </c>
      <c r="AL346" s="31">
        <f t="shared" si="495"/>
        <v>0</v>
      </c>
      <c r="AM346" s="31">
        <f t="shared" si="495"/>
        <v>0</v>
      </c>
      <c r="AN346" s="31">
        <f t="shared" si="495"/>
        <v>9.89971335156376E-3</v>
      </c>
      <c r="AO346" s="31">
        <f t="shared" si="495"/>
        <v>0</v>
      </c>
      <c r="AP346" s="31">
        <f t="shared" si="495"/>
        <v>0</v>
      </c>
      <c r="AQ346" s="31">
        <f t="shared" si="495"/>
        <v>0</v>
      </c>
      <c r="AR346" s="31">
        <f t="shared" si="495"/>
        <v>0</v>
      </c>
      <c r="AS346" s="31">
        <f t="shared" si="495"/>
        <v>0</v>
      </c>
      <c r="AT346" s="31">
        <f t="shared" si="495"/>
        <v>0</v>
      </c>
      <c r="AU346" s="31">
        <f t="shared" si="495"/>
        <v>0.79697883928314239</v>
      </c>
      <c r="AV346" s="31">
        <f t="shared" si="496"/>
        <v>0</v>
      </c>
      <c r="AW346" s="31">
        <f t="shared" si="496"/>
        <v>0.13312918278389554</v>
      </c>
      <c r="AX346" s="31">
        <f t="shared" si="496"/>
        <v>0</v>
      </c>
      <c r="AY346" s="31">
        <f t="shared" si="496"/>
        <v>0</v>
      </c>
      <c r="AZ346" s="31">
        <f t="shared" si="496"/>
        <v>5.0092551223795655E-2</v>
      </c>
      <c r="BA346" s="31">
        <f t="shared" si="496"/>
        <v>6.5998089050683922E-3</v>
      </c>
      <c r="BB346" s="31">
        <f t="shared" si="496"/>
        <v>3.2999044525341961E-3</v>
      </c>
      <c r="BC346" s="31">
        <f t="shared" si="496"/>
        <v>0</v>
      </c>
      <c r="BD346" s="31">
        <f t="shared" si="496"/>
        <v>0</v>
      </c>
      <c r="BE346" s="30">
        <f t="shared" si="491"/>
        <v>0.99999999999999989</v>
      </c>
      <c r="BF346" s="620">
        <f t="shared" si="481"/>
        <v>1.0030818160192299</v>
      </c>
      <c r="BG346" s="620">
        <f t="shared" si="461"/>
        <v>1.006183663842585</v>
      </c>
      <c r="BH346" s="620">
        <f t="shared" si="462"/>
        <v>1.0097859828820543</v>
      </c>
      <c r="BI346" s="620">
        <f t="shared" si="463"/>
        <v>1.0141411866007726</v>
      </c>
      <c r="BJ346" s="620">
        <f t="shared" si="464"/>
        <v>1.0195121206090012</v>
      </c>
      <c r="BK346" s="620">
        <f t="shared" si="465"/>
        <v>1.0251889537223347</v>
      </c>
      <c r="BL346" s="620">
        <f t="shared" si="466"/>
        <v>1.0293261309677997</v>
      </c>
      <c r="BM346" s="621" t="str">
        <f t="shared" si="467"/>
        <v>Category</v>
      </c>
    </row>
    <row r="347" spans="1:65" outlineLevel="1" x14ac:dyDescent="0.15">
      <c r="A347" s="608" t="s">
        <v>2749</v>
      </c>
      <c r="B347" s="609" t="s">
        <v>115</v>
      </c>
      <c r="C347" s="609" t="s">
        <v>27</v>
      </c>
      <c r="D347" s="609" t="s">
        <v>40</v>
      </c>
      <c r="E347" s="608" t="s">
        <v>29</v>
      </c>
      <c r="F347" s="606"/>
      <c r="G347" s="606"/>
      <c r="H347" s="606"/>
      <c r="I347" s="606"/>
      <c r="J347" s="606"/>
      <c r="K347" s="606"/>
      <c r="L347" s="606"/>
      <c r="M347" s="629"/>
      <c r="N347" s="806"/>
      <c r="O347" s="606"/>
      <c r="P347" s="610"/>
      <c r="Q347" s="610">
        <f>IF(ISTEXT('Incurred 2.5% cpi'!Q347),"",'Incurred 2.5% cpi'!Q347/'Incurred 2.5% cpi'!Q$14*Incurred!Q$14)</f>
        <v>14184599.66</v>
      </c>
      <c r="R347" s="611">
        <f>IF(ISTEXT('Incurred 2.5% cpi'!R347),"",'Incurred 2.5% cpi'!R347/'Incurred 2.5% cpi'!R$14*Incurred!R$14*BF347)</f>
        <v>7775827.0567743946</v>
      </c>
      <c r="S347" s="612" t="str">
        <f>IF(ISTEXT('Incurred 2.5% cpi'!S347),"",'Incurred 2.5% cpi'!S347/'Incurred 2.5% cpi'!S$14*Incurred!S$14*BG347)</f>
        <v/>
      </c>
      <c r="T347" s="610" t="str">
        <f>IF(ISTEXT('Incurred 2.5% cpi'!T347),"",'Incurred 2.5% cpi'!T347/'Incurred 2.5% cpi'!T$14*Incurred!T$14*BH347)</f>
        <v/>
      </c>
      <c r="U347" s="610" t="str">
        <f>IF(ISTEXT('Incurred 2.5% cpi'!U347),"",'Incurred 2.5% cpi'!U347/'Incurred 2.5% cpi'!U$14*Incurred!U$14*BI347)</f>
        <v/>
      </c>
      <c r="V347" s="610" t="str">
        <f>IF(ISTEXT('Incurred 2.5% cpi'!V347),"",'Incurred 2.5% cpi'!V347/'Incurred 2.5% cpi'!V$14*Incurred!V$14*BJ347)</f>
        <v/>
      </c>
      <c r="W347" s="611" t="str">
        <f>IF(ISTEXT('Incurred 2.5% cpi'!W347),"",'Incurred 2.5% cpi'!W347/'Incurred 2.5% cpi'!W$14*Incurred!W$14*BK347)</f>
        <v/>
      </c>
      <c r="X347" s="612" t="str">
        <f>IF(ISTEXT('Incurred 2.5% cpi'!X347),"",'Incurred 2.5% cpi'!X347/'Incurred 2.5% cpi'!X$14*Incurred!X$14*BL347)</f>
        <v/>
      </c>
      <c r="Y347" s="95">
        <f t="shared" si="483"/>
        <v>21960426.716774397</v>
      </c>
      <c r="Z347" s="95">
        <f t="shared" ref="Z347:Z350" si="497">-SUMIFS(F347:W347,F347:W347,"&lt;0")+SUMIFS(F347:W347,F347:W347,"&gt;0")</f>
        <v>21960426.716774397</v>
      </c>
      <c r="AA347" s="676">
        <f t="shared" ref="AA347:AA350" si="498">IF(ROUND(Y347,0)=0,0,SUMPRODUCT($F$17:$W$17,F347:W347))</f>
        <v>24518517.68833762</v>
      </c>
      <c r="AB347" s="676">
        <f t="shared" ref="AB347:AB350" si="499">IF(AC347="","",AA347/AC347)</f>
        <v>22239863.330076396</v>
      </c>
      <c r="AC347" s="677">
        <f t="shared" ref="AC347:AC350" si="500">IF(AF347="","",IF(AF347&lt;AD347,INDEX($F$17:$W$17,1,MATCH(TEXT(AF347,"000"),$F$21:$W$21)),INDEX($F$17:$W$17,1,MATCH(AD347,$F$21:$W$21))))</f>
        <v>1.1024581097663335</v>
      </c>
      <c r="AD347" s="678" t="str">
        <f t="shared" si="458"/>
        <v>2018</v>
      </c>
      <c r="AE347" s="679">
        <v>43420</v>
      </c>
      <c r="AF347" s="678">
        <v>2018</v>
      </c>
      <c r="AG347" s="680"/>
      <c r="AH347" s="676">
        <f t="shared" ref="AH347:AH350" si="501">IF(ROUND(Y347,0)=0,0,SUMPRODUCT($F$16:$W$16,F347:W347))</f>
        <v>22239863.330076396</v>
      </c>
      <c r="AI347" s="95">
        <f t="shared" si="459"/>
        <v>7775827.0567743946</v>
      </c>
      <c r="AJ347" s="681" t="s">
        <v>3059</v>
      </c>
      <c r="AK347" s="37">
        <f t="shared" ref="AK347:AK350" si="502">IF(ISNA(VLOOKUP(LEFT($A347,8),Estimates,71,FALSE)),0,VLOOKUP(LEFT($A347,8),Estimates,71,FALSE))</f>
        <v>55413255.620694734</v>
      </c>
      <c r="AL347" s="31">
        <f t="shared" si="495"/>
        <v>0</v>
      </c>
      <c r="AM347" s="31">
        <f t="shared" si="495"/>
        <v>2.0736493800065814E-2</v>
      </c>
      <c r="AN347" s="31">
        <f t="shared" si="495"/>
        <v>0.14009851116809655</v>
      </c>
      <c r="AO347" s="31">
        <f t="shared" si="495"/>
        <v>0</v>
      </c>
      <c r="AP347" s="31">
        <f t="shared" si="495"/>
        <v>1.1730045324340205E-3</v>
      </c>
      <c r="AQ347" s="31">
        <f t="shared" si="495"/>
        <v>0</v>
      </c>
      <c r="AR347" s="31">
        <f t="shared" si="495"/>
        <v>0</v>
      </c>
      <c r="AS347" s="31">
        <f t="shared" si="495"/>
        <v>0</v>
      </c>
      <c r="AT347" s="31">
        <f t="shared" si="495"/>
        <v>0</v>
      </c>
      <c r="AU347" s="31">
        <f t="shared" si="495"/>
        <v>0.32336100731679684</v>
      </c>
      <c r="AV347" s="31">
        <f t="shared" si="496"/>
        <v>3.9093173208885737E-2</v>
      </c>
      <c r="AW347" s="31">
        <f t="shared" si="496"/>
        <v>0.15870496759294167</v>
      </c>
      <c r="AX347" s="31">
        <f t="shared" si="496"/>
        <v>1.1525852303274063E-2</v>
      </c>
      <c r="AY347" s="31">
        <f t="shared" si="496"/>
        <v>0</v>
      </c>
      <c r="AZ347" s="31">
        <f t="shared" si="496"/>
        <v>0.21744896686091472</v>
      </c>
      <c r="BA347" s="31">
        <f t="shared" si="496"/>
        <v>4.6810083070830268E-2</v>
      </c>
      <c r="BB347" s="31">
        <f t="shared" si="496"/>
        <v>4.104794014576036E-2</v>
      </c>
      <c r="BC347" s="31">
        <f t="shared" si="496"/>
        <v>0</v>
      </c>
      <c r="BD347" s="31">
        <f t="shared" si="496"/>
        <v>0</v>
      </c>
      <c r="BE347" s="30">
        <f t="shared" si="491"/>
        <v>1</v>
      </c>
      <c r="BF347" s="620">
        <f t="shared" ref="BF347:BF359" si="503">1+IF(ISNA(VLOOKUP(LEFT($A347,8),ProjLabEsc,7,FALSE)),VLOOKUP($D347,CatLabEsc,4,FALSE),VLOOKUP(LEFT($A347,8),ProjLabEsc,7,FALSE))*Labesc18*LabIn</f>
        <v>1.0034498951996242</v>
      </c>
      <c r="BG347" s="620">
        <f t="shared" ref="BG347:BG359" si="504">1+IF(ISNA(VLOOKUP(LEFT($A347,8),ProjLabEsc,7,FALSE)),VLOOKUP($D347,CatLabEsc,4,FALSE),VLOOKUP(LEFT($A347,8),ProjLabEsc,7,FALSE))*LabEsc19*LabIn</f>
        <v>1.0069222147180459</v>
      </c>
      <c r="BH347" s="620">
        <f t="shared" ref="BH347:BH359" si="505">1+IF(ISNA(VLOOKUP(LEFT($A347,8),ProjLabEsc,7,FALSE)),VLOOKUP($D347,CatLabEsc,4,FALSE),VLOOKUP(LEFT($A347,8),ProjLabEsc,7,FALSE))*LabEsc20*LabIn</f>
        <v>1.0109547796356901</v>
      </c>
      <c r="BI347" s="620">
        <f t="shared" ref="BI347:BI359" si="506">1+IF(ISNA(VLOOKUP(LEFT($A347,8),ProjLabEsc,7,FALSE)),VLOOKUP($D347,CatLabEsc,4,FALSE),VLOOKUP(LEFT($A347,8),ProjLabEsc,7,FALSE))*LabEsc21*LabIn</f>
        <v>1.0158301506211216</v>
      </c>
      <c r="BJ347" s="620">
        <f t="shared" ref="BJ347:BJ359" si="507">1+IF(ISNA(VLOOKUP(LEFT($A347,8),ProjLabEsc,7,FALSE)),VLOOKUP($D347,CatLabEsc,4,FALSE),VLOOKUP(LEFT($A347,8),ProjLabEsc,7,FALSE))*LabEsc22*LabIn</f>
        <v>1.0218425664619335</v>
      </c>
      <c r="BK347" s="620">
        <f t="shared" ref="BK347:BK359" si="508">1+IF(ISNA(VLOOKUP(LEFT($A347,8),ProjLabEsc,7,FALSE)),VLOOKUP($D347,CatLabEsc,4,FALSE),VLOOKUP(LEFT($A347,8),ProjLabEsc,7,FALSE))*LabEsc23*LabIn</f>
        <v>1.0281974167140426</v>
      </c>
      <c r="BL347" s="620">
        <f t="shared" ref="BL347:BL359" si="509">1+IF(ISNA(VLOOKUP(LEFT($A347,8),ProjLabEsc,7,FALSE)),VLOOKUP($D347,CatLabEsc,4,FALSE),VLOOKUP(LEFT($A347,8),ProjLabEsc,7,FALSE))*LabEsc24*LabIn</f>
        <v>1.0328287210586446</v>
      </c>
      <c r="BM347" s="621" t="str">
        <f t="shared" ref="BM347:BM359" si="510">IF(ISNA(VLOOKUP(LEFT($A347,8),ProjLabEsc,7,FALSE)),"Category","Project")</f>
        <v>Category</v>
      </c>
    </row>
    <row r="348" spans="1:65" outlineLevel="1" x14ac:dyDescent="0.15">
      <c r="A348" s="608" t="s">
        <v>2750</v>
      </c>
      <c r="B348" s="609" t="s">
        <v>359</v>
      </c>
      <c r="C348" s="609" t="s">
        <v>27</v>
      </c>
      <c r="D348" s="609" t="s">
        <v>40</v>
      </c>
      <c r="E348" s="608" t="s">
        <v>29</v>
      </c>
      <c r="F348" s="606"/>
      <c r="G348" s="606"/>
      <c r="H348" s="606"/>
      <c r="I348" s="606"/>
      <c r="J348" s="606"/>
      <c r="K348" s="606"/>
      <c r="L348" s="606"/>
      <c r="M348" s="629"/>
      <c r="N348" s="806"/>
      <c r="O348" s="606"/>
      <c r="P348" s="610"/>
      <c r="Q348" s="610">
        <f>IF(ISTEXT('Incurred 2.5% cpi'!Q348),"",'Incurred 2.5% cpi'!Q348/'Incurred 2.5% cpi'!Q$14*Incurred!Q$14)</f>
        <v>4233506.8899999997</v>
      </c>
      <c r="R348" s="611">
        <f>IF(ISTEXT('Incurred 2.5% cpi'!R348),"",'Incurred 2.5% cpi'!R348/'Incurred 2.5% cpi'!R$14*Incurred!R$14*BF348)</f>
        <v>8308782.8559289984</v>
      </c>
      <c r="S348" s="612" t="str">
        <f>IF(ISTEXT('Incurred 2.5% cpi'!S348),"",'Incurred 2.5% cpi'!S348/'Incurred 2.5% cpi'!S$14*Incurred!S$14*BG348)</f>
        <v/>
      </c>
      <c r="T348" s="610" t="str">
        <f>IF(ISTEXT('Incurred 2.5% cpi'!T348),"",'Incurred 2.5% cpi'!T348/'Incurred 2.5% cpi'!T$14*Incurred!T$14*BH348)</f>
        <v/>
      </c>
      <c r="U348" s="610" t="str">
        <f>IF(ISTEXT('Incurred 2.5% cpi'!U348),"",'Incurred 2.5% cpi'!U348/'Incurred 2.5% cpi'!U$14*Incurred!U$14*BI348)</f>
        <v/>
      </c>
      <c r="V348" s="610" t="str">
        <f>IF(ISTEXT('Incurred 2.5% cpi'!V348),"",'Incurred 2.5% cpi'!V348/'Incurred 2.5% cpi'!V$14*Incurred!V$14*BJ348)</f>
        <v/>
      </c>
      <c r="W348" s="611" t="str">
        <f>IF(ISTEXT('Incurred 2.5% cpi'!W348),"",'Incurred 2.5% cpi'!W348/'Incurred 2.5% cpi'!W$14*Incurred!W$14*BK348)</f>
        <v/>
      </c>
      <c r="X348" s="612" t="str">
        <f>IF(ISTEXT('Incurred 2.5% cpi'!X348),"",'Incurred 2.5% cpi'!X348/'Incurred 2.5% cpi'!X$14*Incurred!X$14*BL348)</f>
        <v/>
      </c>
      <c r="Y348" s="95">
        <f t="shared" si="483"/>
        <v>12542289.745928999</v>
      </c>
      <c r="Z348" s="95">
        <f t="shared" si="497"/>
        <v>12542289.745928999</v>
      </c>
      <c r="AA348" s="676">
        <f t="shared" si="498"/>
        <v>13919294.146310106</v>
      </c>
      <c r="AB348" s="676">
        <f t="shared" si="499"/>
        <v>12625689.831661999</v>
      </c>
      <c r="AC348" s="677">
        <f t="shared" si="500"/>
        <v>1.1024581097663335</v>
      </c>
      <c r="AD348" s="678" t="str">
        <f t="shared" si="458"/>
        <v>2018</v>
      </c>
      <c r="AE348" s="679">
        <v>43174</v>
      </c>
      <c r="AF348" s="678">
        <v>2018</v>
      </c>
      <c r="AG348" s="680"/>
      <c r="AH348" s="676">
        <f t="shared" si="501"/>
        <v>12625689.831661999</v>
      </c>
      <c r="AI348" s="95">
        <f t="shared" si="459"/>
        <v>8308782.8559289984</v>
      </c>
      <c r="AJ348" s="681" t="s">
        <v>3059</v>
      </c>
      <c r="AK348" s="37">
        <f t="shared" si="502"/>
        <v>49095474.99999994</v>
      </c>
      <c r="AL348" s="31">
        <f t="shared" si="495"/>
        <v>0</v>
      </c>
      <c r="AM348" s="31">
        <f t="shared" si="495"/>
        <v>0</v>
      </c>
      <c r="AN348" s="31">
        <f t="shared" si="495"/>
        <v>0</v>
      </c>
      <c r="AO348" s="31">
        <f t="shared" si="495"/>
        <v>0</v>
      </c>
      <c r="AP348" s="31">
        <f t="shared" si="495"/>
        <v>0</v>
      </c>
      <c r="AQ348" s="31">
        <f t="shared" si="495"/>
        <v>0</v>
      </c>
      <c r="AR348" s="31">
        <f t="shared" si="495"/>
        <v>0</v>
      </c>
      <c r="AS348" s="31">
        <f t="shared" si="495"/>
        <v>0</v>
      </c>
      <c r="AT348" s="31">
        <f t="shared" si="495"/>
        <v>0</v>
      </c>
      <c r="AU348" s="31">
        <f t="shared" si="495"/>
        <v>1</v>
      </c>
      <c r="AV348" s="31">
        <f t="shared" si="496"/>
        <v>0</v>
      </c>
      <c r="AW348" s="31">
        <f t="shared" si="496"/>
        <v>0</v>
      </c>
      <c r="AX348" s="31">
        <f t="shared" si="496"/>
        <v>0</v>
      </c>
      <c r="AY348" s="31">
        <f t="shared" si="496"/>
        <v>0</v>
      </c>
      <c r="AZ348" s="31">
        <f t="shared" si="496"/>
        <v>0</v>
      </c>
      <c r="BA348" s="31">
        <f t="shared" si="496"/>
        <v>0</v>
      </c>
      <c r="BB348" s="31">
        <f t="shared" si="496"/>
        <v>0</v>
      </c>
      <c r="BC348" s="31">
        <f t="shared" si="496"/>
        <v>0</v>
      </c>
      <c r="BD348" s="31">
        <f t="shared" si="496"/>
        <v>0</v>
      </c>
      <c r="BE348" s="30">
        <f t="shared" si="491"/>
        <v>1</v>
      </c>
      <c r="BF348" s="620">
        <f t="shared" si="503"/>
        <v>1.0034498951996242</v>
      </c>
      <c r="BG348" s="620">
        <f t="shared" si="504"/>
        <v>1.0069222147180459</v>
      </c>
      <c r="BH348" s="620">
        <f t="shared" si="505"/>
        <v>1.0109547796356901</v>
      </c>
      <c r="BI348" s="620">
        <f t="shared" si="506"/>
        <v>1.0158301506211216</v>
      </c>
      <c r="BJ348" s="620">
        <f t="shared" si="507"/>
        <v>1.0218425664619335</v>
      </c>
      <c r="BK348" s="620">
        <f t="shared" si="508"/>
        <v>1.0281974167140426</v>
      </c>
      <c r="BL348" s="620">
        <f t="shared" si="509"/>
        <v>1.0328287210586446</v>
      </c>
      <c r="BM348" s="621" t="str">
        <f t="shared" si="510"/>
        <v>Category</v>
      </c>
    </row>
    <row r="349" spans="1:65" outlineLevel="1" x14ac:dyDescent="0.15">
      <c r="A349" s="608" t="s">
        <v>2751</v>
      </c>
      <c r="B349" s="609" t="s">
        <v>115</v>
      </c>
      <c r="C349" s="609" t="s">
        <v>27</v>
      </c>
      <c r="D349" s="609" t="s">
        <v>40</v>
      </c>
      <c r="E349" s="608" t="s">
        <v>29</v>
      </c>
      <c r="F349" s="606"/>
      <c r="G349" s="606"/>
      <c r="H349" s="606"/>
      <c r="I349" s="606"/>
      <c r="J349" s="606"/>
      <c r="K349" s="606"/>
      <c r="L349" s="606"/>
      <c r="M349" s="629"/>
      <c r="N349" s="806"/>
      <c r="O349" s="606"/>
      <c r="P349" s="610"/>
      <c r="Q349" s="610" t="str">
        <f>IF(ISTEXT('Incurred 2.5% cpi'!Q349),"",'Incurred 2.5% cpi'!Q349/'Incurred 2.5% cpi'!Q$14*Incurred!Q$14)</f>
        <v/>
      </c>
      <c r="R349" s="611">
        <f>IF(ISTEXT('Incurred 2.5% cpi'!R349),"",'Incurred 2.5% cpi'!R349/'Incurred 2.5% cpi'!R$14*Incurred!R$14*BF349)</f>
        <v>7775827.0567743946</v>
      </c>
      <c r="S349" s="612">
        <f>IF(ISTEXT('Incurred 2.5% cpi'!S349),"",'Incurred 2.5% cpi'!S349/'Incurred 2.5% cpi'!S$14*Incurred!S$14*BG349)</f>
        <v>4193716.8756305967</v>
      </c>
      <c r="T349" s="610">
        <f>IF(ISTEXT('Incurred 2.5% cpi'!T349),"",'Incurred 2.5% cpi'!T349/'Incurred 2.5% cpi'!T$14*Incurred!T$14*BH349)</f>
        <v>140130.92627164605</v>
      </c>
      <c r="U349" s="610" t="str">
        <f>IF(ISTEXT('Incurred 2.5% cpi'!U349),"",'Incurred 2.5% cpi'!U349/'Incurred 2.5% cpi'!U$14*Incurred!U$14*BI349)</f>
        <v/>
      </c>
      <c r="V349" s="610" t="str">
        <f>IF(ISTEXT('Incurred 2.5% cpi'!V349),"",'Incurred 2.5% cpi'!V349/'Incurred 2.5% cpi'!V$14*Incurred!V$14*BJ349)</f>
        <v/>
      </c>
      <c r="W349" s="611" t="str">
        <f>IF(ISTEXT('Incurred 2.5% cpi'!W349),"",'Incurred 2.5% cpi'!W349/'Incurred 2.5% cpi'!W$14*Incurred!W$14*BK349)</f>
        <v/>
      </c>
      <c r="X349" s="612" t="str">
        <f>IF(ISTEXT('Incurred 2.5% cpi'!X349),"",'Incurred 2.5% cpi'!X349/'Incurred 2.5% cpi'!X$14*Incurred!X$14*BL349)</f>
        <v/>
      </c>
      <c r="Y349" s="95">
        <f t="shared" si="483"/>
        <v>12109674.858676637</v>
      </c>
      <c r="Z349" s="95">
        <f t="shared" si="497"/>
        <v>12109674.858676637</v>
      </c>
      <c r="AA349" s="676">
        <f t="shared" si="498"/>
        <v>13255176.36915723</v>
      </c>
      <c r="AB349" s="676">
        <f t="shared" si="499"/>
        <v>12260151.405203428</v>
      </c>
      <c r="AC349" s="677">
        <f t="shared" si="500"/>
        <v>1.0811592721058483</v>
      </c>
      <c r="AD349" s="678" t="str">
        <f t="shared" si="458"/>
        <v>2020</v>
      </c>
      <c r="AE349" s="679">
        <v>43420</v>
      </c>
      <c r="AF349" s="678">
        <v>2019</v>
      </c>
      <c r="AG349" s="680"/>
      <c r="AH349" s="676">
        <f t="shared" si="501"/>
        <v>12023292.542123592</v>
      </c>
      <c r="AI349" s="95">
        <f t="shared" si="459"/>
        <v>140130.92627164605</v>
      </c>
      <c r="AJ349" s="681" t="s">
        <v>3059</v>
      </c>
      <c r="AK349" s="37">
        <f t="shared" si="502"/>
        <v>55413255.620694734</v>
      </c>
      <c r="AL349" s="31">
        <f t="shared" si="495"/>
        <v>0</v>
      </c>
      <c r="AM349" s="31">
        <f t="shared" si="495"/>
        <v>2.0736493800065814E-2</v>
      </c>
      <c r="AN349" s="31">
        <f t="shared" si="495"/>
        <v>0.14009851116809655</v>
      </c>
      <c r="AO349" s="31">
        <f t="shared" si="495"/>
        <v>0</v>
      </c>
      <c r="AP349" s="31">
        <f t="shared" si="495"/>
        <v>1.1730045324340205E-3</v>
      </c>
      <c r="AQ349" s="31">
        <f t="shared" si="495"/>
        <v>0</v>
      </c>
      <c r="AR349" s="31">
        <f t="shared" si="495"/>
        <v>0</v>
      </c>
      <c r="AS349" s="31">
        <f t="shared" si="495"/>
        <v>0</v>
      </c>
      <c r="AT349" s="31">
        <f t="shared" si="495"/>
        <v>0</v>
      </c>
      <c r="AU349" s="31">
        <f t="shared" si="495"/>
        <v>0.32336100731679684</v>
      </c>
      <c r="AV349" s="31">
        <f t="shared" si="496"/>
        <v>3.9093173208885737E-2</v>
      </c>
      <c r="AW349" s="31">
        <f t="shared" si="496"/>
        <v>0.15870496759294167</v>
      </c>
      <c r="AX349" s="31">
        <f t="shared" si="496"/>
        <v>1.1525852303274063E-2</v>
      </c>
      <c r="AY349" s="31">
        <f t="shared" si="496"/>
        <v>0</v>
      </c>
      <c r="AZ349" s="31">
        <f t="shared" si="496"/>
        <v>0.21744896686091472</v>
      </c>
      <c r="BA349" s="31">
        <f t="shared" si="496"/>
        <v>4.6810083070830268E-2</v>
      </c>
      <c r="BB349" s="31">
        <f t="shared" si="496"/>
        <v>4.104794014576036E-2</v>
      </c>
      <c r="BC349" s="31">
        <f t="shared" si="496"/>
        <v>0</v>
      </c>
      <c r="BD349" s="31">
        <f t="shared" si="496"/>
        <v>0</v>
      </c>
      <c r="BE349" s="30">
        <f t="shared" si="491"/>
        <v>1</v>
      </c>
      <c r="BF349" s="620">
        <f t="shared" si="503"/>
        <v>1.0034498951996242</v>
      </c>
      <c r="BG349" s="620">
        <f t="shared" si="504"/>
        <v>1.0069222147180459</v>
      </c>
      <c r="BH349" s="620">
        <f t="shared" si="505"/>
        <v>1.0109547796356901</v>
      </c>
      <c r="BI349" s="620">
        <f t="shared" si="506"/>
        <v>1.0158301506211216</v>
      </c>
      <c r="BJ349" s="620">
        <f t="shared" si="507"/>
        <v>1.0218425664619335</v>
      </c>
      <c r="BK349" s="620">
        <f t="shared" si="508"/>
        <v>1.0281974167140426</v>
      </c>
      <c r="BL349" s="620">
        <f t="shared" si="509"/>
        <v>1.0328287210586446</v>
      </c>
      <c r="BM349" s="621" t="str">
        <f t="shared" si="510"/>
        <v>Category</v>
      </c>
    </row>
    <row r="350" spans="1:65" outlineLevel="1" x14ac:dyDescent="0.15">
      <c r="A350" s="608" t="s">
        <v>2752</v>
      </c>
      <c r="B350" s="609" t="s">
        <v>359</v>
      </c>
      <c r="C350" s="609" t="s">
        <v>27</v>
      </c>
      <c r="D350" s="609" t="s">
        <v>40</v>
      </c>
      <c r="E350" s="608" t="s">
        <v>29</v>
      </c>
      <c r="F350" s="606"/>
      <c r="G350" s="606"/>
      <c r="H350" s="606"/>
      <c r="I350" s="606"/>
      <c r="J350" s="606"/>
      <c r="K350" s="606"/>
      <c r="L350" s="606"/>
      <c r="M350" s="629"/>
      <c r="N350" s="806"/>
      <c r="O350" s="606"/>
      <c r="P350" s="610"/>
      <c r="Q350" s="610" t="str">
        <f>IF(ISTEXT('Incurred 2.5% cpi'!Q350),"",'Incurred 2.5% cpi'!Q350/'Incurred 2.5% cpi'!Q$14*Incurred!Q$14)</f>
        <v/>
      </c>
      <c r="R350" s="611" t="str">
        <f>IF(ISTEXT('Incurred 2.5% cpi'!R350),"",'Incurred 2.5% cpi'!R350/'Incurred 2.5% cpi'!R$14*Incurred!R$14*BF350)</f>
        <v/>
      </c>
      <c r="S350" s="612">
        <f>IF(ISTEXT('Incurred 2.5% cpi'!S350),"",'Incurred 2.5% cpi'!S350/'Incurred 2.5% cpi'!S$14*Incurred!S$14*BG350)</f>
        <v>308049.42455996649</v>
      </c>
      <c r="T350" s="610" t="str">
        <f>IF(ISTEXT('Incurred 2.5% cpi'!T350),"",'Incurred 2.5% cpi'!T350/'Incurred 2.5% cpi'!T$14*Incurred!T$14*BH350)</f>
        <v/>
      </c>
      <c r="U350" s="610" t="str">
        <f>IF(ISTEXT('Incurred 2.5% cpi'!U350),"",'Incurred 2.5% cpi'!U350/'Incurred 2.5% cpi'!U$14*Incurred!U$14*BI350)</f>
        <v/>
      </c>
      <c r="V350" s="610" t="str">
        <f>IF(ISTEXT('Incurred 2.5% cpi'!V350),"",'Incurred 2.5% cpi'!V350/'Incurred 2.5% cpi'!V$14*Incurred!V$14*BJ350)</f>
        <v/>
      </c>
      <c r="W350" s="611" t="str">
        <f>IF(ISTEXT('Incurred 2.5% cpi'!W350),"",'Incurred 2.5% cpi'!W350/'Incurred 2.5% cpi'!W$14*Incurred!W$14*BK350)</f>
        <v/>
      </c>
      <c r="X350" s="612" t="str">
        <f>IF(ISTEXT('Incurred 2.5% cpi'!X350),"",'Incurred 2.5% cpi'!X350/'Incurred 2.5% cpi'!X$14*Incurred!X$14*BL350)</f>
        <v/>
      </c>
      <c r="Y350" s="95">
        <f t="shared" si="483"/>
        <v>308049.42455996649</v>
      </c>
      <c r="Z350" s="95">
        <f t="shared" si="497"/>
        <v>308049.42455996649</v>
      </c>
      <c r="AA350" s="676">
        <f t="shared" si="498"/>
        <v>333050.49162987882</v>
      </c>
      <c r="AB350" s="676">
        <f t="shared" si="499"/>
        <v>308049.42455996649</v>
      </c>
      <c r="AC350" s="677">
        <f t="shared" si="500"/>
        <v>1.0811592721058483</v>
      </c>
      <c r="AD350" s="678" t="str">
        <f t="shared" si="458"/>
        <v>2019</v>
      </c>
      <c r="AE350" s="679">
        <v>43174</v>
      </c>
      <c r="AF350" s="678">
        <v>2019</v>
      </c>
      <c r="AG350" s="680"/>
      <c r="AH350" s="676">
        <f t="shared" si="501"/>
        <v>302098.0921447156</v>
      </c>
      <c r="AI350" s="95">
        <f t="shared" si="459"/>
        <v>308049.42455996649</v>
      </c>
      <c r="AJ350" s="681" t="s">
        <v>3059</v>
      </c>
      <c r="AK350" s="37">
        <f t="shared" si="502"/>
        <v>49095474.99999994</v>
      </c>
      <c r="AL350" s="31">
        <f t="shared" si="495"/>
        <v>0</v>
      </c>
      <c r="AM350" s="31">
        <f t="shared" si="495"/>
        <v>0</v>
      </c>
      <c r="AN350" s="31">
        <f t="shared" si="495"/>
        <v>0</v>
      </c>
      <c r="AO350" s="31">
        <f t="shared" si="495"/>
        <v>0</v>
      </c>
      <c r="AP350" s="31">
        <f t="shared" si="495"/>
        <v>0</v>
      </c>
      <c r="AQ350" s="31">
        <f t="shared" si="495"/>
        <v>0</v>
      </c>
      <c r="AR350" s="31">
        <f t="shared" si="495"/>
        <v>0</v>
      </c>
      <c r="AS350" s="31">
        <f t="shared" si="495"/>
        <v>0</v>
      </c>
      <c r="AT350" s="31">
        <f t="shared" si="495"/>
        <v>0</v>
      </c>
      <c r="AU350" s="31">
        <f t="shared" si="495"/>
        <v>1</v>
      </c>
      <c r="AV350" s="31">
        <f t="shared" si="496"/>
        <v>0</v>
      </c>
      <c r="AW350" s="31">
        <f t="shared" si="496"/>
        <v>0</v>
      </c>
      <c r="AX350" s="31">
        <f t="shared" si="496"/>
        <v>0</v>
      </c>
      <c r="AY350" s="31">
        <f t="shared" si="496"/>
        <v>0</v>
      </c>
      <c r="AZ350" s="31">
        <f t="shared" si="496"/>
        <v>0</v>
      </c>
      <c r="BA350" s="31">
        <f t="shared" si="496"/>
        <v>0</v>
      </c>
      <c r="BB350" s="31">
        <f t="shared" si="496"/>
        <v>0</v>
      </c>
      <c r="BC350" s="31">
        <f t="shared" si="496"/>
        <v>0</v>
      </c>
      <c r="BD350" s="31">
        <f t="shared" si="496"/>
        <v>0</v>
      </c>
      <c r="BE350" s="30">
        <f t="shared" si="491"/>
        <v>1</v>
      </c>
      <c r="BF350" s="620">
        <f t="shared" si="503"/>
        <v>1.0034498951996242</v>
      </c>
      <c r="BG350" s="620">
        <f t="shared" si="504"/>
        <v>1.0069222147180459</v>
      </c>
      <c r="BH350" s="620">
        <f t="shared" si="505"/>
        <v>1.0109547796356901</v>
      </c>
      <c r="BI350" s="620">
        <f t="shared" si="506"/>
        <v>1.0158301506211216</v>
      </c>
      <c r="BJ350" s="620">
        <f t="shared" si="507"/>
        <v>1.0218425664619335</v>
      </c>
      <c r="BK350" s="620">
        <f t="shared" si="508"/>
        <v>1.0281974167140426</v>
      </c>
      <c r="BL350" s="620">
        <f t="shared" si="509"/>
        <v>1.0328287210586446</v>
      </c>
      <c r="BM350" s="621" t="str">
        <f t="shared" si="510"/>
        <v>Category</v>
      </c>
    </row>
    <row r="351" spans="1:65" outlineLevel="1" x14ac:dyDescent="0.15">
      <c r="A351" s="608" t="s">
        <v>2754</v>
      </c>
      <c r="B351" s="609" t="s">
        <v>568</v>
      </c>
      <c r="C351" s="609" t="s">
        <v>27</v>
      </c>
      <c r="D351" s="609" t="s">
        <v>41</v>
      </c>
      <c r="E351" s="609" t="s">
        <v>112</v>
      </c>
      <c r="F351" s="606"/>
      <c r="G351" s="606"/>
      <c r="H351" s="606"/>
      <c r="I351" s="606"/>
      <c r="J351" s="606"/>
      <c r="K351" s="606"/>
      <c r="L351" s="606"/>
      <c r="M351" s="629"/>
      <c r="N351" s="806"/>
      <c r="O351" s="606"/>
      <c r="P351" s="613"/>
      <c r="Q351" s="610" t="str">
        <f>IF(ISTEXT('Incurred 2.5% cpi'!Q351),"",'Incurred 2.5% cpi'!Q351/'Incurred 2.5% cpi'!Q$14*Incurred!Q$14)</f>
        <v/>
      </c>
      <c r="R351" s="611" t="str">
        <f>IF(ISTEXT('Incurred 2.5% cpi'!R351),"",'Incurred 2.5% cpi'!R351/'Incurred 2.5% cpi'!R$14*Incurred!R$14*BF351)</f>
        <v/>
      </c>
      <c r="S351" s="612">
        <f>IF(ISTEXT('Incurred 2.5% cpi'!S351),"",'Incurred 2.5% cpi'!S351/'Incurred 2.5% cpi'!S$14*Incurred!S$14*BG351)</f>
        <v>3651124.183171411</v>
      </c>
      <c r="T351" s="610">
        <f>IF(ISTEXT('Incurred 2.5% cpi'!T351),"",'Incurred 2.5% cpi'!T351/'Incurred 2.5% cpi'!T$14*Incurred!T$14*BH351)</f>
        <v>6645974.6555068782</v>
      </c>
      <c r="U351" s="610" t="str">
        <f>IF(ISTEXT('Incurred 2.5% cpi'!U351),"",'Incurred 2.5% cpi'!U351/'Incurred 2.5% cpi'!U$14*Incurred!U$14*BI351)</f>
        <v/>
      </c>
      <c r="V351" s="610" t="str">
        <f>IF(ISTEXT('Incurred 2.5% cpi'!V351),"",'Incurred 2.5% cpi'!V351/'Incurred 2.5% cpi'!V$14*Incurred!V$14*BJ351)</f>
        <v/>
      </c>
      <c r="W351" s="611" t="str">
        <f>IF(ISTEXT('Incurred 2.5% cpi'!W351),"",'Incurred 2.5% cpi'!W351/'Incurred 2.5% cpi'!W$14*Incurred!W$14*BK351)</f>
        <v/>
      </c>
      <c r="X351" s="612" t="str">
        <f>IF(ISTEXT('Incurred 2.5% cpi'!X351),"",'Incurred 2.5% cpi'!X351/'Incurred 2.5% cpi'!X$14*Incurred!X$14*BL351)</f>
        <v/>
      </c>
      <c r="Y351" s="95">
        <f t="shared" si="483"/>
        <v>10297098.838678289</v>
      </c>
      <c r="Z351" s="95">
        <f t="shared" si="494"/>
        <v>10297098.838678289</v>
      </c>
      <c r="AA351" s="676">
        <f t="shared" ref="AA351:AA356" si="511">IF(ROUND(Y351,0)=0,0,SUMPRODUCT($F$17:$W$17,F351:W351))</f>
        <v>10993987.041760355</v>
      </c>
      <c r="AB351" s="676">
        <f t="shared" ref="AB351:AB356" si="512">IF(AC351="","",AA351/AC351)</f>
        <v>10369025.985086767</v>
      </c>
      <c r="AC351" s="683">
        <f t="shared" ref="AC351:AC356" si="513">IF(AF351="","",IF(AF351&lt;AD351,INDEX($F$17:$W$17,1,MATCH(TEXT(AF351,"000"),$F$21:$W$21)),INDEX($F$17:$W$17,1,MATCH(AD351,$F$21:$W$21))))</f>
        <v>1.060271915373</v>
      </c>
      <c r="AD351" s="678" t="str">
        <f t="shared" si="458"/>
        <v>2020</v>
      </c>
      <c r="AE351" s="679">
        <v>44978</v>
      </c>
      <c r="AF351" s="678">
        <v>2020</v>
      </c>
      <c r="AG351" s="680"/>
      <c r="AH351" s="676">
        <f t="shared" ref="AH351:AH356" si="514">IF(ROUND(Y351,0)=0,0,SUMPRODUCT($F$16:$W$16,F351:W351))</f>
        <v>9972249.2350213062</v>
      </c>
      <c r="AI351" s="95">
        <f t="shared" si="459"/>
        <v>6645974.6555068782</v>
      </c>
      <c r="AJ351" s="681" t="s">
        <v>3058</v>
      </c>
      <c r="AK351" s="37">
        <f t="shared" ref="AK351:AK359" si="515">IF(ISNA(VLOOKUP(LEFT($A351,8),Estimates,71,FALSE)),0,VLOOKUP(LEFT($A351,8),Estimates,71,FALSE))</f>
        <v>0</v>
      </c>
      <c r="AL351" s="31">
        <f t="shared" ref="AL351:AU359" si="516">IF($AK351=0,VLOOKUP(MID($A351,4,5),ProjectSplits,AL$20,FALSE),IF(ISNA(VLOOKUP(LEFT($A351,8),Estimates,AL$19,FALSE)),VLOOKUP(MID($A351,4,5),ProjectSplits,AL$20,FALSE),VLOOKUP(LEFT($A351,8),Estimates,AL$19,FALSE)))</f>
        <v>0</v>
      </c>
      <c r="AM351" s="31">
        <f t="shared" si="516"/>
        <v>0</v>
      </c>
      <c r="AN351" s="31">
        <f t="shared" si="516"/>
        <v>0</v>
      </c>
      <c r="AO351" s="31">
        <f t="shared" si="516"/>
        <v>0</v>
      </c>
      <c r="AP351" s="31">
        <f t="shared" si="516"/>
        <v>0</v>
      </c>
      <c r="AQ351" s="31">
        <f t="shared" si="516"/>
        <v>0</v>
      </c>
      <c r="AR351" s="31">
        <f t="shared" si="516"/>
        <v>0</v>
      </c>
      <c r="AS351" s="31">
        <f t="shared" si="516"/>
        <v>0</v>
      </c>
      <c r="AT351" s="31">
        <f t="shared" si="516"/>
        <v>0</v>
      </c>
      <c r="AU351" s="31">
        <f t="shared" si="516"/>
        <v>0</v>
      </c>
      <c r="AV351" s="31">
        <f t="shared" ref="AV351:BD359" si="517">IF($AK351=0,VLOOKUP(MID($A351,4,5),ProjectSplits,AV$20,FALSE),IF(ISNA(VLOOKUP(LEFT($A351,8),Estimates,AV$19,FALSE)),VLOOKUP(MID($A351,4,5),ProjectSplits,AV$20,FALSE),VLOOKUP(LEFT($A351,8),Estimates,AV$19,FALSE)))</f>
        <v>0</v>
      </c>
      <c r="AW351" s="31">
        <f t="shared" si="517"/>
        <v>0</v>
      </c>
      <c r="AX351" s="31">
        <f t="shared" si="517"/>
        <v>0</v>
      </c>
      <c r="AY351" s="31">
        <f t="shared" si="517"/>
        <v>0</v>
      </c>
      <c r="AZ351" s="31">
        <f t="shared" si="517"/>
        <v>0</v>
      </c>
      <c r="BA351" s="31">
        <f t="shared" si="517"/>
        <v>0</v>
      </c>
      <c r="BB351" s="31">
        <f t="shared" si="517"/>
        <v>0</v>
      </c>
      <c r="BC351" s="31">
        <f t="shared" si="517"/>
        <v>0</v>
      </c>
      <c r="BD351" s="31">
        <f t="shared" si="517"/>
        <v>1</v>
      </c>
      <c r="BE351" s="30">
        <f t="shared" si="491"/>
        <v>1</v>
      </c>
      <c r="BF351" s="620">
        <f t="shared" si="503"/>
        <v>1.0029392094402594</v>
      </c>
      <c r="BG351" s="620">
        <f t="shared" si="504"/>
        <v>1.0058975237418804</v>
      </c>
      <c r="BH351" s="620">
        <f t="shared" si="505"/>
        <v>1.0093331506779359</v>
      </c>
      <c r="BI351" s="620">
        <f t="shared" si="506"/>
        <v>1.0134868236436272</v>
      </c>
      <c r="BJ351" s="620">
        <f t="shared" si="507"/>
        <v>1.0186092254487615</v>
      </c>
      <c r="BK351" s="620">
        <f t="shared" si="508"/>
        <v>1.0240233713203426</v>
      </c>
      <c r="BL351" s="620">
        <f t="shared" si="509"/>
        <v>1.0279691066724923</v>
      </c>
      <c r="BM351" s="621" t="str">
        <f t="shared" si="510"/>
        <v>Project</v>
      </c>
    </row>
    <row r="352" spans="1:65" outlineLevel="1" x14ac:dyDescent="0.15">
      <c r="A352" s="608" t="s">
        <v>2755</v>
      </c>
      <c r="B352" s="609" t="s">
        <v>568</v>
      </c>
      <c r="C352" s="609" t="s">
        <v>27</v>
      </c>
      <c r="D352" s="609" t="s">
        <v>41</v>
      </c>
      <c r="E352" s="609" t="s">
        <v>112</v>
      </c>
      <c r="F352" s="606"/>
      <c r="G352" s="606"/>
      <c r="H352" s="606"/>
      <c r="I352" s="606"/>
      <c r="J352" s="606"/>
      <c r="K352" s="606"/>
      <c r="L352" s="606"/>
      <c r="M352" s="629"/>
      <c r="N352" s="806"/>
      <c r="O352" s="606"/>
      <c r="P352" s="613"/>
      <c r="Q352" s="610" t="str">
        <f>IF(ISTEXT('Incurred 2.5% cpi'!Q352),"",'Incurred 2.5% cpi'!Q352/'Incurred 2.5% cpi'!Q$14*Incurred!Q$14)</f>
        <v/>
      </c>
      <c r="R352" s="611" t="str">
        <f>IF(ISTEXT('Incurred 2.5% cpi'!R352),"",'Incurred 2.5% cpi'!R352/'Incurred 2.5% cpi'!R$14*Incurred!R$14*BF352)</f>
        <v/>
      </c>
      <c r="S352" s="612" t="str">
        <f>IF(ISTEXT('Incurred 2.5% cpi'!S352),"",'Incurred 2.5% cpi'!S352/'Incurred 2.5% cpi'!S$14*Incurred!S$14*BG352)</f>
        <v/>
      </c>
      <c r="T352" s="610">
        <f>IF(ISTEXT('Incurred 2.5% cpi'!T352),"",'Incurred 2.5% cpi'!T352/'Incurred 2.5% cpi'!T$14*Incurred!T$14*BH352)</f>
        <v>7705011.3816883778</v>
      </c>
      <c r="U352" s="610">
        <f>IF(ISTEXT('Incurred 2.5% cpi'!U352),"",'Incurred 2.5% cpi'!U352/'Incurred 2.5% cpi'!U$14*Incurred!U$14*BI352)</f>
        <v>5203106.5619806312</v>
      </c>
      <c r="V352" s="610" t="str">
        <f>IF(ISTEXT('Incurred 2.5% cpi'!V352),"",'Incurred 2.5% cpi'!V352/'Incurred 2.5% cpi'!V$14*Incurred!V$14*BJ352)</f>
        <v/>
      </c>
      <c r="W352" s="611" t="str">
        <f>IF(ISTEXT('Incurred 2.5% cpi'!W352),"",'Incurred 2.5% cpi'!W352/'Incurred 2.5% cpi'!W$14*Incurred!W$14*BK352)</f>
        <v/>
      </c>
      <c r="X352" s="612" t="str">
        <f>IF(ISTEXT('Incurred 2.5% cpi'!X352),"",'Incurred 2.5% cpi'!X352/'Incurred 2.5% cpi'!X$14*Incurred!X$14*BL352)</f>
        <v/>
      </c>
      <c r="Y352" s="95">
        <f t="shared" si="483"/>
        <v>12908117.94366901</v>
      </c>
      <c r="Z352" s="95">
        <f t="shared" ref="Z352:Z359" si="518">-SUMIFS(F352:W352,F352:W352,"&lt;0")+SUMIFS(F352:W352,F352:W352,"&gt;0")</f>
        <v>12908117.94366901</v>
      </c>
      <c r="AA352" s="676">
        <f t="shared" si="511"/>
        <v>13579535.40978181</v>
      </c>
      <c r="AB352" s="676">
        <f t="shared" si="512"/>
        <v>13059906.667888271</v>
      </c>
      <c r="AC352" s="683">
        <f t="shared" si="513"/>
        <v>1.0397880900000001</v>
      </c>
      <c r="AD352" s="678" t="str">
        <f t="shared" si="458"/>
        <v>2021</v>
      </c>
      <c r="AE352" s="679">
        <v>44978</v>
      </c>
      <c r="AF352" s="678">
        <v>2021</v>
      </c>
      <c r="AG352" s="680"/>
      <c r="AH352" s="676">
        <f t="shared" si="514"/>
        <v>12317506.932449341</v>
      </c>
      <c r="AI352" s="95">
        <f t="shared" si="459"/>
        <v>5203106.5619806312</v>
      </c>
      <c r="AJ352" s="681" t="s">
        <v>3058</v>
      </c>
      <c r="AK352" s="37">
        <f t="shared" si="515"/>
        <v>0</v>
      </c>
      <c r="AL352" s="31">
        <f t="shared" si="516"/>
        <v>0</v>
      </c>
      <c r="AM352" s="31">
        <f t="shared" si="516"/>
        <v>0</v>
      </c>
      <c r="AN352" s="31">
        <f t="shared" si="516"/>
        <v>0</v>
      </c>
      <c r="AO352" s="31">
        <f t="shared" si="516"/>
        <v>0</v>
      </c>
      <c r="AP352" s="31">
        <f t="shared" si="516"/>
        <v>0</v>
      </c>
      <c r="AQ352" s="31">
        <f t="shared" si="516"/>
        <v>0</v>
      </c>
      <c r="AR352" s="31">
        <f t="shared" si="516"/>
        <v>0</v>
      </c>
      <c r="AS352" s="31">
        <f t="shared" si="516"/>
        <v>0</v>
      </c>
      <c r="AT352" s="31">
        <f t="shared" si="516"/>
        <v>0</v>
      </c>
      <c r="AU352" s="31">
        <f t="shared" si="516"/>
        <v>0</v>
      </c>
      <c r="AV352" s="31">
        <f t="shared" si="517"/>
        <v>0</v>
      </c>
      <c r="AW352" s="31">
        <f t="shared" si="517"/>
        <v>0</v>
      </c>
      <c r="AX352" s="31">
        <f t="shared" si="517"/>
        <v>0</v>
      </c>
      <c r="AY352" s="31">
        <f t="shared" si="517"/>
        <v>0</v>
      </c>
      <c r="AZ352" s="31">
        <f t="shared" si="517"/>
        <v>0</v>
      </c>
      <c r="BA352" s="31">
        <f t="shared" si="517"/>
        <v>0</v>
      </c>
      <c r="BB352" s="31">
        <f t="shared" si="517"/>
        <v>0</v>
      </c>
      <c r="BC352" s="31">
        <f t="shared" si="517"/>
        <v>0</v>
      </c>
      <c r="BD352" s="31">
        <f t="shared" si="517"/>
        <v>1</v>
      </c>
      <c r="BE352" s="30">
        <f t="shared" si="491"/>
        <v>1</v>
      </c>
      <c r="BF352" s="620">
        <f t="shared" si="503"/>
        <v>1.0029392094402594</v>
      </c>
      <c r="BG352" s="620">
        <f t="shared" si="504"/>
        <v>1.0058975237418804</v>
      </c>
      <c r="BH352" s="620">
        <f t="shared" si="505"/>
        <v>1.0093331506779359</v>
      </c>
      <c r="BI352" s="620">
        <f t="shared" si="506"/>
        <v>1.0134868236436272</v>
      </c>
      <c r="BJ352" s="620">
        <f t="shared" si="507"/>
        <v>1.0186092254487615</v>
      </c>
      <c r="BK352" s="620">
        <f t="shared" si="508"/>
        <v>1.0240233713203426</v>
      </c>
      <c r="BL352" s="620">
        <f t="shared" si="509"/>
        <v>1.0279691066724923</v>
      </c>
      <c r="BM352" s="621" t="str">
        <f t="shared" si="510"/>
        <v>Project</v>
      </c>
    </row>
    <row r="353" spans="1:68" outlineLevel="1" x14ac:dyDescent="0.15">
      <c r="A353" s="608" t="s">
        <v>2756</v>
      </c>
      <c r="B353" s="609" t="s">
        <v>568</v>
      </c>
      <c r="C353" s="609" t="s">
        <v>27</v>
      </c>
      <c r="D353" s="609" t="s">
        <v>41</v>
      </c>
      <c r="E353" s="609" t="s">
        <v>112</v>
      </c>
      <c r="F353" s="606"/>
      <c r="G353" s="606"/>
      <c r="H353" s="606"/>
      <c r="I353" s="606"/>
      <c r="J353" s="606"/>
      <c r="K353" s="606"/>
      <c r="L353" s="606"/>
      <c r="M353" s="629"/>
      <c r="N353" s="806"/>
      <c r="O353" s="606"/>
      <c r="P353" s="613"/>
      <c r="Q353" s="610" t="str">
        <f>IF(ISTEXT('Incurred 2.5% cpi'!Q353),"",'Incurred 2.5% cpi'!Q353/'Incurred 2.5% cpi'!Q$14*Incurred!Q$14)</f>
        <v/>
      </c>
      <c r="R353" s="611" t="str">
        <f>IF(ISTEXT('Incurred 2.5% cpi'!R353),"",'Incurred 2.5% cpi'!R353/'Incurred 2.5% cpi'!R$14*Incurred!R$14*BF353)</f>
        <v/>
      </c>
      <c r="S353" s="612" t="str">
        <f>IF(ISTEXT('Incurred 2.5% cpi'!S353),"",'Incurred 2.5% cpi'!S353/'Incurred 2.5% cpi'!S$14*Incurred!S$14*BG353)</f>
        <v/>
      </c>
      <c r="T353" s="610" t="str">
        <f>IF(ISTEXT('Incurred 2.5% cpi'!T353),"",'Incurred 2.5% cpi'!T353/'Incurred 2.5% cpi'!T$14*Incurred!T$14*BH353)</f>
        <v/>
      </c>
      <c r="U353" s="610">
        <f>IF(ISTEXT('Incurred 2.5% cpi'!U353),"",'Incurred 2.5% cpi'!U353/'Incurred 2.5% cpi'!U$14*Incurred!U$14*BI353)</f>
        <v>9270077.2524967231</v>
      </c>
      <c r="V353" s="610">
        <f>IF(ISTEXT('Incurred 2.5% cpi'!V353),"",'Incurred 2.5% cpi'!V353/'Incurred 2.5% cpi'!V$14*Incurred!V$14*BJ353)</f>
        <v>9473624.6024659909</v>
      </c>
      <c r="W353" s="611" t="str">
        <f>IF(ISTEXT('Incurred 2.5% cpi'!W353),"",'Incurred 2.5% cpi'!W353/'Incurred 2.5% cpi'!W$14*Incurred!W$14*BK353)</f>
        <v/>
      </c>
      <c r="X353" s="612" t="str">
        <f>IF(ISTEXT('Incurred 2.5% cpi'!X353),"",'Incurred 2.5% cpi'!X353/'Incurred 2.5% cpi'!X$14*Incurred!X$14*BL353)</f>
        <v/>
      </c>
      <c r="Y353" s="95">
        <f t="shared" si="483"/>
        <v>18743701.854962714</v>
      </c>
      <c r="Z353" s="95">
        <f t="shared" si="518"/>
        <v>18743701.854962714</v>
      </c>
      <c r="AA353" s="676">
        <f t="shared" si="511"/>
        <v>19299170.927660588</v>
      </c>
      <c r="AB353" s="676">
        <f t="shared" si="512"/>
        <v>18926322.3768369</v>
      </c>
      <c r="AC353" s="683">
        <f t="shared" si="513"/>
        <v>1.0197000000000001</v>
      </c>
      <c r="AD353" s="678" t="str">
        <f t="shared" si="458"/>
        <v>2022</v>
      </c>
      <c r="AE353" s="679">
        <v>44978</v>
      </c>
      <c r="AF353" s="678">
        <v>2022</v>
      </c>
      <c r="AG353" s="680"/>
      <c r="AH353" s="676">
        <f t="shared" si="514"/>
        <v>17505582.077627473</v>
      </c>
      <c r="AI353" s="95">
        <f t="shared" ref="AI353:AI356" si="519">IF(ROUND(Z353,0)=0,0,LOOKUP(2,1/(F353:W353&lt;&gt;""),F353:W353))</f>
        <v>9473624.6024659909</v>
      </c>
      <c r="AJ353" s="681" t="s">
        <v>3058</v>
      </c>
      <c r="AK353" s="37">
        <f t="shared" si="515"/>
        <v>0</v>
      </c>
      <c r="AL353" s="31">
        <f t="shared" si="516"/>
        <v>0</v>
      </c>
      <c r="AM353" s="31">
        <f t="shared" si="516"/>
        <v>0</v>
      </c>
      <c r="AN353" s="31">
        <f t="shared" si="516"/>
        <v>0</v>
      </c>
      <c r="AO353" s="31">
        <f t="shared" si="516"/>
        <v>0</v>
      </c>
      <c r="AP353" s="31">
        <f t="shared" si="516"/>
        <v>0</v>
      </c>
      <c r="AQ353" s="31">
        <f t="shared" si="516"/>
        <v>0</v>
      </c>
      <c r="AR353" s="31">
        <f t="shared" si="516"/>
        <v>0</v>
      </c>
      <c r="AS353" s="31">
        <f t="shared" si="516"/>
        <v>0</v>
      </c>
      <c r="AT353" s="31">
        <f t="shared" si="516"/>
        <v>0</v>
      </c>
      <c r="AU353" s="31">
        <f t="shared" si="516"/>
        <v>0</v>
      </c>
      <c r="AV353" s="31">
        <f t="shared" si="517"/>
        <v>0</v>
      </c>
      <c r="AW353" s="31">
        <f t="shared" si="517"/>
        <v>0</v>
      </c>
      <c r="AX353" s="31">
        <f t="shared" si="517"/>
        <v>0</v>
      </c>
      <c r="AY353" s="31">
        <f t="shared" si="517"/>
        <v>0</v>
      </c>
      <c r="AZ353" s="31">
        <f t="shared" si="517"/>
        <v>0</v>
      </c>
      <c r="BA353" s="31">
        <f t="shared" si="517"/>
        <v>0</v>
      </c>
      <c r="BB353" s="31">
        <f t="shared" si="517"/>
        <v>0</v>
      </c>
      <c r="BC353" s="31">
        <f t="shared" si="517"/>
        <v>0</v>
      </c>
      <c r="BD353" s="31">
        <f t="shared" si="517"/>
        <v>1</v>
      </c>
      <c r="BE353" s="30">
        <f t="shared" si="491"/>
        <v>1</v>
      </c>
      <c r="BF353" s="620">
        <f t="shared" si="503"/>
        <v>1.0029392094402594</v>
      </c>
      <c r="BG353" s="620">
        <f t="shared" si="504"/>
        <v>1.0058975237418804</v>
      </c>
      <c r="BH353" s="620">
        <f t="shared" si="505"/>
        <v>1.0093331506779359</v>
      </c>
      <c r="BI353" s="620">
        <f t="shared" si="506"/>
        <v>1.0134868236436272</v>
      </c>
      <c r="BJ353" s="620">
        <f t="shared" si="507"/>
        <v>1.0186092254487615</v>
      </c>
      <c r="BK353" s="620">
        <f t="shared" si="508"/>
        <v>1.0240233713203426</v>
      </c>
      <c r="BL353" s="620">
        <f t="shared" si="509"/>
        <v>1.0279691066724923</v>
      </c>
      <c r="BM353" s="621" t="str">
        <f t="shared" si="510"/>
        <v>Project</v>
      </c>
    </row>
    <row r="354" spans="1:68" outlineLevel="1" x14ac:dyDescent="0.15">
      <c r="A354" s="608" t="s">
        <v>2757</v>
      </c>
      <c r="B354" s="609" t="s">
        <v>570</v>
      </c>
      <c r="C354" s="609" t="s">
        <v>27</v>
      </c>
      <c r="D354" s="609" t="s">
        <v>41</v>
      </c>
      <c r="E354" s="609" t="s">
        <v>112</v>
      </c>
      <c r="F354" s="606"/>
      <c r="G354" s="606"/>
      <c r="H354" s="606"/>
      <c r="I354" s="606"/>
      <c r="J354" s="606"/>
      <c r="K354" s="606"/>
      <c r="L354" s="606"/>
      <c r="M354" s="629"/>
      <c r="N354" s="806"/>
      <c r="O354" s="606"/>
      <c r="P354" s="613"/>
      <c r="Q354" s="610" t="str">
        <f>IF(ISTEXT('Incurred 2.5% cpi'!Q354),"",'Incurred 2.5% cpi'!Q354/'Incurred 2.5% cpi'!Q$14*Incurred!Q$14)</f>
        <v/>
      </c>
      <c r="R354" s="611" t="str">
        <f>IF(ISTEXT('Incurred 2.5% cpi'!R354),"",'Incurred 2.5% cpi'!R354/'Incurred 2.5% cpi'!R$14*Incurred!R$14*BF354)</f>
        <v/>
      </c>
      <c r="S354" s="612" t="str">
        <f>IF(ISTEXT('Incurred 2.5% cpi'!S354),"",'Incurred 2.5% cpi'!S354/'Incurred 2.5% cpi'!S$14*Incurred!S$14*BG354)</f>
        <v/>
      </c>
      <c r="T354" s="610" t="str">
        <f>IF(ISTEXT('Incurred 2.5% cpi'!T354),"",'Incurred 2.5% cpi'!T354/'Incurred 2.5% cpi'!T$14*Incurred!T$14*BH354)</f>
        <v/>
      </c>
      <c r="U354" s="610">
        <f>IF(ISTEXT('Incurred 2.5% cpi'!U354),"",'Incurred 2.5% cpi'!U354/'Incurred 2.5% cpi'!U$14*Incurred!U$14*BI354)</f>
        <v>445226.61669989506</v>
      </c>
      <c r="V354" s="610">
        <f>IF(ISTEXT('Incurred 2.5% cpi'!V354),"",'Incurred 2.5% cpi'!V354/'Incurred 2.5% cpi'!V$14*Incurred!V$14*BJ354)</f>
        <v>5778180.4339276049</v>
      </c>
      <c r="W354" s="611" t="str">
        <f>IF(ISTEXT('Incurred 2.5% cpi'!W354),"",'Incurred 2.5% cpi'!W354/'Incurred 2.5% cpi'!W$14*Incurred!W$14*BK354)</f>
        <v/>
      </c>
      <c r="X354" s="612" t="str">
        <f>IF(ISTEXT('Incurred 2.5% cpi'!X354),"",'Incurred 2.5% cpi'!X354/'Incurred 2.5% cpi'!X$14*Incurred!X$14*BL354)</f>
        <v/>
      </c>
      <c r="Y354" s="95">
        <f t="shared" si="483"/>
        <v>6223407.0506274998</v>
      </c>
      <c r="Z354" s="95">
        <f t="shared" si="518"/>
        <v>6223407.0506274998</v>
      </c>
      <c r="AA354" s="676">
        <f t="shared" si="511"/>
        <v>6354951.9218715252</v>
      </c>
      <c r="AB354" s="676">
        <f t="shared" si="512"/>
        <v>6232178.0149764884</v>
      </c>
      <c r="AC354" s="677">
        <f t="shared" si="513"/>
        <v>1.0197000000000001</v>
      </c>
      <c r="AD354" s="678" t="str">
        <f t="shared" ref="AD354:AD356" si="520">IF(AI354=0,"",INDEX($F$21:$W$21,1,MATCH(AI354,F354:W354,0)))</f>
        <v>2022</v>
      </c>
      <c r="AE354" s="679">
        <v>44908</v>
      </c>
      <c r="AF354" s="678">
        <v>2022</v>
      </c>
      <c r="AG354" s="680"/>
      <c r="AH354" s="676">
        <f t="shared" si="514"/>
        <v>5764347.7476150636</v>
      </c>
      <c r="AI354" s="95">
        <f t="shared" si="519"/>
        <v>5778180.4339276049</v>
      </c>
      <c r="AJ354" s="681" t="s">
        <v>3058</v>
      </c>
      <c r="AK354" s="37">
        <f t="shared" si="515"/>
        <v>0</v>
      </c>
      <c r="AL354" s="31">
        <f t="shared" si="516"/>
        <v>0</v>
      </c>
      <c r="AM354" s="31">
        <f t="shared" si="516"/>
        <v>0</v>
      </c>
      <c r="AN354" s="31">
        <f t="shared" si="516"/>
        <v>0</v>
      </c>
      <c r="AO354" s="31">
        <f t="shared" si="516"/>
        <v>0</v>
      </c>
      <c r="AP354" s="31">
        <f t="shared" si="516"/>
        <v>0</v>
      </c>
      <c r="AQ354" s="31">
        <f t="shared" si="516"/>
        <v>0</v>
      </c>
      <c r="AR354" s="31">
        <f t="shared" si="516"/>
        <v>0</v>
      </c>
      <c r="AS354" s="31">
        <f t="shared" si="516"/>
        <v>0</v>
      </c>
      <c r="AT354" s="31">
        <f t="shared" si="516"/>
        <v>0</v>
      </c>
      <c r="AU354" s="31">
        <f t="shared" si="516"/>
        <v>0</v>
      </c>
      <c r="AV354" s="31">
        <f t="shared" si="517"/>
        <v>0</v>
      </c>
      <c r="AW354" s="31">
        <f t="shared" si="517"/>
        <v>0</v>
      </c>
      <c r="AX354" s="31">
        <f t="shared" si="517"/>
        <v>0</v>
      </c>
      <c r="AY354" s="31">
        <f t="shared" si="517"/>
        <v>0</v>
      </c>
      <c r="AZ354" s="31">
        <f t="shared" si="517"/>
        <v>0</v>
      </c>
      <c r="BA354" s="31">
        <f t="shared" si="517"/>
        <v>0</v>
      </c>
      <c r="BB354" s="31">
        <f t="shared" si="517"/>
        <v>0</v>
      </c>
      <c r="BC354" s="31">
        <f t="shared" si="517"/>
        <v>0</v>
      </c>
      <c r="BD354" s="31">
        <f t="shared" si="517"/>
        <v>1</v>
      </c>
      <c r="BE354" s="30">
        <f t="shared" si="491"/>
        <v>1</v>
      </c>
      <c r="BF354" s="620">
        <f t="shared" si="503"/>
        <v>1.0043960733921258</v>
      </c>
      <c r="BG354" s="620">
        <f t="shared" si="504"/>
        <v>1.0088207212613001</v>
      </c>
      <c r="BH354" s="620">
        <f t="shared" si="505"/>
        <v>1.0139592690462897</v>
      </c>
      <c r="BI354" s="620">
        <f t="shared" si="506"/>
        <v>1.0201717733183417</v>
      </c>
      <c r="BJ354" s="620">
        <f t="shared" si="507"/>
        <v>1.027833171642287</v>
      </c>
      <c r="BK354" s="620">
        <f t="shared" si="508"/>
        <v>1.035930921425319</v>
      </c>
      <c r="BL354" s="620">
        <f t="shared" si="509"/>
        <v>1.0418324206367615</v>
      </c>
      <c r="BM354" s="621" t="str">
        <f t="shared" si="510"/>
        <v>Project</v>
      </c>
    </row>
    <row r="355" spans="1:68" outlineLevel="1" x14ac:dyDescent="0.15">
      <c r="A355" s="608" t="s">
        <v>2758</v>
      </c>
      <c r="B355" s="609" t="s">
        <v>568</v>
      </c>
      <c r="C355" s="609" t="s">
        <v>27</v>
      </c>
      <c r="D355" s="609" t="s">
        <v>41</v>
      </c>
      <c r="E355" s="609" t="s">
        <v>112</v>
      </c>
      <c r="F355" s="606"/>
      <c r="G355" s="606"/>
      <c r="H355" s="606"/>
      <c r="I355" s="606"/>
      <c r="J355" s="606"/>
      <c r="K355" s="606"/>
      <c r="L355" s="606"/>
      <c r="M355" s="629"/>
      <c r="N355" s="806"/>
      <c r="O355" s="606"/>
      <c r="P355" s="613"/>
      <c r="Q355" s="610" t="str">
        <f>IF(ISTEXT('Incurred 2.5% cpi'!Q355),"",'Incurred 2.5% cpi'!Q355/'Incurred 2.5% cpi'!Q$14*Incurred!Q$14)</f>
        <v/>
      </c>
      <c r="R355" s="611" t="str">
        <f>IF(ISTEXT('Incurred 2.5% cpi'!R355),"",'Incurred 2.5% cpi'!R355/'Incurred 2.5% cpi'!R$14*Incurred!R$14*BF355)</f>
        <v/>
      </c>
      <c r="S355" s="612" t="str">
        <f>IF(ISTEXT('Incurred 2.5% cpi'!S355),"",'Incurred 2.5% cpi'!S355/'Incurred 2.5% cpi'!S$14*Incurred!S$14*BG355)</f>
        <v/>
      </c>
      <c r="T355" s="610" t="str">
        <f>IF(ISTEXT('Incurred 2.5% cpi'!T355),"",'Incurred 2.5% cpi'!T355/'Incurred 2.5% cpi'!T$14*Incurred!T$14*BH355)</f>
        <v/>
      </c>
      <c r="U355" s="610" t="str">
        <f>IF(ISTEXT('Incurred 2.5% cpi'!U355),"",'Incurred 2.5% cpi'!U355/'Incurred 2.5% cpi'!U$14*Incurred!U$14*BI355)</f>
        <v/>
      </c>
      <c r="V355" s="610">
        <f>IF(ISTEXT('Incurred 2.5% cpi'!V355),"",'Incurred 2.5% cpi'!V355/'Incurred 2.5% cpi'!V$14*Incurred!V$14*BJ355)</f>
        <v>5375600.2188921943</v>
      </c>
      <c r="W355" s="611">
        <f>IF(ISTEXT('Incurred 2.5% cpi'!W355),"",'Incurred 2.5% cpi'!W355/'Incurred 2.5% cpi'!W$14*Incurred!W$14*BK355)</f>
        <v>12159016.322699601</v>
      </c>
      <c r="X355" s="612" t="str">
        <f>IF(ISTEXT('Incurred 2.5% cpi'!X355),"",'Incurred 2.5% cpi'!X355/'Incurred 2.5% cpi'!X$14*Incurred!X$14*BL355)</f>
        <v/>
      </c>
      <c r="Y355" s="95">
        <f t="shared" si="483"/>
        <v>17534616.541591793</v>
      </c>
      <c r="Z355" s="95">
        <f t="shared" si="518"/>
        <v>17534616.541591793</v>
      </c>
      <c r="AA355" s="676">
        <f t="shared" si="511"/>
        <v>17640515.865903974</v>
      </c>
      <c r="AB355" s="676">
        <f t="shared" si="512"/>
        <v>17640515.865903974</v>
      </c>
      <c r="AC355" s="683">
        <f t="shared" si="513"/>
        <v>1</v>
      </c>
      <c r="AD355" s="678" t="str">
        <f t="shared" si="520"/>
        <v>2023</v>
      </c>
      <c r="AE355" s="679">
        <v>44978</v>
      </c>
      <c r="AF355" s="678">
        <v>2023</v>
      </c>
      <c r="AG355" s="680"/>
      <c r="AH355" s="676">
        <f t="shared" si="514"/>
        <v>16001075.877289239</v>
      </c>
      <c r="AI355" s="95">
        <f t="shared" si="519"/>
        <v>12159016.322699601</v>
      </c>
      <c r="AJ355" s="681" t="s">
        <v>3058</v>
      </c>
      <c r="AK355" s="37">
        <f t="shared" si="515"/>
        <v>0</v>
      </c>
      <c r="AL355" s="31">
        <f t="shared" si="516"/>
        <v>0</v>
      </c>
      <c r="AM355" s="31">
        <f t="shared" si="516"/>
        <v>0</v>
      </c>
      <c r="AN355" s="31">
        <f t="shared" si="516"/>
        <v>0</v>
      </c>
      <c r="AO355" s="31">
        <f t="shared" si="516"/>
        <v>0</v>
      </c>
      <c r="AP355" s="31">
        <f t="shared" si="516"/>
        <v>0</v>
      </c>
      <c r="AQ355" s="31">
        <f t="shared" si="516"/>
        <v>0</v>
      </c>
      <c r="AR355" s="31">
        <f t="shared" si="516"/>
        <v>0</v>
      </c>
      <c r="AS355" s="31">
        <f t="shared" si="516"/>
        <v>0</v>
      </c>
      <c r="AT355" s="31">
        <f t="shared" si="516"/>
        <v>0</v>
      </c>
      <c r="AU355" s="31">
        <f t="shared" si="516"/>
        <v>0</v>
      </c>
      <c r="AV355" s="31">
        <f t="shared" si="517"/>
        <v>0</v>
      </c>
      <c r="AW355" s="31">
        <f t="shared" si="517"/>
        <v>0</v>
      </c>
      <c r="AX355" s="31">
        <f t="shared" si="517"/>
        <v>0</v>
      </c>
      <c r="AY355" s="31">
        <f t="shared" si="517"/>
        <v>0</v>
      </c>
      <c r="AZ355" s="31">
        <f t="shared" si="517"/>
        <v>0</v>
      </c>
      <c r="BA355" s="31">
        <f t="shared" si="517"/>
        <v>0</v>
      </c>
      <c r="BB355" s="31">
        <f t="shared" si="517"/>
        <v>0</v>
      </c>
      <c r="BC355" s="31">
        <f t="shared" si="517"/>
        <v>0</v>
      </c>
      <c r="BD355" s="31">
        <f t="shared" si="517"/>
        <v>1</v>
      </c>
      <c r="BE355" s="30">
        <f t="shared" si="491"/>
        <v>1</v>
      </c>
      <c r="BF355" s="620">
        <f t="shared" si="503"/>
        <v>1.0029392094402594</v>
      </c>
      <c r="BG355" s="620">
        <f t="shared" si="504"/>
        <v>1.0058975237418804</v>
      </c>
      <c r="BH355" s="620">
        <f t="shared" si="505"/>
        <v>1.0093331506779359</v>
      </c>
      <c r="BI355" s="620">
        <f t="shared" si="506"/>
        <v>1.0134868236436272</v>
      </c>
      <c r="BJ355" s="620">
        <f t="shared" si="507"/>
        <v>1.0186092254487615</v>
      </c>
      <c r="BK355" s="620">
        <f t="shared" si="508"/>
        <v>1.0240233713203426</v>
      </c>
      <c r="BL355" s="620">
        <f t="shared" si="509"/>
        <v>1.0279691066724923</v>
      </c>
      <c r="BM355" s="621" t="str">
        <f t="shared" si="510"/>
        <v>Project</v>
      </c>
    </row>
    <row r="356" spans="1:68" outlineLevel="1" x14ac:dyDescent="0.15">
      <c r="A356" s="608" t="s">
        <v>2759</v>
      </c>
      <c r="B356" s="609" t="s">
        <v>570</v>
      </c>
      <c r="C356" s="609" t="s">
        <v>27</v>
      </c>
      <c r="D356" s="609" t="s">
        <v>41</v>
      </c>
      <c r="E356" s="609" t="s">
        <v>112</v>
      </c>
      <c r="F356" s="606"/>
      <c r="G356" s="606"/>
      <c r="H356" s="606"/>
      <c r="I356" s="606"/>
      <c r="J356" s="606"/>
      <c r="K356" s="606"/>
      <c r="L356" s="606"/>
      <c r="M356" s="629"/>
      <c r="N356" s="806"/>
      <c r="O356" s="606"/>
      <c r="P356" s="613"/>
      <c r="Q356" s="610" t="str">
        <f>IF(ISTEXT('Incurred 2.5% cpi'!Q356),"",'Incurred 2.5% cpi'!Q356/'Incurred 2.5% cpi'!Q$14*Incurred!Q$14)</f>
        <v/>
      </c>
      <c r="R356" s="611" t="str">
        <f>IF(ISTEXT('Incurred 2.5% cpi'!R356),"",'Incurred 2.5% cpi'!R356/'Incurred 2.5% cpi'!R$14*Incurred!R$14*BF356)</f>
        <v/>
      </c>
      <c r="S356" s="612" t="str">
        <f>IF(ISTEXT('Incurred 2.5% cpi'!S356),"",'Incurred 2.5% cpi'!S356/'Incurred 2.5% cpi'!S$14*Incurred!S$14*BG356)</f>
        <v/>
      </c>
      <c r="T356" s="610" t="str">
        <f>IF(ISTEXT('Incurred 2.5% cpi'!T356),"",'Incurred 2.5% cpi'!T356/'Incurred 2.5% cpi'!T$14*Incurred!T$14*BH356)</f>
        <v/>
      </c>
      <c r="U356" s="610" t="str">
        <f>IF(ISTEXT('Incurred 2.5% cpi'!U356),"",'Incurred 2.5% cpi'!U356/'Incurred 2.5% cpi'!U$14*Incurred!U$14*BI356)</f>
        <v/>
      </c>
      <c r="V356" s="610">
        <f>IF(ISTEXT('Incurred 2.5% cpi'!V356),"",'Incurred 2.5% cpi'!V356/'Incurred 2.5% cpi'!V$14*Incurred!V$14*BJ356)</f>
        <v>16023.311133857258</v>
      </c>
      <c r="W356" s="611">
        <f>IF(ISTEXT('Incurred 2.5% cpi'!W356),"",'Incurred 2.5% cpi'!W356/'Incurred 2.5% cpi'!W$14*Incurred!W$14*BK356)</f>
        <v>3607758.8541768803</v>
      </c>
      <c r="X356" s="612" t="str">
        <f>IF(ISTEXT('Incurred 2.5% cpi'!X356),"",'Incurred 2.5% cpi'!X356/'Incurred 2.5% cpi'!X$14*Incurred!X$14*BL356)</f>
        <v/>
      </c>
      <c r="Y356" s="95">
        <f t="shared" si="483"/>
        <v>3623782.1653107377</v>
      </c>
      <c r="Z356" s="95">
        <f t="shared" si="518"/>
        <v>3623782.1653107377</v>
      </c>
      <c r="AA356" s="676">
        <f t="shared" si="511"/>
        <v>3624097.8245400744</v>
      </c>
      <c r="AB356" s="676">
        <f t="shared" si="512"/>
        <v>3624097.8245400744</v>
      </c>
      <c r="AC356" s="677">
        <f t="shared" si="513"/>
        <v>1</v>
      </c>
      <c r="AD356" s="678" t="str">
        <f t="shared" si="520"/>
        <v>2023</v>
      </c>
      <c r="AE356" s="679">
        <v>44908</v>
      </c>
      <c r="AF356" s="678">
        <v>2023</v>
      </c>
      <c r="AG356" s="680"/>
      <c r="AH356" s="676">
        <f t="shared" si="514"/>
        <v>3287288.4624234871</v>
      </c>
      <c r="AI356" s="95">
        <f t="shared" si="519"/>
        <v>3607758.8541768803</v>
      </c>
      <c r="AJ356" s="681" t="s">
        <v>3058</v>
      </c>
      <c r="AK356" s="37">
        <f t="shared" si="515"/>
        <v>0</v>
      </c>
      <c r="AL356" s="31">
        <f t="shared" si="516"/>
        <v>0</v>
      </c>
      <c r="AM356" s="31">
        <f t="shared" si="516"/>
        <v>0</v>
      </c>
      <c r="AN356" s="31">
        <f t="shared" si="516"/>
        <v>0</v>
      </c>
      <c r="AO356" s="31">
        <f t="shared" si="516"/>
        <v>0</v>
      </c>
      <c r="AP356" s="31">
        <f t="shared" si="516"/>
        <v>0</v>
      </c>
      <c r="AQ356" s="31">
        <f t="shared" si="516"/>
        <v>0</v>
      </c>
      <c r="AR356" s="31">
        <f t="shared" si="516"/>
        <v>0</v>
      </c>
      <c r="AS356" s="31">
        <f t="shared" si="516"/>
        <v>0</v>
      </c>
      <c r="AT356" s="31">
        <f t="shared" si="516"/>
        <v>0</v>
      </c>
      <c r="AU356" s="31">
        <f t="shared" si="516"/>
        <v>0</v>
      </c>
      <c r="AV356" s="31">
        <f t="shared" si="517"/>
        <v>0</v>
      </c>
      <c r="AW356" s="31">
        <f t="shared" si="517"/>
        <v>0</v>
      </c>
      <c r="AX356" s="31">
        <f t="shared" si="517"/>
        <v>0</v>
      </c>
      <c r="AY356" s="31">
        <f t="shared" si="517"/>
        <v>0</v>
      </c>
      <c r="AZ356" s="31">
        <f t="shared" si="517"/>
        <v>0</v>
      </c>
      <c r="BA356" s="31">
        <f t="shared" si="517"/>
        <v>0</v>
      </c>
      <c r="BB356" s="31">
        <f t="shared" si="517"/>
        <v>0</v>
      </c>
      <c r="BC356" s="31">
        <f t="shared" si="517"/>
        <v>0</v>
      </c>
      <c r="BD356" s="31">
        <f t="shared" si="517"/>
        <v>1</v>
      </c>
      <c r="BE356" s="30">
        <f t="shared" si="491"/>
        <v>1</v>
      </c>
      <c r="BF356" s="620">
        <f t="shared" si="503"/>
        <v>1.0043960733921258</v>
      </c>
      <c r="BG356" s="620">
        <f t="shared" si="504"/>
        <v>1.0088207212613001</v>
      </c>
      <c r="BH356" s="620">
        <f t="shared" si="505"/>
        <v>1.0139592690462897</v>
      </c>
      <c r="BI356" s="620">
        <f t="shared" si="506"/>
        <v>1.0201717733183417</v>
      </c>
      <c r="BJ356" s="620">
        <f t="shared" si="507"/>
        <v>1.027833171642287</v>
      </c>
      <c r="BK356" s="620">
        <f t="shared" si="508"/>
        <v>1.035930921425319</v>
      </c>
      <c r="BL356" s="620">
        <f t="shared" si="509"/>
        <v>1.0418324206367615</v>
      </c>
      <c r="BM356" s="621" t="str">
        <f t="shared" si="510"/>
        <v>Project</v>
      </c>
    </row>
    <row r="357" spans="1:68" outlineLevel="1" x14ac:dyDescent="0.15">
      <c r="A357" s="614" t="s">
        <v>2984</v>
      </c>
      <c r="B357" s="609" t="s">
        <v>325</v>
      </c>
      <c r="C357" s="609" t="s">
        <v>27</v>
      </c>
      <c r="D357" s="609" t="s">
        <v>40</v>
      </c>
      <c r="E357" s="609" t="s">
        <v>29</v>
      </c>
      <c r="F357" s="606"/>
      <c r="G357" s="606"/>
      <c r="H357" s="606"/>
      <c r="I357" s="606"/>
      <c r="J357" s="606"/>
      <c r="K357" s="606"/>
      <c r="L357" s="606"/>
      <c r="M357" s="629"/>
      <c r="N357" s="806"/>
      <c r="O357" s="606"/>
      <c r="P357" s="613"/>
      <c r="Q357" s="610">
        <f>IF(ISTEXT('Incurred 2.5% cpi'!Q357),"",'Incurred 2.5% cpi'!Q357/'Incurred 2.5% cpi'!Q$14*Incurred!Q$14)</f>
        <v>2549394.0750000002</v>
      </c>
      <c r="R357" s="611">
        <f>IF(ISTEXT('Incurred 2.5% cpi'!R357),"",'Incurred 2.5% cpi'!R357/'Incurred 2.5% cpi'!R$14*Incurred!R$14*BF357)</f>
        <v>3559590.6793591063</v>
      </c>
      <c r="S357" s="612">
        <f>IF(ISTEXT('Incurred 2.5% cpi'!S357),"",'Incurred 2.5% cpi'!S357/'Incurred 2.5% cpi'!S$14*Incurred!S$14*BG357)</f>
        <v>69397.138780549358</v>
      </c>
      <c r="T357" s="610" t="str">
        <f>IF(ISTEXT('Incurred 2.5% cpi'!T357),"",'Incurred 2.5% cpi'!T357/'Incurred 2.5% cpi'!T$14*Incurred!T$14*BH357)</f>
        <v/>
      </c>
      <c r="U357" s="610" t="str">
        <f>IF(ISTEXT('Incurred 2.5% cpi'!U357),"",'Incurred 2.5% cpi'!U357/'Incurred 2.5% cpi'!U$14*Incurred!U$14*BI357)</f>
        <v/>
      </c>
      <c r="V357" s="610" t="str">
        <f>IF(ISTEXT('Incurred 2.5% cpi'!V357),"",'Incurred 2.5% cpi'!V357/'Incurred 2.5% cpi'!V$14*Incurred!V$14*BJ357)</f>
        <v/>
      </c>
      <c r="W357" s="611" t="str">
        <f>IF(ISTEXT('Incurred 2.5% cpi'!W357),"",'Incurred 2.5% cpi'!W357/'Incurred 2.5% cpi'!W$14*Incurred!W$14*BK357)</f>
        <v/>
      </c>
      <c r="X357" s="612" t="str">
        <f>IF(ISTEXT('Incurred 2.5% cpi'!X357),"",'Incurred 2.5% cpi'!X357/'Incurred 2.5% cpi'!X$14*Incurred!X$14*BL357)</f>
        <v/>
      </c>
      <c r="Y357" s="95">
        <f t="shared" si="483"/>
        <v>6178381.8931396557</v>
      </c>
      <c r="Z357" s="95">
        <f t="shared" si="518"/>
        <v>6178381.8931396557</v>
      </c>
      <c r="AA357" s="676">
        <f t="shared" ref="AA357" si="521">IF(ROUND(Y357,0)=0,0,SUMPRODUCT($F$17:$W$17,F357:W357))</f>
        <v>6865297.9683398847</v>
      </c>
      <c r="AB357" s="676">
        <f t="shared" ref="AB357" si="522">IF(AC357="","",AA357/AC357)</f>
        <v>6227264.2448019972</v>
      </c>
      <c r="AC357" s="677">
        <f t="shared" ref="AC357" si="523">IF(AF357="","",IF(AF357&lt;AD357,INDEX($F$17:$W$17,1,MATCH(TEXT(AF357,"000"),$F$21:$W$21)),INDEX($F$17:$W$17,1,MATCH(AD357,$F$21:$W$21))))</f>
        <v>1.1024581097663335</v>
      </c>
      <c r="AD357" s="678" t="str">
        <f t="shared" ref="AD357" si="524">IF(AI357=0,"",INDEX($F$21:$W$21,1,MATCH(AI357,F357:W357,0)))</f>
        <v>2019</v>
      </c>
      <c r="AE357" s="679">
        <v>42863</v>
      </c>
      <c r="AF357" s="678">
        <v>2018</v>
      </c>
      <c r="AG357" s="680"/>
      <c r="AH357" s="676">
        <f t="shared" ref="AH357" si="525">IF(ROUND(Y357,0)=0,0,SUMPRODUCT($F$16:$W$16,F357:W357))</f>
        <v>6227264.2448019981</v>
      </c>
      <c r="AI357" s="95">
        <f t="shared" ref="AI357" si="526">IF(ROUND(Z357,0)=0,0,LOOKUP(2,1/(F357:W357&lt;&gt;""),F357:W357))</f>
        <v>69397.138780549358</v>
      </c>
      <c r="AJ357" s="681" t="s">
        <v>0</v>
      </c>
      <c r="AK357" s="37">
        <f t="shared" si="515"/>
        <v>8237319.3731999993</v>
      </c>
      <c r="AL357" s="31">
        <f t="shared" si="516"/>
        <v>0</v>
      </c>
      <c r="AM357" s="31">
        <f t="shared" si="516"/>
        <v>0.11751392769222635</v>
      </c>
      <c r="AN357" s="31">
        <f t="shared" si="516"/>
        <v>0.52638483510875078</v>
      </c>
      <c r="AO357" s="31">
        <f t="shared" si="516"/>
        <v>0.3412905937757601</v>
      </c>
      <c r="AP357" s="31">
        <f t="shared" si="516"/>
        <v>0</v>
      </c>
      <c r="AQ357" s="31">
        <f t="shared" si="516"/>
        <v>0</v>
      </c>
      <c r="AR357" s="31">
        <f t="shared" si="516"/>
        <v>0</v>
      </c>
      <c r="AS357" s="31">
        <f t="shared" si="516"/>
        <v>0</v>
      </c>
      <c r="AT357" s="31">
        <f t="shared" si="516"/>
        <v>0</v>
      </c>
      <c r="AU357" s="31">
        <f t="shared" si="516"/>
        <v>0</v>
      </c>
      <c r="AV357" s="31">
        <f t="shared" si="517"/>
        <v>0</v>
      </c>
      <c r="AW357" s="31">
        <f t="shared" si="517"/>
        <v>0</v>
      </c>
      <c r="AX357" s="31">
        <f t="shared" si="517"/>
        <v>0</v>
      </c>
      <c r="AY357" s="31">
        <f t="shared" si="517"/>
        <v>0</v>
      </c>
      <c r="AZ357" s="31">
        <f t="shared" si="517"/>
        <v>1.4810643423262822E-2</v>
      </c>
      <c r="BA357" s="31">
        <f t="shared" si="517"/>
        <v>0</v>
      </c>
      <c r="BB357" s="31">
        <f t="shared" si="517"/>
        <v>0</v>
      </c>
      <c r="BC357" s="31">
        <f t="shared" si="517"/>
        <v>0</v>
      </c>
      <c r="BD357" s="31">
        <f t="shared" si="517"/>
        <v>0</v>
      </c>
      <c r="BE357" s="30">
        <f t="shared" ref="BE357" si="527">SUM(AL357:BD357)</f>
        <v>1</v>
      </c>
      <c r="BF357" s="620">
        <f t="shared" si="503"/>
        <v>1.0034498951996242</v>
      </c>
      <c r="BG357" s="620">
        <f t="shared" si="504"/>
        <v>1.0069222147180459</v>
      </c>
      <c r="BH357" s="620">
        <f t="shared" si="505"/>
        <v>1.0109547796356901</v>
      </c>
      <c r="BI357" s="620">
        <f t="shared" si="506"/>
        <v>1.0158301506211216</v>
      </c>
      <c r="BJ357" s="620">
        <f t="shared" si="507"/>
        <v>1.0218425664619335</v>
      </c>
      <c r="BK357" s="620">
        <f t="shared" si="508"/>
        <v>1.0281974167140426</v>
      </c>
      <c r="BL357" s="620">
        <f t="shared" si="509"/>
        <v>1.0328287210586446</v>
      </c>
      <c r="BM357" s="621" t="str">
        <f t="shared" si="510"/>
        <v>Category</v>
      </c>
    </row>
    <row r="358" spans="1:68" outlineLevel="1" x14ac:dyDescent="0.15">
      <c r="A358" s="91" t="s">
        <v>2778</v>
      </c>
      <c r="B358" s="91" t="s">
        <v>2779</v>
      </c>
      <c r="C358" s="91" t="s">
        <v>27</v>
      </c>
      <c r="D358" s="91" t="s">
        <v>54</v>
      </c>
      <c r="E358" s="91" t="s">
        <v>112</v>
      </c>
      <c r="F358" s="14"/>
      <c r="G358" s="14"/>
      <c r="H358" s="14"/>
      <c r="I358" s="14"/>
      <c r="J358" s="14"/>
      <c r="K358" s="14"/>
      <c r="L358" s="14"/>
      <c r="M358" s="15"/>
      <c r="N358" s="804"/>
      <c r="O358" s="14"/>
      <c r="P358" s="14"/>
      <c r="Q358" s="16" t="str">
        <f>IF(ISTEXT('Incurred 2.5% cpi'!Q358),"",'Incurred 2.5% cpi'!Q358/'Incurred 2.5% cpi'!Q$14*Incurred!Q$14)</f>
        <v/>
      </c>
      <c r="R358" s="127">
        <f>IF(ISTEXT('Incurred 2.5% cpi'!R358),"",'Incurred 2.5% cpi'!R358/'Incurred 2.5% cpi'!R$14*Incurred!R$14*BF358)</f>
        <v>2863576.2253725729</v>
      </c>
      <c r="S358" s="119">
        <f>IF(ISTEXT('Incurred 2.5% cpi'!S358),"",'Incurred 2.5% cpi'!S358/'Incurred 2.5% cpi'!S$14*Incurred!S$14*BG358)</f>
        <v>633705.64434691332</v>
      </c>
      <c r="T358" s="16" t="str">
        <f>IF(ISTEXT('Incurred 2.5% cpi'!T358),"",'Incurred 2.5% cpi'!T358/'Incurred 2.5% cpi'!T$14*Incurred!T$14*BH358)</f>
        <v/>
      </c>
      <c r="U358" s="16" t="str">
        <f>IF(ISTEXT('Incurred 2.5% cpi'!U358),"",'Incurred 2.5% cpi'!U358/'Incurred 2.5% cpi'!U$14*Incurred!U$14*BI358)</f>
        <v/>
      </c>
      <c r="V358" s="16" t="str">
        <f>IF(ISTEXT('Incurred 2.5% cpi'!V358),"",'Incurred 2.5% cpi'!V358/'Incurred 2.5% cpi'!V$14*Incurred!V$14*BJ358)</f>
        <v/>
      </c>
      <c r="W358" s="127" t="str">
        <f>IF(ISTEXT('Incurred 2.5% cpi'!W358),"",'Incurred 2.5% cpi'!W358/'Incurred 2.5% cpi'!W$14*Incurred!W$14*BK358)</f>
        <v/>
      </c>
      <c r="X358" s="119" t="str">
        <f>IF(ISTEXT('Incurred 2.5% cpi'!X358),"",'Incurred 2.5% cpi'!X358/'Incurred 2.5% cpi'!X$14*Incurred!X$14*BL358)</f>
        <v/>
      </c>
      <c r="Y358" s="95">
        <f t="shared" si="483"/>
        <v>3497281.8697194862</v>
      </c>
      <c r="Z358" s="95">
        <f t="shared" si="518"/>
        <v>3497281.8697194862</v>
      </c>
      <c r="AA358" s="676">
        <f t="shared" ref="AA358" si="528">IF(ROUND(Y358,0)=0,0,SUMPRODUCT($F$17:$W$17,F358:W358))</f>
        <v>3842109.5657675355</v>
      </c>
      <c r="AB358" s="676">
        <f t="shared" ref="AB358" si="529">IF(AC358="","",AA358/AC358)</f>
        <v>3485039.0520342514</v>
      </c>
      <c r="AC358" s="677">
        <f t="shared" ref="AC358" si="530">IF(AF358="","",IF(AF358&lt;AD358,INDEX($F$17:$W$17,1,MATCH(TEXT(AF358,"000"),$F$21:$W$21)),INDEX($F$17:$W$17,1,MATCH(AD358,$F$21:$W$21))))</f>
        <v>1.1024581097663335</v>
      </c>
      <c r="AD358" s="678" t="str">
        <f t="shared" ref="AD358" si="531">IF(AI358=0,"",INDEX($F$21:$W$21,1,MATCH(AI358,F358:W358,0)))</f>
        <v>2019</v>
      </c>
      <c r="AE358" s="679">
        <v>43256</v>
      </c>
      <c r="AF358" s="678">
        <v>2018</v>
      </c>
      <c r="AG358" s="680"/>
      <c r="AH358" s="676">
        <f t="shared" ref="AH358" si="532">IF(ROUND(Y358,0)=0,0,SUMPRODUCT($F$16:$W$16,F358:W358))</f>
        <v>3485039.0520342514</v>
      </c>
      <c r="AI358" s="95">
        <f t="shared" ref="AI358" si="533">IF(ROUND(Z358,0)=0,0,LOOKUP(2,1/(F358:W358&lt;&gt;""),F358:W358))</f>
        <v>633705.64434691332</v>
      </c>
      <c r="AJ358" s="681" t="s">
        <v>3058</v>
      </c>
      <c r="AK358" s="37">
        <f t="shared" si="515"/>
        <v>2682824.998441956</v>
      </c>
      <c r="AL358" s="31">
        <f t="shared" si="516"/>
        <v>0</v>
      </c>
      <c r="AM358" s="31">
        <f t="shared" si="516"/>
        <v>0</v>
      </c>
      <c r="AN358" s="31">
        <f t="shared" si="516"/>
        <v>0</v>
      </c>
      <c r="AO358" s="31">
        <f t="shared" si="516"/>
        <v>0</v>
      </c>
      <c r="AP358" s="31">
        <f t="shared" si="516"/>
        <v>0</v>
      </c>
      <c r="AQ358" s="31">
        <f t="shared" si="516"/>
        <v>0</v>
      </c>
      <c r="AR358" s="31">
        <f t="shared" si="516"/>
        <v>0</v>
      </c>
      <c r="AS358" s="31">
        <f t="shared" si="516"/>
        <v>0</v>
      </c>
      <c r="AT358" s="31">
        <f t="shared" si="516"/>
        <v>0</v>
      </c>
      <c r="AU358" s="31">
        <f t="shared" si="516"/>
        <v>0</v>
      </c>
      <c r="AV358" s="31">
        <f t="shared" si="517"/>
        <v>0</v>
      </c>
      <c r="AW358" s="31">
        <f t="shared" si="517"/>
        <v>0</v>
      </c>
      <c r="AX358" s="31">
        <f t="shared" si="517"/>
        <v>0</v>
      </c>
      <c r="AY358" s="31">
        <f t="shared" si="517"/>
        <v>0</v>
      </c>
      <c r="AZ358" s="31">
        <f t="shared" si="517"/>
        <v>1.1182242605247236E-2</v>
      </c>
      <c r="BA358" s="31">
        <f t="shared" si="517"/>
        <v>0.98881775739475275</v>
      </c>
      <c r="BB358" s="31">
        <f t="shared" si="517"/>
        <v>0</v>
      </c>
      <c r="BC358" s="31">
        <f t="shared" si="517"/>
        <v>0</v>
      </c>
      <c r="BD358" s="31">
        <f t="shared" si="517"/>
        <v>0</v>
      </c>
      <c r="BE358" s="30">
        <f t="shared" si="491"/>
        <v>1</v>
      </c>
      <c r="BF358" s="620">
        <f t="shared" si="503"/>
        <v>1.0030818160192299</v>
      </c>
      <c r="BG358" s="620">
        <f t="shared" si="504"/>
        <v>1.006183663842585</v>
      </c>
      <c r="BH358" s="620">
        <f t="shared" si="505"/>
        <v>1.0097859828820543</v>
      </c>
      <c r="BI358" s="620">
        <f t="shared" si="506"/>
        <v>1.0141411866007726</v>
      </c>
      <c r="BJ358" s="620">
        <f t="shared" si="507"/>
        <v>1.0195121206090012</v>
      </c>
      <c r="BK358" s="620">
        <f t="shared" si="508"/>
        <v>1.0251889537223347</v>
      </c>
      <c r="BL358" s="620">
        <f t="shared" si="509"/>
        <v>1.0293261309677997</v>
      </c>
      <c r="BM358" s="621" t="str">
        <f t="shared" si="510"/>
        <v>Category</v>
      </c>
    </row>
    <row r="359" spans="1:68" outlineLevel="1" x14ac:dyDescent="0.15">
      <c r="A359" s="91" t="s">
        <v>2776</v>
      </c>
      <c r="B359" s="91" t="s">
        <v>2777</v>
      </c>
      <c r="C359" s="91" t="s">
        <v>27</v>
      </c>
      <c r="D359" s="91" t="s">
        <v>54</v>
      </c>
      <c r="E359" s="91" t="s">
        <v>112</v>
      </c>
      <c r="F359" s="14"/>
      <c r="G359" s="14"/>
      <c r="H359" s="14"/>
      <c r="I359" s="14"/>
      <c r="J359" s="14"/>
      <c r="K359" s="14"/>
      <c r="L359" s="14"/>
      <c r="M359" s="15"/>
      <c r="N359" s="804"/>
      <c r="O359" s="14"/>
      <c r="P359" s="14"/>
      <c r="Q359" s="16" t="str">
        <f>IF(ISTEXT('Incurred 2.5% cpi'!Q359),"",'Incurred 2.5% cpi'!Q359/'Incurred 2.5% cpi'!Q$14*Incurred!Q$14)</f>
        <v/>
      </c>
      <c r="R359" s="127" t="str">
        <f>IF(ISTEXT('Incurred 2.5% cpi'!R359),"",'Incurred 2.5% cpi'!R359/'Incurred 2.5% cpi'!R$14*Incurred!R$14*BF359)</f>
        <v/>
      </c>
      <c r="S359" s="119" t="str">
        <f>IF(ISTEXT('Incurred 2.5% cpi'!S359),"",'Incurred 2.5% cpi'!S359/'Incurred 2.5% cpi'!S$14*Incurred!S$14*BG359)</f>
        <v/>
      </c>
      <c r="T359" s="16" t="str">
        <f>IF(ISTEXT('Incurred 2.5% cpi'!T359),"",'Incurred 2.5% cpi'!T359/'Incurred 2.5% cpi'!T$14*Incurred!T$14*BH359)</f>
        <v/>
      </c>
      <c r="U359" s="16">
        <f>IF(ISTEXT('Incurred 2.5% cpi'!U359),"",'Incurred 2.5% cpi'!U359/'Incurred 2.5% cpi'!U$14*Incurred!U$14*BI359)</f>
        <v>94579.716557499181</v>
      </c>
      <c r="V359" s="16">
        <f>IF(ISTEXT('Incurred 2.5% cpi'!V359),"",'Incurred 2.5% cpi'!V359/'Incurred 2.5% cpi'!V$14*Incurred!V$14*BJ359)</f>
        <v>455135.08295723586</v>
      </c>
      <c r="W359" s="127">
        <f>IF(ISTEXT('Incurred 2.5% cpi'!W359),"",'Incurred 2.5% cpi'!W359/'Incurred 2.5% cpi'!W$14*Incurred!W$14*BK359)</f>
        <v>1015878.8286371749</v>
      </c>
      <c r="X359" s="119" t="str">
        <f>IF(ISTEXT('Incurred 2.5% cpi'!X359),"",'Incurred 2.5% cpi'!X359/'Incurred 2.5% cpi'!X$14*Incurred!X$14*BL359)</f>
        <v/>
      </c>
      <c r="Y359" s="95">
        <f t="shared" si="483"/>
        <v>1565593.6281519099</v>
      </c>
      <c r="Z359" s="95">
        <f t="shared" si="518"/>
        <v>1565593.6281519099</v>
      </c>
      <c r="AA359" s="676">
        <f t="shared" ref="AA359" si="534">IF(ROUND(Y359,0)=0,0,SUMPRODUCT($F$17:$W$17,F359:W359))</f>
        <v>1578322.9355607317</v>
      </c>
      <c r="AB359" s="676">
        <f t="shared" ref="AB359" si="535">IF(AC359="","",AA359/AC359)</f>
        <v>1578322.9355607317</v>
      </c>
      <c r="AC359" s="677">
        <f t="shared" ref="AC359" si="536">IF(AF359="","",IF(AF359&lt;AD359,INDEX($F$17:$W$17,1,MATCH(TEXT(AF359,"000"),$F$21:$W$21)),INDEX($F$17:$W$17,1,MATCH(AD359,$F$21:$W$21))))</f>
        <v>1</v>
      </c>
      <c r="AD359" s="678" t="str">
        <f t="shared" ref="AD359" si="537">IF(AI359=0,"",INDEX($F$21:$W$21,1,MATCH(AI359,F359:W359,0)))</f>
        <v>2023</v>
      </c>
      <c r="AE359" s="679">
        <v>44991</v>
      </c>
      <c r="AF359" s="678">
        <v>2023</v>
      </c>
      <c r="AG359" s="680"/>
      <c r="AH359" s="676">
        <f t="shared" ref="AH359" si="538">IF(ROUND(Y359,0)=0,0,SUMPRODUCT($F$16:$W$16,F359:W359))</f>
        <v>1431639.8252041142</v>
      </c>
      <c r="AI359" s="95">
        <f t="shared" ref="AI359" si="539">IF(ROUND(Z359,0)=0,0,LOOKUP(2,1/(F359:W359&lt;&gt;""),F359:W359))</f>
        <v>1015878.8286371749</v>
      </c>
      <c r="AJ359" s="681" t="s">
        <v>3058</v>
      </c>
      <c r="AK359" s="37">
        <f t="shared" si="515"/>
        <v>762637.11005793454</v>
      </c>
      <c r="AL359" s="31">
        <f t="shared" si="516"/>
        <v>0</v>
      </c>
      <c r="AM359" s="31">
        <f t="shared" si="516"/>
        <v>0</v>
      </c>
      <c r="AN359" s="31">
        <f t="shared" si="516"/>
        <v>0</v>
      </c>
      <c r="AO359" s="31">
        <f t="shared" si="516"/>
        <v>0</v>
      </c>
      <c r="AP359" s="31">
        <f t="shared" si="516"/>
        <v>0</v>
      </c>
      <c r="AQ359" s="31">
        <f t="shared" si="516"/>
        <v>0</v>
      </c>
      <c r="AR359" s="31">
        <f t="shared" si="516"/>
        <v>0</v>
      </c>
      <c r="AS359" s="31">
        <f t="shared" si="516"/>
        <v>0</v>
      </c>
      <c r="AT359" s="31">
        <f t="shared" si="516"/>
        <v>0</v>
      </c>
      <c r="AU359" s="31">
        <f t="shared" si="516"/>
        <v>0.41987652027118744</v>
      </c>
      <c r="AV359" s="31">
        <f t="shared" si="517"/>
        <v>0</v>
      </c>
      <c r="AW359" s="31">
        <f t="shared" si="517"/>
        <v>0.31764697261628599</v>
      </c>
      <c r="AX359" s="31">
        <f t="shared" si="517"/>
        <v>3.0289635387983141E-2</v>
      </c>
      <c r="AY359" s="31">
        <f t="shared" si="517"/>
        <v>0</v>
      </c>
      <c r="AZ359" s="31">
        <f t="shared" si="517"/>
        <v>0.16298709211082793</v>
      </c>
      <c r="BA359" s="31">
        <f t="shared" si="517"/>
        <v>0</v>
      </c>
      <c r="BB359" s="31">
        <f t="shared" si="517"/>
        <v>6.9199779613715567E-2</v>
      </c>
      <c r="BC359" s="31">
        <f t="shared" si="517"/>
        <v>0</v>
      </c>
      <c r="BD359" s="31">
        <f t="shared" si="517"/>
        <v>0</v>
      </c>
      <c r="BE359" s="30">
        <f t="shared" ref="BE359" si="540">SUM(AL359:BD359)</f>
        <v>1</v>
      </c>
      <c r="BF359" s="620">
        <f t="shared" si="503"/>
        <v>1.0030818160192299</v>
      </c>
      <c r="BG359" s="620">
        <f t="shared" si="504"/>
        <v>1.006183663842585</v>
      </c>
      <c r="BH359" s="620">
        <f t="shared" si="505"/>
        <v>1.0097859828820543</v>
      </c>
      <c r="BI359" s="620">
        <f t="shared" si="506"/>
        <v>1.0141411866007726</v>
      </c>
      <c r="BJ359" s="620">
        <f t="shared" si="507"/>
        <v>1.0195121206090012</v>
      </c>
      <c r="BK359" s="620">
        <f t="shared" si="508"/>
        <v>1.0251889537223347</v>
      </c>
      <c r="BL359" s="620">
        <f t="shared" si="509"/>
        <v>1.0293261309677997</v>
      </c>
      <c r="BM359" s="621" t="str">
        <f t="shared" si="510"/>
        <v>Category</v>
      </c>
    </row>
    <row r="360" spans="1:68" ht="12.75" outlineLevel="1" x14ac:dyDescent="0.2">
      <c r="M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Z360" s="482"/>
      <c r="AA360" s="482"/>
      <c r="AB360" s="93"/>
      <c r="AC360" s="94"/>
      <c r="AE360" s="617"/>
      <c r="AF360" s="32"/>
      <c r="AG360" s="617"/>
      <c r="AH360" s="32"/>
      <c r="AI360" s="482"/>
    </row>
    <row r="361" spans="1:68" ht="12.75" outlineLevel="1" x14ac:dyDescent="0.2">
      <c r="M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AB361" s="24"/>
      <c r="AC361" s="27"/>
      <c r="AE361" s="25"/>
      <c r="AF361" s="23"/>
      <c r="AG361" s="25"/>
      <c r="AH361" s="23"/>
    </row>
    <row r="362" spans="1:68" s="56" customFormat="1" ht="12.75" x14ac:dyDescent="0.2">
      <c r="F362" s="57"/>
      <c r="G362" s="57"/>
      <c r="H362" s="57"/>
      <c r="I362" s="57"/>
      <c r="J362" s="57"/>
      <c r="K362" s="57"/>
      <c r="L362" s="1"/>
      <c r="M362" s="1"/>
      <c r="N362" s="104"/>
      <c r="O362" s="1"/>
      <c r="P362" s="1"/>
      <c r="Q362" s="1"/>
      <c r="R362" s="1"/>
      <c r="S362" s="1"/>
      <c r="T362" s="1"/>
      <c r="U362" s="1"/>
      <c r="V362" s="1"/>
      <c r="W362" s="1"/>
      <c r="Y362" s="1"/>
      <c r="Z362" s="58"/>
      <c r="AA362" s="59"/>
      <c r="AB362" s="24"/>
      <c r="AC362" s="27"/>
      <c r="AD362" s="1"/>
      <c r="AE362" s="25"/>
      <c r="AF362" s="60"/>
      <c r="AG362" s="25"/>
      <c r="AH362" s="60"/>
      <c r="AI362" s="61"/>
      <c r="AJ362" s="62"/>
      <c r="AL362" s="63"/>
      <c r="AM362" s="63"/>
      <c r="AN362" s="63"/>
      <c r="AO362" s="63"/>
      <c r="AP362" s="63"/>
      <c r="AQ362" s="63"/>
      <c r="AR362" s="63"/>
      <c r="AS362" s="63"/>
      <c r="AT362" s="63"/>
      <c r="AU362" s="63"/>
      <c r="AV362" s="63"/>
      <c r="AW362" s="63"/>
      <c r="AX362" s="63"/>
      <c r="AY362" s="63"/>
      <c r="AZ362" s="63"/>
      <c r="BA362" s="63"/>
      <c r="BB362" s="63"/>
      <c r="BC362" s="63"/>
      <c r="BD362" s="63"/>
      <c r="BM362" s="1"/>
      <c r="BN362" s="1"/>
      <c r="BO362" s="1"/>
      <c r="BP362" s="1"/>
    </row>
    <row r="363" spans="1:68" x14ac:dyDescent="0.15">
      <c r="M363" s="1"/>
      <c r="O363" s="1"/>
      <c r="P363" s="1"/>
      <c r="Q363" s="1"/>
      <c r="R363" s="1"/>
      <c r="S363" s="1"/>
      <c r="T363" s="1"/>
      <c r="U363" s="1"/>
      <c r="V363" s="1"/>
      <c r="W363" s="1"/>
    </row>
    <row r="364" spans="1:68" ht="11.25" thickBot="1" x14ac:dyDescent="0.2">
      <c r="M364" s="1"/>
      <c r="O364" s="1"/>
      <c r="P364" s="1"/>
      <c r="Q364" s="1"/>
      <c r="R364" s="1"/>
      <c r="S364" s="1"/>
      <c r="T364" s="1"/>
      <c r="U364" s="1"/>
      <c r="V364" s="1"/>
      <c r="W364" s="1"/>
    </row>
    <row r="365" spans="1:68" x14ac:dyDescent="0.15">
      <c r="B365" s="11" t="s">
        <v>23</v>
      </c>
      <c r="N365" s="667" t="s">
        <v>23</v>
      </c>
      <c r="O365" s="668"/>
      <c r="P365" s="669" t="s">
        <v>2364</v>
      </c>
      <c r="Q365" s="669" t="s">
        <v>2370</v>
      </c>
      <c r="R365" s="670" t="s">
        <v>2371</v>
      </c>
      <c r="S365" s="671" t="s">
        <v>2365</v>
      </c>
      <c r="T365" s="669" t="s">
        <v>2366</v>
      </c>
      <c r="U365" s="669" t="s">
        <v>2367</v>
      </c>
      <c r="V365" s="669" t="s">
        <v>2368</v>
      </c>
      <c r="W365" s="672" t="s">
        <v>2369</v>
      </c>
    </row>
    <row r="366" spans="1:68" x14ac:dyDescent="0.15">
      <c r="B366" s="1" t="s">
        <v>28</v>
      </c>
      <c r="N366" s="133" t="s">
        <v>28</v>
      </c>
      <c r="P366" s="108">
        <f t="shared" ref="P366:W375" si="541">SUMIFS(P$22:P$362,$D$22:$D$362,$N366)</f>
        <v>36650442.990000002</v>
      </c>
      <c r="Q366" s="108">
        <f t="shared" si="541"/>
        <v>15953087.940000001</v>
      </c>
      <c r="R366" s="113">
        <f t="shared" si="541"/>
        <v>17827556.392153446</v>
      </c>
      <c r="S366" s="108">
        <f t="shared" si="541"/>
        <v>14097878.017236799</v>
      </c>
      <c r="T366" s="108">
        <f t="shared" si="541"/>
        <v>1653698.6411161551</v>
      </c>
      <c r="U366" s="108">
        <f t="shared" si="541"/>
        <v>139950.39649595573</v>
      </c>
      <c r="V366" s="108">
        <f t="shared" si="541"/>
        <v>0</v>
      </c>
      <c r="W366" s="572">
        <f t="shared" si="541"/>
        <v>0</v>
      </c>
    </row>
    <row r="367" spans="1:68" x14ac:dyDescent="0.15">
      <c r="B367" s="1" t="s">
        <v>31</v>
      </c>
      <c r="N367" s="133" t="s">
        <v>31</v>
      </c>
      <c r="P367" s="108">
        <f t="shared" si="541"/>
        <v>2709379.7</v>
      </c>
      <c r="Q367" s="108">
        <f t="shared" si="541"/>
        <v>3597181.1100000003</v>
      </c>
      <c r="R367" s="113">
        <f t="shared" si="541"/>
        <v>0</v>
      </c>
      <c r="S367" s="108">
        <f t="shared" si="541"/>
        <v>85995.808984695512</v>
      </c>
      <c r="T367" s="108">
        <f t="shared" si="541"/>
        <v>1299535.0788047488</v>
      </c>
      <c r="U367" s="108">
        <f t="shared" si="541"/>
        <v>5287371.4464952452</v>
      </c>
      <c r="V367" s="108">
        <f t="shared" si="541"/>
        <v>6890.1212772672434</v>
      </c>
      <c r="W367" s="572">
        <f t="shared" si="541"/>
        <v>0</v>
      </c>
    </row>
    <row r="368" spans="1:68" x14ac:dyDescent="0.15">
      <c r="B368" s="1" t="s">
        <v>44</v>
      </c>
      <c r="N368" s="133" t="s">
        <v>44</v>
      </c>
      <c r="P368" s="108">
        <f t="shared" si="541"/>
        <v>4484695.74</v>
      </c>
      <c r="Q368" s="108">
        <f t="shared" si="541"/>
        <v>9399702.8300000001</v>
      </c>
      <c r="R368" s="113">
        <f t="shared" si="541"/>
        <v>-79069.551335967582</v>
      </c>
      <c r="S368" s="108">
        <f t="shared" si="541"/>
        <v>0</v>
      </c>
      <c r="T368" s="108">
        <f t="shared" si="541"/>
        <v>0</v>
      </c>
      <c r="U368" s="108">
        <f t="shared" si="541"/>
        <v>0</v>
      </c>
      <c r="V368" s="108">
        <f t="shared" si="541"/>
        <v>0</v>
      </c>
      <c r="W368" s="572">
        <f t="shared" si="541"/>
        <v>0</v>
      </c>
    </row>
    <row r="369" spans="2:23" x14ac:dyDescent="0.15">
      <c r="B369" s="1" t="s">
        <v>40</v>
      </c>
      <c r="N369" s="133" t="s">
        <v>40</v>
      </c>
      <c r="P369" s="108">
        <f t="shared" si="541"/>
        <v>74080413.980000034</v>
      </c>
      <c r="Q369" s="108">
        <f t="shared" si="541"/>
        <v>72910883.109999999</v>
      </c>
      <c r="R369" s="113">
        <f t="shared" si="541"/>
        <v>69062252.061825022</v>
      </c>
      <c r="S369" s="108">
        <f t="shared" si="541"/>
        <v>32636651.768249832</v>
      </c>
      <c r="T369" s="108">
        <f t="shared" si="541"/>
        <v>36190955.271214791</v>
      </c>
      <c r="U369" s="108">
        <f t="shared" si="541"/>
        <v>40010195.042828023</v>
      </c>
      <c r="V369" s="108">
        <f t="shared" si="541"/>
        <v>46563069.495279029</v>
      </c>
      <c r="W369" s="572">
        <f t="shared" si="541"/>
        <v>20989073.274233472</v>
      </c>
    </row>
    <row r="370" spans="2:23" x14ac:dyDescent="0.15">
      <c r="B370" s="1" t="s">
        <v>41</v>
      </c>
      <c r="N370" s="133" t="s">
        <v>41</v>
      </c>
      <c r="P370" s="108">
        <f t="shared" si="541"/>
        <v>24558707.409999996</v>
      </c>
      <c r="Q370" s="108">
        <f t="shared" si="541"/>
        <v>23592730.759999998</v>
      </c>
      <c r="R370" s="113">
        <f t="shared" si="541"/>
        <v>12551903.641847588</v>
      </c>
      <c r="S370" s="108">
        <f t="shared" si="541"/>
        <v>10154163.077111002</v>
      </c>
      <c r="T370" s="108">
        <f t="shared" si="541"/>
        <v>39715368.046776168</v>
      </c>
      <c r="U370" s="108">
        <f t="shared" si="541"/>
        <v>50873580.800801553</v>
      </c>
      <c r="V370" s="108">
        <f t="shared" si="541"/>
        <v>44243142.004823729</v>
      </c>
      <c r="W370" s="572">
        <f t="shared" si="541"/>
        <v>23980985.385161024</v>
      </c>
    </row>
    <row r="371" spans="2:23" x14ac:dyDescent="0.15">
      <c r="B371" s="1" t="s">
        <v>54</v>
      </c>
      <c r="N371" s="133" t="s">
        <v>54</v>
      </c>
      <c r="P371" s="108">
        <f t="shared" si="541"/>
        <v>12037717.619999999</v>
      </c>
      <c r="Q371" s="108">
        <f t="shared" si="541"/>
        <v>14840801.680000005</v>
      </c>
      <c r="R371" s="113">
        <f t="shared" si="541"/>
        <v>39114764.036898851</v>
      </c>
      <c r="S371" s="108">
        <f t="shared" si="541"/>
        <v>22855121.862301126</v>
      </c>
      <c r="T371" s="108">
        <f t="shared" si="541"/>
        <v>12973503.974161861</v>
      </c>
      <c r="U371" s="108">
        <f t="shared" si="541"/>
        <v>5198622.4304706044</v>
      </c>
      <c r="V371" s="108">
        <f t="shared" si="541"/>
        <v>3760695.9029812189</v>
      </c>
      <c r="W371" s="572">
        <f t="shared" si="541"/>
        <v>3259860.5212794091</v>
      </c>
    </row>
    <row r="372" spans="2:23" x14ac:dyDescent="0.15">
      <c r="B372" s="1" t="s">
        <v>107</v>
      </c>
      <c r="N372" s="133" t="s">
        <v>107</v>
      </c>
      <c r="P372" s="108">
        <f t="shared" si="541"/>
        <v>29718.66</v>
      </c>
      <c r="Q372" s="108">
        <f t="shared" si="541"/>
        <v>937925.61</v>
      </c>
      <c r="R372" s="113">
        <f t="shared" si="541"/>
        <v>3023758.7892393968</v>
      </c>
      <c r="S372" s="108">
        <f t="shared" si="541"/>
        <v>0</v>
      </c>
      <c r="T372" s="108">
        <f t="shared" si="541"/>
        <v>0</v>
      </c>
      <c r="U372" s="108">
        <f t="shared" si="541"/>
        <v>0</v>
      </c>
      <c r="V372" s="108">
        <f t="shared" si="541"/>
        <v>0</v>
      </c>
      <c r="W372" s="572">
        <f t="shared" si="541"/>
        <v>0</v>
      </c>
    </row>
    <row r="373" spans="2:23" x14ac:dyDescent="0.15">
      <c r="B373" s="1" t="s">
        <v>60</v>
      </c>
      <c r="N373" s="133" t="s">
        <v>60</v>
      </c>
      <c r="P373" s="108">
        <f t="shared" si="541"/>
        <v>1767733.58</v>
      </c>
      <c r="Q373" s="108">
        <f t="shared" si="541"/>
        <v>4338938.55</v>
      </c>
      <c r="R373" s="113">
        <f t="shared" si="541"/>
        <v>4501760.1317595998</v>
      </c>
      <c r="S373" s="108">
        <f t="shared" si="541"/>
        <v>2348043.0569889727</v>
      </c>
      <c r="T373" s="108">
        <f t="shared" si="541"/>
        <v>2399843.5274897777</v>
      </c>
      <c r="U373" s="108">
        <f t="shared" si="541"/>
        <v>2430748.8912260695</v>
      </c>
      <c r="V373" s="108">
        <f t="shared" si="541"/>
        <v>2482012.934796745</v>
      </c>
      <c r="W373" s="572">
        <f t="shared" si="541"/>
        <v>2532847.111694715</v>
      </c>
    </row>
    <row r="374" spans="2:23" x14ac:dyDescent="0.15">
      <c r="B374" s="1" t="s">
        <v>55</v>
      </c>
      <c r="N374" s="133" t="s">
        <v>55</v>
      </c>
      <c r="P374" s="108">
        <f t="shared" si="541"/>
        <v>9838167.5499999989</v>
      </c>
      <c r="Q374" s="108">
        <f t="shared" si="541"/>
        <v>13470688.850000001</v>
      </c>
      <c r="R374" s="113">
        <f t="shared" si="541"/>
        <v>12491433.890173571</v>
      </c>
      <c r="S374" s="108">
        <f t="shared" si="541"/>
        <v>14858758.776426662</v>
      </c>
      <c r="T374" s="108">
        <f t="shared" si="541"/>
        <v>8310888.8283585934</v>
      </c>
      <c r="U374" s="108">
        <f t="shared" si="541"/>
        <v>9553010.9291656278</v>
      </c>
      <c r="V374" s="108">
        <f t="shared" si="541"/>
        <v>10114009.822473336</v>
      </c>
      <c r="W374" s="572">
        <f t="shared" si="541"/>
        <v>7199678.140179852</v>
      </c>
    </row>
    <row r="375" spans="2:23" x14ac:dyDescent="0.15">
      <c r="B375" s="1" t="s">
        <v>36</v>
      </c>
      <c r="N375" s="133" t="s">
        <v>36</v>
      </c>
      <c r="P375" s="108">
        <f t="shared" si="541"/>
        <v>873111.78999999992</v>
      </c>
      <c r="Q375" s="108">
        <f t="shared" si="541"/>
        <v>2839936.38</v>
      </c>
      <c r="R375" s="113">
        <f t="shared" si="541"/>
        <v>4813596.2526582228</v>
      </c>
      <c r="S375" s="108">
        <f t="shared" si="541"/>
        <v>1505712.4986128432</v>
      </c>
      <c r="T375" s="108">
        <f t="shared" si="541"/>
        <v>1197890.3727089851</v>
      </c>
      <c r="U375" s="108">
        <f t="shared" si="541"/>
        <v>1591621.9645810896</v>
      </c>
      <c r="V375" s="108">
        <f t="shared" si="541"/>
        <v>1216379.2056033639</v>
      </c>
      <c r="W375" s="572">
        <f t="shared" si="541"/>
        <v>726950.95553831698</v>
      </c>
    </row>
    <row r="376" spans="2:23" ht="11.25" thickBot="1" x14ac:dyDescent="0.2">
      <c r="B376" s="605" t="s">
        <v>639</v>
      </c>
      <c r="N376" s="673" t="s">
        <v>639</v>
      </c>
      <c r="O376" s="674"/>
      <c r="P376" s="70">
        <f t="shared" ref="P376:R376" si="542">SUM(P366:P375)</f>
        <v>167030089.02000007</v>
      </c>
      <c r="Q376" s="70">
        <f t="shared" si="542"/>
        <v>161881876.82000002</v>
      </c>
      <c r="R376" s="115">
        <f t="shared" si="542"/>
        <v>163307955.64521977</v>
      </c>
      <c r="S376" s="70">
        <f>SUM(S366:S375)</f>
        <v>98542324.865911916</v>
      </c>
      <c r="T376" s="70">
        <f t="shared" ref="T376:W376" si="543">SUM(T366:T375)</f>
        <v>103741683.74063109</v>
      </c>
      <c r="U376" s="70">
        <f t="shared" si="543"/>
        <v>115085101.90206416</v>
      </c>
      <c r="V376" s="70">
        <f t="shared" si="543"/>
        <v>108386199.4872347</v>
      </c>
      <c r="W376" s="675">
        <f t="shared" si="543"/>
        <v>58689395.388086788</v>
      </c>
    </row>
  </sheetData>
  <mergeCells count="3">
    <mergeCell ref="AA21:AC21"/>
    <mergeCell ref="B8:C9"/>
    <mergeCell ref="B1:D2"/>
  </mergeCells>
  <pageMargins left="0.7" right="0.7" top="0.75" bottom="0.75" header="0.3" footer="0.3"/>
  <pageSetup paperSize="9" scale="84" fitToHeight="0" orientation="landscape" r:id="rId1"/>
  <customProperties>
    <customPr name="_pios_id" r:id="rId2"/>
  </customProperties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FF0000"/>
  </sheetPr>
  <dimension ref="A1:XEW583"/>
  <sheetViews>
    <sheetView showGridLines="0" zoomScale="80" zoomScaleNormal="80" workbookViewId="0">
      <pane xSplit="2" ySplit="22" topLeftCell="C304" activePane="bottomRight" state="frozen"/>
      <selection activeCell="P137" sqref="P137"/>
      <selection pane="topRight" activeCell="P137" sqref="P137"/>
      <selection pane="bottomLeft" activeCell="P137" sqref="P137"/>
      <selection pane="bottomRight" activeCell="B12" sqref="B12:C18"/>
    </sheetView>
  </sheetViews>
  <sheetFormatPr defaultColWidth="9.140625" defaultRowHeight="10.5" outlineLevelRow="1" outlineLevelCol="1" x14ac:dyDescent="0.15"/>
  <cols>
    <col min="1" max="1" width="12.5703125" style="1" customWidth="1"/>
    <col min="2" max="2" width="45" style="1" customWidth="1"/>
    <col min="3" max="3" width="15.140625" style="1" customWidth="1"/>
    <col min="4" max="4" width="21.28515625" style="1" customWidth="1"/>
    <col min="5" max="5" width="14.28515625" style="1" bestFit="1" customWidth="1"/>
    <col min="6" max="15" width="12.140625" style="1" hidden="1" customWidth="1" outlineLevel="1"/>
    <col min="16" max="16" width="12.140625" style="1" customWidth="1" collapsed="1"/>
    <col min="17" max="17" width="11.7109375" style="1" customWidth="1"/>
    <col min="18" max="18" width="11.7109375" style="1" customWidth="1" outlineLevel="1"/>
    <col min="19" max="20" width="10.7109375" style="1" customWidth="1" outlineLevel="1"/>
    <col min="21" max="22" width="11.7109375" style="1" customWidth="1" outlineLevel="1"/>
    <col min="23" max="23" width="13" style="1" customWidth="1" outlineLevel="1"/>
    <col min="24" max="24" width="9.140625" style="1"/>
    <col min="25" max="25" width="12" style="1" bestFit="1" customWidth="1"/>
    <col min="26" max="26" width="11.7109375" style="1" bestFit="1" customWidth="1"/>
    <col min="27" max="29" width="4.7109375" style="1" customWidth="1"/>
    <col min="30" max="37" width="5.7109375" style="1" customWidth="1"/>
    <col min="38" max="38" width="4" style="1" customWidth="1"/>
    <col min="39" max="16384" width="9.140625" style="1"/>
  </cols>
  <sheetData>
    <row r="1" spans="1:34" hidden="1" outlineLevel="1" x14ac:dyDescent="0.15"/>
    <row r="2" spans="1:34" ht="12.75" hidden="1" customHeight="1" outlineLevel="1" x14ac:dyDescent="0.15">
      <c r="P2" s="1">
        <v>6</v>
      </c>
      <c r="Q2" s="68">
        <v>7</v>
      </c>
      <c r="R2" s="68">
        <f>Q2+1</f>
        <v>8</v>
      </c>
      <c r="S2" s="68">
        <f t="shared" ref="S2:X2" si="0">R2+1</f>
        <v>9</v>
      </c>
      <c r="T2" s="68">
        <f t="shared" si="0"/>
        <v>10</v>
      </c>
      <c r="U2" s="68">
        <f t="shared" si="0"/>
        <v>11</v>
      </c>
      <c r="V2" s="68">
        <f t="shared" si="0"/>
        <v>12</v>
      </c>
      <c r="W2" s="68">
        <f t="shared" si="0"/>
        <v>13</v>
      </c>
      <c r="X2" s="68">
        <f t="shared" si="0"/>
        <v>14</v>
      </c>
    </row>
    <row r="3" spans="1:34" hidden="1" outlineLevel="1" x14ac:dyDescent="0.15">
      <c r="A3" s="39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</row>
    <row r="4" spans="1:34" hidden="1" outlineLevel="1" x14ac:dyDescent="0.15">
      <c r="B4" s="575"/>
      <c r="C4" s="575"/>
      <c r="D4" s="575"/>
      <c r="E4" s="575"/>
      <c r="F4" s="3"/>
      <c r="L4" s="3"/>
      <c r="M4" s="3"/>
      <c r="N4" s="3"/>
      <c r="O4" s="129"/>
      <c r="P4" s="129"/>
      <c r="Q4" s="129"/>
      <c r="R4" s="129"/>
      <c r="S4" s="129"/>
      <c r="T4" s="129"/>
      <c r="U4" s="129"/>
      <c r="V4" s="129"/>
      <c r="W4" s="129"/>
    </row>
    <row r="5" spans="1:34" hidden="1" outlineLevel="1" x14ac:dyDescent="0.15">
      <c r="B5" s="575"/>
      <c r="C5" s="575"/>
      <c r="D5" s="575"/>
      <c r="E5" s="575"/>
      <c r="F5" s="3"/>
      <c r="L5" s="3"/>
      <c r="M5" s="3"/>
      <c r="N5" s="3"/>
      <c r="O5" s="129"/>
      <c r="P5" s="130"/>
      <c r="Q5" s="129"/>
      <c r="R5" s="129"/>
      <c r="S5" s="129"/>
      <c r="T5" s="129"/>
      <c r="U5" s="129"/>
      <c r="V5" s="129"/>
      <c r="W5" s="129"/>
    </row>
    <row r="6" spans="1:34" hidden="1" outlineLevel="1" x14ac:dyDescent="0.15">
      <c r="B6" s="575"/>
      <c r="C6" s="575"/>
      <c r="D6" s="575"/>
      <c r="E6" s="575"/>
      <c r="F6" s="3"/>
      <c r="L6" s="3"/>
      <c r="M6" s="3"/>
      <c r="N6" s="3"/>
      <c r="O6" s="129"/>
      <c r="P6" s="130"/>
      <c r="Q6" s="129"/>
      <c r="R6" s="129"/>
      <c r="S6" s="129"/>
      <c r="T6" s="129"/>
      <c r="U6" s="129"/>
      <c r="V6" s="129"/>
      <c r="W6" s="129"/>
    </row>
    <row r="7" spans="1:34" hidden="1" outlineLevel="1" x14ac:dyDescent="0.15">
      <c r="B7" s="575"/>
      <c r="C7" s="575"/>
      <c r="D7" s="575"/>
      <c r="E7" s="575"/>
      <c r="F7" s="3"/>
      <c r="L7" s="3"/>
      <c r="M7" s="3"/>
      <c r="N7" s="3"/>
      <c r="O7" s="129"/>
      <c r="P7" s="130"/>
      <c r="Q7" s="129"/>
      <c r="R7" s="129"/>
      <c r="S7" s="129"/>
      <c r="T7" s="129"/>
      <c r="U7" s="129"/>
      <c r="V7" s="129"/>
      <c r="W7" s="129"/>
    </row>
    <row r="8" spans="1:34" hidden="1" outlineLevel="1" x14ac:dyDescent="0.15">
      <c r="C8" s="575"/>
      <c r="D8" s="575"/>
      <c r="E8" s="575"/>
      <c r="F8" s="3"/>
      <c r="L8" s="3"/>
      <c r="M8" s="3"/>
      <c r="N8" s="3"/>
      <c r="O8" s="129"/>
      <c r="P8" s="130"/>
      <c r="Q8" s="129"/>
      <c r="R8" s="129"/>
      <c r="S8" s="129"/>
      <c r="T8" s="129"/>
      <c r="U8" s="129"/>
      <c r="V8" s="129"/>
      <c r="W8" s="129"/>
    </row>
    <row r="9" spans="1:34" hidden="1" outlineLevel="1" x14ac:dyDescent="0.15">
      <c r="C9" s="575"/>
      <c r="D9" s="575"/>
      <c r="E9" s="575"/>
      <c r="F9" s="3"/>
      <c r="L9" s="3"/>
      <c r="M9" s="3"/>
      <c r="N9" s="3"/>
      <c r="O9" s="129"/>
      <c r="P9" s="130"/>
      <c r="Q9" s="129"/>
      <c r="R9" s="129"/>
      <c r="S9" s="129"/>
      <c r="T9" s="129"/>
      <c r="U9" s="129"/>
      <c r="V9" s="129"/>
      <c r="W9" s="129"/>
    </row>
    <row r="10" spans="1:34" hidden="1" outlineLevel="1" x14ac:dyDescent="0.15">
      <c r="B10" s="575"/>
      <c r="C10" s="575"/>
      <c r="D10" s="575"/>
      <c r="E10" s="575"/>
      <c r="F10" s="3"/>
      <c r="L10" s="3"/>
      <c r="M10" s="3"/>
      <c r="N10" s="3"/>
      <c r="O10" s="129"/>
      <c r="P10" s="130"/>
      <c r="Q10" s="129"/>
      <c r="R10" s="129"/>
      <c r="S10" s="129"/>
      <c r="T10" s="129"/>
      <c r="U10" s="129"/>
      <c r="V10" s="129"/>
      <c r="W10" s="129"/>
    </row>
    <row r="11" spans="1:34" hidden="1" outlineLevel="1" x14ac:dyDescent="0.15">
      <c r="C11" s="575"/>
      <c r="D11" s="575"/>
      <c r="E11" s="575"/>
      <c r="F11" s="3"/>
      <c r="L11" s="3"/>
      <c r="M11" s="3"/>
      <c r="N11" s="3"/>
      <c r="O11" s="129"/>
      <c r="P11" s="130"/>
      <c r="Q11" s="129"/>
      <c r="R11" s="129"/>
      <c r="S11" s="129"/>
      <c r="T11" s="129"/>
      <c r="U11" s="129"/>
      <c r="V11" s="129"/>
      <c r="W11" s="129"/>
    </row>
    <row r="12" spans="1:34" ht="25.5" customHeight="1" collapsed="1" x14ac:dyDescent="0.15">
      <c r="A12" s="766" t="s">
        <v>3025</v>
      </c>
      <c r="B12" s="784" t="s">
        <v>3072</v>
      </c>
      <c r="C12" s="785"/>
      <c r="D12" s="575"/>
      <c r="E12" s="575"/>
      <c r="F12" s="3"/>
      <c r="G12" s="3"/>
      <c r="H12" s="3"/>
      <c r="I12" s="3"/>
      <c r="J12" s="3"/>
      <c r="K12" s="3"/>
      <c r="L12" s="3"/>
      <c r="M12" s="3"/>
      <c r="N12" s="3"/>
      <c r="O12" s="129"/>
      <c r="P12" s="129"/>
      <c r="Q12" s="129"/>
      <c r="R12" s="129"/>
      <c r="S12" s="129"/>
      <c r="T12" s="129"/>
      <c r="U12" s="129"/>
      <c r="V12" s="129"/>
      <c r="W12" s="129"/>
    </row>
    <row r="13" spans="1:34" ht="11.25" customHeight="1" thickBot="1" x14ac:dyDescent="0.2">
      <c r="A13" s="767"/>
      <c r="B13" s="784"/>
      <c r="C13" s="785"/>
      <c r="D13" s="575"/>
      <c r="E13" s="575"/>
      <c r="F13" s="3"/>
      <c r="G13" s="3"/>
      <c r="H13" s="3"/>
      <c r="I13" s="3"/>
      <c r="J13" s="3"/>
      <c r="K13" s="3"/>
      <c r="L13" s="3"/>
      <c r="M13" s="3"/>
      <c r="N13" s="3"/>
      <c r="O13" s="129"/>
      <c r="P13" s="129"/>
      <c r="Q13" s="129"/>
      <c r="R13" s="129"/>
      <c r="S13" s="129"/>
      <c r="T13" s="129"/>
      <c r="U13" s="129"/>
      <c r="V13" s="129"/>
      <c r="W13" s="129"/>
    </row>
    <row r="14" spans="1:34" ht="11.25" thickBot="1" x14ac:dyDescent="0.2">
      <c r="A14" s="79">
        <v>2.5000000000000001E-2</v>
      </c>
      <c r="D14" s="583"/>
      <c r="E14" s="584" t="s">
        <v>2605</v>
      </c>
      <c r="F14" s="584"/>
      <c r="G14" s="584"/>
      <c r="H14" s="584"/>
      <c r="I14" s="584"/>
      <c r="J14" s="584"/>
      <c r="K14" s="584"/>
      <c r="L14" s="584"/>
      <c r="M14" s="584"/>
      <c r="N14" s="584"/>
      <c r="O14" s="584"/>
      <c r="P14" s="584"/>
      <c r="Q14" s="585">
        <f>1</f>
        <v>1</v>
      </c>
      <c r="R14" s="585">
        <f>(1+$A$14)*Q14</f>
        <v>1.0249999999999999</v>
      </c>
      <c r="S14" s="585">
        <f t="shared" ref="S14:X14" si="1">(1+$A$14)*R14</f>
        <v>1.0506249999999999</v>
      </c>
      <c r="T14" s="585">
        <f t="shared" si="1"/>
        <v>1.0768906249999999</v>
      </c>
      <c r="U14" s="585">
        <f t="shared" si="1"/>
        <v>1.1038128906249998</v>
      </c>
      <c r="V14" s="585">
        <f t="shared" si="1"/>
        <v>1.1314082128906247</v>
      </c>
      <c r="W14" s="585">
        <f t="shared" si="1"/>
        <v>1.1596934182128902</v>
      </c>
      <c r="X14" s="586">
        <f t="shared" si="1"/>
        <v>1.1886857536682123</v>
      </c>
      <c r="AA14" s="26"/>
    </row>
    <row r="15" spans="1:34" x14ac:dyDescent="0.15">
      <c r="D15" s="583"/>
      <c r="E15" s="587"/>
      <c r="F15" s="587"/>
      <c r="G15" s="587"/>
      <c r="H15" s="587"/>
      <c r="I15" s="587"/>
      <c r="J15" s="587"/>
      <c r="K15" s="587"/>
      <c r="L15" s="587"/>
      <c r="M15" s="587"/>
      <c r="N15" s="587"/>
      <c r="O15" s="587"/>
      <c r="P15" s="588"/>
      <c r="Q15" s="588"/>
      <c r="R15" s="588"/>
      <c r="S15" s="588"/>
      <c r="T15" s="588"/>
      <c r="U15" s="588"/>
      <c r="V15" s="588"/>
      <c r="W15" s="588"/>
      <c r="X15" s="589"/>
      <c r="AA15" s="69"/>
      <c r="AB15" s="3"/>
      <c r="AC15" s="3"/>
      <c r="AE15" s="3"/>
      <c r="AF15" s="3"/>
      <c r="AG15" s="3"/>
      <c r="AH15" s="3"/>
    </row>
    <row r="16" spans="1:34" x14ac:dyDescent="0.15">
      <c r="B16" s="765" t="s">
        <v>3027</v>
      </c>
      <c r="C16" s="765"/>
      <c r="D16" s="577"/>
      <c r="E16" s="578"/>
      <c r="F16" s="581">
        <f t="shared" ref="F16:G16" si="2">G16*F17/G17</f>
        <v>1.3322044970414204</v>
      </c>
      <c r="G16" s="581">
        <f t="shared" si="2"/>
        <v>1.2998993071593536</v>
      </c>
      <c r="H16" s="581">
        <f>I16*H17/I17</f>
        <v>1.2466365448504986</v>
      </c>
      <c r="I16" s="581">
        <v>1.2169868108108111</v>
      </c>
      <c r="J16" s="581">
        <v>1.1824714285714288</v>
      </c>
      <c r="K16" s="581">
        <v>1.1451808748728387</v>
      </c>
      <c r="L16" s="581">
        <v>1.1268396396396398</v>
      </c>
      <c r="M16" s="581">
        <v>1.0993289062500002</v>
      </c>
      <c r="N16" s="581">
        <v>1.0680387096774195</v>
      </c>
      <c r="O16" s="581">
        <v>1.0540382022471912</v>
      </c>
      <c r="P16" s="581">
        <v>1.0404</v>
      </c>
      <c r="Q16" s="581">
        <v>1.02</v>
      </c>
      <c r="R16" s="581">
        <v>1</v>
      </c>
      <c r="S16" s="581">
        <v>0.98039215686274506</v>
      </c>
      <c r="T16" s="581">
        <v>0.96116878123798533</v>
      </c>
      <c r="U16" s="581">
        <v>0.94232233454704439</v>
      </c>
      <c r="V16" s="581">
        <v>0.92384542602651409</v>
      </c>
      <c r="W16" s="581">
        <v>0.90573080982991572</v>
      </c>
      <c r="X16" s="582">
        <v>0.90573080982991572</v>
      </c>
      <c r="AA16" s="69"/>
      <c r="AB16" s="69"/>
      <c r="AC16" s="69"/>
      <c r="AE16" s="69"/>
      <c r="AF16" s="69"/>
      <c r="AG16" s="69"/>
    </row>
    <row r="17" spans="1:38" x14ac:dyDescent="0.15">
      <c r="B17" s="765"/>
      <c r="C17" s="765"/>
      <c r="D17" s="577"/>
      <c r="E17" s="576" t="s">
        <v>2288</v>
      </c>
      <c r="F17" s="581">
        <f t="shared" ref="F17:P17" si="3">G17*G18</f>
        <v>1.5220804561763379</v>
      </c>
      <c r="G17" s="581">
        <f t="shared" si="3"/>
        <v>1.4851708839134015</v>
      </c>
      <c r="H17" s="581">
        <f t="shared" si="3"/>
        <v>1.4243167059457427</v>
      </c>
      <c r="I17" s="581">
        <f t="shared" si="3"/>
        <v>1.3904410653718979</v>
      </c>
      <c r="J17" s="581">
        <f t="shared" si="3"/>
        <v>1.3510062872573589</v>
      </c>
      <c r="K17" s="581">
        <f t="shared" si="3"/>
        <v>1.3084007990529052</v>
      </c>
      <c r="L17" s="581">
        <f t="shared" si="3"/>
        <v>1.2874454308999055</v>
      </c>
      <c r="M17" s="581">
        <f t="shared" si="3"/>
        <v>1.2560136576845757</v>
      </c>
      <c r="N17" s="581">
        <f t="shared" si="3"/>
        <v>1.2202637433292274</v>
      </c>
      <c r="O17" s="581">
        <f t="shared" si="3"/>
        <v>1.2042677766563725</v>
      </c>
      <c r="P17" s="581">
        <f t="shared" si="3"/>
        <v>1.1886857536682123</v>
      </c>
      <c r="Q17" s="581">
        <f t="shared" ref="Q17:U17" si="4">R17*R18</f>
        <v>1.1596934182128902</v>
      </c>
      <c r="R17" s="581">
        <f t="shared" si="4"/>
        <v>1.1314082128906247</v>
      </c>
      <c r="S17" s="581">
        <f t="shared" si="4"/>
        <v>1.1038128906249998</v>
      </c>
      <c r="T17" s="581">
        <f t="shared" si="4"/>
        <v>1.0768906249999999</v>
      </c>
      <c r="U17" s="581">
        <f t="shared" si="4"/>
        <v>1.0506249999999999</v>
      </c>
      <c r="V17" s="581">
        <f>W17*W18</f>
        <v>1.0249999999999999</v>
      </c>
      <c r="W17" s="581">
        <v>1</v>
      </c>
      <c r="X17" s="582">
        <v>1</v>
      </c>
      <c r="AA17" s="26"/>
    </row>
    <row r="18" spans="1:38" x14ac:dyDescent="0.15">
      <c r="B18" s="765"/>
      <c r="C18" s="765"/>
      <c r="D18" s="577"/>
      <c r="E18" s="578" t="s">
        <v>2603</v>
      </c>
      <c r="F18" s="579">
        <v>1.0292326431181487</v>
      </c>
      <c r="G18" s="579">
        <v>1.024852071005917</v>
      </c>
      <c r="H18" s="579">
        <v>1.0427251732101617</v>
      </c>
      <c r="I18" s="579">
        <v>1.0243632336655593</v>
      </c>
      <c r="J18" s="579">
        <v>1.0291891891891891</v>
      </c>
      <c r="K18" s="579">
        <v>1.0325630252100839</v>
      </c>
      <c r="L18" s="579">
        <v>1.0162767039674467</v>
      </c>
      <c r="M18" s="579">
        <v>1.025025025025025</v>
      </c>
      <c r="N18" s="579">
        <v>1.029296875</v>
      </c>
      <c r="O18" s="579">
        <v>1.0132827324478177</v>
      </c>
      <c r="P18" s="579">
        <v>1.0131086142322099</v>
      </c>
      <c r="Q18" s="579">
        <f t="shared" ref="Q18:V18" si="5">1+$A$14</f>
        <v>1.0249999999999999</v>
      </c>
      <c r="R18" s="579">
        <f t="shared" si="5"/>
        <v>1.0249999999999999</v>
      </c>
      <c r="S18" s="579">
        <f t="shared" si="5"/>
        <v>1.0249999999999999</v>
      </c>
      <c r="T18" s="579">
        <f t="shared" si="5"/>
        <v>1.0249999999999999</v>
      </c>
      <c r="U18" s="579">
        <f t="shared" si="5"/>
        <v>1.0249999999999999</v>
      </c>
      <c r="V18" s="579">
        <f t="shared" si="5"/>
        <v>1.0249999999999999</v>
      </c>
      <c r="W18" s="579">
        <f>1+$A$14</f>
        <v>1.0249999999999999</v>
      </c>
      <c r="X18" s="580">
        <f>1+$A$14</f>
        <v>1.0249999999999999</v>
      </c>
      <c r="AA18" s="26"/>
    </row>
    <row r="19" spans="1:38" x14ac:dyDescent="0.15">
      <c r="F19" s="2"/>
      <c r="G19" s="2"/>
      <c r="H19" s="2"/>
      <c r="I19" s="2"/>
      <c r="J19" s="2"/>
      <c r="K19" s="2"/>
      <c r="L19" s="2"/>
      <c r="M19" s="2"/>
      <c r="N19" s="2"/>
      <c r="O19" s="2"/>
      <c r="P19" s="92"/>
      <c r="Q19" s="92"/>
      <c r="R19" s="92"/>
      <c r="S19" s="92"/>
      <c r="T19" s="3"/>
      <c r="U19" s="3"/>
      <c r="V19" s="3"/>
      <c r="W19" s="3"/>
      <c r="X19" s="3"/>
      <c r="AA19" s="3"/>
      <c r="AB19" s="69"/>
      <c r="AC19" s="3"/>
      <c r="AD19" s="3"/>
      <c r="AE19" s="3"/>
      <c r="AF19" s="3"/>
      <c r="AG19" s="3"/>
      <c r="AH19" s="3"/>
    </row>
    <row r="20" spans="1:38" x14ac:dyDescent="0.15">
      <c r="F20" s="3">
        <f t="shared" ref="F20:P20" si="6">SUM(F23:F434)</f>
        <v>92201.14</v>
      </c>
      <c r="G20" s="3">
        <f t="shared" si="6"/>
        <v>6125285.8399999999</v>
      </c>
      <c r="H20" s="3">
        <f t="shared" si="6"/>
        <v>7596615.71</v>
      </c>
      <c r="I20" s="3">
        <f t="shared" si="6"/>
        <v>9617371.6699999999</v>
      </c>
      <c r="J20" s="3">
        <f t="shared" si="6"/>
        <v>39173732.089999996</v>
      </c>
      <c r="K20" s="3">
        <f t="shared" si="6"/>
        <v>126045695.57000002</v>
      </c>
      <c r="L20" s="3">
        <f t="shared" si="6"/>
        <v>95543994.110000014</v>
      </c>
      <c r="M20" s="3">
        <f t="shared" si="6"/>
        <v>156925832.92999998</v>
      </c>
      <c r="N20" s="3">
        <f t="shared" si="6"/>
        <v>97931219.610000044</v>
      </c>
      <c r="O20" s="3">
        <f t="shared" si="6"/>
        <v>111700820.64000002</v>
      </c>
      <c r="P20" s="3">
        <f t="shared" si="6"/>
        <v>167010075.28999996</v>
      </c>
      <c r="Q20" s="3">
        <f t="shared" ref="Q20:X20" si="7">SUBTOTAL(9,Q23:Q434)</f>
        <v>161881879.3499999</v>
      </c>
      <c r="R20" s="3">
        <f t="shared" si="7"/>
        <v>163740711.18999994</v>
      </c>
      <c r="S20" s="3">
        <f t="shared" si="7"/>
        <v>98901740.230000034</v>
      </c>
      <c r="T20" s="3">
        <f t="shared" si="7"/>
        <v>104253869.32999995</v>
      </c>
      <c r="U20" s="3">
        <f t="shared" si="7"/>
        <v>115728525.88</v>
      </c>
      <c r="V20" s="3">
        <f t="shared" si="7"/>
        <v>108990066.78999998</v>
      </c>
      <c r="W20" s="3">
        <f t="shared" si="7"/>
        <v>58920948.160000004</v>
      </c>
      <c r="X20" s="3">
        <f t="shared" si="7"/>
        <v>6101834.6800000006</v>
      </c>
      <c r="Y20" s="1">
        <f>SUBTOTAL(9,Q20:W20)</f>
        <v>0</v>
      </c>
      <c r="AA20" s="69"/>
      <c r="AB20" s="69"/>
      <c r="AC20" s="69"/>
      <c r="AD20" s="134" t="s">
        <v>2985</v>
      </c>
      <c r="AE20" s="69"/>
      <c r="AF20" s="69"/>
      <c r="AG20" s="69"/>
    </row>
    <row r="21" spans="1:38" x14ac:dyDescent="0.15">
      <c r="A21" s="4" t="s">
        <v>0</v>
      </c>
      <c r="B21" s="5"/>
      <c r="C21" s="5"/>
      <c r="D21" s="5"/>
      <c r="E21" s="4" t="s">
        <v>1</v>
      </c>
      <c r="F21" s="6" t="s">
        <v>2</v>
      </c>
      <c r="G21" s="6" t="s">
        <v>3</v>
      </c>
      <c r="H21" s="6" t="s">
        <v>4</v>
      </c>
      <c r="I21" s="6" t="s">
        <v>5</v>
      </c>
      <c r="J21" s="6" t="s">
        <v>6</v>
      </c>
      <c r="K21" s="6" t="s">
        <v>7</v>
      </c>
      <c r="L21" s="6" t="s">
        <v>8</v>
      </c>
      <c r="M21" s="6" t="s">
        <v>9</v>
      </c>
      <c r="N21" s="6" t="s">
        <v>10</v>
      </c>
      <c r="O21" s="6" t="s">
        <v>11</v>
      </c>
      <c r="P21" s="7" t="s">
        <v>12</v>
      </c>
      <c r="Q21" s="8" t="s">
        <v>13</v>
      </c>
      <c r="R21" s="8" t="s">
        <v>14</v>
      </c>
      <c r="S21" s="8" t="s">
        <v>15</v>
      </c>
      <c r="T21" s="8" t="s">
        <v>16</v>
      </c>
      <c r="U21" s="8" t="s">
        <v>17</v>
      </c>
      <c r="V21" s="8" t="s">
        <v>18</v>
      </c>
      <c r="W21" s="8" t="s">
        <v>19</v>
      </c>
      <c r="X21" s="8" t="s">
        <v>2606</v>
      </c>
      <c r="AA21" s="26"/>
      <c r="AD21" s="781" t="s">
        <v>13</v>
      </c>
      <c r="AE21" s="781" t="s">
        <v>14</v>
      </c>
      <c r="AF21" s="781" t="s">
        <v>15</v>
      </c>
      <c r="AG21" s="781" t="s">
        <v>16</v>
      </c>
      <c r="AH21" s="781" t="s">
        <v>17</v>
      </c>
      <c r="AI21" s="781" t="s">
        <v>18</v>
      </c>
      <c r="AJ21" s="781" t="s">
        <v>19</v>
      </c>
      <c r="AK21" s="781" t="s">
        <v>2606</v>
      </c>
    </row>
    <row r="22" spans="1:38" ht="21" x14ac:dyDescent="0.15">
      <c r="A22" s="9" t="s">
        <v>20</v>
      </c>
      <c r="B22" s="10" t="s">
        <v>21</v>
      </c>
      <c r="C22" s="11" t="s">
        <v>22</v>
      </c>
      <c r="D22" s="11" t="s">
        <v>23</v>
      </c>
      <c r="E22" s="11" t="s">
        <v>24</v>
      </c>
      <c r="F22" s="33" t="str">
        <f t="shared" ref="F22:P22" si="8">"Actual "&amp;F21</f>
        <v>Actual 2006</v>
      </c>
      <c r="G22" s="33" t="str">
        <f t="shared" si="8"/>
        <v>Actual 2007</v>
      </c>
      <c r="H22" s="33" t="str">
        <f t="shared" si="8"/>
        <v>Actual 2008</v>
      </c>
      <c r="I22" s="33" t="str">
        <f t="shared" si="8"/>
        <v>Actual 2009</v>
      </c>
      <c r="J22" s="33" t="str">
        <f t="shared" si="8"/>
        <v>Actual 2010</v>
      </c>
      <c r="K22" s="33" t="str">
        <f t="shared" si="8"/>
        <v>Actual 2011</v>
      </c>
      <c r="L22" s="33" t="str">
        <f t="shared" si="8"/>
        <v>Actual 2012</v>
      </c>
      <c r="M22" s="33" t="str">
        <f t="shared" si="8"/>
        <v>Actual 2013</v>
      </c>
      <c r="N22" s="33" t="str">
        <f t="shared" si="8"/>
        <v>Actual 2014</v>
      </c>
      <c r="O22" s="33" t="str">
        <f t="shared" si="8"/>
        <v>Actual 2015</v>
      </c>
      <c r="P22" s="33" t="str">
        <f t="shared" si="8"/>
        <v>Actual 2016</v>
      </c>
      <c r="Q22" s="34" t="str">
        <f>"Plan "&amp;Q21</f>
        <v>Plan 2017</v>
      </c>
      <c r="R22" s="34" t="str">
        <f t="shared" ref="R22:W22" si="9">"Plan "&amp;R21</f>
        <v>Plan 2018</v>
      </c>
      <c r="S22" s="34" t="str">
        <f t="shared" si="9"/>
        <v>Plan 2019</v>
      </c>
      <c r="T22" s="34" t="str">
        <f t="shared" si="9"/>
        <v>Plan 2020</v>
      </c>
      <c r="U22" s="34" t="str">
        <f t="shared" si="9"/>
        <v>Plan 2021</v>
      </c>
      <c r="V22" s="34" t="str">
        <f t="shared" si="9"/>
        <v>Plan 2022</v>
      </c>
      <c r="W22" s="128" t="str">
        <f t="shared" si="9"/>
        <v>Plan 2023</v>
      </c>
      <c r="X22" s="34" t="str">
        <f t="shared" ref="X22" si="10">"Plan "&amp;X21</f>
        <v>Plan 2024</v>
      </c>
      <c r="Y22" s="40" t="s">
        <v>3023</v>
      </c>
      <c r="Z22" s="473" t="s">
        <v>3024</v>
      </c>
    </row>
    <row r="23" spans="1:38" x14ac:dyDescent="0.15">
      <c r="A23" s="12" t="s">
        <v>25</v>
      </c>
      <c r="B23" s="13" t="s">
        <v>26</v>
      </c>
      <c r="C23" s="13" t="s">
        <v>27</v>
      </c>
      <c r="D23" s="13" t="s">
        <v>28</v>
      </c>
      <c r="E23" s="12" t="s">
        <v>29</v>
      </c>
      <c r="F23" s="14">
        <v>14438.5</v>
      </c>
      <c r="G23" s="14">
        <v>5643382.1699999999</v>
      </c>
      <c r="H23" s="14">
        <v>6634694.54</v>
      </c>
      <c r="I23" s="14">
        <v>7459380.96</v>
      </c>
      <c r="J23" s="14">
        <v>20848276.829999998</v>
      </c>
      <c r="K23" s="14">
        <v>100800022.72</v>
      </c>
      <c r="L23" s="14">
        <v>32862274.5</v>
      </c>
      <c r="M23" s="14">
        <v>2236198.14</v>
      </c>
      <c r="N23" s="14">
        <v>394226.32</v>
      </c>
      <c r="O23" s="14">
        <v>137031.29999999999</v>
      </c>
      <c r="P23" s="15">
        <v>283719.84000000003</v>
      </c>
      <c r="Q23" s="16">
        <v>135401.71</v>
      </c>
      <c r="R23" s="16">
        <v>899620.53</v>
      </c>
      <c r="S23" s="16" t="s">
        <v>2994</v>
      </c>
      <c r="T23" s="16" t="s">
        <v>2994</v>
      </c>
      <c r="U23" s="16" t="s">
        <v>2994</v>
      </c>
      <c r="V23" s="16" t="s">
        <v>2994</v>
      </c>
      <c r="W23" s="16" t="s">
        <v>2994</v>
      </c>
      <c r="X23" s="16" t="s">
        <v>2994</v>
      </c>
      <c r="Y23" s="3">
        <f>SUM(F23:X23)</f>
        <v>178348668.06</v>
      </c>
      <c r="Z23" s="96">
        <f t="array" ref="Z23">SUM(ABS(F23:P23))</f>
        <v>177313645.81999999</v>
      </c>
      <c r="AB23" s="3"/>
      <c r="AC23" s="3"/>
      <c r="AD23" s="95"/>
      <c r="AE23" s="95"/>
      <c r="AF23" s="95"/>
      <c r="AG23" s="95"/>
      <c r="AH23" s="482"/>
      <c r="AI23" s="482"/>
      <c r="AJ23" s="482"/>
      <c r="AK23" s="482"/>
      <c r="AL23" s="482"/>
    </row>
    <row r="24" spans="1:38" x14ac:dyDescent="0.15">
      <c r="A24" s="12" t="s">
        <v>34</v>
      </c>
      <c r="B24" s="13" t="s">
        <v>35</v>
      </c>
      <c r="C24" s="13" t="s">
        <v>27</v>
      </c>
      <c r="D24" s="13" t="s">
        <v>28</v>
      </c>
      <c r="E24" s="12" t="s">
        <v>29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798544.67</v>
      </c>
      <c r="M24" s="14">
        <v>913779.99</v>
      </c>
      <c r="N24" s="14">
        <v>1978728.67</v>
      </c>
      <c r="O24" s="14">
        <v>5687410.8899999997</v>
      </c>
      <c r="P24" s="15">
        <v>23030612.23</v>
      </c>
      <c r="Q24" s="16">
        <v>4035823.18</v>
      </c>
      <c r="R24" s="16">
        <v>1585114.55</v>
      </c>
      <c r="S24" s="16" t="s">
        <v>2994</v>
      </c>
      <c r="T24" s="16" t="s">
        <v>2994</v>
      </c>
      <c r="U24" s="16" t="s">
        <v>2994</v>
      </c>
      <c r="V24" s="16" t="s">
        <v>2994</v>
      </c>
      <c r="W24" s="16" t="s">
        <v>2994</v>
      </c>
      <c r="X24" s="16" t="s">
        <v>2994</v>
      </c>
      <c r="Y24" s="3">
        <f t="shared" ref="Y24:Y45" si="11">SUM(F24:X24)</f>
        <v>38030014.18</v>
      </c>
      <c r="Z24" s="96">
        <f t="array" ref="Z24">SUM(ABS(F24:P24))</f>
        <v>32409076.449999999</v>
      </c>
      <c r="AB24" s="3"/>
      <c r="AC24" s="3"/>
      <c r="AD24" s="95"/>
      <c r="AE24" s="95"/>
      <c r="AF24" s="95"/>
      <c r="AG24" s="95"/>
      <c r="AH24" s="482"/>
      <c r="AI24" s="482"/>
      <c r="AJ24" s="482"/>
      <c r="AK24" s="482"/>
      <c r="AL24" s="482"/>
    </row>
    <row r="25" spans="1:38" x14ac:dyDescent="0.15">
      <c r="A25" s="12" t="s">
        <v>37</v>
      </c>
      <c r="B25" s="13" t="s">
        <v>38</v>
      </c>
      <c r="C25" s="13" t="s">
        <v>27</v>
      </c>
      <c r="D25" s="13" t="s">
        <v>31</v>
      </c>
      <c r="E25" s="12" t="s">
        <v>29</v>
      </c>
      <c r="F25" s="14">
        <v>14316.59</v>
      </c>
      <c r="G25" s="14">
        <v>182203.75</v>
      </c>
      <c r="H25" s="14">
        <v>485896.08</v>
      </c>
      <c r="I25" s="14">
        <v>1703092.27</v>
      </c>
      <c r="J25" s="14">
        <v>14056261.109999999</v>
      </c>
      <c r="K25" s="14">
        <v>5216315.03</v>
      </c>
      <c r="L25" s="14">
        <v>228703</v>
      </c>
      <c r="M25" s="14">
        <v>282437.38</v>
      </c>
      <c r="N25" s="14">
        <v>-151764.68</v>
      </c>
      <c r="O25" s="14">
        <v>247663.51</v>
      </c>
      <c r="P25" s="15">
        <v>88534.74</v>
      </c>
      <c r="Q25" s="16">
        <v>521758.07</v>
      </c>
      <c r="R25" s="16" t="s">
        <v>2994</v>
      </c>
      <c r="S25" s="16" t="s">
        <v>2994</v>
      </c>
      <c r="T25" s="16" t="s">
        <v>2994</v>
      </c>
      <c r="U25" s="16" t="s">
        <v>2994</v>
      </c>
      <c r="V25" s="16" t="s">
        <v>2994</v>
      </c>
      <c r="W25" s="16" t="s">
        <v>2994</v>
      </c>
      <c r="X25" s="16" t="s">
        <v>2994</v>
      </c>
      <c r="Y25" s="3">
        <f t="shared" si="11"/>
        <v>22875416.849999998</v>
      </c>
      <c r="Z25" s="96">
        <f t="array" ref="Z25">SUM(ABS(F25:P25))</f>
        <v>22657188.139999997</v>
      </c>
      <c r="AB25" s="3"/>
      <c r="AC25" s="3"/>
      <c r="AD25" s="95"/>
      <c r="AE25" s="95"/>
      <c r="AF25" s="95"/>
      <c r="AG25" s="95"/>
      <c r="AH25" s="482"/>
      <c r="AI25" s="482"/>
      <c r="AJ25" s="482"/>
      <c r="AK25" s="482"/>
      <c r="AL25" s="482"/>
    </row>
    <row r="26" spans="1:38" x14ac:dyDescent="0.15">
      <c r="A26" s="12" t="s">
        <v>42</v>
      </c>
      <c r="B26" s="13" t="s">
        <v>43</v>
      </c>
      <c r="C26" s="13" t="s">
        <v>27</v>
      </c>
      <c r="D26" s="13" t="s">
        <v>44</v>
      </c>
      <c r="E26" s="12" t="s">
        <v>45</v>
      </c>
      <c r="F26" s="14">
        <v>24174.52</v>
      </c>
      <c r="G26" s="14">
        <v>1563.51</v>
      </c>
      <c r="H26" s="14">
        <v>0</v>
      </c>
      <c r="I26" s="14">
        <v>383.71</v>
      </c>
      <c r="J26" s="14">
        <v>0</v>
      </c>
      <c r="K26" s="14">
        <v>0</v>
      </c>
      <c r="L26" s="14">
        <v>0</v>
      </c>
      <c r="M26" s="14">
        <v>0</v>
      </c>
      <c r="N26" s="14"/>
      <c r="O26" s="14"/>
      <c r="P26" s="15"/>
      <c r="Q26" s="16">
        <v>-616364.03</v>
      </c>
      <c r="R26" s="16" t="s">
        <v>2994</v>
      </c>
      <c r="S26" s="16" t="s">
        <v>2994</v>
      </c>
      <c r="T26" s="16" t="s">
        <v>2994</v>
      </c>
      <c r="U26" s="16" t="s">
        <v>2994</v>
      </c>
      <c r="V26" s="16" t="s">
        <v>2994</v>
      </c>
      <c r="W26" s="16" t="s">
        <v>2994</v>
      </c>
      <c r="X26" s="16">
        <v>-0.04</v>
      </c>
      <c r="Y26" s="3">
        <f t="shared" si="11"/>
        <v>-590242.33000000007</v>
      </c>
      <c r="Z26" s="96">
        <f t="array" ref="Z26">SUM(ABS(F26:P26))</f>
        <v>26121.739999999998</v>
      </c>
      <c r="AB26" s="3"/>
      <c r="AC26" s="3"/>
      <c r="AD26" s="95"/>
      <c r="AE26" s="95"/>
      <c r="AF26" s="95"/>
      <c r="AG26" s="95"/>
      <c r="AH26" s="482"/>
      <c r="AI26" s="482"/>
      <c r="AJ26" s="482"/>
      <c r="AK26" s="482"/>
      <c r="AL26" s="482"/>
    </row>
    <row r="27" spans="1:38" x14ac:dyDescent="0.15">
      <c r="A27" s="12" t="s">
        <v>46</v>
      </c>
      <c r="B27" s="13" t="s">
        <v>47</v>
      </c>
      <c r="C27" s="13" t="s">
        <v>27</v>
      </c>
      <c r="D27" s="13" t="s">
        <v>40</v>
      </c>
      <c r="E27" s="12" t="s">
        <v>29</v>
      </c>
      <c r="F27" s="14">
        <v>21868.92</v>
      </c>
      <c r="G27" s="14">
        <v>297382.73</v>
      </c>
      <c r="H27" s="14">
        <v>171231.17</v>
      </c>
      <c r="I27" s="14">
        <v>64637.61</v>
      </c>
      <c r="J27" s="14">
        <v>0</v>
      </c>
      <c r="K27" s="14">
        <v>61467.839999999997</v>
      </c>
      <c r="L27" s="14">
        <v>2533646.94</v>
      </c>
      <c r="M27" s="14">
        <v>25051794.890000001</v>
      </c>
      <c r="N27" s="14">
        <v>12265063.91</v>
      </c>
      <c r="O27" s="14">
        <v>816930.73</v>
      </c>
      <c r="P27" s="15">
        <v>209044.69</v>
      </c>
      <c r="Q27" s="16">
        <v>51943.360000000001</v>
      </c>
      <c r="R27" s="16" t="s">
        <v>2994</v>
      </c>
      <c r="S27" s="16" t="s">
        <v>2994</v>
      </c>
      <c r="T27" s="16" t="s">
        <v>2994</v>
      </c>
      <c r="U27" s="16" t="s">
        <v>2994</v>
      </c>
      <c r="V27" s="16" t="s">
        <v>2994</v>
      </c>
      <c r="W27" s="16" t="s">
        <v>2994</v>
      </c>
      <c r="X27" s="16" t="s">
        <v>2994</v>
      </c>
      <c r="Y27" s="3">
        <f t="shared" si="11"/>
        <v>41545012.789999999</v>
      </c>
      <c r="Z27" s="96">
        <f t="array" ref="Z27">SUM(ABS(F27:P27))</f>
        <v>41493069.43</v>
      </c>
      <c r="AB27" s="3"/>
      <c r="AC27" s="3"/>
      <c r="AD27" s="95"/>
      <c r="AE27" s="95"/>
      <c r="AF27" s="95"/>
      <c r="AG27" s="95"/>
      <c r="AH27" s="482"/>
      <c r="AI27" s="482"/>
      <c r="AJ27" s="482"/>
      <c r="AK27" s="482"/>
      <c r="AL27" s="482"/>
    </row>
    <row r="28" spans="1:38" x14ac:dyDescent="0.15">
      <c r="A28" s="12" t="s">
        <v>48</v>
      </c>
      <c r="B28" s="13" t="s">
        <v>49</v>
      </c>
      <c r="C28" s="13" t="s">
        <v>27</v>
      </c>
      <c r="D28" s="13" t="s">
        <v>40</v>
      </c>
      <c r="E28" s="12" t="s">
        <v>30</v>
      </c>
      <c r="F28" s="14">
        <v>5492.33</v>
      </c>
      <c r="G28" s="14">
        <v>0</v>
      </c>
      <c r="H28" s="14">
        <v>130.91999999999999</v>
      </c>
      <c r="I28" s="14">
        <v>245.68</v>
      </c>
      <c r="J28" s="14">
        <v>0</v>
      </c>
      <c r="K28" s="14">
        <v>0</v>
      </c>
      <c r="L28" s="14">
        <v>0</v>
      </c>
      <c r="M28" s="14">
        <v>0</v>
      </c>
      <c r="N28" s="14"/>
      <c r="O28" s="14"/>
      <c r="P28" s="15"/>
      <c r="Q28" s="16" t="s">
        <v>2994</v>
      </c>
      <c r="R28" s="16">
        <v>-5857.08</v>
      </c>
      <c r="S28" s="16" t="s">
        <v>2994</v>
      </c>
      <c r="T28" s="16" t="s">
        <v>2994</v>
      </c>
      <c r="U28" s="16" t="s">
        <v>2994</v>
      </c>
      <c r="V28" s="16" t="s">
        <v>2994</v>
      </c>
      <c r="W28" s="16" t="s">
        <v>2994</v>
      </c>
      <c r="X28" s="16" t="s">
        <v>2994</v>
      </c>
      <c r="Y28" s="3">
        <f t="shared" si="11"/>
        <v>11.850000000000364</v>
      </c>
      <c r="Z28" s="96">
        <f t="array" ref="Z28">SUM(ABS(F28:P28))</f>
        <v>5868.93</v>
      </c>
      <c r="AB28" s="3"/>
      <c r="AC28" s="3"/>
      <c r="AD28" s="95"/>
      <c r="AE28" s="95"/>
      <c r="AF28" s="95"/>
      <c r="AG28" s="95"/>
      <c r="AH28" s="482"/>
      <c r="AI28" s="482"/>
      <c r="AJ28" s="482"/>
      <c r="AK28" s="482"/>
      <c r="AL28" s="482"/>
    </row>
    <row r="29" spans="1:38" x14ac:dyDescent="0.15">
      <c r="A29" s="12" t="s">
        <v>50</v>
      </c>
      <c r="B29" s="13" t="s">
        <v>51</v>
      </c>
      <c r="C29" s="13" t="s">
        <v>27</v>
      </c>
      <c r="D29" s="13" t="s">
        <v>40</v>
      </c>
      <c r="E29" s="12" t="s">
        <v>29</v>
      </c>
      <c r="F29" s="14">
        <v>11910.28</v>
      </c>
      <c r="G29" s="14">
        <v>753.68</v>
      </c>
      <c r="H29" s="14">
        <v>110585</v>
      </c>
      <c r="I29" s="14">
        <v>0</v>
      </c>
      <c r="J29" s="14">
        <v>491172.67</v>
      </c>
      <c r="K29" s="14">
        <v>2109341.7999999998</v>
      </c>
      <c r="L29" s="14">
        <v>13925378.630000001</v>
      </c>
      <c r="M29" s="14">
        <v>20268858.550000001</v>
      </c>
      <c r="N29" s="14">
        <v>4400650.9400000004</v>
      </c>
      <c r="O29" s="14">
        <v>1224600.4099999999</v>
      </c>
      <c r="P29" s="15">
        <v>922861.43</v>
      </c>
      <c r="Q29" s="16">
        <v>282063.58</v>
      </c>
      <c r="R29" s="16" t="s">
        <v>2994</v>
      </c>
      <c r="S29" s="16" t="s">
        <v>2994</v>
      </c>
      <c r="T29" s="16" t="s">
        <v>2994</v>
      </c>
      <c r="U29" s="16" t="s">
        <v>2994</v>
      </c>
      <c r="V29" s="16" t="s">
        <v>2994</v>
      </c>
      <c r="W29" s="16" t="s">
        <v>2994</v>
      </c>
      <c r="X29" s="16" t="s">
        <v>2994</v>
      </c>
      <c r="Y29" s="3">
        <f t="shared" si="11"/>
        <v>43748176.969999991</v>
      </c>
      <c r="Z29" s="96">
        <f t="array" ref="Z29">SUM(ABS(F29:P29))</f>
        <v>43466113.389999993</v>
      </c>
      <c r="AB29" s="3"/>
      <c r="AC29" s="3"/>
      <c r="AD29" s="95"/>
      <c r="AE29" s="95"/>
      <c r="AF29" s="95"/>
      <c r="AG29" s="95"/>
      <c r="AH29" s="482"/>
      <c r="AI29" s="482"/>
      <c r="AJ29" s="482"/>
      <c r="AK29" s="482"/>
      <c r="AL29" s="482"/>
    </row>
    <row r="30" spans="1:38" x14ac:dyDescent="0.15">
      <c r="A30" s="12" t="s">
        <v>52</v>
      </c>
      <c r="B30" s="13" t="s">
        <v>53</v>
      </c>
      <c r="C30" s="13" t="s">
        <v>27</v>
      </c>
      <c r="D30" s="13" t="s">
        <v>54</v>
      </c>
      <c r="E30" s="12" t="s">
        <v>29</v>
      </c>
      <c r="F30" s="14">
        <v>0</v>
      </c>
      <c r="G30" s="14">
        <v>0</v>
      </c>
      <c r="H30" s="14">
        <v>0</v>
      </c>
      <c r="I30" s="14">
        <v>0</v>
      </c>
      <c r="J30" s="14">
        <v>0</v>
      </c>
      <c r="K30" s="14">
        <v>0</v>
      </c>
      <c r="L30" s="14">
        <v>0</v>
      </c>
      <c r="M30" s="14">
        <v>0</v>
      </c>
      <c r="N30" s="14">
        <v>131231.91</v>
      </c>
      <c r="O30" s="14">
        <v>1187948.25</v>
      </c>
      <c r="P30" s="15">
        <v>3564305.29</v>
      </c>
      <c r="Q30" s="16">
        <v>404975.08</v>
      </c>
      <c r="R30" s="16" t="s">
        <v>2994</v>
      </c>
      <c r="S30" s="16" t="s">
        <v>2994</v>
      </c>
      <c r="T30" s="16" t="s">
        <v>2994</v>
      </c>
      <c r="U30" s="16" t="s">
        <v>2994</v>
      </c>
      <c r="V30" s="16" t="s">
        <v>2994</v>
      </c>
      <c r="W30" s="16" t="s">
        <v>2994</v>
      </c>
      <c r="X30" s="16" t="s">
        <v>2994</v>
      </c>
      <c r="Y30" s="3">
        <f t="shared" si="11"/>
        <v>5288460.53</v>
      </c>
      <c r="Z30" s="96">
        <f t="array" ref="Z30">SUM(ABS(F30:P30))</f>
        <v>4883485.45</v>
      </c>
      <c r="AB30" s="3"/>
      <c r="AC30" s="3"/>
      <c r="AD30" s="95"/>
      <c r="AE30" s="95"/>
      <c r="AF30" s="95"/>
      <c r="AG30" s="95"/>
      <c r="AH30" s="482"/>
      <c r="AI30" s="482"/>
      <c r="AJ30" s="482"/>
      <c r="AK30" s="482"/>
      <c r="AL30" s="482"/>
    </row>
    <row r="31" spans="1:38" x14ac:dyDescent="0.15">
      <c r="A31" s="12" t="s">
        <v>57</v>
      </c>
      <c r="B31" s="13" t="s">
        <v>58</v>
      </c>
      <c r="C31" s="13" t="s">
        <v>27</v>
      </c>
      <c r="D31" s="13" t="s">
        <v>28</v>
      </c>
      <c r="E31" s="12" t="s">
        <v>29</v>
      </c>
      <c r="F31" s="14">
        <v>0</v>
      </c>
      <c r="G31" s="14">
        <v>0</v>
      </c>
      <c r="H31" s="14">
        <v>38503</v>
      </c>
      <c r="I31" s="14">
        <v>247149.1</v>
      </c>
      <c r="J31" s="14">
        <v>673856.07</v>
      </c>
      <c r="K31" s="14">
        <v>4689603.7300000004</v>
      </c>
      <c r="L31" s="14">
        <v>9839939.1899999995</v>
      </c>
      <c r="M31" s="14">
        <v>7572131.0899999999</v>
      </c>
      <c r="N31" s="14">
        <v>697035.34</v>
      </c>
      <c r="O31" s="14">
        <v>230314.93</v>
      </c>
      <c r="P31" s="15">
        <v>82087.88</v>
      </c>
      <c r="Q31" s="16">
        <v>26390.36</v>
      </c>
      <c r="R31" s="16" t="s">
        <v>2994</v>
      </c>
      <c r="S31" s="16" t="s">
        <v>2994</v>
      </c>
      <c r="T31" s="16" t="s">
        <v>2994</v>
      </c>
      <c r="U31" s="16" t="s">
        <v>2994</v>
      </c>
      <c r="V31" s="16" t="s">
        <v>2994</v>
      </c>
      <c r="W31" s="16" t="s">
        <v>2994</v>
      </c>
      <c r="X31" s="16" t="s">
        <v>2994</v>
      </c>
      <c r="Y31" s="3">
        <f t="shared" si="11"/>
        <v>24097010.689999998</v>
      </c>
      <c r="Z31" s="96">
        <f t="array" ref="Z31">SUM(ABS(F31:P31))</f>
        <v>24070620.329999998</v>
      </c>
      <c r="AB31" s="3"/>
      <c r="AC31" s="3"/>
      <c r="AD31" s="95"/>
      <c r="AE31" s="95"/>
      <c r="AF31" s="95"/>
      <c r="AG31" s="95"/>
      <c r="AH31" s="482"/>
      <c r="AI31" s="482"/>
      <c r="AJ31" s="482"/>
      <c r="AK31" s="482"/>
      <c r="AL31" s="482"/>
    </row>
    <row r="32" spans="1:38" x14ac:dyDescent="0.15">
      <c r="A32" s="12" t="s">
        <v>61</v>
      </c>
      <c r="B32" s="13" t="s">
        <v>62</v>
      </c>
      <c r="C32" s="13" t="s">
        <v>27</v>
      </c>
      <c r="D32" s="13" t="s">
        <v>40</v>
      </c>
      <c r="E32" s="12" t="s">
        <v>29</v>
      </c>
      <c r="F32" s="14">
        <v>0</v>
      </c>
      <c r="G32" s="14">
        <v>0</v>
      </c>
      <c r="H32" s="14">
        <v>0</v>
      </c>
      <c r="I32" s="14">
        <v>0</v>
      </c>
      <c r="J32" s="14">
        <v>0</v>
      </c>
      <c r="K32" s="14">
        <v>0</v>
      </c>
      <c r="L32" s="14">
        <v>0</v>
      </c>
      <c r="M32" s="14">
        <v>0</v>
      </c>
      <c r="N32" s="14"/>
      <c r="O32" s="14">
        <v>301176.65000000002</v>
      </c>
      <c r="P32" s="15">
        <v>12290961.529999999</v>
      </c>
      <c r="Q32" s="16">
        <v>8877399.8599999994</v>
      </c>
      <c r="R32" s="16">
        <v>246371.33</v>
      </c>
      <c r="S32" s="16" t="s">
        <v>2994</v>
      </c>
      <c r="T32" s="16" t="s">
        <v>2994</v>
      </c>
      <c r="U32" s="16" t="s">
        <v>2994</v>
      </c>
      <c r="V32" s="16" t="s">
        <v>2994</v>
      </c>
      <c r="W32" s="16" t="s">
        <v>2994</v>
      </c>
      <c r="X32" s="16" t="s">
        <v>2994</v>
      </c>
      <c r="Y32" s="3">
        <f t="shared" si="11"/>
        <v>21715909.369999997</v>
      </c>
      <c r="Z32" s="96">
        <f t="array" ref="Z32">SUM(ABS(F32:P32))</f>
        <v>12592138.18</v>
      </c>
      <c r="AB32" s="3"/>
      <c r="AC32" s="3"/>
      <c r="AD32" s="95"/>
      <c r="AE32" s="95"/>
      <c r="AF32" s="95"/>
      <c r="AG32" s="95"/>
      <c r="AH32" s="482"/>
      <c r="AI32" s="482"/>
      <c r="AJ32" s="482"/>
      <c r="AK32" s="482"/>
      <c r="AL32" s="482"/>
    </row>
    <row r="33" spans="1:38" x14ac:dyDescent="0.15">
      <c r="A33" s="12" t="s">
        <v>67</v>
      </c>
      <c r="B33" s="13" t="s">
        <v>68</v>
      </c>
      <c r="C33" s="13" t="s">
        <v>27</v>
      </c>
      <c r="D33" s="13" t="s">
        <v>28</v>
      </c>
      <c r="E33" s="12" t="s">
        <v>29</v>
      </c>
      <c r="F33" s="14">
        <v>0</v>
      </c>
      <c r="G33" s="14">
        <v>0</v>
      </c>
      <c r="H33" s="14">
        <v>77228</v>
      </c>
      <c r="I33" s="14">
        <v>0</v>
      </c>
      <c r="J33" s="14">
        <v>453453.13</v>
      </c>
      <c r="K33" s="14">
        <v>1359903.97</v>
      </c>
      <c r="L33" s="14">
        <v>14877728.73</v>
      </c>
      <c r="M33" s="14">
        <v>37695811.990000002</v>
      </c>
      <c r="N33" s="14">
        <v>11090338.27</v>
      </c>
      <c r="O33" s="14">
        <v>1206213.96</v>
      </c>
      <c r="P33" s="15">
        <v>1147486.3</v>
      </c>
      <c r="Q33" s="16">
        <v>944364.38</v>
      </c>
      <c r="R33" s="16" t="s">
        <v>2994</v>
      </c>
      <c r="S33" s="16" t="s">
        <v>2994</v>
      </c>
      <c r="T33" s="16" t="s">
        <v>2994</v>
      </c>
      <c r="U33" s="16" t="s">
        <v>2994</v>
      </c>
      <c r="V33" s="16" t="s">
        <v>2994</v>
      </c>
      <c r="W33" s="16" t="s">
        <v>2994</v>
      </c>
      <c r="X33" s="16" t="s">
        <v>2994</v>
      </c>
      <c r="Y33" s="3">
        <f t="shared" si="11"/>
        <v>68852528.730000004</v>
      </c>
      <c r="Z33" s="96">
        <f t="array" ref="Z33">SUM(ABS(F33:P33))</f>
        <v>67908164.350000009</v>
      </c>
      <c r="AB33" s="3"/>
      <c r="AC33" s="3"/>
      <c r="AD33" s="95"/>
      <c r="AE33" s="95"/>
      <c r="AF33" s="95"/>
      <c r="AG33" s="95"/>
      <c r="AH33" s="482"/>
      <c r="AI33" s="482"/>
      <c r="AJ33" s="482"/>
      <c r="AK33" s="482"/>
      <c r="AL33" s="482"/>
    </row>
    <row r="34" spans="1:38" x14ac:dyDescent="0.15">
      <c r="A34" s="12" t="s">
        <v>69</v>
      </c>
      <c r="B34" s="13" t="s">
        <v>70</v>
      </c>
      <c r="C34" s="13" t="s">
        <v>2373</v>
      </c>
      <c r="D34" s="13" t="s">
        <v>28</v>
      </c>
      <c r="E34" s="12" t="s">
        <v>29</v>
      </c>
      <c r="F34" s="14">
        <v>0</v>
      </c>
      <c r="G34" s="14">
        <v>0</v>
      </c>
      <c r="H34" s="14">
        <v>0</v>
      </c>
      <c r="I34" s="14">
        <v>0</v>
      </c>
      <c r="J34" s="14">
        <v>0</v>
      </c>
      <c r="K34" s="14">
        <v>0</v>
      </c>
      <c r="L34" s="14">
        <v>0</v>
      </c>
      <c r="M34" s="14">
        <v>0</v>
      </c>
      <c r="N34" s="14"/>
      <c r="O34" s="14"/>
      <c r="P34" s="15">
        <v>40538.910000000003</v>
      </c>
      <c r="Q34" s="16">
        <v>74267.429999999993</v>
      </c>
      <c r="R34" s="16" t="s">
        <v>2994</v>
      </c>
      <c r="S34" s="16" t="s">
        <v>2994</v>
      </c>
      <c r="T34" s="16" t="s">
        <v>2994</v>
      </c>
      <c r="U34" s="16" t="s">
        <v>2994</v>
      </c>
      <c r="V34" s="16" t="s">
        <v>2994</v>
      </c>
      <c r="W34" s="16" t="s">
        <v>2994</v>
      </c>
      <c r="X34" s="16" t="s">
        <v>2994</v>
      </c>
      <c r="Y34" s="3">
        <f t="shared" si="11"/>
        <v>114806.34</v>
      </c>
      <c r="Z34" s="96">
        <f t="array" ref="Z34">SUM(ABS(F34:P34))</f>
        <v>40538.910000000003</v>
      </c>
      <c r="AB34" s="3"/>
      <c r="AC34" s="3"/>
      <c r="AD34" s="95"/>
      <c r="AE34" s="95"/>
      <c r="AF34" s="95"/>
      <c r="AG34" s="95"/>
      <c r="AH34" s="482"/>
      <c r="AI34" s="482"/>
      <c r="AJ34" s="482"/>
      <c r="AK34" s="482"/>
      <c r="AL34" s="482"/>
    </row>
    <row r="35" spans="1:38" x14ac:dyDescent="0.15">
      <c r="A35" s="12" t="s">
        <v>72</v>
      </c>
      <c r="B35" s="13" t="s">
        <v>73</v>
      </c>
      <c r="C35" s="13" t="s">
        <v>27</v>
      </c>
      <c r="D35" s="13" t="s">
        <v>40</v>
      </c>
      <c r="E35" s="12" t="s">
        <v>32</v>
      </c>
      <c r="F35" s="14">
        <v>0</v>
      </c>
      <c r="G35" s="14">
        <v>0</v>
      </c>
      <c r="H35" s="14">
        <v>18240</v>
      </c>
      <c r="I35" s="14">
        <v>0</v>
      </c>
      <c r="J35" s="14">
        <v>25691.19</v>
      </c>
      <c r="K35" s="14">
        <v>263358.78999999998</v>
      </c>
      <c r="L35" s="14">
        <v>2199097.6</v>
      </c>
      <c r="M35" s="14">
        <v>7683992.3799999999</v>
      </c>
      <c r="N35" s="14">
        <v>1100087.3</v>
      </c>
      <c r="O35" s="14">
        <v>214079.04</v>
      </c>
      <c r="P35" s="15">
        <v>16232.07</v>
      </c>
      <c r="Q35" s="16" t="s">
        <v>2994</v>
      </c>
      <c r="R35" s="16" t="s">
        <v>2994</v>
      </c>
      <c r="S35" s="16" t="s">
        <v>2994</v>
      </c>
      <c r="T35" s="16" t="s">
        <v>2994</v>
      </c>
      <c r="U35" s="16" t="s">
        <v>2994</v>
      </c>
      <c r="V35" s="16" t="s">
        <v>2994</v>
      </c>
      <c r="W35" s="16" t="s">
        <v>2994</v>
      </c>
      <c r="X35" s="16" t="s">
        <v>2994</v>
      </c>
      <c r="Y35" s="3">
        <f t="shared" si="11"/>
        <v>11520778.370000001</v>
      </c>
      <c r="Z35" s="96">
        <f t="array" ref="Z35">SUM(ABS(F35:P35))</f>
        <v>11520778.370000001</v>
      </c>
      <c r="AB35" s="3"/>
      <c r="AC35" s="3"/>
      <c r="AD35" s="95"/>
      <c r="AE35" s="95"/>
      <c r="AF35" s="95"/>
      <c r="AG35" s="95"/>
      <c r="AH35" s="482"/>
      <c r="AI35" s="482"/>
      <c r="AJ35" s="482"/>
      <c r="AK35" s="482"/>
      <c r="AL35" s="482"/>
    </row>
    <row r="36" spans="1:38" x14ac:dyDescent="0.15">
      <c r="A36" s="12" t="s">
        <v>74</v>
      </c>
      <c r="B36" s="13" t="s">
        <v>75</v>
      </c>
      <c r="C36" s="13" t="s">
        <v>27</v>
      </c>
      <c r="D36" s="13" t="s">
        <v>44</v>
      </c>
      <c r="E36" s="12" t="s">
        <v>32</v>
      </c>
      <c r="F36" s="14">
        <v>0</v>
      </c>
      <c r="G36" s="14">
        <v>0</v>
      </c>
      <c r="H36" s="14">
        <v>0</v>
      </c>
      <c r="I36" s="14">
        <v>0</v>
      </c>
      <c r="J36" s="14">
        <v>4826.04</v>
      </c>
      <c r="K36" s="14">
        <v>101717.9</v>
      </c>
      <c r="L36" s="14">
        <v>9808.48</v>
      </c>
      <c r="M36" s="14">
        <v>0</v>
      </c>
      <c r="N36" s="14"/>
      <c r="O36" s="14"/>
      <c r="P36" s="15"/>
      <c r="Q36" s="16" t="s">
        <v>2994</v>
      </c>
      <c r="R36" s="16">
        <v>-116352.42</v>
      </c>
      <c r="S36" s="16" t="s">
        <v>2994</v>
      </c>
      <c r="T36" s="16" t="s">
        <v>2994</v>
      </c>
      <c r="U36" s="16" t="s">
        <v>2994</v>
      </c>
      <c r="V36" s="16" t="s">
        <v>2994</v>
      </c>
      <c r="W36" s="16" t="s">
        <v>2994</v>
      </c>
      <c r="X36" s="16" t="s">
        <v>2994</v>
      </c>
      <c r="Y36" s="3">
        <f t="shared" si="11"/>
        <v>0</v>
      </c>
      <c r="Z36" s="96">
        <f t="array" ref="Z36">SUM(ABS(F36:P36))</f>
        <v>116352.41999999998</v>
      </c>
      <c r="AB36" s="3"/>
      <c r="AC36" s="3"/>
      <c r="AD36" s="95"/>
      <c r="AE36" s="95"/>
      <c r="AF36" s="95"/>
      <c r="AG36" s="95"/>
      <c r="AH36" s="482"/>
      <c r="AI36" s="482"/>
      <c r="AJ36" s="482"/>
      <c r="AK36" s="482"/>
      <c r="AL36" s="482"/>
    </row>
    <row r="37" spans="1:38" x14ac:dyDescent="0.15">
      <c r="A37" s="12" t="s">
        <v>76</v>
      </c>
      <c r="B37" s="13" t="s">
        <v>77</v>
      </c>
      <c r="C37" s="13" t="s">
        <v>27</v>
      </c>
      <c r="D37" s="13" t="s">
        <v>40</v>
      </c>
      <c r="E37" s="12" t="s">
        <v>32</v>
      </c>
      <c r="F37" s="14">
        <v>0</v>
      </c>
      <c r="G37" s="14">
        <v>0</v>
      </c>
      <c r="H37" s="14">
        <v>0</v>
      </c>
      <c r="I37" s="14">
        <v>34867.480000000003</v>
      </c>
      <c r="J37" s="14">
        <v>298117.36</v>
      </c>
      <c r="K37" s="14">
        <v>814094.62</v>
      </c>
      <c r="L37" s="14">
        <v>2193174.1800000002</v>
      </c>
      <c r="M37" s="14">
        <v>50167.8</v>
      </c>
      <c r="N37" s="14">
        <v>-74756.86</v>
      </c>
      <c r="O37" s="14"/>
      <c r="P37" s="15">
        <v>273.05</v>
      </c>
      <c r="Q37" s="16" t="s">
        <v>2994</v>
      </c>
      <c r="R37" s="16" t="s">
        <v>2994</v>
      </c>
      <c r="S37" s="16" t="s">
        <v>2994</v>
      </c>
      <c r="T37" s="16" t="s">
        <v>2994</v>
      </c>
      <c r="U37" s="16" t="s">
        <v>2994</v>
      </c>
      <c r="V37" s="16" t="s">
        <v>2994</v>
      </c>
      <c r="W37" s="16" t="s">
        <v>2994</v>
      </c>
      <c r="X37" s="16" t="s">
        <v>2994</v>
      </c>
      <c r="Y37" s="3">
        <f t="shared" si="11"/>
        <v>3315937.63</v>
      </c>
      <c r="Z37" s="96">
        <f t="array" ref="Z37">SUM(ABS(F37:P37))</f>
        <v>3465451.3499999996</v>
      </c>
      <c r="AB37" s="3"/>
      <c r="AC37" s="3"/>
      <c r="AD37" s="95"/>
      <c r="AE37" s="95"/>
      <c r="AF37" s="95"/>
      <c r="AG37" s="95"/>
      <c r="AH37" s="482"/>
      <c r="AI37" s="482"/>
      <c r="AJ37" s="482"/>
      <c r="AK37" s="482"/>
      <c r="AL37" s="482"/>
    </row>
    <row r="38" spans="1:38" x14ac:dyDescent="0.15">
      <c r="A38" s="12" t="s">
        <v>78</v>
      </c>
      <c r="B38" s="13" t="s">
        <v>79</v>
      </c>
      <c r="C38" s="13" t="s">
        <v>27</v>
      </c>
      <c r="D38" s="13" t="s">
        <v>44</v>
      </c>
      <c r="E38" s="12" t="s">
        <v>45</v>
      </c>
      <c r="F38" s="14">
        <v>0</v>
      </c>
      <c r="G38" s="14">
        <v>0</v>
      </c>
      <c r="H38" s="14">
        <v>0</v>
      </c>
      <c r="I38" s="14">
        <v>0</v>
      </c>
      <c r="J38" s="14">
        <v>15015.66</v>
      </c>
      <c r="K38" s="14">
        <v>326471.92</v>
      </c>
      <c r="L38" s="14">
        <v>138665.04999999999</v>
      </c>
      <c r="M38" s="14">
        <v>85507.51</v>
      </c>
      <c r="N38" s="14">
        <v>174722.74</v>
      </c>
      <c r="O38" s="14">
        <v>15657.66</v>
      </c>
      <c r="P38" s="15"/>
      <c r="Q38" s="16">
        <v>-756040.51</v>
      </c>
      <c r="R38" s="16" t="s">
        <v>2994</v>
      </c>
      <c r="S38" s="16" t="s">
        <v>2994</v>
      </c>
      <c r="T38" s="16" t="s">
        <v>2994</v>
      </c>
      <c r="U38" s="16" t="s">
        <v>2994</v>
      </c>
      <c r="V38" s="16" t="s">
        <v>2994</v>
      </c>
      <c r="W38" s="16" t="s">
        <v>2994</v>
      </c>
      <c r="X38" s="16" t="s">
        <v>2994</v>
      </c>
      <c r="Y38" s="3">
        <f t="shared" si="11"/>
        <v>2.9999999911524355E-2</v>
      </c>
      <c r="Z38" s="96">
        <f t="array" ref="Z38">SUM(ABS(F38:P38))</f>
        <v>756040.53999999992</v>
      </c>
      <c r="AB38" s="3"/>
      <c r="AC38" s="3"/>
      <c r="AD38" s="95"/>
      <c r="AE38" s="95"/>
      <c r="AF38" s="95"/>
      <c r="AG38" s="95"/>
      <c r="AH38" s="482"/>
      <c r="AI38" s="482"/>
      <c r="AJ38" s="482"/>
      <c r="AK38" s="482"/>
      <c r="AL38" s="482"/>
    </row>
    <row r="39" spans="1:38" x14ac:dyDescent="0.15">
      <c r="A39" s="12" t="s">
        <v>80</v>
      </c>
      <c r="B39" s="13" t="s">
        <v>81</v>
      </c>
      <c r="C39" s="13" t="s">
        <v>27</v>
      </c>
      <c r="D39" s="13" t="s">
        <v>55</v>
      </c>
      <c r="E39" s="12" t="s">
        <v>45</v>
      </c>
      <c r="F39" s="14">
        <v>0</v>
      </c>
      <c r="G39" s="14">
        <v>0</v>
      </c>
      <c r="H39" s="14">
        <v>0</v>
      </c>
      <c r="I39" s="14">
        <v>0</v>
      </c>
      <c r="J39" s="14">
        <v>0</v>
      </c>
      <c r="K39" s="14">
        <v>164575.43</v>
      </c>
      <c r="L39" s="14">
        <v>240508.19</v>
      </c>
      <c r="M39" s="14">
        <v>117943.46</v>
      </c>
      <c r="N39" s="14"/>
      <c r="O39" s="14">
        <v>39373.82</v>
      </c>
      <c r="P39" s="15"/>
      <c r="Q39" s="16" t="s">
        <v>2994</v>
      </c>
      <c r="R39" s="16">
        <v>593590.43999999994</v>
      </c>
      <c r="S39" s="16" t="s">
        <v>2994</v>
      </c>
      <c r="T39" s="16" t="s">
        <v>2994</v>
      </c>
      <c r="U39" s="16" t="s">
        <v>2994</v>
      </c>
      <c r="V39" s="16" t="s">
        <v>2994</v>
      </c>
      <c r="W39" s="16" t="s">
        <v>2994</v>
      </c>
      <c r="X39" s="16" t="s">
        <v>2994</v>
      </c>
      <c r="Y39" s="3">
        <f t="shared" si="11"/>
        <v>1155991.3399999999</v>
      </c>
      <c r="Z39" s="96">
        <f t="array" ref="Z39">SUM(ABS(F39:P39))</f>
        <v>562400.9</v>
      </c>
      <c r="AB39" s="3"/>
      <c r="AC39" s="3"/>
      <c r="AD39" s="95"/>
      <c r="AE39" s="95"/>
      <c r="AF39" s="95"/>
      <c r="AG39" s="95"/>
      <c r="AH39" s="482"/>
      <c r="AI39" s="482"/>
      <c r="AJ39" s="482"/>
      <c r="AK39" s="482"/>
      <c r="AL39" s="482"/>
    </row>
    <row r="40" spans="1:38" x14ac:dyDescent="0.15">
      <c r="A40" s="12" t="s">
        <v>2270</v>
      </c>
      <c r="B40" s="13" t="s">
        <v>2269</v>
      </c>
      <c r="C40" s="13" t="s">
        <v>27</v>
      </c>
      <c r="D40" s="13" t="s">
        <v>55</v>
      </c>
      <c r="E40" s="12" t="s">
        <v>32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/>
      <c r="O40" s="14"/>
      <c r="P40" s="15">
        <v>-254962.77</v>
      </c>
      <c r="Q40" s="16" t="s">
        <v>2994</v>
      </c>
      <c r="R40" s="16" t="s">
        <v>2994</v>
      </c>
      <c r="S40" s="16" t="s">
        <v>2994</v>
      </c>
      <c r="T40" s="16" t="s">
        <v>2994</v>
      </c>
      <c r="U40" s="16" t="s">
        <v>2994</v>
      </c>
      <c r="V40" s="16" t="s">
        <v>2994</v>
      </c>
      <c r="W40" s="16" t="s">
        <v>2994</v>
      </c>
      <c r="X40" s="16" t="s">
        <v>2994</v>
      </c>
      <c r="Y40" s="3">
        <f t="shared" si="11"/>
        <v>-254962.77</v>
      </c>
      <c r="Z40" s="96">
        <f t="array" ref="Z40">SUM(ABS(F40:P40))</f>
        <v>254962.77</v>
      </c>
      <c r="AB40" s="3"/>
      <c r="AC40" s="3"/>
      <c r="AD40" s="95"/>
      <c r="AE40" s="95"/>
      <c r="AF40" s="95"/>
      <c r="AG40" s="95"/>
      <c r="AH40" s="482"/>
      <c r="AI40" s="482"/>
      <c r="AJ40" s="482"/>
      <c r="AK40" s="482"/>
      <c r="AL40" s="482"/>
    </row>
    <row r="41" spans="1:38" x14ac:dyDescent="0.15">
      <c r="A41" s="12" t="s">
        <v>82</v>
      </c>
      <c r="B41" s="13" t="s">
        <v>83</v>
      </c>
      <c r="C41" s="91" t="e">
        <v>#N/A</v>
      </c>
      <c r="D41" s="91" t="e">
        <v>#N/A</v>
      </c>
      <c r="E41" s="91" t="e">
        <v>#N/A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1413756.58</v>
      </c>
      <c r="M41" s="14">
        <v>871332.2</v>
      </c>
      <c r="N41" s="14">
        <v>45.45</v>
      </c>
      <c r="O41" s="14"/>
      <c r="P41" s="15"/>
      <c r="Q41" s="16" t="s">
        <v>2981</v>
      </c>
      <c r="R41" s="16" t="s">
        <v>2981</v>
      </c>
      <c r="S41" s="16" t="s">
        <v>2981</v>
      </c>
      <c r="T41" s="16" t="s">
        <v>2981</v>
      </c>
      <c r="U41" s="16" t="s">
        <v>2981</v>
      </c>
      <c r="V41" s="16" t="s">
        <v>2981</v>
      </c>
      <c r="W41" s="16" t="s">
        <v>2981</v>
      </c>
      <c r="X41" s="16" t="s">
        <v>2981</v>
      </c>
      <c r="Y41" s="3">
        <f t="shared" si="11"/>
        <v>2285134.2300000004</v>
      </c>
      <c r="Z41" s="96">
        <f t="array" ref="Z41">SUM(ABS(F41:P41))</f>
        <v>2285134.2300000004</v>
      </c>
      <c r="AB41" s="3"/>
      <c r="AC41" s="3"/>
      <c r="AD41" s="95"/>
      <c r="AE41" s="95"/>
      <c r="AF41" s="95"/>
      <c r="AG41" s="95"/>
      <c r="AH41" s="482"/>
      <c r="AI41" s="482"/>
      <c r="AJ41" s="482"/>
      <c r="AK41" s="482"/>
      <c r="AL41" s="482"/>
    </row>
    <row r="42" spans="1:38" x14ac:dyDescent="0.15">
      <c r="A42" s="12" t="s">
        <v>85</v>
      </c>
      <c r="B42" s="13" t="s">
        <v>86</v>
      </c>
      <c r="C42" s="13" t="s">
        <v>27</v>
      </c>
      <c r="D42" s="13" t="s">
        <v>54</v>
      </c>
      <c r="E42" s="12" t="s">
        <v>32</v>
      </c>
      <c r="F42" s="14">
        <v>0</v>
      </c>
      <c r="G42" s="14">
        <v>0</v>
      </c>
      <c r="H42" s="14">
        <v>5915</v>
      </c>
      <c r="I42" s="14">
        <v>0</v>
      </c>
      <c r="J42" s="14">
        <v>5170.29</v>
      </c>
      <c r="K42" s="14">
        <v>166130.54999999999</v>
      </c>
      <c r="L42" s="14">
        <v>291183.75</v>
      </c>
      <c r="M42" s="14">
        <v>2416906.69</v>
      </c>
      <c r="N42" s="14">
        <v>116388.69</v>
      </c>
      <c r="O42" s="14"/>
      <c r="P42" s="15">
        <v>-15090</v>
      </c>
      <c r="Q42" s="16" t="s">
        <v>2994</v>
      </c>
      <c r="R42" s="16" t="s">
        <v>2994</v>
      </c>
      <c r="S42" s="16" t="s">
        <v>2994</v>
      </c>
      <c r="T42" s="16" t="s">
        <v>2994</v>
      </c>
      <c r="U42" s="16" t="s">
        <v>2994</v>
      </c>
      <c r="V42" s="16" t="s">
        <v>2994</v>
      </c>
      <c r="W42" s="16" t="s">
        <v>2994</v>
      </c>
      <c r="X42" s="16" t="s">
        <v>2994</v>
      </c>
      <c r="Y42" s="3">
        <f t="shared" si="11"/>
        <v>2986604.9699999997</v>
      </c>
      <c r="Z42" s="96">
        <f t="array" ref="Z42">SUM(ABS(F42:P42))</f>
        <v>3016784.9699999997</v>
      </c>
      <c r="AB42" s="3"/>
      <c r="AC42" s="3"/>
      <c r="AD42" s="95"/>
      <c r="AE42" s="95"/>
      <c r="AF42" s="95"/>
      <c r="AG42" s="95"/>
      <c r="AH42" s="482"/>
      <c r="AI42" s="482"/>
      <c r="AJ42" s="482"/>
      <c r="AK42" s="482"/>
      <c r="AL42" s="482"/>
    </row>
    <row r="43" spans="1:38" x14ac:dyDescent="0.15">
      <c r="A43" s="12" t="s">
        <v>87</v>
      </c>
      <c r="B43" s="13" t="s">
        <v>88</v>
      </c>
      <c r="C43" s="13" t="s">
        <v>27</v>
      </c>
      <c r="D43" s="13" t="s">
        <v>31</v>
      </c>
      <c r="E43" s="12" t="s">
        <v>32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459297.58</v>
      </c>
      <c r="L43" s="14">
        <v>1236085.3700000001</v>
      </c>
      <c r="M43" s="14">
        <v>4746280.5199999996</v>
      </c>
      <c r="N43" s="14">
        <v>7405961.0599999996</v>
      </c>
      <c r="O43" s="14">
        <v>18429504.32</v>
      </c>
      <c r="P43" s="15">
        <v>37006.379999999997</v>
      </c>
      <c r="Q43" s="16">
        <v>189660.65</v>
      </c>
      <c r="R43" s="16" t="s">
        <v>2994</v>
      </c>
      <c r="S43" s="16" t="s">
        <v>2994</v>
      </c>
      <c r="T43" s="16" t="s">
        <v>2994</v>
      </c>
      <c r="U43" s="16" t="s">
        <v>2994</v>
      </c>
      <c r="V43" s="16" t="s">
        <v>2994</v>
      </c>
      <c r="W43" s="16" t="s">
        <v>2994</v>
      </c>
      <c r="X43" s="16" t="s">
        <v>2994</v>
      </c>
      <c r="Y43" s="3">
        <f t="shared" si="11"/>
        <v>32503795.879999999</v>
      </c>
      <c r="Z43" s="96">
        <f t="array" ref="Z43">SUM(ABS(F43:P43))</f>
        <v>32314135.23</v>
      </c>
      <c r="AB43" s="3"/>
      <c r="AC43" s="3"/>
      <c r="AD43" s="95"/>
      <c r="AE43" s="95"/>
      <c r="AF43" s="95"/>
      <c r="AG43" s="95"/>
      <c r="AH43" s="482"/>
      <c r="AI43" s="482"/>
      <c r="AJ43" s="482"/>
      <c r="AK43" s="482"/>
      <c r="AL43" s="482"/>
    </row>
    <row r="44" spans="1:38" x14ac:dyDescent="0.15">
      <c r="A44" s="12" t="s">
        <v>89</v>
      </c>
      <c r="B44" s="13" t="s">
        <v>90</v>
      </c>
      <c r="C44" s="13" t="s">
        <v>27</v>
      </c>
      <c r="D44" s="13" t="s">
        <v>54</v>
      </c>
      <c r="E44" s="12" t="s">
        <v>32</v>
      </c>
      <c r="F44" s="14">
        <v>0</v>
      </c>
      <c r="G44" s="14">
        <v>0</v>
      </c>
      <c r="H44" s="14">
        <v>0</v>
      </c>
      <c r="I44" s="14">
        <v>107614.86</v>
      </c>
      <c r="J44" s="14">
        <v>2026660.21</v>
      </c>
      <c r="K44" s="14">
        <v>5821932.9500000002</v>
      </c>
      <c r="L44" s="14">
        <v>5526002.0099999998</v>
      </c>
      <c r="M44" s="14">
        <v>580408.01</v>
      </c>
      <c r="N44" s="14">
        <v>546782.29</v>
      </c>
      <c r="O44" s="14">
        <v>3550.71</v>
      </c>
      <c r="P44" s="15">
        <v>148.43</v>
      </c>
      <c r="Q44" s="16" t="s">
        <v>2994</v>
      </c>
      <c r="R44" s="16" t="s">
        <v>2994</v>
      </c>
      <c r="S44" s="16" t="s">
        <v>2994</v>
      </c>
      <c r="T44" s="16" t="s">
        <v>2994</v>
      </c>
      <c r="U44" s="16" t="s">
        <v>2994</v>
      </c>
      <c r="V44" s="16" t="s">
        <v>2994</v>
      </c>
      <c r="W44" s="16" t="s">
        <v>2994</v>
      </c>
      <c r="X44" s="16" t="s">
        <v>2994</v>
      </c>
      <c r="Y44" s="3">
        <f t="shared" si="11"/>
        <v>14613099.469999999</v>
      </c>
      <c r="Z44" s="96">
        <f t="array" ref="Z44">SUM(ABS(F44:P44))</f>
        <v>14613099.469999999</v>
      </c>
      <c r="AB44" s="3"/>
      <c r="AC44" s="3"/>
      <c r="AD44" s="95"/>
      <c r="AE44" s="95"/>
      <c r="AF44" s="95"/>
      <c r="AG44" s="95"/>
      <c r="AH44" s="482"/>
      <c r="AI44" s="482"/>
      <c r="AJ44" s="482"/>
      <c r="AK44" s="482"/>
      <c r="AL44" s="482"/>
    </row>
    <row r="45" spans="1:38" x14ac:dyDescent="0.15">
      <c r="A45" s="12" t="s">
        <v>91</v>
      </c>
      <c r="B45" s="13" t="s">
        <v>92</v>
      </c>
      <c r="C45" s="13" t="s">
        <v>27</v>
      </c>
      <c r="D45" s="13" t="s">
        <v>55</v>
      </c>
      <c r="E45" s="12" t="s">
        <v>32</v>
      </c>
      <c r="F45" s="14">
        <v>0</v>
      </c>
      <c r="G45" s="14">
        <v>0</v>
      </c>
      <c r="H45" s="14">
        <v>0</v>
      </c>
      <c r="I45" s="14">
        <v>0</v>
      </c>
      <c r="J45" s="14">
        <v>238513.45</v>
      </c>
      <c r="K45" s="14">
        <v>135131.38</v>
      </c>
      <c r="L45" s="14">
        <v>94858.79</v>
      </c>
      <c r="M45" s="14">
        <v>95193.71</v>
      </c>
      <c r="N45" s="14">
        <v>182971.82</v>
      </c>
      <c r="O45" s="14">
        <v>320398.09000000003</v>
      </c>
      <c r="P45" s="15">
        <v>344966.82</v>
      </c>
      <c r="Q45" s="16">
        <v>384962.44</v>
      </c>
      <c r="R45" s="16" t="s">
        <v>2994</v>
      </c>
      <c r="S45" s="16" t="s">
        <v>2994</v>
      </c>
      <c r="T45" s="16" t="s">
        <v>2994</v>
      </c>
      <c r="U45" s="16" t="s">
        <v>2994</v>
      </c>
      <c r="V45" s="16" t="s">
        <v>2994</v>
      </c>
      <c r="W45" s="16" t="s">
        <v>2994</v>
      </c>
      <c r="X45" s="16" t="s">
        <v>2994</v>
      </c>
      <c r="Y45" s="3">
        <f t="shared" si="11"/>
        <v>1796996.5</v>
      </c>
      <c r="Z45" s="96">
        <f t="array" ref="Z45">SUM(ABS(F45:P45))</f>
        <v>1412034.06</v>
      </c>
      <c r="AB45" s="3"/>
      <c r="AC45" s="3"/>
      <c r="AD45" s="95"/>
      <c r="AE45" s="95"/>
      <c r="AF45" s="95"/>
      <c r="AG45" s="95"/>
      <c r="AH45" s="482"/>
      <c r="AI45" s="482"/>
      <c r="AJ45" s="482"/>
      <c r="AK45" s="482"/>
      <c r="AL45" s="482"/>
    </row>
    <row r="46" spans="1:38" x14ac:dyDescent="0.15">
      <c r="A46" s="12" t="s">
        <v>93</v>
      </c>
      <c r="B46" s="13" t="s">
        <v>94</v>
      </c>
      <c r="C46" s="13" t="s">
        <v>27</v>
      </c>
      <c r="D46" s="13" t="s">
        <v>40</v>
      </c>
      <c r="E46" s="12" t="s">
        <v>29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2703.28</v>
      </c>
      <c r="L46" s="14">
        <v>236981.66</v>
      </c>
      <c r="M46" s="14">
        <v>1081055.72</v>
      </c>
      <c r="N46" s="14">
        <v>635020.11</v>
      </c>
      <c r="O46" s="14">
        <v>650420.4</v>
      </c>
      <c r="P46" s="15">
        <v>373843.75</v>
      </c>
      <c r="Q46" s="16">
        <v>1461802.45</v>
      </c>
      <c r="R46" s="16" t="s">
        <v>2994</v>
      </c>
      <c r="S46" s="16" t="s">
        <v>2994</v>
      </c>
      <c r="T46" s="16" t="s">
        <v>2994</v>
      </c>
      <c r="U46" s="16" t="s">
        <v>2994</v>
      </c>
      <c r="V46" s="16" t="s">
        <v>2994</v>
      </c>
      <c r="W46" s="16" t="s">
        <v>2994</v>
      </c>
      <c r="X46" s="16" t="s">
        <v>2994</v>
      </c>
      <c r="Y46" s="3">
        <f t="shared" ref="Y46:Y66" si="12">SUM(F46:X46)</f>
        <v>4441827.37</v>
      </c>
      <c r="Z46" s="96">
        <f t="array" ref="Z46">SUM(ABS(F46:P46))</f>
        <v>2980024.92</v>
      </c>
      <c r="AB46" s="3"/>
      <c r="AC46" s="3"/>
      <c r="AD46" s="95"/>
      <c r="AE46" s="95"/>
      <c r="AF46" s="95"/>
      <c r="AG46" s="95"/>
      <c r="AH46" s="482"/>
      <c r="AI46" s="482"/>
      <c r="AJ46" s="482"/>
      <c r="AK46" s="482"/>
      <c r="AL46" s="482"/>
    </row>
    <row r="47" spans="1:38" x14ac:dyDescent="0.15">
      <c r="A47" s="12" t="s">
        <v>95</v>
      </c>
      <c r="B47" s="13" t="s">
        <v>96</v>
      </c>
      <c r="C47" s="13" t="s">
        <v>27</v>
      </c>
      <c r="D47" s="13" t="s">
        <v>55</v>
      </c>
      <c r="E47" s="12" t="s">
        <v>32</v>
      </c>
      <c r="F47" s="14">
        <v>0</v>
      </c>
      <c r="G47" s="14">
        <v>0</v>
      </c>
      <c r="H47" s="14">
        <v>0</v>
      </c>
      <c r="I47" s="14">
        <v>0</v>
      </c>
      <c r="J47" s="14">
        <v>7039.44</v>
      </c>
      <c r="K47" s="14">
        <v>10890.38</v>
      </c>
      <c r="L47" s="14">
        <v>223367.44</v>
      </c>
      <c r="M47" s="14">
        <v>1308235.0900000001</v>
      </c>
      <c r="N47" s="14">
        <v>493502.02</v>
      </c>
      <c r="O47" s="14">
        <v>45049.86</v>
      </c>
      <c r="P47" s="15"/>
      <c r="Q47" s="16" t="s">
        <v>2994</v>
      </c>
      <c r="R47" s="16" t="s">
        <v>2994</v>
      </c>
      <c r="S47" s="16" t="s">
        <v>2994</v>
      </c>
      <c r="T47" s="16" t="s">
        <v>2994</v>
      </c>
      <c r="U47" s="16" t="s">
        <v>2994</v>
      </c>
      <c r="V47" s="16" t="s">
        <v>2994</v>
      </c>
      <c r="W47" s="16" t="s">
        <v>2994</v>
      </c>
      <c r="X47" s="16" t="s">
        <v>2994</v>
      </c>
      <c r="Y47" s="3">
        <f t="shared" si="12"/>
        <v>2088084.2300000002</v>
      </c>
      <c r="Z47" s="96">
        <f t="array" ref="Z47">SUM(ABS(F47:P47))</f>
        <v>2088084.2300000002</v>
      </c>
      <c r="AB47" s="3"/>
      <c r="AC47" s="3"/>
      <c r="AD47" s="95"/>
      <c r="AE47" s="95"/>
      <c r="AF47" s="95"/>
      <c r="AG47" s="95"/>
      <c r="AH47" s="482"/>
      <c r="AI47" s="482"/>
      <c r="AJ47" s="482"/>
      <c r="AK47" s="482"/>
      <c r="AL47" s="482"/>
    </row>
    <row r="48" spans="1:38" x14ac:dyDescent="0.15">
      <c r="A48" s="12" t="s">
        <v>98</v>
      </c>
      <c r="B48" s="13" t="s">
        <v>99</v>
      </c>
      <c r="C48" s="13" t="s">
        <v>27</v>
      </c>
      <c r="D48" s="13" t="s">
        <v>55</v>
      </c>
      <c r="E48" s="12" t="s">
        <v>32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12682.87</v>
      </c>
      <c r="M48" s="14">
        <v>240717.04</v>
      </c>
      <c r="N48" s="14">
        <v>542699.27</v>
      </c>
      <c r="O48" s="14">
        <v>366767.58</v>
      </c>
      <c r="P48" s="15">
        <v>313547.76</v>
      </c>
      <c r="Q48" s="16" t="s">
        <v>2994</v>
      </c>
      <c r="R48" s="16" t="s">
        <v>2994</v>
      </c>
      <c r="S48" s="16" t="s">
        <v>2994</v>
      </c>
      <c r="T48" s="16" t="s">
        <v>2994</v>
      </c>
      <c r="U48" s="16" t="s">
        <v>2994</v>
      </c>
      <c r="V48" s="16" t="s">
        <v>2994</v>
      </c>
      <c r="W48" s="16" t="s">
        <v>2994</v>
      </c>
      <c r="X48" s="16" t="s">
        <v>2994</v>
      </c>
      <c r="Y48" s="3">
        <f t="shared" si="12"/>
        <v>1476414.52</v>
      </c>
      <c r="Z48" s="96">
        <f t="array" ref="Z48">SUM(ABS(F48:P48))</f>
        <v>1476414.52</v>
      </c>
      <c r="AB48" s="3"/>
      <c r="AC48" s="3"/>
      <c r="AD48" s="95"/>
      <c r="AE48" s="95"/>
      <c r="AF48" s="95"/>
      <c r="AG48" s="95"/>
      <c r="AH48" s="482"/>
      <c r="AI48" s="482"/>
      <c r="AJ48" s="482"/>
      <c r="AK48" s="482"/>
      <c r="AL48" s="482"/>
    </row>
    <row r="49" spans="1:38" x14ac:dyDescent="0.15">
      <c r="A49" s="12" t="s">
        <v>100</v>
      </c>
      <c r="B49" s="13" t="s">
        <v>101</v>
      </c>
      <c r="C49" s="13" t="s">
        <v>27</v>
      </c>
      <c r="D49" s="13" t="s">
        <v>54</v>
      </c>
      <c r="E49" s="12" t="s">
        <v>30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35526.65</v>
      </c>
      <c r="L49" s="14">
        <v>197493.65</v>
      </c>
      <c r="M49" s="14">
        <v>331133.13</v>
      </c>
      <c r="N49" s="14">
        <v>501644.35</v>
      </c>
      <c r="O49" s="14">
        <v>142192.95000000001</v>
      </c>
      <c r="P49" s="15">
        <v>30379.49</v>
      </c>
      <c r="Q49" s="16">
        <v>42.57</v>
      </c>
      <c r="R49" s="16">
        <v>-1238412.79</v>
      </c>
      <c r="S49" s="16" t="s">
        <v>2994</v>
      </c>
      <c r="T49" s="16" t="s">
        <v>2994</v>
      </c>
      <c r="U49" s="16" t="s">
        <v>2994</v>
      </c>
      <c r="V49" s="16" t="s">
        <v>2994</v>
      </c>
      <c r="W49" s="16" t="s">
        <v>2994</v>
      </c>
      <c r="X49" s="16" t="s">
        <v>2994</v>
      </c>
      <c r="Y49" s="3">
        <f t="shared" si="12"/>
        <v>0</v>
      </c>
      <c r="Z49" s="96">
        <f t="array" ref="Z49">SUM(ABS(F49:P49))</f>
        <v>1238370.2199999997</v>
      </c>
      <c r="AB49" s="3"/>
      <c r="AC49" s="3"/>
      <c r="AD49" s="95"/>
      <c r="AE49" s="95"/>
      <c r="AF49" s="95"/>
      <c r="AG49" s="95"/>
      <c r="AH49" s="482"/>
      <c r="AI49" s="482"/>
      <c r="AJ49" s="482"/>
      <c r="AK49" s="482"/>
      <c r="AL49" s="482"/>
    </row>
    <row r="50" spans="1:38" x14ac:dyDescent="0.15">
      <c r="A50" s="12" t="s">
        <v>102</v>
      </c>
      <c r="B50" s="13" t="s">
        <v>103</v>
      </c>
      <c r="C50" s="13" t="s">
        <v>27</v>
      </c>
      <c r="D50" s="13" t="s">
        <v>28</v>
      </c>
      <c r="E50" s="12" t="s">
        <v>32</v>
      </c>
      <c r="F50" s="14">
        <v>0</v>
      </c>
      <c r="G50" s="14">
        <v>0</v>
      </c>
      <c r="H50" s="14">
        <v>0</v>
      </c>
      <c r="I50" s="14">
        <v>0</v>
      </c>
      <c r="J50" s="14">
        <v>0</v>
      </c>
      <c r="K50" s="14">
        <v>2774905.31</v>
      </c>
      <c r="L50" s="14">
        <v>380743.78</v>
      </c>
      <c r="M50" s="14">
        <v>172163.75</v>
      </c>
      <c r="N50" s="14">
        <v>-633552.68999999994</v>
      </c>
      <c r="O50" s="14">
        <v>50000</v>
      </c>
      <c r="P50" s="15">
        <v>-2260000</v>
      </c>
      <c r="Q50" s="16" t="s">
        <v>2994</v>
      </c>
      <c r="R50" s="16" t="s">
        <v>2994</v>
      </c>
      <c r="S50" s="16" t="s">
        <v>2994</v>
      </c>
      <c r="T50" s="16" t="s">
        <v>2994</v>
      </c>
      <c r="U50" s="16" t="s">
        <v>2994</v>
      </c>
      <c r="V50" s="16" t="s">
        <v>2994</v>
      </c>
      <c r="W50" s="16" t="s">
        <v>2994</v>
      </c>
      <c r="X50" s="16" t="s">
        <v>2994</v>
      </c>
      <c r="Y50" s="3">
        <f t="shared" si="12"/>
        <v>484260.14999999991</v>
      </c>
      <c r="Z50" s="96">
        <f t="array" ref="Z50">SUM(ABS(F50:P50))</f>
        <v>6271365.5299999993</v>
      </c>
      <c r="AB50" s="3"/>
      <c r="AC50" s="3"/>
      <c r="AD50" s="95"/>
      <c r="AE50" s="95"/>
      <c r="AF50" s="95"/>
      <c r="AG50" s="95"/>
      <c r="AH50" s="482"/>
      <c r="AI50" s="482"/>
      <c r="AJ50" s="482"/>
      <c r="AK50" s="482"/>
      <c r="AL50" s="482"/>
    </row>
    <row r="51" spans="1:38" x14ac:dyDescent="0.15">
      <c r="A51" s="12" t="s">
        <v>104</v>
      </c>
      <c r="B51" s="13" t="s">
        <v>105</v>
      </c>
      <c r="C51" s="13" t="s">
        <v>27</v>
      </c>
      <c r="D51" s="13" t="s">
        <v>54</v>
      </c>
      <c r="E51" s="12" t="s">
        <v>29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54051.360000000001</v>
      </c>
      <c r="M51" s="14">
        <v>71052.52</v>
      </c>
      <c r="N51" s="14">
        <v>18775.68</v>
      </c>
      <c r="O51" s="14">
        <v>45776.79</v>
      </c>
      <c r="P51" s="15">
        <v>108256.04</v>
      </c>
      <c r="Q51" s="16">
        <v>512659.14</v>
      </c>
      <c r="R51" s="16">
        <v>108906.59</v>
      </c>
      <c r="S51" s="16" t="s">
        <v>2994</v>
      </c>
      <c r="T51" s="16" t="s">
        <v>2994</v>
      </c>
      <c r="U51" s="16" t="s">
        <v>2994</v>
      </c>
      <c r="V51" s="16" t="s">
        <v>2994</v>
      </c>
      <c r="W51" s="16" t="s">
        <v>2994</v>
      </c>
      <c r="X51" s="16" t="s">
        <v>2994</v>
      </c>
      <c r="Y51" s="3">
        <f t="shared" si="12"/>
        <v>919478.12</v>
      </c>
      <c r="Z51" s="96">
        <f t="array" ref="Z51">SUM(ABS(F51:P51))</f>
        <v>297912.39</v>
      </c>
      <c r="AB51" s="3"/>
      <c r="AC51" s="3"/>
      <c r="AD51" s="95"/>
      <c r="AE51" s="95"/>
      <c r="AF51" s="95"/>
      <c r="AG51" s="95"/>
      <c r="AH51" s="482"/>
      <c r="AI51" s="482"/>
      <c r="AJ51" s="482"/>
      <c r="AK51" s="482"/>
      <c r="AL51" s="482"/>
    </row>
    <row r="52" spans="1:38" x14ac:dyDescent="0.15">
      <c r="A52" s="12" t="s">
        <v>110</v>
      </c>
      <c r="B52" s="13" t="s">
        <v>111</v>
      </c>
      <c r="C52" s="13" t="s">
        <v>27</v>
      </c>
      <c r="D52" s="13" t="s">
        <v>40</v>
      </c>
      <c r="E52" s="12" t="s">
        <v>29</v>
      </c>
      <c r="F52" s="14">
        <v>0</v>
      </c>
      <c r="G52" s="14">
        <v>0</v>
      </c>
      <c r="H52" s="14">
        <v>54192</v>
      </c>
      <c r="I52" s="14">
        <v>0</v>
      </c>
      <c r="J52" s="14">
        <v>29678.639999999999</v>
      </c>
      <c r="K52" s="14">
        <v>732303.74</v>
      </c>
      <c r="L52" s="14">
        <v>3901923.03</v>
      </c>
      <c r="M52" s="14">
        <v>19554374.670000002</v>
      </c>
      <c r="N52" s="14">
        <v>14103021.539999999</v>
      </c>
      <c r="O52" s="14">
        <v>8009727.3799999999</v>
      </c>
      <c r="P52" s="15">
        <v>3145956.1</v>
      </c>
      <c r="Q52" s="16">
        <v>120668.72</v>
      </c>
      <c r="R52" s="16" t="s">
        <v>2994</v>
      </c>
      <c r="S52" s="16" t="s">
        <v>2994</v>
      </c>
      <c r="T52" s="16" t="s">
        <v>2994</v>
      </c>
      <c r="U52" s="16" t="s">
        <v>2994</v>
      </c>
      <c r="V52" s="16" t="s">
        <v>2994</v>
      </c>
      <c r="W52" s="16" t="s">
        <v>2994</v>
      </c>
      <c r="X52" s="16" t="s">
        <v>2994</v>
      </c>
      <c r="Y52" s="3">
        <f t="shared" si="12"/>
        <v>49651845.820000008</v>
      </c>
      <c r="Z52" s="96">
        <f t="array" ref="Z52">SUM(ABS(F52:P52))</f>
        <v>49531177.100000009</v>
      </c>
      <c r="AB52" s="3"/>
      <c r="AC52" s="3"/>
      <c r="AD52" s="95"/>
      <c r="AE52" s="95"/>
      <c r="AF52" s="95"/>
      <c r="AG52" s="95"/>
      <c r="AH52" s="482"/>
      <c r="AI52" s="482"/>
      <c r="AJ52" s="482"/>
      <c r="AK52" s="482"/>
      <c r="AL52" s="482"/>
    </row>
    <row r="53" spans="1:38" x14ac:dyDescent="0.15">
      <c r="A53" s="608" t="s">
        <v>114</v>
      </c>
      <c r="B53" s="609" t="s">
        <v>115</v>
      </c>
      <c r="C53" s="609" t="s">
        <v>27</v>
      </c>
      <c r="D53" s="609" t="s">
        <v>40</v>
      </c>
      <c r="E53" s="608" t="s">
        <v>29</v>
      </c>
      <c r="F53" s="615">
        <v>0</v>
      </c>
      <c r="G53" s="615">
        <v>0</v>
      </c>
      <c r="H53" s="615">
        <v>0</v>
      </c>
      <c r="I53" s="615">
        <v>0</v>
      </c>
      <c r="J53" s="615">
        <v>0</v>
      </c>
      <c r="K53" s="615">
        <v>0</v>
      </c>
      <c r="L53" s="615">
        <v>406723.76</v>
      </c>
      <c r="M53" s="615">
        <v>1683133.11</v>
      </c>
      <c r="N53" s="615">
        <v>9006445.4700000007</v>
      </c>
      <c r="O53" s="615">
        <v>13834207.35</v>
      </c>
      <c r="P53" s="610">
        <v>31162866.48</v>
      </c>
      <c r="Q53" s="610">
        <v>14184599.66</v>
      </c>
      <c r="R53" s="610" t="s">
        <v>2994</v>
      </c>
      <c r="S53" s="610" t="s">
        <v>2994</v>
      </c>
      <c r="T53" s="610" t="s">
        <v>2994</v>
      </c>
      <c r="U53" s="610" t="s">
        <v>2994</v>
      </c>
      <c r="V53" s="610" t="s">
        <v>2994</v>
      </c>
      <c r="W53" s="610" t="s">
        <v>2994</v>
      </c>
      <c r="X53" s="610" t="s">
        <v>2994</v>
      </c>
      <c r="Y53" s="3">
        <f t="shared" si="12"/>
        <v>70277975.829999998</v>
      </c>
      <c r="Z53" s="96">
        <f t="array" ref="Z53">SUM(ABS(F53:P53))</f>
        <v>56093376.170000002</v>
      </c>
      <c r="AB53" s="3"/>
      <c r="AC53" s="3"/>
      <c r="AD53" s="782">
        <v>0.5</v>
      </c>
      <c r="AE53" s="95">
        <v>0</v>
      </c>
      <c r="AF53" s="95">
        <v>0</v>
      </c>
      <c r="AG53" s="95">
        <v>0</v>
      </c>
      <c r="AH53" s="482">
        <v>0</v>
      </c>
      <c r="AI53" s="482">
        <v>0</v>
      </c>
      <c r="AJ53" s="482">
        <v>0</v>
      </c>
      <c r="AK53" s="482"/>
      <c r="AL53" s="482"/>
    </row>
    <row r="54" spans="1:38" x14ac:dyDescent="0.15">
      <c r="A54" s="12" t="s">
        <v>117</v>
      </c>
      <c r="B54" s="13" t="s">
        <v>118</v>
      </c>
      <c r="C54" s="13" t="s">
        <v>27</v>
      </c>
      <c r="D54" s="13" t="s">
        <v>40</v>
      </c>
      <c r="E54" s="12" t="s">
        <v>32</v>
      </c>
      <c r="F54" s="14">
        <v>0</v>
      </c>
      <c r="G54" s="14">
        <v>0</v>
      </c>
      <c r="H54" s="14">
        <v>0</v>
      </c>
      <c r="I54" s="14">
        <v>0</v>
      </c>
      <c r="J54" s="14">
        <v>0</v>
      </c>
      <c r="K54" s="14">
        <v>0</v>
      </c>
      <c r="L54" s="14">
        <v>0</v>
      </c>
      <c r="M54" s="14">
        <v>20153.740000000002</v>
      </c>
      <c r="N54" s="14">
        <v>372949.98</v>
      </c>
      <c r="O54" s="14">
        <v>731802.21</v>
      </c>
      <c r="P54" s="15">
        <v>494183.48</v>
      </c>
      <c r="Q54" s="16">
        <v>20020.939999999999</v>
      </c>
      <c r="R54" s="16" t="s">
        <v>2994</v>
      </c>
      <c r="S54" s="16" t="s">
        <v>2994</v>
      </c>
      <c r="T54" s="16" t="s">
        <v>2994</v>
      </c>
      <c r="U54" s="16" t="s">
        <v>2994</v>
      </c>
      <c r="V54" s="16" t="s">
        <v>2994</v>
      </c>
      <c r="W54" s="16" t="s">
        <v>2994</v>
      </c>
      <c r="X54" s="16" t="s">
        <v>2994</v>
      </c>
      <c r="Y54" s="3">
        <f t="shared" si="12"/>
        <v>1639110.3499999999</v>
      </c>
      <c r="Z54" s="96">
        <f t="array" ref="Z54">SUM(ABS(F54:P54))</f>
        <v>1619089.41</v>
      </c>
      <c r="AB54" s="3"/>
      <c r="AC54" s="3"/>
      <c r="AD54" s="95"/>
      <c r="AE54" s="95"/>
      <c r="AF54" s="95"/>
      <c r="AG54" s="95"/>
      <c r="AH54" s="482"/>
      <c r="AI54" s="482"/>
      <c r="AJ54" s="482"/>
      <c r="AK54" s="482"/>
      <c r="AL54" s="482"/>
    </row>
    <row r="55" spans="1:38" x14ac:dyDescent="0.15">
      <c r="A55" s="12" t="s">
        <v>124</v>
      </c>
      <c r="B55" s="13" t="s">
        <v>125</v>
      </c>
      <c r="C55" s="13" t="s">
        <v>27</v>
      </c>
      <c r="D55" s="13" t="s">
        <v>55</v>
      </c>
      <c r="E55" s="12" t="s">
        <v>29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/>
      <c r="O55" s="14"/>
      <c r="P55" s="15">
        <v>65315.69</v>
      </c>
      <c r="Q55" s="16">
        <v>458622.65</v>
      </c>
      <c r="R55" s="16">
        <v>2815948.88</v>
      </c>
      <c r="S55" s="16">
        <v>4477012.74</v>
      </c>
      <c r="T55" s="16" t="s">
        <v>2994</v>
      </c>
      <c r="U55" s="16" t="s">
        <v>2994</v>
      </c>
      <c r="V55" s="16" t="s">
        <v>2994</v>
      </c>
      <c r="W55" s="16" t="s">
        <v>2994</v>
      </c>
      <c r="X55" s="16" t="s">
        <v>2994</v>
      </c>
      <c r="Y55" s="3">
        <f t="shared" si="12"/>
        <v>7816899.96</v>
      </c>
      <c r="Z55" s="96">
        <f t="array" ref="Z55">SUM(ABS(F55:P55))</f>
        <v>65315.69</v>
      </c>
      <c r="AB55" s="3"/>
      <c r="AC55" s="3"/>
      <c r="AD55" s="95"/>
      <c r="AE55" s="95"/>
      <c r="AF55" s="95"/>
      <c r="AG55" s="95"/>
      <c r="AH55" s="482"/>
      <c r="AI55" s="482"/>
      <c r="AJ55" s="482"/>
      <c r="AK55" s="482"/>
      <c r="AL55" s="482"/>
    </row>
    <row r="56" spans="1:38" x14ac:dyDescent="0.15">
      <c r="A56" s="12" t="s">
        <v>126</v>
      </c>
      <c r="B56" s="13" t="s">
        <v>127</v>
      </c>
      <c r="C56" s="13" t="s">
        <v>27</v>
      </c>
      <c r="D56" s="13" t="s">
        <v>40</v>
      </c>
      <c r="E56" s="12" t="s">
        <v>32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281060.90000000002</v>
      </c>
      <c r="M56" s="14">
        <v>3275383.8</v>
      </c>
      <c r="N56" s="14">
        <v>213568.72</v>
      </c>
      <c r="O56" s="14">
        <v>52025.41</v>
      </c>
      <c r="P56" s="15">
        <v>41.02</v>
      </c>
      <c r="Q56" s="16" t="s">
        <v>2994</v>
      </c>
      <c r="R56" s="16" t="s">
        <v>2994</v>
      </c>
      <c r="S56" s="16" t="s">
        <v>2994</v>
      </c>
      <c r="T56" s="16" t="s">
        <v>2994</v>
      </c>
      <c r="U56" s="16" t="s">
        <v>2994</v>
      </c>
      <c r="V56" s="16" t="s">
        <v>2994</v>
      </c>
      <c r="W56" s="16" t="s">
        <v>2994</v>
      </c>
      <c r="X56" s="16" t="s">
        <v>2994</v>
      </c>
      <c r="Y56" s="3">
        <f t="shared" si="12"/>
        <v>3822079.85</v>
      </c>
      <c r="Z56" s="96">
        <f t="array" ref="Z56">SUM(ABS(F56:P56))</f>
        <v>3822079.85</v>
      </c>
      <c r="AB56" s="3"/>
      <c r="AC56" s="3"/>
      <c r="AD56" s="95"/>
      <c r="AE56" s="95"/>
      <c r="AF56" s="95"/>
      <c r="AG56" s="95"/>
      <c r="AH56" s="482"/>
      <c r="AI56" s="482"/>
      <c r="AJ56" s="482"/>
      <c r="AK56" s="482"/>
      <c r="AL56" s="482"/>
    </row>
    <row r="57" spans="1:38" x14ac:dyDescent="0.15">
      <c r="A57" s="12" t="s">
        <v>128</v>
      </c>
      <c r="B57" s="13" t="s">
        <v>129</v>
      </c>
      <c r="C57" s="13" t="s">
        <v>27</v>
      </c>
      <c r="D57" s="13" t="s">
        <v>44</v>
      </c>
      <c r="E57" s="12" t="s">
        <v>29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16390.89</v>
      </c>
      <c r="N57" s="14">
        <v>28511.75</v>
      </c>
      <c r="O57" s="14">
        <v>3753770.75</v>
      </c>
      <c r="P57" s="15">
        <v>162824.4</v>
      </c>
      <c r="Q57" s="16">
        <v>1232211.55</v>
      </c>
      <c r="R57" s="16" t="s">
        <v>2994</v>
      </c>
      <c r="S57" s="16" t="s">
        <v>2994</v>
      </c>
      <c r="T57" s="16" t="s">
        <v>2994</v>
      </c>
      <c r="U57" s="16" t="s">
        <v>2994</v>
      </c>
      <c r="V57" s="16" t="s">
        <v>2994</v>
      </c>
      <c r="W57" s="16" t="s">
        <v>2994</v>
      </c>
      <c r="X57" s="16" t="s">
        <v>2994</v>
      </c>
      <c r="Y57" s="3">
        <f t="shared" si="12"/>
        <v>5193709.34</v>
      </c>
      <c r="Z57" s="96">
        <f t="array" ref="Z57">SUM(ABS(F57:P57))</f>
        <v>3961497.79</v>
      </c>
      <c r="AB57" s="3"/>
      <c r="AC57" s="3"/>
      <c r="AD57" s="95"/>
      <c r="AE57" s="95"/>
      <c r="AF57" s="95"/>
      <c r="AG57" s="95"/>
      <c r="AH57" s="482"/>
      <c r="AI57" s="482"/>
      <c r="AJ57" s="482"/>
      <c r="AK57" s="482"/>
      <c r="AL57" s="482"/>
    </row>
    <row r="58" spans="1:38" x14ac:dyDescent="0.15">
      <c r="A58" s="12" t="s">
        <v>130</v>
      </c>
      <c r="B58" s="13" t="s">
        <v>131</v>
      </c>
      <c r="C58" s="13" t="s">
        <v>27</v>
      </c>
      <c r="D58" s="13" t="s">
        <v>54</v>
      </c>
      <c r="E58" s="12" t="s">
        <v>45</v>
      </c>
      <c r="F58" s="14">
        <v>0</v>
      </c>
      <c r="G58" s="14">
        <v>0</v>
      </c>
      <c r="H58" s="14">
        <v>0</v>
      </c>
      <c r="I58" s="14">
        <v>0</v>
      </c>
      <c r="J58" s="14">
        <v>0</v>
      </c>
      <c r="K58" s="14">
        <v>0</v>
      </c>
      <c r="L58" s="14">
        <v>0</v>
      </c>
      <c r="M58" s="14">
        <v>151954.94</v>
      </c>
      <c r="N58" s="14">
        <v>90876.98</v>
      </c>
      <c r="O58" s="14">
        <v>209796.12</v>
      </c>
      <c r="P58" s="15">
        <v>43076.15</v>
      </c>
      <c r="Q58" s="16">
        <v>60682.93</v>
      </c>
      <c r="R58" s="16" t="s">
        <v>2994</v>
      </c>
      <c r="S58" s="16" t="s">
        <v>2994</v>
      </c>
      <c r="T58" s="16" t="s">
        <v>2994</v>
      </c>
      <c r="U58" s="16" t="s">
        <v>2994</v>
      </c>
      <c r="V58" s="16" t="s">
        <v>2994</v>
      </c>
      <c r="W58" s="16" t="s">
        <v>2994</v>
      </c>
      <c r="X58" s="16" t="s">
        <v>2994</v>
      </c>
      <c r="Y58" s="3">
        <f t="shared" si="12"/>
        <v>556387.12</v>
      </c>
      <c r="Z58" s="96">
        <f t="array" ref="Z58">SUM(ABS(F58:P58))</f>
        <v>495704.19</v>
      </c>
      <c r="AB58" s="3"/>
      <c r="AC58" s="3"/>
      <c r="AD58" s="95"/>
      <c r="AE58" s="95"/>
      <c r="AF58" s="95"/>
      <c r="AG58" s="95"/>
      <c r="AH58" s="482"/>
      <c r="AI58" s="482"/>
      <c r="AJ58" s="482"/>
      <c r="AK58" s="482"/>
      <c r="AL58" s="482"/>
    </row>
    <row r="59" spans="1:38" x14ac:dyDescent="0.15">
      <c r="A59" s="12" t="s">
        <v>132</v>
      </c>
      <c r="B59" s="13" t="s">
        <v>133</v>
      </c>
      <c r="C59" s="13" t="s">
        <v>27</v>
      </c>
      <c r="D59" s="13" t="s">
        <v>55</v>
      </c>
      <c r="E59" s="12" t="s">
        <v>32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0</v>
      </c>
      <c r="L59" s="14">
        <v>437943.42</v>
      </c>
      <c r="M59" s="14">
        <v>502383.83</v>
      </c>
      <c r="N59" s="14">
        <v>301873.52</v>
      </c>
      <c r="O59" s="14">
        <v>193602.4</v>
      </c>
      <c r="P59" s="15">
        <v>253939.57</v>
      </c>
      <c r="Q59" s="16" t="s">
        <v>2994</v>
      </c>
      <c r="R59" s="16" t="s">
        <v>2994</v>
      </c>
      <c r="S59" s="16" t="s">
        <v>2994</v>
      </c>
      <c r="T59" s="16" t="s">
        <v>2994</v>
      </c>
      <c r="U59" s="16" t="s">
        <v>2994</v>
      </c>
      <c r="V59" s="16" t="s">
        <v>2994</v>
      </c>
      <c r="W59" s="16" t="s">
        <v>2994</v>
      </c>
      <c r="X59" s="16" t="s">
        <v>2994</v>
      </c>
      <c r="Y59" s="3">
        <f t="shared" si="12"/>
        <v>1689742.74</v>
      </c>
      <c r="Z59" s="96">
        <f t="array" ref="Z59">SUM(ABS(F59:P59))</f>
        <v>1689742.74</v>
      </c>
      <c r="AB59" s="3"/>
      <c r="AC59" s="3"/>
      <c r="AD59" s="95"/>
      <c r="AE59" s="95"/>
      <c r="AF59" s="95"/>
      <c r="AG59" s="95"/>
      <c r="AH59" s="482"/>
      <c r="AI59" s="482"/>
      <c r="AJ59" s="482"/>
      <c r="AK59" s="482"/>
      <c r="AL59" s="482"/>
    </row>
    <row r="60" spans="1:38" x14ac:dyDescent="0.15">
      <c r="A60" s="12" t="s">
        <v>134</v>
      </c>
      <c r="B60" s="13" t="s">
        <v>135</v>
      </c>
      <c r="C60" s="13" t="s">
        <v>27</v>
      </c>
      <c r="D60" s="13" t="s">
        <v>28</v>
      </c>
      <c r="E60" s="12" t="s">
        <v>45</v>
      </c>
      <c r="F60" s="14">
        <v>0</v>
      </c>
      <c r="G60" s="14">
        <v>0</v>
      </c>
      <c r="H60" s="14">
        <v>0</v>
      </c>
      <c r="I60" s="14">
        <v>0</v>
      </c>
      <c r="J60" s="14">
        <v>0</v>
      </c>
      <c r="K60" s="14">
        <v>0</v>
      </c>
      <c r="L60" s="14">
        <v>72170.820000000007</v>
      </c>
      <c r="M60" s="14">
        <v>445253.12</v>
      </c>
      <c r="N60" s="14">
        <v>19278.75</v>
      </c>
      <c r="O60" s="14">
        <v>-92939.59</v>
      </c>
      <c r="P60" s="15">
        <v>-445452.24</v>
      </c>
      <c r="Q60" s="16">
        <v>0.09</v>
      </c>
      <c r="R60" s="16">
        <v>0.12</v>
      </c>
      <c r="S60" s="16">
        <v>0.12</v>
      </c>
      <c r="T60" s="16">
        <v>0.12</v>
      </c>
      <c r="U60" s="16">
        <v>0.12</v>
      </c>
      <c r="V60" s="16">
        <v>0.12</v>
      </c>
      <c r="W60" s="16">
        <v>0.12</v>
      </c>
      <c r="X60" s="16">
        <v>0.12</v>
      </c>
      <c r="Y60" s="3">
        <f t="shared" si="12"/>
        <v>-1688.2100000000148</v>
      </c>
      <c r="Z60" s="96">
        <f t="array" ref="Z60">SUM(ABS(F60:P60))</f>
        <v>1075094.52</v>
      </c>
      <c r="AB60" s="3"/>
      <c r="AC60" s="3"/>
      <c r="AD60" s="95"/>
      <c r="AE60" s="95"/>
      <c r="AF60" s="95"/>
      <c r="AG60" s="95"/>
      <c r="AH60" s="482"/>
      <c r="AI60" s="482"/>
      <c r="AJ60" s="482"/>
      <c r="AK60" s="482"/>
      <c r="AL60" s="482"/>
    </row>
    <row r="61" spans="1:38" x14ac:dyDescent="0.15">
      <c r="A61" s="12" t="s">
        <v>137</v>
      </c>
      <c r="B61" s="13" t="s">
        <v>138</v>
      </c>
      <c r="C61" s="13" t="s">
        <v>27</v>
      </c>
      <c r="D61" s="13" t="s">
        <v>55</v>
      </c>
      <c r="E61" s="12" t="s">
        <v>32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168164.17</v>
      </c>
      <c r="N61" s="14">
        <v>572811.38</v>
      </c>
      <c r="O61" s="14">
        <v>294210.18</v>
      </c>
      <c r="P61" s="15">
        <v>281930.38</v>
      </c>
      <c r="Q61" s="16" t="s">
        <v>2994</v>
      </c>
      <c r="R61" s="16" t="s">
        <v>2994</v>
      </c>
      <c r="S61" s="16" t="s">
        <v>2994</v>
      </c>
      <c r="T61" s="16" t="s">
        <v>2994</v>
      </c>
      <c r="U61" s="16" t="s">
        <v>2994</v>
      </c>
      <c r="V61" s="16" t="s">
        <v>2994</v>
      </c>
      <c r="W61" s="16" t="s">
        <v>2994</v>
      </c>
      <c r="X61" s="16" t="s">
        <v>2994</v>
      </c>
      <c r="Y61" s="3">
        <f t="shared" si="12"/>
        <v>1317116.1099999999</v>
      </c>
      <c r="Z61" s="96">
        <f t="array" ref="Z61">SUM(ABS(F61:P61))</f>
        <v>1317116.1099999999</v>
      </c>
      <c r="AB61" s="3"/>
      <c r="AC61" s="3"/>
      <c r="AD61" s="95"/>
      <c r="AE61" s="95"/>
      <c r="AF61" s="95"/>
      <c r="AG61" s="95"/>
      <c r="AH61" s="482"/>
      <c r="AI61" s="482"/>
      <c r="AJ61" s="482"/>
      <c r="AK61" s="482"/>
      <c r="AL61" s="482"/>
    </row>
    <row r="62" spans="1:38" x14ac:dyDescent="0.15">
      <c r="A62" s="12" t="s">
        <v>139</v>
      </c>
      <c r="B62" s="13" t="s">
        <v>140</v>
      </c>
      <c r="C62" s="13" t="s">
        <v>27</v>
      </c>
      <c r="D62" s="13" t="s">
        <v>55</v>
      </c>
      <c r="E62" s="12" t="s">
        <v>32</v>
      </c>
      <c r="F62" s="14">
        <v>0</v>
      </c>
      <c r="G62" s="14">
        <v>0</v>
      </c>
      <c r="H62" s="14">
        <v>0</v>
      </c>
      <c r="I62" s="14">
        <v>0</v>
      </c>
      <c r="J62" s="14">
        <v>0</v>
      </c>
      <c r="K62" s="14">
        <v>0</v>
      </c>
      <c r="L62" s="14">
        <v>0</v>
      </c>
      <c r="M62" s="14">
        <v>4774.95</v>
      </c>
      <c r="N62" s="14">
        <v>5096.9799999999996</v>
      </c>
      <c r="O62" s="14">
        <v>10581.42</v>
      </c>
      <c r="P62" s="15">
        <v>31114.43</v>
      </c>
      <c r="Q62" s="16">
        <v>3969.64</v>
      </c>
      <c r="R62" s="16" t="s">
        <v>2994</v>
      </c>
      <c r="S62" s="16" t="s">
        <v>2994</v>
      </c>
      <c r="T62" s="16" t="s">
        <v>2994</v>
      </c>
      <c r="U62" s="16" t="s">
        <v>2994</v>
      </c>
      <c r="V62" s="16" t="s">
        <v>2994</v>
      </c>
      <c r="W62" s="16" t="s">
        <v>2994</v>
      </c>
      <c r="X62" s="16" t="s">
        <v>2994</v>
      </c>
      <c r="Y62" s="3">
        <f t="shared" si="12"/>
        <v>55537.42</v>
      </c>
      <c r="Z62" s="96">
        <f t="array" ref="Z62">SUM(ABS(F62:P62))</f>
        <v>51567.78</v>
      </c>
      <c r="AB62" s="3"/>
      <c r="AC62" s="3"/>
      <c r="AD62" s="95"/>
      <c r="AE62" s="95"/>
      <c r="AF62" s="95"/>
      <c r="AG62" s="95"/>
      <c r="AH62" s="482"/>
      <c r="AI62" s="482"/>
      <c r="AJ62" s="482"/>
      <c r="AK62" s="482"/>
      <c r="AL62" s="482"/>
    </row>
    <row r="63" spans="1:38" x14ac:dyDescent="0.15">
      <c r="A63" s="12" t="s">
        <v>143</v>
      </c>
      <c r="B63" s="13" t="s">
        <v>144</v>
      </c>
      <c r="C63" s="13" t="s">
        <v>2633</v>
      </c>
      <c r="D63" s="13" t="s">
        <v>28</v>
      </c>
      <c r="E63" s="12" t="s">
        <v>29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/>
      <c r="O63" s="14"/>
      <c r="P63" s="15"/>
      <c r="Q63" s="16">
        <v>186734.53</v>
      </c>
      <c r="R63" s="16">
        <v>1239169.53</v>
      </c>
      <c r="S63" s="16" t="s">
        <v>2994</v>
      </c>
      <c r="T63" s="16" t="s">
        <v>2994</v>
      </c>
      <c r="U63" s="16" t="s">
        <v>2994</v>
      </c>
      <c r="V63" s="16" t="s">
        <v>2994</v>
      </c>
      <c r="W63" s="16" t="s">
        <v>2994</v>
      </c>
      <c r="X63" s="16" t="s">
        <v>2994</v>
      </c>
      <c r="Y63" s="3">
        <f t="shared" si="12"/>
        <v>1425904.06</v>
      </c>
      <c r="Z63" s="96">
        <f t="array" ref="Z63">SUM(ABS(F63:P63))</f>
        <v>0</v>
      </c>
      <c r="AB63" s="3"/>
      <c r="AC63" s="3"/>
      <c r="AD63" s="95"/>
      <c r="AE63" s="95"/>
      <c r="AF63" s="95"/>
      <c r="AG63" s="95"/>
      <c r="AH63" s="482"/>
      <c r="AI63" s="482"/>
      <c r="AJ63" s="482"/>
      <c r="AK63" s="482"/>
      <c r="AL63" s="482"/>
    </row>
    <row r="64" spans="1:38" x14ac:dyDescent="0.15">
      <c r="A64" s="12" t="s">
        <v>145</v>
      </c>
      <c r="B64" s="13" t="s">
        <v>146</v>
      </c>
      <c r="C64" s="13" t="s">
        <v>27</v>
      </c>
      <c r="D64" s="13" t="s">
        <v>55</v>
      </c>
      <c r="E64" s="12" t="s">
        <v>29</v>
      </c>
      <c r="F64" s="14">
        <v>0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  <c r="L64" s="14">
        <v>2779.78</v>
      </c>
      <c r="M64" s="14">
        <v>92423.92</v>
      </c>
      <c r="N64" s="14">
        <v>103824.38</v>
      </c>
      <c r="O64" s="14">
        <v>270251.33</v>
      </c>
      <c r="P64" s="15">
        <v>892352.87</v>
      </c>
      <c r="Q64" s="16">
        <v>935688.08</v>
      </c>
      <c r="R64" s="16">
        <v>26901.37</v>
      </c>
      <c r="S64" s="16" t="s">
        <v>2994</v>
      </c>
      <c r="T64" s="16" t="s">
        <v>2994</v>
      </c>
      <c r="U64" s="16" t="s">
        <v>2994</v>
      </c>
      <c r="V64" s="16" t="s">
        <v>2994</v>
      </c>
      <c r="W64" s="16" t="s">
        <v>2994</v>
      </c>
      <c r="X64" s="16" t="s">
        <v>2994</v>
      </c>
      <c r="Y64" s="3">
        <f t="shared" si="12"/>
        <v>2324221.73</v>
      </c>
      <c r="Z64" s="96">
        <f t="array" ref="Z64">SUM(ABS(F64:P64))</f>
        <v>1361632.28</v>
      </c>
      <c r="AB64" s="3"/>
      <c r="AC64" s="3"/>
      <c r="AD64" s="95"/>
      <c r="AE64" s="95"/>
      <c r="AF64" s="95"/>
      <c r="AG64" s="95"/>
      <c r="AH64" s="482"/>
      <c r="AI64" s="482"/>
      <c r="AJ64" s="482"/>
      <c r="AK64" s="482"/>
      <c r="AL64" s="482"/>
    </row>
    <row r="65" spans="1:38" x14ac:dyDescent="0.15">
      <c r="A65" s="12" t="s">
        <v>147</v>
      </c>
      <c r="B65" s="13" t="s">
        <v>148</v>
      </c>
      <c r="C65" s="13" t="s">
        <v>27</v>
      </c>
      <c r="D65" s="13" t="s">
        <v>55</v>
      </c>
      <c r="E65" s="12" t="s">
        <v>29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19050.560000000001</v>
      </c>
      <c r="M65" s="14">
        <v>39889.449999999997</v>
      </c>
      <c r="N65" s="14">
        <v>210929.43</v>
      </c>
      <c r="O65" s="14">
        <v>210134.06</v>
      </c>
      <c r="P65" s="15">
        <v>37989.519999999997</v>
      </c>
      <c r="Q65" s="16">
        <v>333721.12</v>
      </c>
      <c r="R65" s="16">
        <v>1356553.53</v>
      </c>
      <c r="S65" s="16" t="s">
        <v>2994</v>
      </c>
      <c r="T65" s="16" t="s">
        <v>2994</v>
      </c>
      <c r="U65" s="16" t="s">
        <v>2994</v>
      </c>
      <c r="V65" s="16" t="s">
        <v>2994</v>
      </c>
      <c r="W65" s="16" t="s">
        <v>2994</v>
      </c>
      <c r="X65" s="16" t="s">
        <v>2994</v>
      </c>
      <c r="Y65" s="3">
        <f t="shared" si="12"/>
        <v>2208267.67</v>
      </c>
      <c r="Z65" s="96">
        <f t="array" ref="Z65">SUM(ABS(F65:P65))</f>
        <v>517993.02</v>
      </c>
      <c r="AB65" s="3"/>
      <c r="AC65" s="3"/>
      <c r="AD65" s="95"/>
      <c r="AE65" s="95"/>
      <c r="AF65" s="95"/>
      <c r="AG65" s="95"/>
      <c r="AH65" s="482"/>
      <c r="AI65" s="482"/>
      <c r="AJ65" s="482"/>
      <c r="AK65" s="482"/>
      <c r="AL65" s="482"/>
    </row>
    <row r="66" spans="1:38" x14ac:dyDescent="0.15">
      <c r="A66" s="12" t="s">
        <v>149</v>
      </c>
      <c r="B66" s="13" t="s">
        <v>150</v>
      </c>
      <c r="C66" s="13" t="s">
        <v>27</v>
      </c>
      <c r="D66" s="13" t="s">
        <v>40</v>
      </c>
      <c r="E66" s="12" t="s">
        <v>32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66382.09</v>
      </c>
      <c r="O66" s="14">
        <v>22057.79</v>
      </c>
      <c r="P66" s="15">
        <v>61400.09</v>
      </c>
      <c r="Q66" s="16" t="s">
        <v>2994</v>
      </c>
      <c r="R66" s="16" t="s">
        <v>2994</v>
      </c>
      <c r="S66" s="16" t="s">
        <v>2994</v>
      </c>
      <c r="T66" s="16" t="s">
        <v>2994</v>
      </c>
      <c r="U66" s="16" t="s">
        <v>2994</v>
      </c>
      <c r="V66" s="16" t="s">
        <v>2994</v>
      </c>
      <c r="W66" s="16" t="s">
        <v>2994</v>
      </c>
      <c r="X66" s="16" t="s">
        <v>2994</v>
      </c>
      <c r="Y66" s="3">
        <f t="shared" si="12"/>
        <v>149839.97</v>
      </c>
      <c r="Z66" s="96">
        <f t="array" ref="Z66">SUM(ABS(F66:P66))</f>
        <v>149839.97</v>
      </c>
      <c r="AB66" s="3"/>
      <c r="AC66" s="3"/>
      <c r="AD66" s="95"/>
      <c r="AE66" s="95"/>
      <c r="AF66" s="95"/>
      <c r="AG66" s="95"/>
      <c r="AH66" s="482"/>
      <c r="AI66" s="482"/>
      <c r="AJ66" s="482"/>
      <c r="AK66" s="482"/>
      <c r="AL66" s="482"/>
    </row>
    <row r="67" spans="1:38" x14ac:dyDescent="0.15">
      <c r="A67" s="12" t="s">
        <v>151</v>
      </c>
      <c r="B67" s="13" t="s">
        <v>152</v>
      </c>
      <c r="C67" s="13" t="s">
        <v>27</v>
      </c>
      <c r="D67" s="13" t="s">
        <v>36</v>
      </c>
      <c r="E67" s="12" t="s">
        <v>32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29137.83</v>
      </c>
      <c r="O67" s="14">
        <v>9379.84</v>
      </c>
      <c r="P67" s="15">
        <v>1413.72</v>
      </c>
      <c r="Q67" s="16" t="s">
        <v>2994</v>
      </c>
      <c r="R67" s="16" t="s">
        <v>2994</v>
      </c>
      <c r="S67" s="16" t="s">
        <v>2994</v>
      </c>
      <c r="T67" s="16" t="s">
        <v>2994</v>
      </c>
      <c r="U67" s="16" t="s">
        <v>2994</v>
      </c>
      <c r="V67" s="16" t="s">
        <v>2994</v>
      </c>
      <c r="W67" s="16" t="s">
        <v>2994</v>
      </c>
      <c r="X67" s="16" t="s">
        <v>2994</v>
      </c>
      <c r="Y67" s="3">
        <f t="shared" ref="Y67:Y98" si="13">SUM(F67:X67)</f>
        <v>39931.39</v>
      </c>
      <c r="Z67" s="96">
        <f t="array" ref="Z67">SUM(ABS(F67:P67))</f>
        <v>39931.39</v>
      </c>
      <c r="AB67" s="3"/>
      <c r="AC67" s="3"/>
      <c r="AD67" s="95"/>
      <c r="AE67" s="95"/>
      <c r="AF67" s="95"/>
      <c r="AG67" s="95"/>
      <c r="AH67" s="482"/>
      <c r="AI67" s="482"/>
      <c r="AJ67" s="482"/>
      <c r="AK67" s="482"/>
      <c r="AL67" s="482"/>
    </row>
    <row r="68" spans="1:38" x14ac:dyDescent="0.15">
      <c r="A68" s="12" t="s">
        <v>153</v>
      </c>
      <c r="B68" s="13" t="s">
        <v>154</v>
      </c>
      <c r="C68" s="13" t="s">
        <v>27</v>
      </c>
      <c r="D68" s="13" t="s">
        <v>41</v>
      </c>
      <c r="E68" s="12" t="s">
        <v>29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0</v>
      </c>
      <c r="L68" s="14">
        <v>0</v>
      </c>
      <c r="M68" s="14">
        <v>0</v>
      </c>
      <c r="N68" s="14">
        <v>754528.64</v>
      </c>
      <c r="O68" s="14">
        <v>2820453.82</v>
      </c>
      <c r="P68" s="15">
        <v>17958100.210000001</v>
      </c>
      <c r="Q68" s="16">
        <v>22905550.649999999</v>
      </c>
      <c r="R68" s="16">
        <v>10532918.130000001</v>
      </c>
      <c r="S68" s="16">
        <v>23625.19</v>
      </c>
      <c r="T68" s="16" t="s">
        <v>2994</v>
      </c>
      <c r="U68" s="16" t="s">
        <v>2994</v>
      </c>
      <c r="V68" s="16" t="s">
        <v>2994</v>
      </c>
      <c r="W68" s="16" t="s">
        <v>2994</v>
      </c>
      <c r="X68" s="16" t="s">
        <v>2994</v>
      </c>
      <c r="Y68" s="3">
        <f t="shared" si="13"/>
        <v>54995176.640000001</v>
      </c>
      <c r="Z68" s="96">
        <f t="array" ref="Z68">SUM(ABS(F68:P68))</f>
        <v>21533082.670000002</v>
      </c>
      <c r="AB68" s="3"/>
      <c r="AC68" s="3"/>
      <c r="AD68" s="95"/>
      <c r="AE68" s="95"/>
      <c r="AF68" s="95"/>
      <c r="AG68" s="95"/>
      <c r="AH68" s="482"/>
      <c r="AI68" s="482"/>
      <c r="AJ68" s="482"/>
      <c r="AK68" s="482"/>
      <c r="AL68" s="482"/>
    </row>
    <row r="69" spans="1:38" x14ac:dyDescent="0.15">
      <c r="A69" s="12" t="s">
        <v>156</v>
      </c>
      <c r="B69" s="13" t="s">
        <v>157</v>
      </c>
      <c r="C69" s="13" t="s">
        <v>27</v>
      </c>
      <c r="D69" s="13" t="s">
        <v>41</v>
      </c>
      <c r="E69" s="12" t="s">
        <v>29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81635.7</v>
      </c>
      <c r="O69" s="14">
        <v>859178.68</v>
      </c>
      <c r="P69" s="15">
        <v>876093.75</v>
      </c>
      <c r="Q69" s="16">
        <v>150849.06</v>
      </c>
      <c r="R69" s="16">
        <v>8767.32</v>
      </c>
      <c r="S69" s="16" t="s">
        <v>2994</v>
      </c>
      <c r="T69" s="16" t="s">
        <v>2994</v>
      </c>
      <c r="U69" s="16" t="s">
        <v>2994</v>
      </c>
      <c r="V69" s="16" t="s">
        <v>2994</v>
      </c>
      <c r="W69" s="16" t="s">
        <v>2994</v>
      </c>
      <c r="X69" s="16" t="s">
        <v>2994</v>
      </c>
      <c r="Y69" s="3">
        <f t="shared" si="13"/>
        <v>1976524.51</v>
      </c>
      <c r="Z69" s="96">
        <f t="array" ref="Z69">SUM(ABS(F69:P69))</f>
        <v>1816908.13</v>
      </c>
      <c r="AB69" s="3"/>
      <c r="AC69" s="3"/>
      <c r="AD69" s="95"/>
      <c r="AE69" s="95"/>
      <c r="AF69" s="95"/>
      <c r="AG69" s="95"/>
      <c r="AH69" s="482"/>
      <c r="AI69" s="482"/>
      <c r="AJ69" s="482"/>
      <c r="AK69" s="482"/>
      <c r="AL69" s="482"/>
    </row>
    <row r="70" spans="1:38" x14ac:dyDescent="0.15">
      <c r="A70" s="12" t="s">
        <v>158</v>
      </c>
      <c r="B70" s="13" t="s">
        <v>159</v>
      </c>
      <c r="C70" s="13" t="s">
        <v>27</v>
      </c>
      <c r="D70" s="13" t="s">
        <v>41</v>
      </c>
      <c r="E70" s="12" t="s">
        <v>29</v>
      </c>
      <c r="F70" s="14">
        <v>0</v>
      </c>
      <c r="G70" s="14">
        <v>0</v>
      </c>
      <c r="H70" s="14">
        <v>0</v>
      </c>
      <c r="I70" s="14">
        <v>0</v>
      </c>
      <c r="J70" s="14">
        <v>0</v>
      </c>
      <c r="K70" s="14">
        <v>0</v>
      </c>
      <c r="L70" s="14">
        <v>0</v>
      </c>
      <c r="M70" s="14">
        <v>0</v>
      </c>
      <c r="N70" s="14">
        <v>63183.77</v>
      </c>
      <c r="O70" s="14">
        <v>543156.64</v>
      </c>
      <c r="P70" s="15">
        <v>4514330.08</v>
      </c>
      <c r="Q70" s="16">
        <v>86341.14</v>
      </c>
      <c r="R70" s="16">
        <v>29266.84</v>
      </c>
      <c r="S70" s="16" t="s">
        <v>2994</v>
      </c>
      <c r="T70" s="16" t="s">
        <v>2994</v>
      </c>
      <c r="U70" s="16" t="s">
        <v>2994</v>
      </c>
      <c r="V70" s="16" t="s">
        <v>2994</v>
      </c>
      <c r="W70" s="16" t="s">
        <v>2994</v>
      </c>
      <c r="X70" s="16" t="s">
        <v>2994</v>
      </c>
      <c r="Y70" s="3">
        <f t="shared" si="13"/>
        <v>5236278.47</v>
      </c>
      <c r="Z70" s="96">
        <f t="array" ref="Z70">SUM(ABS(F70:P70))</f>
        <v>5120670.49</v>
      </c>
      <c r="AB70" s="3"/>
      <c r="AC70" s="3"/>
      <c r="AD70" s="95"/>
      <c r="AE70" s="95"/>
      <c r="AF70" s="95"/>
      <c r="AG70" s="95"/>
      <c r="AH70" s="482"/>
      <c r="AI70" s="482"/>
      <c r="AJ70" s="482"/>
      <c r="AK70" s="482"/>
      <c r="AL70" s="482"/>
    </row>
    <row r="71" spans="1:38" x14ac:dyDescent="0.15">
      <c r="A71" s="12" t="s">
        <v>160</v>
      </c>
      <c r="B71" s="13" t="s">
        <v>161</v>
      </c>
      <c r="C71" s="13" t="s">
        <v>27</v>
      </c>
      <c r="D71" s="13" t="s">
        <v>41</v>
      </c>
      <c r="E71" s="12" t="s">
        <v>29</v>
      </c>
      <c r="F71" s="14">
        <v>0</v>
      </c>
      <c r="G71" s="14">
        <v>0</v>
      </c>
      <c r="H71" s="14">
        <v>0</v>
      </c>
      <c r="I71" s="14">
        <v>0</v>
      </c>
      <c r="J71" s="14">
        <v>0</v>
      </c>
      <c r="K71" s="14">
        <v>0</v>
      </c>
      <c r="L71" s="14">
        <v>0</v>
      </c>
      <c r="M71" s="14">
        <v>0</v>
      </c>
      <c r="N71" s="14">
        <v>469016.36</v>
      </c>
      <c r="O71" s="14">
        <v>4049141.35</v>
      </c>
      <c r="P71" s="15">
        <v>1166785.49</v>
      </c>
      <c r="Q71" s="16">
        <v>441483.16</v>
      </c>
      <c r="R71" s="16">
        <v>12219.26</v>
      </c>
      <c r="S71" s="16" t="s">
        <v>2994</v>
      </c>
      <c r="T71" s="16" t="s">
        <v>2994</v>
      </c>
      <c r="U71" s="16" t="s">
        <v>2994</v>
      </c>
      <c r="V71" s="16" t="s">
        <v>2994</v>
      </c>
      <c r="W71" s="16" t="s">
        <v>2994</v>
      </c>
      <c r="X71" s="16" t="s">
        <v>2994</v>
      </c>
      <c r="Y71" s="3">
        <f t="shared" si="13"/>
        <v>6138645.6200000001</v>
      </c>
      <c r="Z71" s="96">
        <f t="array" ref="Z71">SUM(ABS(F71:P71))</f>
        <v>5684943.2000000002</v>
      </c>
      <c r="AB71" s="3"/>
      <c r="AC71" s="3"/>
      <c r="AD71" s="95"/>
      <c r="AE71" s="95"/>
      <c r="AF71" s="95"/>
      <c r="AG71" s="95"/>
      <c r="AH71" s="482"/>
      <c r="AI71" s="482"/>
      <c r="AJ71" s="482"/>
      <c r="AK71" s="482"/>
      <c r="AL71" s="482"/>
    </row>
    <row r="72" spans="1:38" x14ac:dyDescent="0.15">
      <c r="A72" s="12" t="s">
        <v>162</v>
      </c>
      <c r="B72" s="13" t="s">
        <v>163</v>
      </c>
      <c r="C72" s="13" t="s">
        <v>27</v>
      </c>
      <c r="D72" s="13" t="s">
        <v>41</v>
      </c>
      <c r="E72" s="12" t="s">
        <v>29</v>
      </c>
      <c r="F72" s="14">
        <v>0</v>
      </c>
      <c r="G72" s="14">
        <v>0</v>
      </c>
      <c r="H72" s="14">
        <v>0</v>
      </c>
      <c r="I72" s="14">
        <v>0</v>
      </c>
      <c r="J72" s="14">
        <v>0</v>
      </c>
      <c r="K72" s="14">
        <v>0</v>
      </c>
      <c r="L72" s="14">
        <v>0</v>
      </c>
      <c r="M72" s="14">
        <v>0</v>
      </c>
      <c r="N72" s="14">
        <v>673197.8</v>
      </c>
      <c r="O72" s="14">
        <v>1777892.24</v>
      </c>
      <c r="P72" s="15">
        <v>43397.88</v>
      </c>
      <c r="Q72" s="16">
        <v>8506.75</v>
      </c>
      <c r="R72" s="16" t="s">
        <v>2994</v>
      </c>
      <c r="S72" s="16" t="s">
        <v>2994</v>
      </c>
      <c r="T72" s="16" t="s">
        <v>2994</v>
      </c>
      <c r="U72" s="16" t="s">
        <v>2994</v>
      </c>
      <c r="V72" s="16" t="s">
        <v>2994</v>
      </c>
      <c r="W72" s="16" t="s">
        <v>2994</v>
      </c>
      <c r="X72" s="16" t="s">
        <v>2994</v>
      </c>
      <c r="Y72" s="3">
        <f t="shared" si="13"/>
        <v>2502994.67</v>
      </c>
      <c r="Z72" s="96">
        <f t="array" ref="Z72">SUM(ABS(F72:P72))</f>
        <v>2494487.92</v>
      </c>
      <c r="AB72" s="3"/>
      <c r="AC72" s="3"/>
      <c r="AD72" s="95"/>
      <c r="AE72" s="95"/>
      <c r="AF72" s="95"/>
      <c r="AG72" s="95"/>
      <c r="AH72" s="482"/>
      <c r="AI72" s="482"/>
      <c r="AJ72" s="482"/>
      <c r="AK72" s="482"/>
      <c r="AL72" s="482"/>
    </row>
    <row r="73" spans="1:38" x14ac:dyDescent="0.15">
      <c r="A73" s="12" t="s">
        <v>164</v>
      </c>
      <c r="B73" s="13" t="s">
        <v>165</v>
      </c>
      <c r="C73" s="13" t="s">
        <v>27</v>
      </c>
      <c r="D73" s="13" t="s">
        <v>54</v>
      </c>
      <c r="E73" s="12" t="s">
        <v>32</v>
      </c>
      <c r="F73" s="14">
        <v>0</v>
      </c>
      <c r="G73" s="14">
        <v>0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4">
        <v>17934.27</v>
      </c>
      <c r="N73" s="14">
        <v>179945.41</v>
      </c>
      <c r="O73" s="14">
        <v>428936.92</v>
      </c>
      <c r="P73" s="15">
        <v>339799.41</v>
      </c>
      <c r="Q73" s="16" t="s">
        <v>2994</v>
      </c>
      <c r="R73" s="16" t="s">
        <v>2994</v>
      </c>
      <c r="S73" s="16" t="s">
        <v>2994</v>
      </c>
      <c r="T73" s="16" t="s">
        <v>2994</v>
      </c>
      <c r="U73" s="16" t="s">
        <v>2994</v>
      </c>
      <c r="V73" s="16" t="s">
        <v>2994</v>
      </c>
      <c r="W73" s="16" t="s">
        <v>2994</v>
      </c>
      <c r="X73" s="16" t="s">
        <v>2994</v>
      </c>
      <c r="Y73" s="3">
        <f t="shared" si="13"/>
        <v>966616.01</v>
      </c>
      <c r="Z73" s="96">
        <f t="array" ref="Z73">SUM(ABS(F73:P73))</f>
        <v>966616.01</v>
      </c>
      <c r="AB73" s="3"/>
      <c r="AC73" s="3"/>
      <c r="AD73" s="95"/>
      <c r="AE73" s="95"/>
      <c r="AF73" s="95"/>
      <c r="AG73" s="95"/>
      <c r="AH73" s="482"/>
      <c r="AI73" s="482"/>
      <c r="AJ73" s="482"/>
      <c r="AK73" s="482"/>
      <c r="AL73" s="482"/>
    </row>
    <row r="74" spans="1:38" x14ac:dyDescent="0.15">
      <c r="A74" s="12" t="s">
        <v>166</v>
      </c>
      <c r="B74" s="13" t="s">
        <v>167</v>
      </c>
      <c r="C74" s="13" t="s">
        <v>27</v>
      </c>
      <c r="D74" s="13" t="s">
        <v>36</v>
      </c>
      <c r="E74" s="12" t="s">
        <v>32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0</v>
      </c>
      <c r="L74" s="14">
        <v>0</v>
      </c>
      <c r="M74" s="14">
        <v>52860.86</v>
      </c>
      <c r="N74" s="14">
        <v>384185.78</v>
      </c>
      <c r="O74" s="14"/>
      <c r="P74" s="15">
        <v>-987.77</v>
      </c>
      <c r="Q74" s="16" t="s">
        <v>2994</v>
      </c>
      <c r="R74" s="16" t="s">
        <v>2994</v>
      </c>
      <c r="S74" s="16" t="s">
        <v>2994</v>
      </c>
      <c r="T74" s="16" t="s">
        <v>2994</v>
      </c>
      <c r="U74" s="16" t="s">
        <v>2994</v>
      </c>
      <c r="V74" s="16" t="s">
        <v>2994</v>
      </c>
      <c r="W74" s="16" t="s">
        <v>2994</v>
      </c>
      <c r="X74" s="16" t="s">
        <v>2994</v>
      </c>
      <c r="Y74" s="3">
        <f t="shared" si="13"/>
        <v>436058.87</v>
      </c>
      <c r="Z74" s="96">
        <f t="array" ref="Z74">SUM(ABS(F74:P74))</f>
        <v>438034.41000000003</v>
      </c>
      <c r="AB74" s="3"/>
      <c r="AC74" s="3"/>
      <c r="AD74" s="95"/>
      <c r="AE74" s="95"/>
      <c r="AF74" s="95"/>
      <c r="AG74" s="95"/>
      <c r="AH74" s="482"/>
      <c r="AI74" s="482"/>
      <c r="AJ74" s="482"/>
      <c r="AK74" s="482"/>
      <c r="AL74" s="482"/>
    </row>
    <row r="75" spans="1:38" x14ac:dyDescent="0.15">
      <c r="A75" s="12" t="s">
        <v>168</v>
      </c>
      <c r="B75" s="13" t="s">
        <v>169</v>
      </c>
      <c r="C75" s="13" t="s">
        <v>27</v>
      </c>
      <c r="D75" s="13" t="s">
        <v>28</v>
      </c>
      <c r="E75" s="12" t="s">
        <v>29</v>
      </c>
      <c r="F75" s="14">
        <v>0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2977.51</v>
      </c>
      <c r="O75" s="14">
        <v>5378.36</v>
      </c>
      <c r="P75" s="15">
        <v>405032.26</v>
      </c>
      <c r="Q75" s="16">
        <v>1220707.55</v>
      </c>
      <c r="R75" s="16" t="s">
        <v>2994</v>
      </c>
      <c r="S75" s="16" t="s">
        <v>2994</v>
      </c>
      <c r="T75" s="16" t="s">
        <v>2994</v>
      </c>
      <c r="U75" s="16" t="s">
        <v>2994</v>
      </c>
      <c r="V75" s="16" t="s">
        <v>2994</v>
      </c>
      <c r="W75" s="16" t="s">
        <v>2994</v>
      </c>
      <c r="X75" s="16" t="s">
        <v>2994</v>
      </c>
      <c r="Y75" s="3">
        <f t="shared" si="13"/>
        <v>1634095.6800000002</v>
      </c>
      <c r="Z75" s="96">
        <f t="array" ref="Z75">SUM(ABS(F75:P75))</f>
        <v>413388.13</v>
      </c>
      <c r="AB75" s="3"/>
      <c r="AC75" s="3"/>
      <c r="AD75" s="95"/>
      <c r="AE75" s="95"/>
      <c r="AF75" s="95"/>
      <c r="AG75" s="95"/>
      <c r="AH75" s="482"/>
      <c r="AI75" s="482"/>
      <c r="AJ75" s="482"/>
      <c r="AK75" s="482"/>
      <c r="AL75" s="482"/>
    </row>
    <row r="76" spans="1:38" x14ac:dyDescent="0.15">
      <c r="A76" s="12" t="s">
        <v>171</v>
      </c>
      <c r="B76" s="13" t="s">
        <v>172</v>
      </c>
      <c r="C76" s="13" t="s">
        <v>27</v>
      </c>
      <c r="D76" s="13" t="s">
        <v>54</v>
      </c>
      <c r="E76" s="12" t="s">
        <v>32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  <c r="M76" s="14">
        <v>0</v>
      </c>
      <c r="N76" s="14">
        <v>89188.45</v>
      </c>
      <c r="O76" s="14"/>
      <c r="P76" s="15"/>
      <c r="Q76" s="16" t="s">
        <v>2994</v>
      </c>
      <c r="R76" s="16" t="s">
        <v>2994</v>
      </c>
      <c r="S76" s="16" t="s">
        <v>2994</v>
      </c>
      <c r="T76" s="16" t="s">
        <v>2994</v>
      </c>
      <c r="U76" s="16" t="s">
        <v>2994</v>
      </c>
      <c r="V76" s="16" t="s">
        <v>2994</v>
      </c>
      <c r="W76" s="16" t="s">
        <v>2994</v>
      </c>
      <c r="X76" s="16" t="s">
        <v>2994</v>
      </c>
      <c r="Y76" s="3">
        <f t="shared" si="13"/>
        <v>89188.45</v>
      </c>
      <c r="Z76" s="96">
        <f t="array" ref="Z76">SUM(ABS(F76:P76))</f>
        <v>89188.45</v>
      </c>
      <c r="AB76" s="3"/>
      <c r="AC76" s="3"/>
      <c r="AD76" s="95"/>
      <c r="AE76" s="95"/>
      <c r="AF76" s="95"/>
      <c r="AG76" s="95"/>
      <c r="AH76" s="482"/>
      <c r="AI76" s="482"/>
      <c r="AJ76" s="482"/>
      <c r="AK76" s="482"/>
      <c r="AL76" s="482"/>
    </row>
    <row r="77" spans="1:38" x14ac:dyDescent="0.15">
      <c r="A77" s="12" t="s">
        <v>175</v>
      </c>
      <c r="B77" s="13" t="s">
        <v>176</v>
      </c>
      <c r="C77" s="13" t="s">
        <v>27</v>
      </c>
      <c r="D77" s="13" t="s">
        <v>44</v>
      </c>
      <c r="E77" s="12" t="s">
        <v>29</v>
      </c>
      <c r="F77" s="14">
        <v>0</v>
      </c>
      <c r="G77" s="14">
        <v>0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134351.37</v>
      </c>
      <c r="N77" s="14">
        <v>188691.28</v>
      </c>
      <c r="O77" s="14">
        <v>163346.25</v>
      </c>
      <c r="P77" s="15">
        <v>275845.46999999997</v>
      </c>
      <c r="Q77" s="16">
        <v>16227.24</v>
      </c>
      <c r="R77" s="16" t="s">
        <v>2994</v>
      </c>
      <c r="S77" s="16" t="s">
        <v>2994</v>
      </c>
      <c r="T77" s="16" t="s">
        <v>2994</v>
      </c>
      <c r="U77" s="16" t="s">
        <v>2994</v>
      </c>
      <c r="V77" s="16" t="s">
        <v>2994</v>
      </c>
      <c r="W77" s="16" t="s">
        <v>2994</v>
      </c>
      <c r="X77" s="16" t="s">
        <v>2994</v>
      </c>
      <c r="Y77" s="3">
        <f t="shared" si="13"/>
        <v>778461.61</v>
      </c>
      <c r="Z77" s="96">
        <f t="array" ref="Z77">SUM(ABS(F77:P77))</f>
        <v>762234.37</v>
      </c>
      <c r="AB77" s="3"/>
      <c r="AC77" s="3"/>
      <c r="AD77" s="95"/>
      <c r="AE77" s="95"/>
      <c r="AF77" s="95"/>
      <c r="AG77" s="95"/>
      <c r="AH77" s="482"/>
      <c r="AI77" s="482"/>
      <c r="AJ77" s="482"/>
      <c r="AK77" s="482"/>
      <c r="AL77" s="482"/>
    </row>
    <row r="78" spans="1:38" x14ac:dyDescent="0.15">
      <c r="A78" s="12" t="s">
        <v>177</v>
      </c>
      <c r="B78" s="13" t="s">
        <v>178</v>
      </c>
      <c r="C78" s="13" t="s">
        <v>27</v>
      </c>
      <c r="D78" s="13" t="s">
        <v>40</v>
      </c>
      <c r="E78" s="12" t="s">
        <v>29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277734.34000000003</v>
      </c>
      <c r="O78" s="14">
        <v>220787.11</v>
      </c>
      <c r="P78" s="15">
        <v>827665.65</v>
      </c>
      <c r="Q78" s="16">
        <v>207131.21</v>
      </c>
      <c r="R78" s="16">
        <v>171186.45</v>
      </c>
      <c r="S78" s="16">
        <v>21538.46</v>
      </c>
      <c r="T78" s="16" t="s">
        <v>2994</v>
      </c>
      <c r="U78" s="16" t="s">
        <v>2994</v>
      </c>
      <c r="V78" s="16" t="s">
        <v>2994</v>
      </c>
      <c r="W78" s="16" t="s">
        <v>2994</v>
      </c>
      <c r="X78" s="16" t="s">
        <v>2994</v>
      </c>
      <c r="Y78" s="3">
        <f t="shared" si="13"/>
        <v>1726043.22</v>
      </c>
      <c r="Z78" s="96">
        <f t="array" ref="Z78">SUM(ABS(F78:P78))</f>
        <v>1326187.1000000001</v>
      </c>
      <c r="AB78" s="3"/>
      <c r="AC78" s="3"/>
      <c r="AD78" s="95"/>
      <c r="AE78" s="95"/>
      <c r="AF78" s="95"/>
      <c r="AG78" s="95"/>
      <c r="AH78" s="482"/>
      <c r="AI78" s="482"/>
      <c r="AJ78" s="482"/>
      <c r="AK78" s="482"/>
      <c r="AL78" s="482"/>
    </row>
    <row r="79" spans="1:38" x14ac:dyDescent="0.15">
      <c r="A79" s="12" t="s">
        <v>179</v>
      </c>
      <c r="B79" s="13" t="s">
        <v>180</v>
      </c>
      <c r="C79" s="13" t="s">
        <v>27</v>
      </c>
      <c r="D79" s="13" t="s">
        <v>55</v>
      </c>
      <c r="E79" s="12" t="s">
        <v>32</v>
      </c>
      <c r="F79" s="14">
        <v>0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607819.53</v>
      </c>
      <c r="N79" s="14">
        <v>265317.2</v>
      </c>
      <c r="O79" s="14">
        <v>140277.35</v>
      </c>
      <c r="P79" s="15">
        <v>6212.29</v>
      </c>
      <c r="Q79" s="16" t="s">
        <v>2994</v>
      </c>
      <c r="R79" s="16" t="s">
        <v>2994</v>
      </c>
      <c r="S79" s="16" t="s">
        <v>2994</v>
      </c>
      <c r="T79" s="16" t="s">
        <v>2994</v>
      </c>
      <c r="U79" s="16" t="s">
        <v>2994</v>
      </c>
      <c r="V79" s="16" t="s">
        <v>2994</v>
      </c>
      <c r="W79" s="16" t="s">
        <v>2994</v>
      </c>
      <c r="X79" s="16" t="s">
        <v>2994</v>
      </c>
      <c r="Y79" s="3">
        <f t="shared" si="13"/>
        <v>1019626.37</v>
      </c>
      <c r="Z79" s="96">
        <f t="array" ref="Z79">SUM(ABS(F79:P79))</f>
        <v>1019626.37</v>
      </c>
      <c r="AB79" s="3"/>
      <c r="AC79" s="3"/>
      <c r="AD79" s="95"/>
      <c r="AE79" s="95"/>
      <c r="AF79" s="95"/>
      <c r="AG79" s="95"/>
      <c r="AH79" s="482"/>
      <c r="AI79" s="482"/>
      <c r="AJ79" s="482"/>
      <c r="AK79" s="482"/>
      <c r="AL79" s="482"/>
    </row>
    <row r="80" spans="1:38" x14ac:dyDescent="0.15">
      <c r="A80" s="12" t="s">
        <v>181</v>
      </c>
      <c r="B80" s="13" t="s">
        <v>182</v>
      </c>
      <c r="C80" s="13" t="s">
        <v>27</v>
      </c>
      <c r="D80" s="13" t="s">
        <v>55</v>
      </c>
      <c r="E80" s="12" t="s">
        <v>32</v>
      </c>
      <c r="F80" s="14">
        <v>0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1444350.77</v>
      </c>
      <c r="N80" s="14">
        <v>1072130.25</v>
      </c>
      <c r="O80" s="14">
        <v>98304.17</v>
      </c>
      <c r="P80" s="15">
        <v>51373.36</v>
      </c>
      <c r="Q80" s="16" t="s">
        <v>2994</v>
      </c>
      <c r="R80" s="16" t="s">
        <v>2994</v>
      </c>
      <c r="S80" s="16" t="s">
        <v>2994</v>
      </c>
      <c r="T80" s="16" t="s">
        <v>2994</v>
      </c>
      <c r="U80" s="16" t="s">
        <v>2994</v>
      </c>
      <c r="V80" s="16" t="s">
        <v>2994</v>
      </c>
      <c r="W80" s="16" t="s">
        <v>2994</v>
      </c>
      <c r="X80" s="16" t="s">
        <v>2994</v>
      </c>
      <c r="Y80" s="3">
        <f t="shared" si="13"/>
        <v>2666158.5499999998</v>
      </c>
      <c r="Z80" s="96">
        <f t="array" ref="Z80">SUM(ABS(F80:P80))</f>
        <v>2666158.5499999998</v>
      </c>
      <c r="AB80" s="3"/>
      <c r="AC80" s="3"/>
      <c r="AD80" s="95"/>
      <c r="AE80" s="95"/>
      <c r="AF80" s="95"/>
      <c r="AG80" s="95"/>
      <c r="AH80" s="482"/>
      <c r="AI80" s="482"/>
      <c r="AJ80" s="482"/>
      <c r="AK80" s="482"/>
      <c r="AL80" s="482"/>
    </row>
    <row r="81" spans="1:38" x14ac:dyDescent="0.15">
      <c r="A81" s="12" t="s">
        <v>186</v>
      </c>
      <c r="B81" s="13" t="s">
        <v>2361</v>
      </c>
      <c r="C81" s="13" t="s">
        <v>27</v>
      </c>
      <c r="D81" s="13" t="s">
        <v>40</v>
      </c>
      <c r="E81" s="12" t="s">
        <v>32</v>
      </c>
      <c r="F81" s="14">
        <v>0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9558.66</v>
      </c>
      <c r="M81" s="14">
        <v>393759.8</v>
      </c>
      <c r="N81" s="14">
        <v>643443.42000000004</v>
      </c>
      <c r="O81" s="14">
        <v>5618545.5199999996</v>
      </c>
      <c r="P81" s="15">
        <v>984885.6</v>
      </c>
      <c r="Q81" s="16" t="s">
        <v>2994</v>
      </c>
      <c r="R81" s="16" t="s">
        <v>2994</v>
      </c>
      <c r="S81" s="16" t="s">
        <v>2994</v>
      </c>
      <c r="T81" s="16" t="s">
        <v>2994</v>
      </c>
      <c r="U81" s="16" t="s">
        <v>2994</v>
      </c>
      <c r="V81" s="16" t="s">
        <v>2994</v>
      </c>
      <c r="W81" s="16" t="s">
        <v>2994</v>
      </c>
      <c r="X81" s="16" t="s">
        <v>2994</v>
      </c>
      <c r="Y81" s="3">
        <f t="shared" si="13"/>
        <v>7650192.9999999991</v>
      </c>
      <c r="Z81" s="96">
        <f t="array" ref="Z81">SUM(ABS(F81:P81))</f>
        <v>7650192.9999999991</v>
      </c>
      <c r="AB81" s="3"/>
      <c r="AC81" s="3"/>
      <c r="AD81" s="95"/>
      <c r="AE81" s="95"/>
      <c r="AF81" s="95"/>
      <c r="AG81" s="95"/>
      <c r="AH81" s="482"/>
      <c r="AI81" s="482"/>
      <c r="AJ81" s="482"/>
      <c r="AK81" s="482"/>
      <c r="AL81" s="482"/>
    </row>
    <row r="82" spans="1:38" x14ac:dyDescent="0.15">
      <c r="A82" s="12" t="s">
        <v>187</v>
      </c>
      <c r="B82" s="13" t="s">
        <v>2362</v>
      </c>
      <c r="C82" s="13" t="s">
        <v>27</v>
      </c>
      <c r="D82" s="13" t="s">
        <v>40</v>
      </c>
      <c r="E82" s="12" t="s">
        <v>32</v>
      </c>
      <c r="F82" s="14">
        <v>0</v>
      </c>
      <c r="G82" s="14">
        <v>0</v>
      </c>
      <c r="H82" s="14">
        <v>0</v>
      </c>
      <c r="I82" s="14">
        <v>0</v>
      </c>
      <c r="J82" s="14">
        <v>0</v>
      </c>
      <c r="K82" s="14">
        <v>0</v>
      </c>
      <c r="L82" s="14">
        <v>10681.96</v>
      </c>
      <c r="M82" s="14">
        <v>297096.37</v>
      </c>
      <c r="N82" s="14">
        <v>617142.07999999996</v>
      </c>
      <c r="O82" s="14">
        <v>5327208.32</v>
      </c>
      <c r="P82" s="15">
        <v>582613.27</v>
      </c>
      <c r="Q82" s="16" t="s">
        <v>2994</v>
      </c>
      <c r="R82" s="16" t="s">
        <v>2994</v>
      </c>
      <c r="S82" s="16" t="s">
        <v>2994</v>
      </c>
      <c r="T82" s="16" t="s">
        <v>2994</v>
      </c>
      <c r="U82" s="16" t="s">
        <v>2994</v>
      </c>
      <c r="V82" s="16" t="s">
        <v>2994</v>
      </c>
      <c r="W82" s="16" t="s">
        <v>2994</v>
      </c>
      <c r="X82" s="16" t="s">
        <v>2994</v>
      </c>
      <c r="Y82" s="3">
        <f t="shared" si="13"/>
        <v>6834742</v>
      </c>
      <c r="Z82" s="96">
        <f t="array" ref="Z82">SUM(ABS(F82:P82))</f>
        <v>6834742</v>
      </c>
      <c r="AB82" s="3"/>
      <c r="AC82" s="3"/>
      <c r="AD82" s="95"/>
      <c r="AE82" s="95"/>
      <c r="AF82" s="95"/>
      <c r="AG82" s="95"/>
      <c r="AH82" s="482"/>
      <c r="AI82" s="482"/>
      <c r="AJ82" s="482"/>
      <c r="AK82" s="482"/>
      <c r="AL82" s="482"/>
    </row>
    <row r="83" spans="1:38" x14ac:dyDescent="0.15">
      <c r="A83" s="12" t="s">
        <v>188</v>
      </c>
      <c r="B83" s="13" t="s">
        <v>189</v>
      </c>
      <c r="C83" s="13" t="s">
        <v>27</v>
      </c>
      <c r="D83" s="13" t="s">
        <v>28</v>
      </c>
      <c r="E83" s="12" t="s">
        <v>45</v>
      </c>
      <c r="F83" s="14">
        <v>0</v>
      </c>
      <c r="G83" s="14">
        <v>0</v>
      </c>
      <c r="H83" s="14">
        <v>0</v>
      </c>
      <c r="I83" s="14">
        <v>0</v>
      </c>
      <c r="J83" s="14">
        <v>0</v>
      </c>
      <c r="K83" s="14">
        <v>0</v>
      </c>
      <c r="L83" s="14">
        <v>203825.27</v>
      </c>
      <c r="M83" s="14">
        <v>133765.42000000001</v>
      </c>
      <c r="N83" s="14"/>
      <c r="O83" s="14"/>
      <c r="P83" s="15"/>
      <c r="Q83" s="16" t="s">
        <v>2994</v>
      </c>
      <c r="R83" s="16">
        <v>-337590.69</v>
      </c>
      <c r="S83" s="16" t="s">
        <v>2994</v>
      </c>
      <c r="T83" s="16" t="s">
        <v>2994</v>
      </c>
      <c r="U83" s="16" t="s">
        <v>2994</v>
      </c>
      <c r="V83" s="16" t="s">
        <v>2994</v>
      </c>
      <c r="W83" s="16" t="s">
        <v>2994</v>
      </c>
      <c r="X83" s="16" t="s">
        <v>2994</v>
      </c>
      <c r="Y83" s="3">
        <f t="shared" si="13"/>
        <v>0</v>
      </c>
      <c r="Z83" s="96">
        <f t="array" ref="Z83">SUM(ABS(F83:P83))</f>
        <v>337590.69</v>
      </c>
      <c r="AB83" s="3"/>
      <c r="AC83" s="3"/>
      <c r="AD83" s="95"/>
      <c r="AE83" s="95"/>
      <c r="AF83" s="95"/>
      <c r="AG83" s="95"/>
      <c r="AH83" s="482"/>
      <c r="AI83" s="482"/>
      <c r="AJ83" s="482"/>
      <c r="AK83" s="482"/>
      <c r="AL83" s="482"/>
    </row>
    <row r="84" spans="1:38" x14ac:dyDescent="0.15">
      <c r="A84" s="12" t="s">
        <v>190</v>
      </c>
      <c r="B84" s="13" t="s">
        <v>191</v>
      </c>
      <c r="C84" s="13" t="s">
        <v>27</v>
      </c>
      <c r="D84" s="13" t="s">
        <v>55</v>
      </c>
      <c r="E84" s="12" t="s">
        <v>32</v>
      </c>
      <c r="F84" s="14">
        <v>0</v>
      </c>
      <c r="G84" s="14">
        <v>0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124347.76</v>
      </c>
      <c r="N84" s="14">
        <v>154643.18</v>
      </c>
      <c r="O84" s="14">
        <v>482919.11</v>
      </c>
      <c r="P84" s="15">
        <v>18252.330000000002</v>
      </c>
      <c r="Q84" s="16">
        <v>2.44</v>
      </c>
      <c r="R84" s="16" t="s">
        <v>2994</v>
      </c>
      <c r="S84" s="16" t="s">
        <v>2994</v>
      </c>
      <c r="T84" s="16" t="s">
        <v>2994</v>
      </c>
      <c r="U84" s="16" t="s">
        <v>2994</v>
      </c>
      <c r="V84" s="16" t="s">
        <v>2994</v>
      </c>
      <c r="W84" s="16" t="s">
        <v>2994</v>
      </c>
      <c r="X84" s="16" t="s">
        <v>2994</v>
      </c>
      <c r="Y84" s="3">
        <f t="shared" si="13"/>
        <v>780164.82</v>
      </c>
      <c r="Z84" s="96">
        <f t="array" ref="Z84">SUM(ABS(F84:P84))</f>
        <v>780162.38</v>
      </c>
      <c r="AB84" s="3"/>
      <c r="AC84" s="3"/>
      <c r="AD84" s="95"/>
      <c r="AE84" s="95"/>
      <c r="AF84" s="95"/>
      <c r="AG84" s="95"/>
      <c r="AH84" s="482"/>
      <c r="AI84" s="482"/>
      <c r="AJ84" s="482"/>
      <c r="AK84" s="482"/>
      <c r="AL84" s="482"/>
    </row>
    <row r="85" spans="1:38" x14ac:dyDescent="0.15">
      <c r="A85" s="12" t="s">
        <v>192</v>
      </c>
      <c r="B85" s="13" t="s">
        <v>2374</v>
      </c>
      <c r="C85" s="13" t="s">
        <v>27</v>
      </c>
      <c r="D85" s="13" t="s">
        <v>55</v>
      </c>
      <c r="E85" s="12" t="s">
        <v>29</v>
      </c>
      <c r="F85" s="14">
        <v>0</v>
      </c>
      <c r="G85" s="14">
        <v>0</v>
      </c>
      <c r="H85" s="14">
        <v>0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/>
      <c r="O85" s="14"/>
      <c r="P85" s="15"/>
      <c r="Q85" s="16">
        <v>609311.65</v>
      </c>
      <c r="R85" s="16">
        <v>946756.27</v>
      </c>
      <c r="S85" s="16">
        <v>2818332.08</v>
      </c>
      <c r="T85" s="16" t="s">
        <v>2994</v>
      </c>
      <c r="U85" s="16" t="s">
        <v>2994</v>
      </c>
      <c r="V85" s="16" t="s">
        <v>2994</v>
      </c>
      <c r="W85" s="16" t="s">
        <v>2994</v>
      </c>
      <c r="X85" s="16" t="s">
        <v>2994</v>
      </c>
      <c r="Y85" s="3">
        <f t="shared" si="13"/>
        <v>4374400</v>
      </c>
      <c r="Z85" s="96">
        <f t="array" ref="Z85">SUM(ABS(F85:P85))</f>
        <v>0</v>
      </c>
      <c r="AB85" s="3"/>
      <c r="AC85" s="3"/>
      <c r="AD85" s="95"/>
      <c r="AE85" s="95"/>
      <c r="AF85" s="95"/>
      <c r="AG85" s="95"/>
      <c r="AH85" s="482"/>
      <c r="AI85" s="482"/>
      <c r="AJ85" s="482"/>
      <c r="AK85" s="482"/>
      <c r="AL85" s="482"/>
    </row>
    <row r="86" spans="1:38" x14ac:dyDescent="0.15">
      <c r="A86" s="12" t="s">
        <v>193</v>
      </c>
      <c r="B86" s="13" t="s">
        <v>194</v>
      </c>
      <c r="C86" s="13" t="s">
        <v>27</v>
      </c>
      <c r="D86" s="13" t="s">
        <v>55</v>
      </c>
      <c r="E86" s="12" t="s">
        <v>32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/>
      <c r="O86" s="14">
        <v>13918.48</v>
      </c>
      <c r="P86" s="15">
        <v>356943.46</v>
      </c>
      <c r="Q86" s="16">
        <v>65736.39</v>
      </c>
      <c r="R86" s="16" t="s">
        <v>2994</v>
      </c>
      <c r="S86" s="16" t="s">
        <v>2994</v>
      </c>
      <c r="T86" s="16" t="s">
        <v>2994</v>
      </c>
      <c r="U86" s="16" t="s">
        <v>2994</v>
      </c>
      <c r="V86" s="16" t="s">
        <v>2994</v>
      </c>
      <c r="W86" s="16" t="s">
        <v>2994</v>
      </c>
      <c r="X86" s="16" t="s">
        <v>2994</v>
      </c>
      <c r="Y86" s="3">
        <f t="shared" si="13"/>
        <v>436598.33</v>
      </c>
      <c r="Z86" s="96">
        <f t="array" ref="Z86">SUM(ABS(F86:P86))</f>
        <v>370861.94</v>
      </c>
      <c r="AB86" s="3"/>
      <c r="AC86" s="3"/>
      <c r="AD86" s="95"/>
      <c r="AE86" s="95"/>
      <c r="AF86" s="95"/>
      <c r="AG86" s="95"/>
      <c r="AH86" s="482"/>
      <c r="AI86" s="482"/>
      <c r="AJ86" s="482"/>
      <c r="AK86" s="482"/>
      <c r="AL86" s="482"/>
    </row>
    <row r="87" spans="1:38" x14ac:dyDescent="0.15">
      <c r="A87" s="12" t="s">
        <v>196</v>
      </c>
      <c r="B87" s="13" t="s">
        <v>197</v>
      </c>
      <c r="C87" s="13" t="s">
        <v>27</v>
      </c>
      <c r="D87" s="13" t="s">
        <v>40</v>
      </c>
      <c r="E87" s="12" t="s">
        <v>29</v>
      </c>
      <c r="F87" s="14">
        <v>0</v>
      </c>
      <c r="G87" s="14">
        <v>0</v>
      </c>
      <c r="H87" s="14">
        <v>0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/>
      <c r="O87" s="14">
        <v>111136.3</v>
      </c>
      <c r="P87" s="15">
        <v>245766.33</v>
      </c>
      <c r="Q87" s="16">
        <v>663476.67000000004</v>
      </c>
      <c r="R87" s="16">
        <v>331808.67</v>
      </c>
      <c r="S87" s="16" t="s">
        <v>2994</v>
      </c>
      <c r="T87" s="16" t="s">
        <v>2994</v>
      </c>
      <c r="U87" s="16" t="s">
        <v>2994</v>
      </c>
      <c r="V87" s="16" t="s">
        <v>2994</v>
      </c>
      <c r="W87" s="16" t="s">
        <v>2994</v>
      </c>
      <c r="X87" s="16" t="s">
        <v>2994</v>
      </c>
      <c r="Y87" s="3">
        <f t="shared" si="13"/>
        <v>1352187.97</v>
      </c>
      <c r="Z87" s="96">
        <f t="array" ref="Z87">SUM(ABS(F87:P87))</f>
        <v>356902.63</v>
      </c>
      <c r="AB87" s="3"/>
      <c r="AC87" s="3"/>
      <c r="AD87" s="95"/>
      <c r="AE87" s="95"/>
      <c r="AF87" s="95"/>
      <c r="AG87" s="95"/>
      <c r="AH87" s="482"/>
      <c r="AI87" s="482"/>
      <c r="AJ87" s="482"/>
      <c r="AK87" s="482"/>
      <c r="AL87" s="482"/>
    </row>
    <row r="88" spans="1:38" x14ac:dyDescent="0.15">
      <c r="A88" s="12" t="s">
        <v>198</v>
      </c>
      <c r="B88" s="13" t="s">
        <v>199</v>
      </c>
      <c r="C88" s="13" t="s">
        <v>27</v>
      </c>
      <c r="D88" s="13" t="s">
        <v>28</v>
      </c>
      <c r="E88" s="12" t="s">
        <v>29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481337.1</v>
      </c>
      <c r="M88" s="14">
        <v>7208668.1500000004</v>
      </c>
      <c r="N88" s="14">
        <v>2012389.33</v>
      </c>
      <c r="O88" s="14">
        <v>-27559.39</v>
      </c>
      <c r="P88" s="15">
        <v>52963.79</v>
      </c>
      <c r="Q88" s="16" t="s">
        <v>2994</v>
      </c>
      <c r="R88" s="16" t="s">
        <v>2994</v>
      </c>
      <c r="S88" s="16" t="s">
        <v>2994</v>
      </c>
      <c r="T88" s="16" t="s">
        <v>2994</v>
      </c>
      <c r="U88" s="16" t="s">
        <v>2994</v>
      </c>
      <c r="V88" s="16" t="s">
        <v>2994</v>
      </c>
      <c r="W88" s="16" t="s">
        <v>2994</v>
      </c>
      <c r="X88" s="16" t="s">
        <v>2994</v>
      </c>
      <c r="Y88" s="3">
        <f t="shared" si="13"/>
        <v>9727798.9799999986</v>
      </c>
      <c r="Z88" s="96">
        <f t="array" ref="Z88">SUM(ABS(F88:P88))</f>
        <v>9782917.7599999998</v>
      </c>
      <c r="AB88" s="3"/>
      <c r="AC88" s="3"/>
      <c r="AD88" s="95"/>
      <c r="AE88" s="95"/>
      <c r="AF88" s="95"/>
      <c r="AG88" s="95"/>
      <c r="AH88" s="482"/>
      <c r="AI88" s="482"/>
      <c r="AJ88" s="482"/>
      <c r="AK88" s="482"/>
      <c r="AL88" s="482"/>
    </row>
    <row r="89" spans="1:38" x14ac:dyDescent="0.15">
      <c r="A89" s="12" t="s">
        <v>200</v>
      </c>
      <c r="B89" s="13" t="s">
        <v>201</v>
      </c>
      <c r="C89" s="13" t="s">
        <v>27</v>
      </c>
      <c r="D89" s="13" t="s">
        <v>55</v>
      </c>
      <c r="E89" s="12" t="s">
        <v>29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/>
      <c r="O89" s="14">
        <v>43121.87</v>
      </c>
      <c r="P89" s="15">
        <v>139423.98000000001</v>
      </c>
      <c r="Q89" s="16">
        <v>420320.86</v>
      </c>
      <c r="R89" s="16">
        <v>4879.8999999999996</v>
      </c>
      <c r="S89" s="16" t="s">
        <v>2994</v>
      </c>
      <c r="T89" s="16" t="s">
        <v>2994</v>
      </c>
      <c r="U89" s="16" t="s">
        <v>2994</v>
      </c>
      <c r="V89" s="16" t="s">
        <v>2994</v>
      </c>
      <c r="W89" s="16" t="s">
        <v>2994</v>
      </c>
      <c r="X89" s="16" t="s">
        <v>2994</v>
      </c>
      <c r="Y89" s="3">
        <f t="shared" si="13"/>
        <v>607746.61</v>
      </c>
      <c r="Z89" s="96">
        <f t="array" ref="Z89">SUM(ABS(F89:P89))</f>
        <v>182545.85</v>
      </c>
      <c r="AB89" s="3"/>
      <c r="AC89" s="3"/>
      <c r="AD89" s="95"/>
      <c r="AE89" s="95"/>
      <c r="AF89" s="95"/>
      <c r="AG89" s="95"/>
      <c r="AH89" s="482"/>
      <c r="AI89" s="482"/>
      <c r="AJ89" s="482"/>
      <c r="AK89" s="482"/>
      <c r="AL89" s="482"/>
    </row>
    <row r="90" spans="1:38" x14ac:dyDescent="0.15">
      <c r="A90" s="12" t="s">
        <v>203</v>
      </c>
      <c r="B90" s="13" t="s">
        <v>204</v>
      </c>
      <c r="C90" s="13" t="s">
        <v>27</v>
      </c>
      <c r="D90" s="13" t="s">
        <v>28</v>
      </c>
      <c r="E90" s="12" t="s">
        <v>29</v>
      </c>
      <c r="F90" s="14">
        <v>0</v>
      </c>
      <c r="G90" s="14">
        <v>0</v>
      </c>
      <c r="H90" s="14">
        <v>0</v>
      </c>
      <c r="I90" s="14">
        <v>0</v>
      </c>
      <c r="J90" s="14">
        <v>0</v>
      </c>
      <c r="K90" s="14">
        <v>0</v>
      </c>
      <c r="L90" s="14">
        <v>15705.17</v>
      </c>
      <c r="M90" s="14">
        <v>3381662.43</v>
      </c>
      <c r="N90" s="14">
        <v>7363569.1200000001</v>
      </c>
      <c r="O90" s="14">
        <v>612351.55000000005</v>
      </c>
      <c r="P90" s="15">
        <v>83757.440000000002</v>
      </c>
      <c r="Q90" s="16">
        <v>271.25</v>
      </c>
      <c r="R90" s="16" t="s">
        <v>2994</v>
      </c>
      <c r="S90" s="16" t="s">
        <v>2994</v>
      </c>
      <c r="T90" s="16" t="s">
        <v>2994</v>
      </c>
      <c r="U90" s="16" t="s">
        <v>2994</v>
      </c>
      <c r="V90" s="16" t="s">
        <v>2994</v>
      </c>
      <c r="W90" s="16" t="s">
        <v>2994</v>
      </c>
      <c r="X90" s="16" t="s">
        <v>2994</v>
      </c>
      <c r="Y90" s="3">
        <f t="shared" si="13"/>
        <v>11457316.960000001</v>
      </c>
      <c r="Z90" s="96">
        <f t="array" ref="Z90">SUM(ABS(F90:P90))</f>
        <v>11457045.710000001</v>
      </c>
      <c r="AB90" s="3"/>
      <c r="AC90" s="3"/>
      <c r="AD90" s="95"/>
      <c r="AE90" s="95"/>
      <c r="AF90" s="95"/>
      <c r="AG90" s="95"/>
      <c r="AH90" s="482"/>
      <c r="AI90" s="482"/>
      <c r="AJ90" s="482"/>
      <c r="AK90" s="482"/>
      <c r="AL90" s="482"/>
    </row>
    <row r="91" spans="1:38" x14ac:dyDescent="0.15">
      <c r="A91" s="12" t="s">
        <v>205</v>
      </c>
      <c r="B91" s="13" t="s">
        <v>206</v>
      </c>
      <c r="C91" s="13" t="s">
        <v>27</v>
      </c>
      <c r="D91" s="13" t="s">
        <v>40</v>
      </c>
      <c r="E91" s="12" t="s">
        <v>32</v>
      </c>
      <c r="F91" s="14">
        <v>0</v>
      </c>
      <c r="G91" s="14">
        <v>0</v>
      </c>
      <c r="H91" s="14">
        <v>0</v>
      </c>
      <c r="I91" s="14">
        <v>0</v>
      </c>
      <c r="J91" s="14">
        <v>0</v>
      </c>
      <c r="K91" s="14">
        <v>0</v>
      </c>
      <c r="L91" s="14">
        <v>0</v>
      </c>
      <c r="M91" s="14">
        <v>0</v>
      </c>
      <c r="N91" s="14">
        <v>129826.86</v>
      </c>
      <c r="O91" s="14">
        <v>70181.259999999995</v>
      </c>
      <c r="P91" s="15">
        <v>-50000</v>
      </c>
      <c r="Q91" s="16" t="s">
        <v>2994</v>
      </c>
      <c r="R91" s="16" t="s">
        <v>2994</v>
      </c>
      <c r="S91" s="16" t="s">
        <v>2994</v>
      </c>
      <c r="T91" s="16" t="s">
        <v>2994</v>
      </c>
      <c r="U91" s="16" t="s">
        <v>2994</v>
      </c>
      <c r="V91" s="16" t="s">
        <v>2994</v>
      </c>
      <c r="W91" s="16" t="s">
        <v>2994</v>
      </c>
      <c r="X91" s="16" t="s">
        <v>2994</v>
      </c>
      <c r="Y91" s="3">
        <f t="shared" si="13"/>
        <v>150008.12</v>
      </c>
      <c r="Z91" s="96">
        <f t="array" ref="Z91">SUM(ABS(F91:P91))</f>
        <v>250008.12</v>
      </c>
      <c r="AB91" s="3"/>
      <c r="AC91" s="3"/>
      <c r="AD91" s="95"/>
      <c r="AE91" s="95"/>
      <c r="AF91" s="95"/>
      <c r="AG91" s="95"/>
      <c r="AH91" s="482"/>
      <c r="AI91" s="482"/>
      <c r="AJ91" s="482"/>
      <c r="AK91" s="482"/>
      <c r="AL91" s="482"/>
    </row>
    <row r="92" spans="1:38" x14ac:dyDescent="0.15">
      <c r="A92" s="12" t="s">
        <v>207</v>
      </c>
      <c r="B92" s="13" t="s">
        <v>208</v>
      </c>
      <c r="C92" s="13" t="s">
        <v>27</v>
      </c>
      <c r="D92" s="13" t="s">
        <v>40</v>
      </c>
      <c r="E92" s="12" t="s">
        <v>112</v>
      </c>
      <c r="F92" s="14">
        <v>0</v>
      </c>
      <c r="G92" s="14">
        <v>0</v>
      </c>
      <c r="H92" s="14">
        <v>0</v>
      </c>
      <c r="I92" s="14">
        <v>0</v>
      </c>
      <c r="J92" s="14">
        <v>0</v>
      </c>
      <c r="K92" s="14">
        <v>0</v>
      </c>
      <c r="L92" s="14">
        <v>0</v>
      </c>
      <c r="M92" s="14">
        <v>0</v>
      </c>
      <c r="N92" s="14"/>
      <c r="O92" s="14"/>
      <c r="P92" s="15"/>
      <c r="Q92" s="16" t="s">
        <v>2994</v>
      </c>
      <c r="R92" s="16" t="s">
        <v>2994</v>
      </c>
      <c r="S92" s="16">
        <v>153616.09</v>
      </c>
      <c r="T92" s="16">
        <v>246434.98</v>
      </c>
      <c r="U92" s="16" t="s">
        <v>2994</v>
      </c>
      <c r="V92" s="16" t="s">
        <v>2994</v>
      </c>
      <c r="W92" s="16" t="s">
        <v>2994</v>
      </c>
      <c r="X92" s="16" t="s">
        <v>2994</v>
      </c>
      <c r="Y92" s="3">
        <f t="shared" si="13"/>
        <v>400051.07</v>
      </c>
      <c r="Z92" s="96">
        <f t="array" ref="Z92">SUM(ABS(F92:P92))</f>
        <v>0</v>
      </c>
      <c r="AB92" s="3"/>
      <c r="AC92" s="3"/>
      <c r="AD92" s="95"/>
      <c r="AE92" s="95"/>
      <c r="AF92" s="95"/>
      <c r="AG92" s="95"/>
      <c r="AH92" s="482"/>
      <c r="AI92" s="482"/>
      <c r="AJ92" s="482"/>
      <c r="AK92" s="482"/>
      <c r="AL92" s="482"/>
    </row>
    <row r="93" spans="1:38" x14ac:dyDescent="0.15">
      <c r="A93" s="12" t="s">
        <v>209</v>
      </c>
      <c r="B93" s="13" t="s">
        <v>210</v>
      </c>
      <c r="C93" s="13" t="s">
        <v>27</v>
      </c>
      <c r="D93" s="13" t="s">
        <v>40</v>
      </c>
      <c r="E93" s="12" t="s">
        <v>29</v>
      </c>
      <c r="F93" s="14">
        <v>0</v>
      </c>
      <c r="G93" s="14">
        <v>0</v>
      </c>
      <c r="H93" s="14">
        <v>0</v>
      </c>
      <c r="I93" s="14">
        <v>0</v>
      </c>
      <c r="J93" s="14">
        <v>0</v>
      </c>
      <c r="K93" s="14">
        <v>0</v>
      </c>
      <c r="L93" s="14">
        <v>22293.77</v>
      </c>
      <c r="M93" s="14">
        <v>2206.4499999999998</v>
      </c>
      <c r="N93" s="14"/>
      <c r="O93" s="14">
        <v>24922.94</v>
      </c>
      <c r="P93" s="15">
        <v>1557029.81</v>
      </c>
      <c r="Q93" s="16">
        <v>1907150.18</v>
      </c>
      <c r="R93" s="16" t="s">
        <v>2994</v>
      </c>
      <c r="S93" s="16" t="s">
        <v>2994</v>
      </c>
      <c r="T93" s="16" t="s">
        <v>2994</v>
      </c>
      <c r="U93" s="16" t="s">
        <v>2994</v>
      </c>
      <c r="V93" s="16" t="s">
        <v>2994</v>
      </c>
      <c r="W93" s="16" t="s">
        <v>2994</v>
      </c>
      <c r="X93" s="16" t="s">
        <v>2994</v>
      </c>
      <c r="Y93" s="3">
        <f t="shared" si="13"/>
        <v>3513603.15</v>
      </c>
      <c r="Z93" s="96">
        <f t="array" ref="Z93">SUM(ABS(F93:P93))</f>
        <v>1606452.97</v>
      </c>
      <c r="AB93" s="3"/>
      <c r="AC93" s="3"/>
      <c r="AD93" s="95"/>
      <c r="AE93" s="95"/>
      <c r="AF93" s="95"/>
      <c r="AG93" s="95"/>
      <c r="AH93" s="482"/>
      <c r="AI93" s="482"/>
      <c r="AJ93" s="482"/>
      <c r="AK93" s="482"/>
      <c r="AL93" s="482"/>
    </row>
    <row r="94" spans="1:38" x14ac:dyDescent="0.15">
      <c r="A94" s="12" t="s">
        <v>212</v>
      </c>
      <c r="B94" s="13" t="s">
        <v>213</v>
      </c>
      <c r="C94" s="13" t="s">
        <v>27</v>
      </c>
      <c r="D94" s="13" t="s">
        <v>36</v>
      </c>
      <c r="E94" s="12" t="s">
        <v>32</v>
      </c>
      <c r="F94" s="14">
        <v>0</v>
      </c>
      <c r="G94" s="14">
        <v>0</v>
      </c>
      <c r="H94" s="14">
        <v>0</v>
      </c>
      <c r="I94" s="14">
        <v>0</v>
      </c>
      <c r="J94" s="14">
        <v>0</v>
      </c>
      <c r="K94" s="14">
        <v>0</v>
      </c>
      <c r="L94" s="14">
        <v>0</v>
      </c>
      <c r="M94" s="14">
        <v>0</v>
      </c>
      <c r="N94" s="14"/>
      <c r="O94" s="14">
        <v>15748.67</v>
      </c>
      <c r="P94" s="15">
        <v>-2762.64</v>
      </c>
      <c r="Q94" s="16" t="s">
        <v>2994</v>
      </c>
      <c r="R94" s="16" t="s">
        <v>2994</v>
      </c>
      <c r="S94" s="16" t="s">
        <v>2994</v>
      </c>
      <c r="T94" s="16" t="s">
        <v>2994</v>
      </c>
      <c r="U94" s="16" t="s">
        <v>2994</v>
      </c>
      <c r="V94" s="16" t="s">
        <v>2994</v>
      </c>
      <c r="W94" s="16" t="s">
        <v>2994</v>
      </c>
      <c r="X94" s="16" t="s">
        <v>2994</v>
      </c>
      <c r="Y94" s="3">
        <f t="shared" si="13"/>
        <v>12986.03</v>
      </c>
      <c r="Z94" s="96">
        <f t="array" ref="Z94">SUM(ABS(F94:P94))</f>
        <v>18511.310000000001</v>
      </c>
      <c r="AB94" s="3"/>
      <c r="AC94" s="3"/>
      <c r="AD94" s="95"/>
      <c r="AE94" s="95"/>
      <c r="AF94" s="95"/>
      <c r="AG94" s="95"/>
      <c r="AH94" s="482"/>
      <c r="AI94" s="482"/>
      <c r="AJ94" s="482"/>
      <c r="AK94" s="482"/>
      <c r="AL94" s="482"/>
    </row>
    <row r="95" spans="1:38" x14ac:dyDescent="0.15">
      <c r="A95" s="12" t="s">
        <v>214</v>
      </c>
      <c r="B95" s="13" t="s">
        <v>215</v>
      </c>
      <c r="C95" s="13" t="s">
        <v>27</v>
      </c>
      <c r="D95" s="13" t="s">
        <v>36</v>
      </c>
      <c r="E95" s="12" t="s">
        <v>32</v>
      </c>
      <c r="F95" s="14">
        <v>0</v>
      </c>
      <c r="G95" s="14">
        <v>0</v>
      </c>
      <c r="H95" s="14">
        <v>0</v>
      </c>
      <c r="I95" s="14">
        <v>0</v>
      </c>
      <c r="J95" s="14">
        <v>0</v>
      </c>
      <c r="K95" s="14">
        <v>0</v>
      </c>
      <c r="L95" s="14">
        <v>0</v>
      </c>
      <c r="M95" s="14">
        <v>0</v>
      </c>
      <c r="N95" s="14"/>
      <c r="O95" s="14">
        <v>118677.6</v>
      </c>
      <c r="P95" s="15">
        <v>36888.410000000003</v>
      </c>
      <c r="Q95" s="16">
        <v>9499.4</v>
      </c>
      <c r="R95" s="16" t="s">
        <v>2994</v>
      </c>
      <c r="S95" s="16" t="s">
        <v>2994</v>
      </c>
      <c r="T95" s="16" t="s">
        <v>2994</v>
      </c>
      <c r="U95" s="16" t="s">
        <v>2994</v>
      </c>
      <c r="V95" s="16" t="s">
        <v>2994</v>
      </c>
      <c r="W95" s="16" t="s">
        <v>2994</v>
      </c>
      <c r="X95" s="16" t="s">
        <v>2994</v>
      </c>
      <c r="Y95" s="3">
        <f t="shared" si="13"/>
        <v>165065.41</v>
      </c>
      <c r="Z95" s="96">
        <f t="array" ref="Z95">SUM(ABS(F95:P95))</f>
        <v>155566.01</v>
      </c>
      <c r="AB95" s="3"/>
      <c r="AC95" s="3"/>
      <c r="AD95" s="95"/>
      <c r="AE95" s="95"/>
      <c r="AF95" s="95"/>
      <c r="AG95" s="95"/>
      <c r="AH95" s="482"/>
      <c r="AI95" s="482"/>
      <c r="AJ95" s="482"/>
      <c r="AK95" s="482"/>
      <c r="AL95" s="482"/>
    </row>
    <row r="96" spans="1:38" x14ac:dyDescent="0.15">
      <c r="A96" s="12" t="s">
        <v>216</v>
      </c>
      <c r="B96" s="13" t="s">
        <v>217</v>
      </c>
      <c r="C96" s="13" t="s">
        <v>27</v>
      </c>
      <c r="D96" s="13" t="s">
        <v>40</v>
      </c>
      <c r="E96" s="12" t="s">
        <v>29</v>
      </c>
      <c r="F96" s="14">
        <v>0</v>
      </c>
      <c r="G96" s="14">
        <v>0</v>
      </c>
      <c r="H96" s="14">
        <v>0</v>
      </c>
      <c r="I96" s="14">
        <v>0</v>
      </c>
      <c r="J96" s="14">
        <v>0</v>
      </c>
      <c r="K96" s="14">
        <v>0</v>
      </c>
      <c r="L96" s="14">
        <v>0</v>
      </c>
      <c r="M96" s="14">
        <v>0</v>
      </c>
      <c r="N96" s="14"/>
      <c r="O96" s="14">
        <v>329673.95</v>
      </c>
      <c r="P96" s="15">
        <v>170681.92</v>
      </c>
      <c r="Q96" s="16">
        <v>871177.31</v>
      </c>
      <c r="R96" s="16">
        <v>1227332.3700000001</v>
      </c>
      <c r="S96" s="16">
        <v>27278.95</v>
      </c>
      <c r="T96" s="16" t="s">
        <v>2994</v>
      </c>
      <c r="U96" s="16" t="s">
        <v>2994</v>
      </c>
      <c r="V96" s="16" t="s">
        <v>2994</v>
      </c>
      <c r="W96" s="16" t="s">
        <v>2994</v>
      </c>
      <c r="X96" s="16" t="s">
        <v>2994</v>
      </c>
      <c r="Y96" s="3">
        <f t="shared" si="13"/>
        <v>2626144.5000000005</v>
      </c>
      <c r="Z96" s="96">
        <f t="array" ref="Z96">SUM(ABS(F96:P96))</f>
        <v>500355.87</v>
      </c>
      <c r="AB96" s="3"/>
      <c r="AC96" s="3"/>
      <c r="AD96" s="95"/>
      <c r="AE96" s="95"/>
      <c r="AF96" s="95"/>
      <c r="AG96" s="95"/>
      <c r="AH96" s="482"/>
      <c r="AI96" s="482"/>
      <c r="AJ96" s="482"/>
      <c r="AK96" s="482"/>
      <c r="AL96" s="482"/>
    </row>
    <row r="97" spans="1:38" x14ac:dyDescent="0.15">
      <c r="A97" s="12" t="s">
        <v>218</v>
      </c>
      <c r="B97" s="13" t="s">
        <v>219</v>
      </c>
      <c r="C97" s="13" t="s">
        <v>27</v>
      </c>
      <c r="D97" s="13" t="s">
        <v>55</v>
      </c>
      <c r="E97" s="12" t="s">
        <v>112</v>
      </c>
      <c r="F97" s="14">
        <v>0</v>
      </c>
      <c r="G97" s="14">
        <v>0</v>
      </c>
      <c r="H97" s="14">
        <v>0</v>
      </c>
      <c r="I97" s="14">
        <v>0</v>
      </c>
      <c r="J97" s="14">
        <v>0</v>
      </c>
      <c r="K97" s="14">
        <v>0</v>
      </c>
      <c r="L97" s="14">
        <v>0</v>
      </c>
      <c r="M97" s="14">
        <v>0</v>
      </c>
      <c r="N97" s="14"/>
      <c r="O97" s="14"/>
      <c r="P97" s="15"/>
      <c r="Q97" s="16" t="s">
        <v>2994</v>
      </c>
      <c r="R97" s="16">
        <v>270435.93</v>
      </c>
      <c r="S97" s="16">
        <v>604534.41</v>
      </c>
      <c r="T97" s="16">
        <v>613501.81000000006</v>
      </c>
      <c r="U97" s="16" t="s">
        <v>2994</v>
      </c>
      <c r="V97" s="16" t="s">
        <v>2994</v>
      </c>
      <c r="W97" s="16" t="s">
        <v>2994</v>
      </c>
      <c r="X97" s="16" t="s">
        <v>2994</v>
      </c>
      <c r="Y97" s="3">
        <f t="shared" si="13"/>
        <v>1488472.1500000001</v>
      </c>
      <c r="Z97" s="96">
        <f t="array" ref="Z97">SUM(ABS(F97:P97))</f>
        <v>0</v>
      </c>
      <c r="AB97" s="3"/>
      <c r="AC97" s="3"/>
      <c r="AD97" s="95"/>
      <c r="AE97" s="95"/>
      <c r="AF97" s="95"/>
      <c r="AG97" s="95"/>
      <c r="AH97" s="482"/>
      <c r="AI97" s="482"/>
      <c r="AJ97" s="482"/>
      <c r="AK97" s="482"/>
      <c r="AL97" s="482"/>
    </row>
    <row r="98" spans="1:38" x14ac:dyDescent="0.15">
      <c r="A98" s="12" t="s">
        <v>220</v>
      </c>
      <c r="B98" s="13" t="s">
        <v>2375</v>
      </c>
      <c r="C98" s="13" t="s">
        <v>27</v>
      </c>
      <c r="D98" s="13" t="s">
        <v>55</v>
      </c>
      <c r="E98" s="12" t="s">
        <v>29</v>
      </c>
      <c r="F98" s="14">
        <v>0</v>
      </c>
      <c r="G98" s="14">
        <v>0</v>
      </c>
      <c r="H98" s="14">
        <v>0</v>
      </c>
      <c r="I98" s="14">
        <v>0</v>
      </c>
      <c r="J98" s="14">
        <v>0</v>
      </c>
      <c r="K98" s="14">
        <v>0</v>
      </c>
      <c r="L98" s="14">
        <v>0</v>
      </c>
      <c r="M98" s="14">
        <v>0</v>
      </c>
      <c r="N98" s="14"/>
      <c r="O98" s="14">
        <v>25072.28</v>
      </c>
      <c r="P98" s="15">
        <v>355103.46</v>
      </c>
      <c r="Q98" s="16">
        <v>109140.32</v>
      </c>
      <c r="R98" s="16" t="s">
        <v>2994</v>
      </c>
      <c r="S98" s="16" t="s">
        <v>2994</v>
      </c>
      <c r="T98" s="16" t="s">
        <v>2994</v>
      </c>
      <c r="U98" s="16" t="s">
        <v>2994</v>
      </c>
      <c r="V98" s="16" t="s">
        <v>2994</v>
      </c>
      <c r="W98" s="16" t="s">
        <v>2994</v>
      </c>
      <c r="X98" s="16" t="s">
        <v>2994</v>
      </c>
      <c r="Y98" s="3">
        <f t="shared" si="13"/>
        <v>489316.06</v>
      </c>
      <c r="Z98" s="96">
        <f t="array" ref="Z98">SUM(ABS(F98:P98))</f>
        <v>380175.74</v>
      </c>
      <c r="AB98" s="3"/>
      <c r="AC98" s="3"/>
      <c r="AD98" s="95"/>
      <c r="AE98" s="95"/>
      <c r="AF98" s="95"/>
      <c r="AG98" s="95"/>
      <c r="AH98" s="482"/>
      <c r="AI98" s="482"/>
      <c r="AJ98" s="482"/>
      <c r="AK98" s="482"/>
      <c r="AL98" s="482"/>
    </row>
    <row r="99" spans="1:38" x14ac:dyDescent="0.15">
      <c r="A99" s="12" t="s">
        <v>221</v>
      </c>
      <c r="B99" s="13" t="s">
        <v>222</v>
      </c>
      <c r="C99" s="13" t="s">
        <v>27</v>
      </c>
      <c r="D99" s="13" t="s">
        <v>55</v>
      </c>
      <c r="E99" s="12" t="s">
        <v>32</v>
      </c>
      <c r="F99" s="14">
        <v>0</v>
      </c>
      <c r="G99" s="14">
        <v>0</v>
      </c>
      <c r="H99" s="14">
        <v>0</v>
      </c>
      <c r="I99" s="14">
        <v>0</v>
      </c>
      <c r="J99" s="14">
        <v>0</v>
      </c>
      <c r="K99" s="14">
        <v>0</v>
      </c>
      <c r="L99" s="14">
        <v>0</v>
      </c>
      <c r="M99" s="14">
        <v>0</v>
      </c>
      <c r="N99" s="14"/>
      <c r="O99" s="14">
        <v>168079.52</v>
      </c>
      <c r="P99" s="15">
        <v>507544.2</v>
      </c>
      <c r="Q99" s="16">
        <v>145338.79999999999</v>
      </c>
      <c r="R99" s="16" t="s">
        <v>2994</v>
      </c>
      <c r="S99" s="16" t="s">
        <v>2994</v>
      </c>
      <c r="T99" s="16" t="s">
        <v>2994</v>
      </c>
      <c r="U99" s="16" t="s">
        <v>2994</v>
      </c>
      <c r="V99" s="16" t="s">
        <v>2994</v>
      </c>
      <c r="W99" s="16" t="s">
        <v>2994</v>
      </c>
      <c r="X99" s="16" t="s">
        <v>2994</v>
      </c>
      <c r="Y99" s="3">
        <f t="shared" ref="Y99:Y132" si="14">SUM(F99:X99)</f>
        <v>820962.52</v>
      </c>
      <c r="Z99" s="96">
        <f t="array" ref="Z99">SUM(ABS(F99:P99))</f>
        <v>675623.72</v>
      </c>
      <c r="AB99" s="3"/>
      <c r="AC99" s="3"/>
      <c r="AD99" s="95"/>
      <c r="AE99" s="95"/>
      <c r="AF99" s="95"/>
      <c r="AG99" s="95"/>
      <c r="AH99" s="482"/>
      <c r="AI99" s="482"/>
      <c r="AJ99" s="482"/>
      <c r="AK99" s="482"/>
      <c r="AL99" s="482"/>
    </row>
    <row r="100" spans="1:38" x14ac:dyDescent="0.15">
      <c r="A100" s="12" t="s">
        <v>223</v>
      </c>
      <c r="B100" s="13" t="s">
        <v>224</v>
      </c>
      <c r="C100" s="13" t="s">
        <v>27</v>
      </c>
      <c r="D100" s="13" t="s">
        <v>40</v>
      </c>
      <c r="E100" s="12" t="s">
        <v>29</v>
      </c>
      <c r="F100" s="14">
        <v>0</v>
      </c>
      <c r="G100" s="14">
        <v>0</v>
      </c>
      <c r="H100" s="14">
        <v>0</v>
      </c>
      <c r="I100" s="14">
        <v>0</v>
      </c>
      <c r="J100" s="14">
        <v>0</v>
      </c>
      <c r="K100" s="14">
        <v>0</v>
      </c>
      <c r="L100" s="14">
        <v>0</v>
      </c>
      <c r="M100" s="14">
        <v>0</v>
      </c>
      <c r="N100" s="14"/>
      <c r="O100" s="14"/>
      <c r="P100" s="15">
        <v>28007.03</v>
      </c>
      <c r="Q100" s="16">
        <v>554446.61</v>
      </c>
      <c r="R100" s="16">
        <v>3096216.7</v>
      </c>
      <c r="S100" s="16">
        <v>912042.87</v>
      </c>
      <c r="T100" s="16" t="s">
        <v>2994</v>
      </c>
      <c r="U100" s="16" t="s">
        <v>2994</v>
      </c>
      <c r="V100" s="16" t="s">
        <v>2994</v>
      </c>
      <c r="W100" s="16" t="s">
        <v>2994</v>
      </c>
      <c r="X100" s="16" t="s">
        <v>2994</v>
      </c>
      <c r="Y100" s="3">
        <f t="shared" si="14"/>
        <v>4590713.21</v>
      </c>
      <c r="Z100" s="96">
        <f t="array" ref="Z100">SUM(ABS(F100:P100))</f>
        <v>28007.03</v>
      </c>
      <c r="AB100" s="3"/>
      <c r="AC100" s="3"/>
      <c r="AD100" s="95"/>
      <c r="AE100" s="95"/>
      <c r="AF100" s="95"/>
      <c r="AG100" s="95"/>
      <c r="AH100" s="482"/>
      <c r="AI100" s="482"/>
      <c r="AJ100" s="482"/>
      <c r="AK100" s="482"/>
      <c r="AL100" s="482"/>
    </row>
    <row r="101" spans="1:38" x14ac:dyDescent="0.15">
      <c r="A101" s="12" t="s">
        <v>225</v>
      </c>
      <c r="B101" s="13" t="s">
        <v>226</v>
      </c>
      <c r="C101" s="13" t="s">
        <v>27</v>
      </c>
      <c r="D101" s="13" t="s">
        <v>55</v>
      </c>
      <c r="E101" s="12" t="s">
        <v>32</v>
      </c>
      <c r="F101" s="14">
        <v>0</v>
      </c>
      <c r="G101" s="14">
        <v>0</v>
      </c>
      <c r="H101" s="14">
        <v>0</v>
      </c>
      <c r="I101" s="14">
        <v>0</v>
      </c>
      <c r="J101" s="14">
        <v>0</v>
      </c>
      <c r="K101" s="14">
        <v>0</v>
      </c>
      <c r="L101" s="14">
        <v>0</v>
      </c>
      <c r="M101" s="14">
        <v>0</v>
      </c>
      <c r="N101" s="14"/>
      <c r="O101" s="14">
        <v>5520.76</v>
      </c>
      <c r="P101" s="15">
        <v>41285.660000000003</v>
      </c>
      <c r="Q101" s="16" t="s">
        <v>2994</v>
      </c>
      <c r="R101" s="16" t="s">
        <v>2994</v>
      </c>
      <c r="S101" s="16" t="s">
        <v>2994</v>
      </c>
      <c r="T101" s="16" t="s">
        <v>2994</v>
      </c>
      <c r="U101" s="16" t="s">
        <v>2994</v>
      </c>
      <c r="V101" s="16" t="s">
        <v>2994</v>
      </c>
      <c r="W101" s="16" t="s">
        <v>2994</v>
      </c>
      <c r="X101" s="16" t="s">
        <v>2994</v>
      </c>
      <c r="Y101" s="3">
        <f t="shared" si="14"/>
        <v>46806.420000000006</v>
      </c>
      <c r="Z101" s="96">
        <f t="array" ref="Z101">SUM(ABS(F101:P101))</f>
        <v>46806.420000000006</v>
      </c>
      <c r="AB101" s="3"/>
      <c r="AC101" s="3"/>
      <c r="AD101" s="95"/>
      <c r="AE101" s="95"/>
      <c r="AF101" s="95"/>
      <c r="AG101" s="95"/>
      <c r="AH101" s="482"/>
      <c r="AI101" s="482"/>
      <c r="AJ101" s="482"/>
      <c r="AK101" s="482"/>
      <c r="AL101" s="482"/>
    </row>
    <row r="102" spans="1:38" x14ac:dyDescent="0.15">
      <c r="A102" s="12" t="s">
        <v>227</v>
      </c>
      <c r="B102" s="13" t="s">
        <v>228</v>
      </c>
      <c r="C102" s="13" t="s">
        <v>27</v>
      </c>
      <c r="D102" s="13" t="s">
        <v>36</v>
      </c>
      <c r="E102" s="12" t="s">
        <v>32</v>
      </c>
      <c r="F102" s="14">
        <v>0</v>
      </c>
      <c r="G102" s="14">
        <v>0</v>
      </c>
      <c r="H102" s="14">
        <v>0</v>
      </c>
      <c r="I102" s="14">
        <v>0</v>
      </c>
      <c r="J102" s="14">
        <v>0</v>
      </c>
      <c r="K102" s="14">
        <v>0</v>
      </c>
      <c r="L102" s="14">
        <v>0</v>
      </c>
      <c r="M102" s="14">
        <v>0</v>
      </c>
      <c r="N102" s="14"/>
      <c r="O102" s="14">
        <v>180219.19</v>
      </c>
      <c r="P102" s="15">
        <v>-15569.69</v>
      </c>
      <c r="Q102" s="16" t="s">
        <v>2994</v>
      </c>
      <c r="R102" s="16" t="s">
        <v>2994</v>
      </c>
      <c r="S102" s="16" t="s">
        <v>2994</v>
      </c>
      <c r="T102" s="16" t="s">
        <v>2994</v>
      </c>
      <c r="U102" s="16" t="s">
        <v>2994</v>
      </c>
      <c r="V102" s="16" t="s">
        <v>2994</v>
      </c>
      <c r="W102" s="16" t="s">
        <v>2994</v>
      </c>
      <c r="X102" s="16" t="s">
        <v>2994</v>
      </c>
      <c r="Y102" s="3">
        <f t="shared" si="14"/>
        <v>164649.5</v>
      </c>
      <c r="Z102" s="96">
        <f t="array" ref="Z102">SUM(ABS(F102:P102))</f>
        <v>195788.88</v>
      </c>
      <c r="AB102" s="3"/>
      <c r="AC102" s="3"/>
      <c r="AD102" s="95"/>
      <c r="AE102" s="95"/>
      <c r="AF102" s="95"/>
      <c r="AG102" s="95"/>
      <c r="AH102" s="482"/>
      <c r="AI102" s="482"/>
      <c r="AJ102" s="482"/>
      <c r="AK102" s="482"/>
      <c r="AL102" s="482"/>
    </row>
    <row r="103" spans="1:38" x14ac:dyDescent="0.15">
      <c r="A103" s="12" t="s">
        <v>229</v>
      </c>
      <c r="B103" s="13" t="s">
        <v>230</v>
      </c>
      <c r="C103" s="13" t="s">
        <v>27</v>
      </c>
      <c r="D103" s="13" t="s">
        <v>60</v>
      </c>
      <c r="E103" s="12" t="s">
        <v>32</v>
      </c>
      <c r="F103" s="14">
        <v>0</v>
      </c>
      <c r="G103" s="14">
        <v>0</v>
      </c>
      <c r="H103" s="14">
        <v>0</v>
      </c>
      <c r="I103" s="14">
        <v>0</v>
      </c>
      <c r="J103" s="14">
        <v>0</v>
      </c>
      <c r="K103" s="14">
        <v>0</v>
      </c>
      <c r="L103" s="14">
        <v>0</v>
      </c>
      <c r="M103" s="14">
        <v>0</v>
      </c>
      <c r="N103" s="14"/>
      <c r="O103" s="14">
        <v>1991085.2</v>
      </c>
      <c r="P103" s="15"/>
      <c r="Q103" s="16" t="s">
        <v>2994</v>
      </c>
      <c r="R103" s="16" t="s">
        <v>2994</v>
      </c>
      <c r="S103" s="16" t="s">
        <v>2994</v>
      </c>
      <c r="T103" s="16" t="s">
        <v>2994</v>
      </c>
      <c r="U103" s="16" t="s">
        <v>2994</v>
      </c>
      <c r="V103" s="16" t="s">
        <v>2994</v>
      </c>
      <c r="W103" s="16" t="s">
        <v>2994</v>
      </c>
      <c r="X103" s="16" t="s">
        <v>2994</v>
      </c>
      <c r="Y103" s="3">
        <f t="shared" si="14"/>
        <v>1991085.2</v>
      </c>
      <c r="Z103" s="96">
        <f t="array" ref="Z103">SUM(ABS(F103:P103))</f>
        <v>1991085.2</v>
      </c>
      <c r="AB103" s="3"/>
      <c r="AC103" s="3"/>
      <c r="AD103" s="95"/>
      <c r="AE103" s="95"/>
      <c r="AF103" s="95"/>
      <c r="AG103" s="95"/>
      <c r="AH103" s="482"/>
      <c r="AI103" s="482"/>
      <c r="AJ103" s="482"/>
      <c r="AK103" s="482"/>
      <c r="AL103" s="482"/>
    </row>
    <row r="104" spans="1:38" x14ac:dyDescent="0.15">
      <c r="A104" s="12" t="s">
        <v>231</v>
      </c>
      <c r="B104" s="13" t="s">
        <v>232</v>
      </c>
      <c r="C104" s="13" t="s">
        <v>27</v>
      </c>
      <c r="D104" s="13" t="s">
        <v>54</v>
      </c>
      <c r="E104" s="12" t="s">
        <v>29</v>
      </c>
      <c r="F104" s="14">
        <v>0</v>
      </c>
      <c r="G104" s="14">
        <v>0</v>
      </c>
      <c r="H104" s="14">
        <v>0</v>
      </c>
      <c r="I104" s="14">
        <v>0</v>
      </c>
      <c r="J104" s="14">
        <v>0</v>
      </c>
      <c r="K104" s="14">
        <v>0</v>
      </c>
      <c r="L104" s="14">
        <v>0</v>
      </c>
      <c r="M104" s="14">
        <v>0</v>
      </c>
      <c r="N104" s="14">
        <v>73819.259999999995</v>
      </c>
      <c r="O104" s="14">
        <v>1176181.29</v>
      </c>
      <c r="P104" s="15">
        <v>5432407.5999999996</v>
      </c>
      <c r="Q104" s="16">
        <v>1056122.5900000001</v>
      </c>
      <c r="R104" s="16">
        <v>1203567.1299999999</v>
      </c>
      <c r="S104" s="16">
        <v>75390.740000000005</v>
      </c>
      <c r="T104" s="16" t="s">
        <v>2994</v>
      </c>
      <c r="U104" s="16" t="s">
        <v>2994</v>
      </c>
      <c r="V104" s="16" t="s">
        <v>2994</v>
      </c>
      <c r="W104" s="16" t="s">
        <v>2994</v>
      </c>
      <c r="X104" s="16" t="s">
        <v>2994</v>
      </c>
      <c r="Y104" s="3">
        <f t="shared" si="14"/>
        <v>9017488.6099999994</v>
      </c>
      <c r="Z104" s="96">
        <f t="array" ref="Z104">SUM(ABS(F104:P104))</f>
        <v>6682408.1499999994</v>
      </c>
      <c r="AB104" s="3"/>
      <c r="AC104" s="3"/>
      <c r="AD104" s="95"/>
      <c r="AE104" s="95"/>
      <c r="AF104" s="95"/>
      <c r="AG104" s="95"/>
      <c r="AH104" s="482"/>
      <c r="AI104" s="482"/>
      <c r="AJ104" s="482"/>
      <c r="AK104" s="482"/>
      <c r="AL104" s="482"/>
    </row>
    <row r="105" spans="1:38" x14ac:dyDescent="0.15">
      <c r="A105" s="12" t="s">
        <v>233</v>
      </c>
      <c r="B105" s="13" t="s">
        <v>2301</v>
      </c>
      <c r="C105" s="13" t="s">
        <v>27</v>
      </c>
      <c r="D105" s="13" t="s">
        <v>55</v>
      </c>
      <c r="E105" s="12" t="s">
        <v>112</v>
      </c>
      <c r="F105" s="14">
        <v>0</v>
      </c>
      <c r="G105" s="14">
        <v>0</v>
      </c>
      <c r="H105" s="14">
        <v>0</v>
      </c>
      <c r="I105" s="14">
        <v>0</v>
      </c>
      <c r="J105" s="14">
        <v>0</v>
      </c>
      <c r="K105" s="14">
        <v>0</v>
      </c>
      <c r="L105" s="14">
        <v>0</v>
      </c>
      <c r="M105" s="14">
        <v>0</v>
      </c>
      <c r="N105" s="14"/>
      <c r="O105" s="14"/>
      <c r="P105" s="15"/>
      <c r="Q105" s="16" t="s">
        <v>2994</v>
      </c>
      <c r="R105" s="16" t="s">
        <v>2994</v>
      </c>
      <c r="S105" s="16">
        <v>744066.42</v>
      </c>
      <c r="T105" s="16">
        <v>956119.15</v>
      </c>
      <c r="U105" s="16" t="s">
        <v>2994</v>
      </c>
      <c r="V105" s="16" t="s">
        <v>2994</v>
      </c>
      <c r="W105" s="16" t="s">
        <v>2994</v>
      </c>
      <c r="X105" s="16" t="s">
        <v>2994</v>
      </c>
      <c r="Y105" s="3">
        <f t="shared" si="14"/>
        <v>1700185.57</v>
      </c>
      <c r="Z105" s="96">
        <f t="array" ref="Z105">SUM(ABS(F105:P105))</f>
        <v>0</v>
      </c>
      <c r="AB105" s="3"/>
      <c r="AC105" s="3"/>
      <c r="AD105" s="95"/>
      <c r="AE105" s="95"/>
      <c r="AF105" s="95"/>
      <c r="AG105" s="95"/>
      <c r="AH105" s="482"/>
      <c r="AI105" s="482"/>
      <c r="AJ105" s="482"/>
      <c r="AK105" s="482"/>
      <c r="AL105" s="482"/>
    </row>
    <row r="106" spans="1:38" x14ac:dyDescent="0.15">
      <c r="A106" s="12" t="s">
        <v>234</v>
      </c>
      <c r="B106" s="13" t="s">
        <v>2376</v>
      </c>
      <c r="C106" s="13" t="s">
        <v>27</v>
      </c>
      <c r="D106" s="13" t="s">
        <v>55</v>
      </c>
      <c r="E106" s="12" t="s">
        <v>29</v>
      </c>
      <c r="F106" s="14">
        <v>0</v>
      </c>
      <c r="G106" s="14">
        <v>0</v>
      </c>
      <c r="H106" s="14">
        <v>0</v>
      </c>
      <c r="I106" s="14">
        <v>0</v>
      </c>
      <c r="J106" s="14">
        <v>0</v>
      </c>
      <c r="K106" s="14">
        <v>0</v>
      </c>
      <c r="L106" s="14">
        <v>0</v>
      </c>
      <c r="M106" s="14">
        <v>0</v>
      </c>
      <c r="N106" s="14">
        <v>58928.5</v>
      </c>
      <c r="O106" s="14">
        <v>11460.27</v>
      </c>
      <c r="P106" s="15">
        <v>-37171.56</v>
      </c>
      <c r="Q106" s="16">
        <v>708767.64</v>
      </c>
      <c r="R106" s="16">
        <v>260264.06</v>
      </c>
      <c r="S106" s="16" t="s">
        <v>2994</v>
      </c>
      <c r="T106" s="16" t="s">
        <v>2994</v>
      </c>
      <c r="U106" s="16" t="s">
        <v>2994</v>
      </c>
      <c r="V106" s="16" t="s">
        <v>2994</v>
      </c>
      <c r="W106" s="16" t="s">
        <v>2994</v>
      </c>
      <c r="X106" s="16" t="s">
        <v>2994</v>
      </c>
      <c r="Y106" s="3">
        <f t="shared" si="14"/>
        <v>1002248.9099999999</v>
      </c>
      <c r="Z106" s="96">
        <f t="array" ref="Z106">SUM(ABS(F106:P106))</f>
        <v>107560.33</v>
      </c>
      <c r="AB106" s="3"/>
      <c r="AC106" s="3"/>
      <c r="AD106" s="95"/>
      <c r="AE106" s="95"/>
      <c r="AF106" s="95"/>
      <c r="AG106" s="95"/>
      <c r="AH106" s="482"/>
      <c r="AI106" s="482"/>
      <c r="AJ106" s="482"/>
      <c r="AK106" s="482"/>
      <c r="AL106" s="482"/>
    </row>
    <row r="107" spans="1:38" x14ac:dyDescent="0.15">
      <c r="A107" s="12" t="s">
        <v>235</v>
      </c>
      <c r="B107" s="13" t="s">
        <v>236</v>
      </c>
      <c r="C107" s="13" t="s">
        <v>27</v>
      </c>
      <c r="D107" s="13" t="s">
        <v>28</v>
      </c>
      <c r="E107" s="12" t="s">
        <v>29</v>
      </c>
      <c r="F107" s="14">
        <v>0</v>
      </c>
      <c r="G107" s="14">
        <v>0</v>
      </c>
      <c r="H107" s="14">
        <v>0</v>
      </c>
      <c r="I107" s="14">
        <v>0</v>
      </c>
      <c r="J107" s="14">
        <v>0</v>
      </c>
      <c r="K107" s="14">
        <v>0</v>
      </c>
      <c r="L107" s="14">
        <v>0</v>
      </c>
      <c r="M107" s="14">
        <v>0</v>
      </c>
      <c r="N107" s="14"/>
      <c r="O107" s="14">
        <v>9013.5</v>
      </c>
      <c r="P107" s="15">
        <v>404991.72</v>
      </c>
      <c r="Q107" s="16">
        <v>1466815.47</v>
      </c>
      <c r="R107" s="16">
        <v>686942.66</v>
      </c>
      <c r="S107" s="16">
        <v>12987.87</v>
      </c>
      <c r="T107" s="16" t="s">
        <v>2994</v>
      </c>
      <c r="U107" s="16" t="s">
        <v>2994</v>
      </c>
      <c r="V107" s="16" t="s">
        <v>2994</v>
      </c>
      <c r="W107" s="16" t="s">
        <v>2994</v>
      </c>
      <c r="X107" s="16" t="s">
        <v>2994</v>
      </c>
      <c r="Y107" s="3">
        <f t="shared" si="14"/>
        <v>2580751.2200000002</v>
      </c>
      <c r="Z107" s="96">
        <f t="array" ref="Z107">SUM(ABS(F107:P107))</f>
        <v>414005.22</v>
      </c>
      <c r="AB107" s="3"/>
      <c r="AC107" s="3"/>
      <c r="AD107" s="95"/>
      <c r="AE107" s="95"/>
      <c r="AF107" s="95"/>
      <c r="AG107" s="95"/>
      <c r="AH107" s="482"/>
      <c r="AI107" s="482"/>
      <c r="AJ107" s="482"/>
      <c r="AK107" s="482"/>
      <c r="AL107" s="482"/>
    </row>
    <row r="108" spans="1:38" x14ac:dyDescent="0.15">
      <c r="A108" s="12" t="s">
        <v>237</v>
      </c>
      <c r="B108" s="13" t="s">
        <v>238</v>
      </c>
      <c r="C108" s="13" t="s">
        <v>27</v>
      </c>
      <c r="D108" s="13" t="s">
        <v>36</v>
      </c>
      <c r="E108" s="12" t="s">
        <v>32</v>
      </c>
      <c r="F108" s="14">
        <v>0</v>
      </c>
      <c r="G108" s="14">
        <v>0</v>
      </c>
      <c r="H108" s="14">
        <v>0</v>
      </c>
      <c r="I108" s="14">
        <v>0</v>
      </c>
      <c r="J108" s="14">
        <v>0</v>
      </c>
      <c r="K108" s="14">
        <v>0</v>
      </c>
      <c r="L108" s="14">
        <v>0</v>
      </c>
      <c r="M108" s="14">
        <v>0</v>
      </c>
      <c r="N108" s="14"/>
      <c r="O108" s="14">
        <v>188173.23</v>
      </c>
      <c r="P108" s="15">
        <v>12484.04</v>
      </c>
      <c r="Q108" s="16" t="s">
        <v>2994</v>
      </c>
      <c r="R108" s="16" t="s">
        <v>2994</v>
      </c>
      <c r="S108" s="16" t="s">
        <v>2994</v>
      </c>
      <c r="T108" s="16" t="s">
        <v>2994</v>
      </c>
      <c r="U108" s="16" t="s">
        <v>2994</v>
      </c>
      <c r="V108" s="16" t="s">
        <v>2994</v>
      </c>
      <c r="W108" s="16" t="s">
        <v>2994</v>
      </c>
      <c r="X108" s="16" t="s">
        <v>2994</v>
      </c>
      <c r="Y108" s="3">
        <f t="shared" si="14"/>
        <v>200657.27000000002</v>
      </c>
      <c r="Z108" s="96">
        <f t="array" ref="Z108">SUM(ABS(F108:P108))</f>
        <v>200657.27000000002</v>
      </c>
      <c r="AB108" s="3"/>
      <c r="AC108" s="3"/>
      <c r="AD108" s="95"/>
      <c r="AE108" s="95"/>
      <c r="AF108" s="95"/>
      <c r="AG108" s="95"/>
      <c r="AH108" s="482"/>
      <c r="AI108" s="482"/>
      <c r="AJ108" s="482"/>
      <c r="AK108" s="482"/>
      <c r="AL108" s="482"/>
    </row>
    <row r="109" spans="1:38" x14ac:dyDescent="0.15">
      <c r="A109" s="12" t="s">
        <v>239</v>
      </c>
      <c r="B109" s="13" t="s">
        <v>240</v>
      </c>
      <c r="C109" s="13" t="s">
        <v>27</v>
      </c>
      <c r="D109" s="13" t="s">
        <v>36</v>
      </c>
      <c r="E109" s="12" t="s">
        <v>29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/>
      <c r="O109" s="14"/>
      <c r="P109" s="15">
        <v>5363.33</v>
      </c>
      <c r="Q109" s="16">
        <v>19344.89</v>
      </c>
      <c r="R109" s="16" t="s">
        <v>2994</v>
      </c>
      <c r="S109" s="16" t="s">
        <v>2994</v>
      </c>
      <c r="T109" s="16" t="s">
        <v>2994</v>
      </c>
      <c r="U109" s="16" t="s">
        <v>2994</v>
      </c>
      <c r="V109" s="16" t="s">
        <v>2994</v>
      </c>
      <c r="W109" s="16" t="s">
        <v>2994</v>
      </c>
      <c r="X109" s="16" t="s">
        <v>2994</v>
      </c>
      <c r="Y109" s="3">
        <f t="shared" si="14"/>
        <v>24708.22</v>
      </c>
      <c r="Z109" s="96">
        <f t="array" ref="Z109">SUM(ABS(F109:P109))</f>
        <v>5363.33</v>
      </c>
      <c r="AB109" s="3"/>
      <c r="AC109" s="3"/>
      <c r="AD109" s="95"/>
      <c r="AE109" s="95"/>
      <c r="AF109" s="95"/>
      <c r="AG109" s="95"/>
      <c r="AH109" s="482"/>
      <c r="AI109" s="482"/>
      <c r="AJ109" s="482"/>
      <c r="AK109" s="482"/>
      <c r="AL109" s="482"/>
    </row>
    <row r="110" spans="1:38" x14ac:dyDescent="0.15">
      <c r="A110" s="12" t="s">
        <v>241</v>
      </c>
      <c r="B110" s="13" t="s">
        <v>242</v>
      </c>
      <c r="C110" s="13" t="s">
        <v>27</v>
      </c>
      <c r="D110" s="13" t="s">
        <v>40</v>
      </c>
      <c r="E110" s="12" t="s">
        <v>29</v>
      </c>
      <c r="F110" s="14">
        <v>0</v>
      </c>
      <c r="G110" s="14">
        <v>0</v>
      </c>
      <c r="H110" s="14">
        <v>0</v>
      </c>
      <c r="I110" s="14">
        <v>0</v>
      </c>
      <c r="J110" s="14">
        <v>0</v>
      </c>
      <c r="K110" s="14">
        <v>0</v>
      </c>
      <c r="L110" s="14">
        <v>0</v>
      </c>
      <c r="M110" s="14">
        <v>0</v>
      </c>
      <c r="N110" s="14"/>
      <c r="O110" s="14">
        <v>185599.88</v>
      </c>
      <c r="P110" s="15">
        <v>57958.92</v>
      </c>
      <c r="Q110" s="16">
        <v>405224.84</v>
      </c>
      <c r="R110" s="16">
        <v>4926260.8099999996</v>
      </c>
      <c r="S110" s="16">
        <v>5845519.1600000001</v>
      </c>
      <c r="T110" s="16">
        <v>20619.009999999998</v>
      </c>
      <c r="U110" s="16" t="s">
        <v>2994</v>
      </c>
      <c r="V110" s="16" t="s">
        <v>2994</v>
      </c>
      <c r="W110" s="16" t="s">
        <v>2994</v>
      </c>
      <c r="X110" s="16" t="s">
        <v>2994</v>
      </c>
      <c r="Y110" s="3">
        <f t="shared" si="14"/>
        <v>11441182.619999999</v>
      </c>
      <c r="Z110" s="96">
        <f t="array" ref="Z110">SUM(ABS(F110:P110))</f>
        <v>243558.8</v>
      </c>
      <c r="AB110" s="3"/>
      <c r="AC110" s="3"/>
      <c r="AD110" s="95"/>
      <c r="AE110" s="95"/>
      <c r="AF110" s="95"/>
      <c r="AG110" s="95"/>
      <c r="AH110" s="482"/>
      <c r="AI110" s="482"/>
      <c r="AJ110" s="482"/>
      <c r="AK110" s="482"/>
      <c r="AL110" s="482"/>
    </row>
    <row r="111" spans="1:38" x14ac:dyDescent="0.15">
      <c r="A111" s="12" t="s">
        <v>243</v>
      </c>
      <c r="B111" s="13" t="s">
        <v>244</v>
      </c>
      <c r="C111" s="13" t="s">
        <v>27</v>
      </c>
      <c r="D111" s="13" t="s">
        <v>28</v>
      </c>
      <c r="E111" s="12" t="s">
        <v>29</v>
      </c>
      <c r="F111" s="14">
        <v>0</v>
      </c>
      <c r="G111" s="14">
        <v>0</v>
      </c>
      <c r="H111" s="14">
        <v>0</v>
      </c>
      <c r="I111" s="14">
        <v>0</v>
      </c>
      <c r="J111" s="14">
        <v>0</v>
      </c>
      <c r="K111" s="14">
        <v>0</v>
      </c>
      <c r="L111" s="14">
        <v>0</v>
      </c>
      <c r="M111" s="14">
        <v>0</v>
      </c>
      <c r="N111" s="14"/>
      <c r="O111" s="14">
        <v>213853.45</v>
      </c>
      <c r="P111" s="15">
        <v>6982366.7400000002</v>
      </c>
      <c r="Q111" s="16">
        <v>312398.3</v>
      </c>
      <c r="R111" s="16">
        <v>606650.04</v>
      </c>
      <c r="S111" s="16">
        <v>5497092</v>
      </c>
      <c r="T111" s="16">
        <v>141141.39000000001</v>
      </c>
      <c r="U111" s="16" t="s">
        <v>2994</v>
      </c>
      <c r="V111" s="16" t="s">
        <v>2994</v>
      </c>
      <c r="W111" s="16" t="s">
        <v>2994</v>
      </c>
      <c r="X111" s="16" t="s">
        <v>2994</v>
      </c>
      <c r="Y111" s="3">
        <f t="shared" si="14"/>
        <v>13753501.920000002</v>
      </c>
      <c r="Z111" s="96">
        <f t="array" ref="Z111">SUM(ABS(F111:P111))</f>
        <v>7196220.1900000004</v>
      </c>
      <c r="AB111" s="3"/>
      <c r="AC111" s="3"/>
      <c r="AD111" s="95"/>
      <c r="AE111" s="95"/>
      <c r="AF111" s="95"/>
      <c r="AG111" s="95"/>
      <c r="AH111" s="482"/>
      <c r="AI111" s="482"/>
      <c r="AJ111" s="482"/>
      <c r="AK111" s="482"/>
      <c r="AL111" s="482"/>
    </row>
    <row r="112" spans="1:38" x14ac:dyDescent="0.15">
      <c r="A112" s="12" t="s">
        <v>245</v>
      </c>
      <c r="B112" s="13" t="s">
        <v>246</v>
      </c>
      <c r="C112" s="13" t="s">
        <v>27</v>
      </c>
      <c r="D112" s="13" t="s">
        <v>44</v>
      </c>
      <c r="E112" s="12" t="s">
        <v>29</v>
      </c>
      <c r="F112" s="14">
        <v>0</v>
      </c>
      <c r="G112" s="14">
        <v>0</v>
      </c>
      <c r="H112" s="14">
        <v>0</v>
      </c>
      <c r="I112" s="14">
        <v>0</v>
      </c>
      <c r="J112" s="14">
        <v>0</v>
      </c>
      <c r="K112" s="14">
        <v>0</v>
      </c>
      <c r="L112" s="14">
        <v>25275.63</v>
      </c>
      <c r="M112" s="14">
        <v>1818104.54</v>
      </c>
      <c r="N112" s="14">
        <v>1336997.8400000001</v>
      </c>
      <c r="O112" s="14">
        <v>1345162.35</v>
      </c>
      <c r="P112" s="15">
        <v>467414.19</v>
      </c>
      <c r="Q112" s="16">
        <v>6301950.5999999996</v>
      </c>
      <c r="R112" s="16">
        <v>18250.23</v>
      </c>
      <c r="S112" s="16" t="s">
        <v>2994</v>
      </c>
      <c r="T112" s="16" t="s">
        <v>2994</v>
      </c>
      <c r="U112" s="16" t="s">
        <v>2994</v>
      </c>
      <c r="V112" s="16" t="s">
        <v>2994</v>
      </c>
      <c r="W112" s="16" t="s">
        <v>2994</v>
      </c>
      <c r="X112" s="16" t="s">
        <v>2994</v>
      </c>
      <c r="Y112" s="3">
        <f t="shared" si="14"/>
        <v>11313155.379999999</v>
      </c>
      <c r="Z112" s="96">
        <f t="array" ref="Z112">SUM(ABS(F112:P112))</f>
        <v>4992954.55</v>
      </c>
      <c r="AB112" s="3"/>
      <c r="AC112" s="3"/>
      <c r="AD112" s="95"/>
      <c r="AE112" s="95"/>
      <c r="AF112" s="95"/>
      <c r="AG112" s="95"/>
      <c r="AH112" s="482"/>
      <c r="AI112" s="482"/>
      <c r="AJ112" s="482"/>
      <c r="AK112" s="482"/>
      <c r="AL112" s="482"/>
    </row>
    <row r="113" spans="1:38" x14ac:dyDescent="0.15">
      <c r="A113" s="12" t="s">
        <v>248</v>
      </c>
      <c r="B113" s="13" t="s">
        <v>249</v>
      </c>
      <c r="C113" s="13" t="s">
        <v>27</v>
      </c>
      <c r="D113" s="13" t="s">
        <v>28</v>
      </c>
      <c r="E113" s="12" t="s">
        <v>29</v>
      </c>
      <c r="F113" s="14">
        <v>0</v>
      </c>
      <c r="G113" s="14">
        <v>0</v>
      </c>
      <c r="H113" s="14">
        <v>0</v>
      </c>
      <c r="I113" s="14">
        <v>0</v>
      </c>
      <c r="J113" s="14">
        <v>0</v>
      </c>
      <c r="K113" s="14">
        <v>0</v>
      </c>
      <c r="L113" s="14">
        <v>0</v>
      </c>
      <c r="M113" s="14">
        <v>0</v>
      </c>
      <c r="N113" s="14">
        <v>5538.17</v>
      </c>
      <c r="O113" s="14">
        <v>366.94</v>
      </c>
      <c r="P113" s="15">
        <v>59297.46</v>
      </c>
      <c r="Q113" s="16">
        <v>229915.25</v>
      </c>
      <c r="R113" s="16">
        <v>1614714.79</v>
      </c>
      <c r="S113" s="16">
        <v>49035.16</v>
      </c>
      <c r="T113" s="16" t="s">
        <v>2994</v>
      </c>
      <c r="U113" s="16" t="s">
        <v>2994</v>
      </c>
      <c r="V113" s="16" t="s">
        <v>2994</v>
      </c>
      <c r="W113" s="16" t="s">
        <v>2994</v>
      </c>
      <c r="X113" s="16" t="s">
        <v>2994</v>
      </c>
      <c r="Y113" s="3">
        <f t="shared" si="14"/>
        <v>1958867.77</v>
      </c>
      <c r="Z113" s="96">
        <f t="array" ref="Z113">SUM(ABS(F113:P113))</f>
        <v>65202.57</v>
      </c>
      <c r="AB113" s="3"/>
      <c r="AC113" s="3"/>
      <c r="AD113" s="95"/>
      <c r="AE113" s="95"/>
      <c r="AF113" s="95"/>
      <c r="AG113" s="95"/>
      <c r="AH113" s="482"/>
      <c r="AI113" s="482"/>
      <c r="AJ113" s="482"/>
      <c r="AK113" s="482"/>
      <c r="AL113" s="482"/>
    </row>
    <row r="114" spans="1:38" x14ac:dyDescent="0.15">
      <c r="A114" s="12" t="s">
        <v>250</v>
      </c>
      <c r="B114" s="13" t="s">
        <v>251</v>
      </c>
      <c r="C114" s="13" t="s">
        <v>27</v>
      </c>
      <c r="D114" s="13" t="s">
        <v>54</v>
      </c>
      <c r="E114" s="12" t="s">
        <v>29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68794.92</v>
      </c>
      <c r="O114" s="14">
        <v>-68794.92</v>
      </c>
      <c r="P114" s="15">
        <v>41663.269999999997</v>
      </c>
      <c r="Q114" s="16">
        <v>95885.27</v>
      </c>
      <c r="R114" s="16">
        <v>900132.31</v>
      </c>
      <c r="S114" s="16">
        <v>151502.29</v>
      </c>
      <c r="T114" s="16" t="s">
        <v>2994</v>
      </c>
      <c r="U114" s="16" t="s">
        <v>2994</v>
      </c>
      <c r="V114" s="16" t="s">
        <v>2994</v>
      </c>
      <c r="W114" s="16" t="s">
        <v>2994</v>
      </c>
      <c r="X114" s="16" t="s">
        <v>2994</v>
      </c>
      <c r="Y114" s="3">
        <f t="shared" si="14"/>
        <v>1189183.1400000001</v>
      </c>
      <c r="Z114" s="96">
        <f t="array" ref="Z114">SUM(ABS(F114:P114))</f>
        <v>179253.11</v>
      </c>
      <c r="AB114" s="3"/>
      <c r="AC114" s="3"/>
      <c r="AD114" s="95"/>
      <c r="AE114" s="95"/>
      <c r="AF114" s="95"/>
      <c r="AG114" s="95"/>
      <c r="AH114" s="482"/>
      <c r="AI114" s="482"/>
      <c r="AJ114" s="482"/>
      <c r="AK114" s="482"/>
      <c r="AL114" s="482"/>
    </row>
    <row r="115" spans="1:38" x14ac:dyDescent="0.15">
      <c r="A115" s="12" t="s">
        <v>252</v>
      </c>
      <c r="B115" s="13" t="s">
        <v>253</v>
      </c>
      <c r="C115" s="13" t="s">
        <v>27</v>
      </c>
      <c r="D115" s="13" t="s">
        <v>36</v>
      </c>
      <c r="E115" s="12" t="s">
        <v>29</v>
      </c>
      <c r="F115" s="14">
        <v>0</v>
      </c>
      <c r="G115" s="14">
        <v>0</v>
      </c>
      <c r="H115" s="14">
        <v>0</v>
      </c>
      <c r="I115" s="14">
        <v>0</v>
      </c>
      <c r="J115" s="14">
        <v>0</v>
      </c>
      <c r="K115" s="14">
        <v>0</v>
      </c>
      <c r="L115" s="14">
        <v>0</v>
      </c>
      <c r="M115" s="14">
        <v>0</v>
      </c>
      <c r="N115" s="14"/>
      <c r="O115" s="14"/>
      <c r="P115" s="15">
        <v>26995.38</v>
      </c>
      <c r="Q115" s="16">
        <v>23044.19</v>
      </c>
      <c r="R115" s="16" t="s">
        <v>2994</v>
      </c>
      <c r="S115" s="16" t="s">
        <v>2994</v>
      </c>
      <c r="T115" s="16" t="s">
        <v>2994</v>
      </c>
      <c r="U115" s="16" t="s">
        <v>2994</v>
      </c>
      <c r="V115" s="16" t="s">
        <v>2994</v>
      </c>
      <c r="W115" s="16" t="s">
        <v>2994</v>
      </c>
      <c r="X115" s="16" t="s">
        <v>2994</v>
      </c>
      <c r="Y115" s="3">
        <f t="shared" si="14"/>
        <v>50039.57</v>
      </c>
      <c r="Z115" s="96">
        <f t="array" ref="Z115">SUM(ABS(F115:P115))</f>
        <v>26995.38</v>
      </c>
      <c r="AB115" s="3"/>
      <c r="AC115" s="3"/>
      <c r="AD115" s="95"/>
      <c r="AE115" s="95"/>
      <c r="AF115" s="95"/>
      <c r="AG115" s="95"/>
      <c r="AH115" s="482"/>
      <c r="AI115" s="482"/>
      <c r="AJ115" s="482"/>
      <c r="AK115" s="482"/>
      <c r="AL115" s="482"/>
    </row>
    <row r="116" spans="1:38" x14ac:dyDescent="0.15">
      <c r="A116" s="12" t="s">
        <v>254</v>
      </c>
      <c r="B116" s="13" t="s">
        <v>2377</v>
      </c>
      <c r="C116" s="13" t="s">
        <v>27</v>
      </c>
      <c r="D116" s="13" t="s">
        <v>36</v>
      </c>
      <c r="E116" s="12" t="s">
        <v>32</v>
      </c>
      <c r="F116" s="14">
        <v>0</v>
      </c>
      <c r="G116" s="14">
        <v>0</v>
      </c>
      <c r="H116" s="14">
        <v>0</v>
      </c>
      <c r="I116" s="14">
        <v>0</v>
      </c>
      <c r="J116" s="14">
        <v>0</v>
      </c>
      <c r="K116" s="14">
        <v>0</v>
      </c>
      <c r="L116" s="14">
        <v>0</v>
      </c>
      <c r="M116" s="14">
        <v>0</v>
      </c>
      <c r="N116" s="14"/>
      <c r="O116" s="14"/>
      <c r="P116" s="15">
        <v>76855.67</v>
      </c>
      <c r="Q116" s="16">
        <v>160.63999999999999</v>
      </c>
      <c r="R116" s="16" t="s">
        <v>2994</v>
      </c>
      <c r="S116" s="16" t="s">
        <v>2994</v>
      </c>
      <c r="T116" s="16" t="s">
        <v>2994</v>
      </c>
      <c r="U116" s="16" t="s">
        <v>2994</v>
      </c>
      <c r="V116" s="16" t="s">
        <v>2994</v>
      </c>
      <c r="W116" s="16" t="s">
        <v>2994</v>
      </c>
      <c r="X116" s="16" t="s">
        <v>2994</v>
      </c>
      <c r="Y116" s="3">
        <f t="shared" si="14"/>
        <v>77016.31</v>
      </c>
      <c r="Z116" s="96">
        <f t="array" ref="Z116">SUM(ABS(F116:P116))</f>
        <v>76855.67</v>
      </c>
      <c r="AB116" s="3"/>
      <c r="AC116" s="3"/>
      <c r="AD116" s="95"/>
      <c r="AE116" s="95"/>
      <c r="AF116" s="95"/>
      <c r="AG116" s="95"/>
      <c r="AH116" s="482"/>
      <c r="AI116" s="482"/>
      <c r="AJ116" s="482"/>
      <c r="AK116" s="482"/>
      <c r="AL116" s="482"/>
    </row>
    <row r="117" spans="1:38" x14ac:dyDescent="0.15">
      <c r="A117" s="12" t="s">
        <v>255</v>
      </c>
      <c r="B117" s="13" t="s">
        <v>256</v>
      </c>
      <c r="C117" s="13" t="s">
        <v>27</v>
      </c>
      <c r="D117" s="13" t="s">
        <v>36</v>
      </c>
      <c r="E117" s="12" t="s">
        <v>29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/>
      <c r="O117" s="14"/>
      <c r="P117" s="15">
        <v>52854.23</v>
      </c>
      <c r="Q117" s="16">
        <v>126104.97</v>
      </c>
      <c r="R117" s="16" t="s">
        <v>2994</v>
      </c>
      <c r="S117" s="16" t="s">
        <v>2994</v>
      </c>
      <c r="T117" s="16" t="s">
        <v>2994</v>
      </c>
      <c r="U117" s="16" t="s">
        <v>2994</v>
      </c>
      <c r="V117" s="16" t="s">
        <v>2994</v>
      </c>
      <c r="W117" s="16" t="s">
        <v>2994</v>
      </c>
      <c r="X117" s="16" t="s">
        <v>2994</v>
      </c>
      <c r="Y117" s="3">
        <f t="shared" si="14"/>
        <v>178959.2</v>
      </c>
      <c r="Z117" s="96">
        <f t="array" ref="Z117">SUM(ABS(F117:P117))</f>
        <v>52854.23</v>
      </c>
      <c r="AB117" s="3"/>
      <c r="AC117" s="3"/>
      <c r="AD117" s="95"/>
      <c r="AE117" s="95"/>
      <c r="AF117" s="95"/>
      <c r="AG117" s="95"/>
      <c r="AH117" s="482"/>
      <c r="AI117" s="482"/>
      <c r="AJ117" s="482"/>
      <c r="AK117" s="482"/>
      <c r="AL117" s="482"/>
    </row>
    <row r="118" spans="1:38" x14ac:dyDescent="0.15">
      <c r="A118" s="12" t="s">
        <v>257</v>
      </c>
      <c r="B118" s="13" t="s">
        <v>2378</v>
      </c>
      <c r="C118" s="13" t="s">
        <v>27</v>
      </c>
      <c r="D118" s="13" t="s">
        <v>36</v>
      </c>
      <c r="E118" s="12" t="s">
        <v>32</v>
      </c>
      <c r="F118" s="14">
        <v>0</v>
      </c>
      <c r="G118" s="14">
        <v>0</v>
      </c>
      <c r="H118" s="14">
        <v>0</v>
      </c>
      <c r="I118" s="14">
        <v>0</v>
      </c>
      <c r="J118" s="14">
        <v>0</v>
      </c>
      <c r="K118" s="14">
        <v>0</v>
      </c>
      <c r="L118" s="14">
        <v>0</v>
      </c>
      <c r="M118" s="14">
        <v>0</v>
      </c>
      <c r="N118" s="14"/>
      <c r="O118" s="14"/>
      <c r="P118" s="15">
        <v>152850.15</v>
      </c>
      <c r="Q118" s="16">
        <v>1448.55</v>
      </c>
      <c r="R118" s="16" t="s">
        <v>2994</v>
      </c>
      <c r="S118" s="16" t="s">
        <v>2994</v>
      </c>
      <c r="T118" s="16" t="s">
        <v>2994</v>
      </c>
      <c r="U118" s="16" t="s">
        <v>2994</v>
      </c>
      <c r="V118" s="16" t="s">
        <v>2994</v>
      </c>
      <c r="W118" s="16" t="s">
        <v>2994</v>
      </c>
      <c r="X118" s="16" t="s">
        <v>2994</v>
      </c>
      <c r="Y118" s="3">
        <f t="shared" si="14"/>
        <v>154298.69999999998</v>
      </c>
      <c r="Z118" s="96">
        <f t="array" ref="Z118">SUM(ABS(F118:P118))</f>
        <v>152850.15</v>
      </c>
      <c r="AB118" s="3"/>
      <c r="AC118" s="3"/>
      <c r="AD118" s="95"/>
      <c r="AE118" s="95"/>
      <c r="AF118" s="95"/>
      <c r="AG118" s="95"/>
      <c r="AH118" s="482"/>
      <c r="AI118" s="482"/>
      <c r="AJ118" s="482"/>
      <c r="AK118" s="482"/>
      <c r="AL118" s="482"/>
    </row>
    <row r="119" spans="1:38" x14ac:dyDescent="0.15">
      <c r="A119" s="12" t="s">
        <v>258</v>
      </c>
      <c r="B119" s="13" t="s">
        <v>259</v>
      </c>
      <c r="C119" s="13" t="s">
        <v>27</v>
      </c>
      <c r="D119" s="13" t="s">
        <v>54</v>
      </c>
      <c r="E119" s="12" t="s">
        <v>29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/>
      <c r="O119" s="14"/>
      <c r="P119" s="15">
        <v>15509.49</v>
      </c>
      <c r="Q119" s="16">
        <v>408955.42</v>
      </c>
      <c r="R119" s="16">
        <v>84936.2</v>
      </c>
      <c r="S119" s="16" t="s">
        <v>2994</v>
      </c>
      <c r="T119" s="16" t="s">
        <v>2994</v>
      </c>
      <c r="U119" s="16" t="s">
        <v>2994</v>
      </c>
      <c r="V119" s="16" t="s">
        <v>2994</v>
      </c>
      <c r="W119" s="16" t="s">
        <v>2994</v>
      </c>
      <c r="X119" s="16" t="s">
        <v>2994</v>
      </c>
      <c r="Y119" s="3">
        <f t="shared" si="14"/>
        <v>509401.11</v>
      </c>
      <c r="Z119" s="96">
        <f t="array" ref="Z119">SUM(ABS(F119:P119))</f>
        <v>15509.49</v>
      </c>
      <c r="AB119" s="3"/>
      <c r="AC119" s="3"/>
      <c r="AD119" s="95"/>
      <c r="AE119" s="95"/>
      <c r="AF119" s="95"/>
      <c r="AG119" s="95"/>
      <c r="AH119" s="482"/>
      <c r="AI119" s="482"/>
      <c r="AJ119" s="482"/>
      <c r="AK119" s="482"/>
      <c r="AL119" s="482"/>
    </row>
    <row r="120" spans="1:38" x14ac:dyDescent="0.15">
      <c r="A120" s="12" t="s">
        <v>260</v>
      </c>
      <c r="B120" s="13" t="s">
        <v>261</v>
      </c>
      <c r="C120" s="13" t="s">
        <v>27</v>
      </c>
      <c r="D120" s="13" t="s">
        <v>54</v>
      </c>
      <c r="E120" s="12" t="s">
        <v>29</v>
      </c>
      <c r="F120" s="14">
        <v>0</v>
      </c>
      <c r="G120" s="14">
        <v>0</v>
      </c>
      <c r="H120" s="14">
        <v>0</v>
      </c>
      <c r="I120" s="14">
        <v>0</v>
      </c>
      <c r="J120" s="14">
        <v>0</v>
      </c>
      <c r="K120" s="14">
        <v>0</v>
      </c>
      <c r="L120" s="14">
        <v>0</v>
      </c>
      <c r="M120" s="14">
        <v>0</v>
      </c>
      <c r="N120" s="14"/>
      <c r="O120" s="14">
        <v>34784.730000000003</v>
      </c>
      <c r="P120" s="15">
        <v>558714.82999999996</v>
      </c>
      <c r="Q120" s="16">
        <v>1500844.87</v>
      </c>
      <c r="R120" s="16">
        <v>168308.48000000001</v>
      </c>
      <c r="S120" s="16" t="s">
        <v>2994</v>
      </c>
      <c r="T120" s="16" t="s">
        <v>2994</v>
      </c>
      <c r="U120" s="16" t="s">
        <v>2994</v>
      </c>
      <c r="V120" s="16" t="s">
        <v>2994</v>
      </c>
      <c r="W120" s="16" t="s">
        <v>2994</v>
      </c>
      <c r="X120" s="16" t="s">
        <v>2994</v>
      </c>
      <c r="Y120" s="3">
        <f t="shared" si="14"/>
        <v>2262652.91</v>
      </c>
      <c r="Z120" s="96">
        <f t="array" ref="Z120">SUM(ABS(F120:P120))</f>
        <v>593499.55999999994</v>
      </c>
      <c r="AB120" s="3"/>
      <c r="AC120" s="3"/>
      <c r="AD120" s="95"/>
      <c r="AE120" s="95"/>
      <c r="AF120" s="95"/>
      <c r="AG120" s="95"/>
      <c r="AH120" s="482"/>
      <c r="AI120" s="482"/>
      <c r="AJ120" s="482"/>
      <c r="AK120" s="482"/>
      <c r="AL120" s="482"/>
    </row>
    <row r="121" spans="1:38" x14ac:dyDescent="0.15">
      <c r="A121" s="12" t="s">
        <v>262</v>
      </c>
      <c r="B121" s="13" t="s">
        <v>263</v>
      </c>
      <c r="C121" s="13" t="s">
        <v>27</v>
      </c>
      <c r="D121" s="13" t="s">
        <v>40</v>
      </c>
      <c r="E121" s="12" t="s">
        <v>29</v>
      </c>
      <c r="F121" s="14">
        <v>0</v>
      </c>
      <c r="G121" s="14">
        <v>0</v>
      </c>
      <c r="H121" s="14">
        <v>0</v>
      </c>
      <c r="I121" s="14">
        <v>0</v>
      </c>
      <c r="J121" s="14">
        <v>0</v>
      </c>
      <c r="K121" s="14">
        <v>0</v>
      </c>
      <c r="L121" s="14">
        <v>0</v>
      </c>
      <c r="M121" s="14">
        <v>0</v>
      </c>
      <c r="N121" s="14"/>
      <c r="O121" s="14">
        <v>9136.58</v>
      </c>
      <c r="P121" s="15">
        <v>71459.929999999993</v>
      </c>
      <c r="Q121" s="16">
        <v>572506.4</v>
      </c>
      <c r="R121" s="16">
        <v>119698.88</v>
      </c>
      <c r="S121" s="16" t="s">
        <v>2994</v>
      </c>
      <c r="T121" s="16" t="s">
        <v>2994</v>
      </c>
      <c r="U121" s="16" t="s">
        <v>2994</v>
      </c>
      <c r="V121" s="16" t="s">
        <v>2994</v>
      </c>
      <c r="W121" s="16" t="s">
        <v>2994</v>
      </c>
      <c r="X121" s="16" t="s">
        <v>2994</v>
      </c>
      <c r="Y121" s="3">
        <f t="shared" si="14"/>
        <v>772801.79</v>
      </c>
      <c r="Z121" s="96">
        <f t="array" ref="Z121">SUM(ABS(F121:P121))</f>
        <v>80596.509999999995</v>
      </c>
      <c r="AB121" s="3"/>
      <c r="AC121" s="3"/>
      <c r="AD121" s="95"/>
      <c r="AE121" s="95"/>
      <c r="AF121" s="95"/>
      <c r="AG121" s="95"/>
      <c r="AH121" s="482"/>
      <c r="AI121" s="482"/>
      <c r="AJ121" s="482"/>
      <c r="AK121" s="482"/>
      <c r="AL121" s="482"/>
    </row>
    <row r="122" spans="1:38" x14ac:dyDescent="0.15">
      <c r="A122" s="12" t="s">
        <v>264</v>
      </c>
      <c r="B122" s="13" t="s">
        <v>265</v>
      </c>
      <c r="C122" s="13" t="s">
        <v>27</v>
      </c>
      <c r="D122" s="13" t="s">
        <v>40</v>
      </c>
      <c r="E122" s="12" t="s">
        <v>112</v>
      </c>
      <c r="F122" s="14">
        <v>0</v>
      </c>
      <c r="G122" s="14">
        <v>0</v>
      </c>
      <c r="H122" s="14">
        <v>0</v>
      </c>
      <c r="I122" s="14">
        <v>0</v>
      </c>
      <c r="J122" s="14">
        <v>0</v>
      </c>
      <c r="K122" s="14">
        <v>0</v>
      </c>
      <c r="L122" s="14">
        <v>0</v>
      </c>
      <c r="M122" s="14">
        <v>0</v>
      </c>
      <c r="N122" s="14"/>
      <c r="O122" s="14"/>
      <c r="P122" s="15"/>
      <c r="Q122" s="16" t="s">
        <v>2994</v>
      </c>
      <c r="R122" s="16">
        <v>123833.67</v>
      </c>
      <c r="S122" s="16">
        <v>1080778.8400000001</v>
      </c>
      <c r="T122" s="16">
        <v>2040077.85</v>
      </c>
      <c r="U122" s="16">
        <v>6569.78</v>
      </c>
      <c r="V122" s="16" t="s">
        <v>2994</v>
      </c>
      <c r="W122" s="16" t="s">
        <v>2994</v>
      </c>
      <c r="X122" s="16" t="s">
        <v>2994</v>
      </c>
      <c r="Y122" s="3">
        <f t="shared" si="14"/>
        <v>3251260.14</v>
      </c>
      <c r="Z122" s="96">
        <f t="array" ref="Z122">SUM(ABS(F122:P122))</f>
        <v>0</v>
      </c>
      <c r="AB122" s="3"/>
      <c r="AC122" s="3"/>
      <c r="AD122" s="95"/>
      <c r="AE122" s="95"/>
      <c r="AF122" s="95"/>
      <c r="AG122" s="95"/>
      <c r="AH122" s="482"/>
      <c r="AI122" s="482"/>
      <c r="AJ122" s="482"/>
      <c r="AK122" s="482"/>
      <c r="AL122" s="482"/>
    </row>
    <row r="123" spans="1:38" x14ac:dyDescent="0.15">
      <c r="A123" s="12" t="s">
        <v>266</v>
      </c>
      <c r="B123" s="13" t="s">
        <v>267</v>
      </c>
      <c r="C123" s="13" t="s">
        <v>27</v>
      </c>
      <c r="D123" s="13" t="s">
        <v>40</v>
      </c>
      <c r="E123" s="12" t="s">
        <v>45</v>
      </c>
      <c r="F123" s="14">
        <v>0</v>
      </c>
      <c r="G123" s="14">
        <v>0</v>
      </c>
      <c r="H123" s="14">
        <v>0</v>
      </c>
      <c r="I123" s="14">
        <v>0</v>
      </c>
      <c r="J123" s="14">
        <v>0</v>
      </c>
      <c r="K123" s="14">
        <v>0</v>
      </c>
      <c r="L123" s="14">
        <v>0</v>
      </c>
      <c r="M123" s="14">
        <v>0</v>
      </c>
      <c r="N123" s="14"/>
      <c r="O123" s="14">
        <v>74100.3</v>
      </c>
      <c r="P123" s="15">
        <v>93952.53</v>
      </c>
      <c r="Q123" s="16" t="s">
        <v>2994</v>
      </c>
      <c r="R123" s="16">
        <v>23569.94</v>
      </c>
      <c r="S123" s="16">
        <v>99136.93</v>
      </c>
      <c r="T123" s="16" t="s">
        <v>2994</v>
      </c>
      <c r="U123" s="16" t="s">
        <v>2994</v>
      </c>
      <c r="V123" s="16" t="s">
        <v>2994</v>
      </c>
      <c r="W123" s="16" t="s">
        <v>2994</v>
      </c>
      <c r="X123" s="16" t="s">
        <v>2994</v>
      </c>
      <c r="Y123" s="3">
        <f t="shared" si="14"/>
        <v>290759.7</v>
      </c>
      <c r="Z123" s="96">
        <f t="array" ref="Z123">SUM(ABS(F123:P123))</f>
        <v>168052.83000000002</v>
      </c>
      <c r="AB123" s="3"/>
      <c r="AC123" s="3"/>
      <c r="AD123" s="95"/>
      <c r="AE123" s="95"/>
      <c r="AF123" s="95"/>
      <c r="AG123" s="95"/>
      <c r="AH123" s="482"/>
      <c r="AI123" s="482"/>
      <c r="AJ123" s="482"/>
      <c r="AK123" s="482"/>
      <c r="AL123" s="482"/>
    </row>
    <row r="124" spans="1:38" x14ac:dyDescent="0.15">
      <c r="A124" s="12" t="s">
        <v>268</v>
      </c>
      <c r="B124" s="13" t="s">
        <v>269</v>
      </c>
      <c r="C124" s="13" t="s">
        <v>27</v>
      </c>
      <c r="D124" s="13" t="s">
        <v>55</v>
      </c>
      <c r="E124" s="12" t="s">
        <v>29</v>
      </c>
      <c r="F124" s="14">
        <v>0</v>
      </c>
      <c r="G124" s="14">
        <v>0</v>
      </c>
      <c r="H124" s="14">
        <v>0</v>
      </c>
      <c r="I124" s="14">
        <v>0</v>
      </c>
      <c r="J124" s="14">
        <v>0</v>
      </c>
      <c r="K124" s="14">
        <v>0</v>
      </c>
      <c r="L124" s="14">
        <v>0</v>
      </c>
      <c r="M124" s="14">
        <v>0</v>
      </c>
      <c r="N124" s="14"/>
      <c r="O124" s="14">
        <v>1132106.48</v>
      </c>
      <c r="P124" s="15">
        <v>1936776</v>
      </c>
      <c r="Q124" s="16">
        <v>784587.34</v>
      </c>
      <c r="R124" s="16" t="s">
        <v>2994</v>
      </c>
      <c r="S124" s="16" t="s">
        <v>2994</v>
      </c>
      <c r="T124" s="16" t="s">
        <v>2994</v>
      </c>
      <c r="U124" s="16" t="s">
        <v>2994</v>
      </c>
      <c r="V124" s="16" t="s">
        <v>2994</v>
      </c>
      <c r="W124" s="16" t="s">
        <v>2994</v>
      </c>
      <c r="X124" s="16" t="s">
        <v>2994</v>
      </c>
      <c r="Y124" s="3">
        <f t="shared" si="14"/>
        <v>3853469.82</v>
      </c>
      <c r="Z124" s="96">
        <f t="array" ref="Z124">SUM(ABS(F124:P124))</f>
        <v>3068882.48</v>
      </c>
      <c r="AB124" s="3"/>
      <c r="AC124" s="3"/>
      <c r="AD124" s="95"/>
      <c r="AE124" s="95"/>
      <c r="AF124" s="95"/>
      <c r="AG124" s="95"/>
      <c r="AH124" s="482"/>
      <c r="AI124" s="482"/>
      <c r="AJ124" s="482"/>
      <c r="AK124" s="482"/>
      <c r="AL124" s="482"/>
    </row>
    <row r="125" spans="1:38" x14ac:dyDescent="0.15">
      <c r="A125" s="12" t="s">
        <v>270</v>
      </c>
      <c r="B125" s="13" t="s">
        <v>271</v>
      </c>
      <c r="C125" s="13" t="s">
        <v>27</v>
      </c>
      <c r="D125" s="13" t="s">
        <v>55</v>
      </c>
      <c r="E125" s="12" t="s">
        <v>29</v>
      </c>
      <c r="F125" s="14">
        <v>0</v>
      </c>
      <c r="G125" s="14">
        <v>0</v>
      </c>
      <c r="H125" s="14">
        <v>0</v>
      </c>
      <c r="I125" s="14">
        <v>0</v>
      </c>
      <c r="J125" s="14">
        <v>0</v>
      </c>
      <c r="K125" s="14">
        <v>0</v>
      </c>
      <c r="L125" s="14">
        <v>0</v>
      </c>
      <c r="M125" s="14">
        <v>0</v>
      </c>
      <c r="N125" s="14">
        <v>2789.9</v>
      </c>
      <c r="O125" s="14">
        <v>1200719.51</v>
      </c>
      <c r="P125" s="15">
        <v>975419.31</v>
      </c>
      <c r="Q125" s="16">
        <v>429420.97</v>
      </c>
      <c r="R125" s="16" t="s">
        <v>2994</v>
      </c>
      <c r="S125" s="16" t="s">
        <v>2994</v>
      </c>
      <c r="T125" s="16" t="s">
        <v>2994</v>
      </c>
      <c r="U125" s="16" t="s">
        <v>2994</v>
      </c>
      <c r="V125" s="16" t="s">
        <v>2994</v>
      </c>
      <c r="W125" s="16" t="s">
        <v>2994</v>
      </c>
      <c r="X125" s="16" t="s">
        <v>2994</v>
      </c>
      <c r="Y125" s="3">
        <f t="shared" si="14"/>
        <v>2608349.6899999995</v>
      </c>
      <c r="Z125" s="96">
        <f t="array" ref="Z125">SUM(ABS(F125:P125))</f>
        <v>2178928.7199999997</v>
      </c>
      <c r="AB125" s="3"/>
      <c r="AC125" s="3"/>
      <c r="AD125" s="95"/>
      <c r="AE125" s="95"/>
      <c r="AF125" s="95"/>
      <c r="AG125" s="95"/>
      <c r="AH125" s="482"/>
      <c r="AI125" s="482"/>
      <c r="AJ125" s="482"/>
      <c r="AK125" s="482"/>
      <c r="AL125" s="482"/>
    </row>
    <row r="126" spans="1:38" x14ac:dyDescent="0.15">
      <c r="A126" s="12" t="s">
        <v>272</v>
      </c>
      <c r="B126" s="13" t="s">
        <v>273</v>
      </c>
      <c r="C126" s="13" t="s">
        <v>27</v>
      </c>
      <c r="D126" s="13" t="s">
        <v>55</v>
      </c>
      <c r="E126" s="12" t="s">
        <v>29</v>
      </c>
      <c r="F126" s="14">
        <v>0</v>
      </c>
      <c r="G126" s="14">
        <v>0</v>
      </c>
      <c r="H126" s="14">
        <v>0</v>
      </c>
      <c r="I126" s="14">
        <v>0</v>
      </c>
      <c r="J126" s="14">
        <v>0</v>
      </c>
      <c r="K126" s="14">
        <v>0</v>
      </c>
      <c r="L126" s="14">
        <v>0</v>
      </c>
      <c r="M126" s="14">
        <v>0</v>
      </c>
      <c r="N126" s="14"/>
      <c r="O126" s="14">
        <v>105135.8</v>
      </c>
      <c r="P126" s="15">
        <v>1736547.31</v>
      </c>
      <c r="Q126" s="16">
        <v>843791.8</v>
      </c>
      <c r="R126" s="16" t="s">
        <v>2994</v>
      </c>
      <c r="S126" s="16" t="s">
        <v>2994</v>
      </c>
      <c r="T126" s="16" t="s">
        <v>2994</v>
      </c>
      <c r="U126" s="16" t="s">
        <v>2994</v>
      </c>
      <c r="V126" s="16" t="s">
        <v>2994</v>
      </c>
      <c r="W126" s="16" t="s">
        <v>2994</v>
      </c>
      <c r="X126" s="16" t="s">
        <v>2994</v>
      </c>
      <c r="Y126" s="3">
        <f t="shared" si="14"/>
        <v>2685474.91</v>
      </c>
      <c r="Z126" s="96">
        <f t="array" ref="Z126">SUM(ABS(F126:P126))</f>
        <v>1841683.11</v>
      </c>
      <c r="AB126" s="3"/>
      <c r="AC126" s="3"/>
      <c r="AD126" s="95"/>
      <c r="AE126" s="95"/>
      <c r="AF126" s="95"/>
      <c r="AG126" s="95"/>
      <c r="AH126" s="482"/>
      <c r="AI126" s="482"/>
      <c r="AJ126" s="482"/>
      <c r="AK126" s="482"/>
      <c r="AL126" s="482"/>
    </row>
    <row r="127" spans="1:38" x14ac:dyDescent="0.15">
      <c r="A127" s="12" t="s">
        <v>274</v>
      </c>
      <c r="B127" s="13" t="s">
        <v>275</v>
      </c>
      <c r="C127" s="13" t="s">
        <v>27</v>
      </c>
      <c r="D127" s="13" t="s">
        <v>55</v>
      </c>
      <c r="E127" s="12" t="s">
        <v>29</v>
      </c>
      <c r="F127" s="14">
        <v>0</v>
      </c>
      <c r="G127" s="14">
        <v>0</v>
      </c>
      <c r="H127" s="14">
        <v>0</v>
      </c>
      <c r="I127" s="14">
        <v>0</v>
      </c>
      <c r="J127" s="14">
        <v>0</v>
      </c>
      <c r="K127" s="14">
        <v>0</v>
      </c>
      <c r="L127" s="14">
        <v>0</v>
      </c>
      <c r="M127" s="14">
        <v>0</v>
      </c>
      <c r="N127" s="14"/>
      <c r="O127" s="14">
        <v>376301.33</v>
      </c>
      <c r="P127" s="15">
        <v>891785.15</v>
      </c>
      <c r="Q127" s="16">
        <v>384401.4</v>
      </c>
      <c r="R127" s="16" t="s">
        <v>2994</v>
      </c>
      <c r="S127" s="16" t="s">
        <v>2994</v>
      </c>
      <c r="T127" s="16" t="s">
        <v>2994</v>
      </c>
      <c r="U127" s="16" t="s">
        <v>2994</v>
      </c>
      <c r="V127" s="16" t="s">
        <v>2994</v>
      </c>
      <c r="W127" s="16" t="s">
        <v>2994</v>
      </c>
      <c r="X127" s="16" t="s">
        <v>2994</v>
      </c>
      <c r="Y127" s="3">
        <f t="shared" si="14"/>
        <v>1652487.88</v>
      </c>
      <c r="Z127" s="96">
        <f t="array" ref="Z127">SUM(ABS(F127:P127))</f>
        <v>1268086.48</v>
      </c>
      <c r="AB127" s="3"/>
      <c r="AC127" s="3"/>
      <c r="AD127" s="95"/>
      <c r="AE127" s="95"/>
      <c r="AF127" s="95"/>
      <c r="AG127" s="95"/>
      <c r="AH127" s="482"/>
      <c r="AI127" s="482"/>
      <c r="AJ127" s="482"/>
      <c r="AK127" s="482"/>
      <c r="AL127" s="482"/>
    </row>
    <row r="128" spans="1:38" x14ac:dyDescent="0.15">
      <c r="A128" s="12" t="s">
        <v>276</v>
      </c>
      <c r="B128" s="13" t="s">
        <v>2379</v>
      </c>
      <c r="C128" s="13" t="s">
        <v>27</v>
      </c>
      <c r="D128" s="13" t="s">
        <v>36</v>
      </c>
      <c r="E128" s="12" t="s">
        <v>32</v>
      </c>
      <c r="F128" s="14">
        <v>0</v>
      </c>
      <c r="G128" s="14">
        <v>0</v>
      </c>
      <c r="H128" s="14">
        <v>0</v>
      </c>
      <c r="I128" s="14">
        <v>0</v>
      </c>
      <c r="J128" s="14">
        <v>0</v>
      </c>
      <c r="K128" s="14">
        <v>0</v>
      </c>
      <c r="L128" s="14">
        <v>0</v>
      </c>
      <c r="M128" s="14">
        <v>0</v>
      </c>
      <c r="N128" s="14"/>
      <c r="O128" s="14"/>
      <c r="P128" s="15">
        <v>276166.64</v>
      </c>
      <c r="Q128" s="16" t="s">
        <v>2994</v>
      </c>
      <c r="R128" s="16" t="s">
        <v>2994</v>
      </c>
      <c r="S128" s="16" t="s">
        <v>2994</v>
      </c>
      <c r="T128" s="16" t="s">
        <v>2994</v>
      </c>
      <c r="U128" s="16" t="s">
        <v>2994</v>
      </c>
      <c r="V128" s="16" t="s">
        <v>2994</v>
      </c>
      <c r="W128" s="16" t="s">
        <v>2994</v>
      </c>
      <c r="X128" s="16" t="s">
        <v>2994</v>
      </c>
      <c r="Y128" s="3">
        <f t="shared" si="14"/>
        <v>276166.64</v>
      </c>
      <c r="Z128" s="96">
        <f t="array" ref="Z128">SUM(ABS(F128:P128))</f>
        <v>276166.64</v>
      </c>
      <c r="AB128" s="3"/>
      <c r="AC128" s="3"/>
      <c r="AD128" s="95"/>
      <c r="AE128" s="95"/>
      <c r="AF128" s="95"/>
      <c r="AG128" s="95"/>
      <c r="AH128" s="482"/>
      <c r="AI128" s="482"/>
      <c r="AJ128" s="482"/>
      <c r="AK128" s="482"/>
      <c r="AL128" s="482"/>
    </row>
    <row r="129" spans="1:38" x14ac:dyDescent="0.15">
      <c r="A129" s="12" t="s">
        <v>277</v>
      </c>
      <c r="B129" s="13" t="s">
        <v>278</v>
      </c>
      <c r="C129" s="13" t="s">
        <v>27</v>
      </c>
      <c r="D129" s="13" t="s">
        <v>60</v>
      </c>
      <c r="E129" s="12" t="s">
        <v>32</v>
      </c>
      <c r="F129" s="14">
        <v>0</v>
      </c>
      <c r="G129" s="14">
        <v>0</v>
      </c>
      <c r="H129" s="14">
        <v>0</v>
      </c>
      <c r="I129" s="14">
        <v>0</v>
      </c>
      <c r="J129" s="14">
        <v>0</v>
      </c>
      <c r="K129" s="14">
        <v>0</v>
      </c>
      <c r="L129" s="14">
        <v>0</v>
      </c>
      <c r="M129" s="14">
        <v>0</v>
      </c>
      <c r="N129" s="14"/>
      <c r="O129" s="14"/>
      <c r="P129" s="15">
        <v>1433079.98</v>
      </c>
      <c r="Q129" s="16">
        <v>295783.74</v>
      </c>
      <c r="R129" s="16" t="s">
        <v>2994</v>
      </c>
      <c r="S129" s="16" t="s">
        <v>2994</v>
      </c>
      <c r="T129" s="16" t="s">
        <v>2994</v>
      </c>
      <c r="U129" s="16" t="s">
        <v>2994</v>
      </c>
      <c r="V129" s="16" t="s">
        <v>2994</v>
      </c>
      <c r="W129" s="16" t="s">
        <v>2994</v>
      </c>
      <c r="X129" s="16" t="s">
        <v>2994</v>
      </c>
      <c r="Y129" s="3">
        <f t="shared" si="14"/>
        <v>1728863.72</v>
      </c>
      <c r="Z129" s="96">
        <f t="array" ref="Z129">SUM(ABS(F129:P129))</f>
        <v>1433079.98</v>
      </c>
      <c r="AB129" s="3"/>
      <c r="AC129" s="3"/>
      <c r="AD129" s="95"/>
      <c r="AE129" s="95"/>
      <c r="AF129" s="95"/>
      <c r="AG129" s="95"/>
      <c r="AH129" s="482"/>
      <c r="AI129" s="482"/>
      <c r="AJ129" s="482"/>
      <c r="AK129" s="482"/>
      <c r="AL129" s="482"/>
    </row>
    <row r="130" spans="1:38" x14ac:dyDescent="0.15">
      <c r="A130" s="12" t="s">
        <v>280</v>
      </c>
      <c r="B130" s="13" t="s">
        <v>281</v>
      </c>
      <c r="C130" s="13" t="s">
        <v>27</v>
      </c>
      <c r="D130" s="13" t="s">
        <v>40</v>
      </c>
      <c r="E130" s="12" t="s">
        <v>32</v>
      </c>
      <c r="F130" s="14">
        <v>0</v>
      </c>
      <c r="G130" s="14">
        <v>0</v>
      </c>
      <c r="H130" s="14">
        <v>0</v>
      </c>
      <c r="I130" s="14">
        <v>0</v>
      </c>
      <c r="J130" s="14">
        <v>0</v>
      </c>
      <c r="K130" s="14">
        <v>0</v>
      </c>
      <c r="L130" s="14">
        <v>23847.37</v>
      </c>
      <c r="M130" s="14">
        <v>215992.62</v>
      </c>
      <c r="N130" s="14">
        <v>3121327.19</v>
      </c>
      <c r="O130" s="14">
        <v>1677702.37</v>
      </c>
      <c r="P130" s="15">
        <v>123214.48</v>
      </c>
      <c r="Q130" s="16" t="s">
        <v>2994</v>
      </c>
      <c r="R130" s="16" t="s">
        <v>2994</v>
      </c>
      <c r="S130" s="16" t="s">
        <v>2994</v>
      </c>
      <c r="T130" s="16" t="s">
        <v>2994</v>
      </c>
      <c r="U130" s="16" t="s">
        <v>2994</v>
      </c>
      <c r="V130" s="16" t="s">
        <v>2994</v>
      </c>
      <c r="W130" s="16" t="s">
        <v>2994</v>
      </c>
      <c r="X130" s="16" t="s">
        <v>2994</v>
      </c>
      <c r="Y130" s="3">
        <f t="shared" si="14"/>
        <v>5162084.03</v>
      </c>
      <c r="Z130" s="96">
        <f t="array" ref="Z130">SUM(ABS(F130:P130))</f>
        <v>5162084.03</v>
      </c>
      <c r="AB130" s="3"/>
      <c r="AC130" s="3"/>
      <c r="AD130" s="95"/>
      <c r="AE130" s="95"/>
      <c r="AF130" s="95"/>
      <c r="AG130" s="95"/>
      <c r="AH130" s="482"/>
      <c r="AI130" s="482"/>
      <c r="AJ130" s="482"/>
      <c r="AK130" s="482"/>
      <c r="AL130" s="482"/>
    </row>
    <row r="131" spans="1:38" x14ac:dyDescent="0.15">
      <c r="A131" s="12" t="s">
        <v>282</v>
      </c>
      <c r="B131" s="13" t="s">
        <v>283</v>
      </c>
      <c r="C131" s="13" t="s">
        <v>27</v>
      </c>
      <c r="D131" s="13" t="s">
        <v>28</v>
      </c>
      <c r="E131" s="12" t="s">
        <v>45</v>
      </c>
      <c r="F131" s="14">
        <v>0</v>
      </c>
      <c r="G131" s="14">
        <v>0</v>
      </c>
      <c r="H131" s="14">
        <v>0</v>
      </c>
      <c r="I131" s="14">
        <v>0</v>
      </c>
      <c r="J131" s="14">
        <v>0</v>
      </c>
      <c r="K131" s="14">
        <v>0</v>
      </c>
      <c r="L131" s="14">
        <v>0</v>
      </c>
      <c r="M131" s="14">
        <v>0</v>
      </c>
      <c r="N131" s="14"/>
      <c r="O131" s="14">
        <v>189979.94</v>
      </c>
      <c r="P131" s="15">
        <v>69611.05</v>
      </c>
      <c r="Q131" s="16" t="s">
        <v>2994</v>
      </c>
      <c r="R131" s="16">
        <v>329199.02</v>
      </c>
      <c r="S131" s="16">
        <v>438705.14</v>
      </c>
      <c r="T131" s="16" t="s">
        <v>2994</v>
      </c>
      <c r="U131" s="16" t="s">
        <v>2994</v>
      </c>
      <c r="V131" s="16" t="s">
        <v>2994</v>
      </c>
      <c r="W131" s="16" t="s">
        <v>2994</v>
      </c>
      <c r="X131" s="16" t="s">
        <v>2994</v>
      </c>
      <c r="Y131" s="3">
        <f t="shared" si="14"/>
        <v>1027495.15</v>
      </c>
      <c r="Z131" s="96">
        <f t="array" ref="Z131">SUM(ABS(F131:P131))</f>
        <v>259590.99</v>
      </c>
      <c r="AB131" s="3"/>
      <c r="AC131" s="3"/>
      <c r="AD131" s="95"/>
      <c r="AE131" s="95"/>
      <c r="AF131" s="95"/>
      <c r="AG131" s="95"/>
      <c r="AH131" s="482"/>
      <c r="AI131" s="482"/>
      <c r="AJ131" s="482"/>
      <c r="AK131" s="482"/>
      <c r="AL131" s="482"/>
    </row>
    <row r="132" spans="1:38" x14ac:dyDescent="0.15">
      <c r="A132" s="12" t="s">
        <v>284</v>
      </c>
      <c r="B132" s="13" t="s">
        <v>2380</v>
      </c>
      <c r="C132" s="13" t="s">
        <v>27</v>
      </c>
      <c r="D132" s="13" t="s">
        <v>36</v>
      </c>
      <c r="E132" s="12" t="s">
        <v>32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/>
      <c r="O132" s="14"/>
      <c r="P132" s="15">
        <v>83668.19</v>
      </c>
      <c r="Q132" s="16" t="s">
        <v>2994</v>
      </c>
      <c r="R132" s="16" t="s">
        <v>2994</v>
      </c>
      <c r="S132" s="16" t="s">
        <v>2994</v>
      </c>
      <c r="T132" s="16" t="s">
        <v>2994</v>
      </c>
      <c r="U132" s="16" t="s">
        <v>2994</v>
      </c>
      <c r="V132" s="16" t="s">
        <v>2994</v>
      </c>
      <c r="W132" s="16" t="s">
        <v>2994</v>
      </c>
      <c r="X132" s="16" t="s">
        <v>2994</v>
      </c>
      <c r="Y132" s="3">
        <f t="shared" si="14"/>
        <v>83668.19</v>
      </c>
      <c r="Z132" s="96">
        <f t="array" ref="Z132">SUM(ABS(F132:P132))</f>
        <v>83668.19</v>
      </c>
      <c r="AB132" s="3"/>
      <c r="AC132" s="3"/>
      <c r="AD132" s="95"/>
      <c r="AE132" s="95"/>
      <c r="AF132" s="95"/>
      <c r="AG132" s="95"/>
      <c r="AH132" s="482"/>
      <c r="AI132" s="482"/>
      <c r="AJ132" s="482"/>
      <c r="AK132" s="482"/>
      <c r="AL132" s="482"/>
    </row>
    <row r="133" spans="1:38" x14ac:dyDescent="0.15">
      <c r="A133" s="12" t="s">
        <v>285</v>
      </c>
      <c r="B133" s="13" t="s">
        <v>286</v>
      </c>
      <c r="C133" s="13" t="s">
        <v>27</v>
      </c>
      <c r="D133" s="13" t="s">
        <v>36</v>
      </c>
      <c r="E133" s="12" t="s">
        <v>29</v>
      </c>
      <c r="F133" s="14">
        <v>0</v>
      </c>
      <c r="G133" s="14">
        <v>0</v>
      </c>
      <c r="H133" s="14">
        <v>0</v>
      </c>
      <c r="I133" s="14">
        <v>0</v>
      </c>
      <c r="J133" s="14">
        <v>0</v>
      </c>
      <c r="K133" s="14">
        <v>0</v>
      </c>
      <c r="L133" s="14">
        <v>0</v>
      </c>
      <c r="M133" s="14">
        <v>0</v>
      </c>
      <c r="N133" s="14"/>
      <c r="O133" s="14"/>
      <c r="P133" s="15"/>
      <c r="Q133" s="16">
        <v>224699.75</v>
      </c>
      <c r="R133" s="16" t="s">
        <v>2994</v>
      </c>
      <c r="S133" s="16" t="s">
        <v>2994</v>
      </c>
      <c r="T133" s="16" t="s">
        <v>2994</v>
      </c>
      <c r="U133" s="16" t="s">
        <v>2994</v>
      </c>
      <c r="V133" s="16" t="s">
        <v>2994</v>
      </c>
      <c r="W133" s="16" t="s">
        <v>2994</v>
      </c>
      <c r="X133" s="16" t="s">
        <v>2994</v>
      </c>
      <c r="Y133" s="3">
        <f t="shared" ref="Y133:Y156" si="15">SUM(F133:X133)</f>
        <v>224699.75</v>
      </c>
      <c r="Z133" s="96">
        <f t="array" ref="Z133">SUM(ABS(F133:P133))</f>
        <v>0</v>
      </c>
      <c r="AB133" s="3"/>
      <c r="AC133" s="3"/>
      <c r="AD133" s="95"/>
      <c r="AE133" s="95"/>
      <c r="AF133" s="95"/>
      <c r="AG133" s="95"/>
      <c r="AH133" s="482"/>
      <c r="AI133" s="482"/>
      <c r="AJ133" s="482"/>
      <c r="AK133" s="482"/>
      <c r="AL133" s="482"/>
    </row>
    <row r="134" spans="1:38" x14ac:dyDescent="0.15">
      <c r="A134" s="12" t="s">
        <v>287</v>
      </c>
      <c r="B134" s="13" t="s">
        <v>288</v>
      </c>
      <c r="C134" s="13" t="s">
        <v>27</v>
      </c>
      <c r="D134" s="13" t="s">
        <v>28</v>
      </c>
      <c r="E134" s="12" t="s">
        <v>32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/>
      <c r="O134" s="14"/>
      <c r="P134" s="15"/>
      <c r="Q134" s="16">
        <v>335.83</v>
      </c>
      <c r="R134" s="16">
        <v>1354.32</v>
      </c>
      <c r="S134" s="16" t="s">
        <v>2994</v>
      </c>
      <c r="T134" s="16" t="s">
        <v>2994</v>
      </c>
      <c r="U134" s="16" t="s">
        <v>2994</v>
      </c>
      <c r="V134" s="16" t="s">
        <v>2994</v>
      </c>
      <c r="W134" s="16" t="s">
        <v>2994</v>
      </c>
      <c r="X134" s="16" t="s">
        <v>2994</v>
      </c>
      <c r="Y134" s="3">
        <f t="shared" si="15"/>
        <v>1690.1499999999999</v>
      </c>
      <c r="Z134" s="96">
        <f t="array" ref="Z134">SUM(ABS(F134:P134))</f>
        <v>0</v>
      </c>
      <c r="AB134" s="3"/>
      <c r="AC134" s="3"/>
      <c r="AD134" s="95"/>
      <c r="AE134" s="95"/>
      <c r="AF134" s="95"/>
      <c r="AG134" s="95"/>
      <c r="AH134" s="482"/>
      <c r="AI134" s="482"/>
      <c r="AJ134" s="482"/>
      <c r="AK134" s="482"/>
      <c r="AL134" s="482"/>
    </row>
    <row r="135" spans="1:38" x14ac:dyDescent="0.15">
      <c r="A135" s="12" t="s">
        <v>289</v>
      </c>
      <c r="B135" s="13" t="s">
        <v>290</v>
      </c>
      <c r="C135" s="13" t="s">
        <v>27</v>
      </c>
      <c r="D135" s="13" t="s">
        <v>40</v>
      </c>
      <c r="E135" s="12" t="s">
        <v>29</v>
      </c>
      <c r="F135" s="14">
        <v>0</v>
      </c>
      <c r="G135" s="14">
        <v>0</v>
      </c>
      <c r="H135" s="14">
        <v>0</v>
      </c>
      <c r="I135" s="14">
        <v>0</v>
      </c>
      <c r="J135" s="14">
        <v>0</v>
      </c>
      <c r="K135" s="14">
        <v>0</v>
      </c>
      <c r="L135" s="14">
        <v>0</v>
      </c>
      <c r="M135" s="14">
        <v>0</v>
      </c>
      <c r="N135" s="14"/>
      <c r="O135" s="14"/>
      <c r="P135" s="15">
        <v>9229.4500000000007</v>
      </c>
      <c r="Q135" s="16">
        <v>4230967.83</v>
      </c>
      <c r="R135" s="16">
        <v>7637214.3699999992</v>
      </c>
      <c r="S135" s="16" t="s">
        <v>2994</v>
      </c>
      <c r="T135" s="16" t="s">
        <v>2994</v>
      </c>
      <c r="U135" s="16" t="s">
        <v>2994</v>
      </c>
      <c r="V135" s="16" t="s">
        <v>2994</v>
      </c>
      <c r="W135" s="16" t="s">
        <v>2994</v>
      </c>
      <c r="X135" s="16" t="s">
        <v>2994</v>
      </c>
      <c r="Y135" s="3">
        <f t="shared" si="15"/>
        <v>11877411.649999999</v>
      </c>
      <c r="Z135" s="96">
        <f t="array" ref="Z135">SUM(ABS(F135:P135))</f>
        <v>9229.4500000000007</v>
      </c>
      <c r="AB135" s="3"/>
      <c r="AC135" s="3"/>
      <c r="AD135" s="95"/>
      <c r="AE135" s="95"/>
      <c r="AF135" s="95"/>
      <c r="AG135" s="95"/>
      <c r="AH135" s="482"/>
      <c r="AI135" s="482"/>
      <c r="AJ135" s="482"/>
      <c r="AK135" s="482"/>
      <c r="AL135" s="482"/>
    </row>
    <row r="136" spans="1:38" x14ac:dyDescent="0.15">
      <c r="A136" s="12" t="s">
        <v>291</v>
      </c>
      <c r="B136" s="13" t="s">
        <v>292</v>
      </c>
      <c r="C136" s="13" t="s">
        <v>27</v>
      </c>
      <c r="D136" s="13" t="s">
        <v>54</v>
      </c>
      <c r="E136" s="12" t="s">
        <v>29</v>
      </c>
      <c r="F136" s="14">
        <v>0</v>
      </c>
      <c r="G136" s="14">
        <v>0</v>
      </c>
      <c r="H136" s="14">
        <v>0</v>
      </c>
      <c r="I136" s="14">
        <v>0</v>
      </c>
      <c r="J136" s="14">
        <v>0</v>
      </c>
      <c r="K136" s="14">
        <v>0</v>
      </c>
      <c r="L136" s="14">
        <v>0</v>
      </c>
      <c r="M136" s="14">
        <v>0</v>
      </c>
      <c r="N136" s="14"/>
      <c r="O136" s="14">
        <v>20669.349999999999</v>
      </c>
      <c r="P136" s="15">
        <v>91992.08</v>
      </c>
      <c r="Q136" s="16">
        <v>1752995.51</v>
      </c>
      <c r="R136" s="16">
        <v>396702.32</v>
      </c>
      <c r="S136" s="16">
        <v>81046.94</v>
      </c>
      <c r="T136" s="16" t="s">
        <v>2994</v>
      </c>
      <c r="U136" s="16" t="s">
        <v>2994</v>
      </c>
      <c r="V136" s="16" t="s">
        <v>2994</v>
      </c>
      <c r="W136" s="16" t="s">
        <v>2994</v>
      </c>
      <c r="X136" s="16" t="s">
        <v>2994</v>
      </c>
      <c r="Y136" s="3">
        <f t="shared" si="15"/>
        <v>2343406.1999999997</v>
      </c>
      <c r="Z136" s="96">
        <f t="array" ref="Z136">SUM(ABS(F136:P136))</f>
        <v>112661.43</v>
      </c>
      <c r="AB136" s="3"/>
      <c r="AC136" s="3"/>
      <c r="AD136" s="95"/>
      <c r="AE136" s="95"/>
      <c r="AF136" s="95"/>
      <c r="AG136" s="95"/>
      <c r="AH136" s="482"/>
      <c r="AI136" s="482"/>
      <c r="AJ136" s="482"/>
      <c r="AK136" s="482"/>
      <c r="AL136" s="482"/>
    </row>
    <row r="137" spans="1:38" x14ac:dyDescent="0.15">
      <c r="A137" s="12" t="s">
        <v>293</v>
      </c>
      <c r="B137" s="13" t="s">
        <v>294</v>
      </c>
      <c r="C137" s="13" t="s">
        <v>27</v>
      </c>
      <c r="D137" s="13" t="s">
        <v>54</v>
      </c>
      <c r="E137" s="12" t="s">
        <v>45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31134.87</v>
      </c>
      <c r="M137" s="14">
        <v>53363.040000000001</v>
      </c>
      <c r="N137" s="14">
        <v>186355.87</v>
      </c>
      <c r="O137" s="14"/>
      <c r="P137" s="15"/>
      <c r="Q137" s="16" t="s">
        <v>2994</v>
      </c>
      <c r="R137" s="16" t="s">
        <v>2994</v>
      </c>
      <c r="S137" s="16" t="s">
        <v>2994</v>
      </c>
      <c r="T137" s="16" t="s">
        <v>2994</v>
      </c>
      <c r="U137" s="16" t="s">
        <v>2994</v>
      </c>
      <c r="V137" s="16" t="s">
        <v>2994</v>
      </c>
      <c r="W137" s="16" t="s">
        <v>2994</v>
      </c>
      <c r="X137" s="16" t="s">
        <v>2994</v>
      </c>
      <c r="Y137" s="3">
        <f t="shared" si="15"/>
        <v>270853.78000000003</v>
      </c>
      <c r="Z137" s="96">
        <f t="array" ref="Z137">SUM(ABS(F137:P137))</f>
        <v>270853.78000000003</v>
      </c>
      <c r="AB137" s="3"/>
      <c r="AC137" s="3"/>
      <c r="AD137" s="95"/>
      <c r="AE137" s="95"/>
      <c r="AF137" s="95"/>
      <c r="AG137" s="95"/>
      <c r="AH137" s="482"/>
      <c r="AI137" s="482"/>
      <c r="AJ137" s="482"/>
      <c r="AK137" s="482"/>
      <c r="AL137" s="482"/>
    </row>
    <row r="138" spans="1:38" x14ac:dyDescent="0.15">
      <c r="A138" s="12" t="s">
        <v>295</v>
      </c>
      <c r="B138" s="13" t="s">
        <v>296</v>
      </c>
      <c r="C138" s="13" t="s">
        <v>27</v>
      </c>
      <c r="D138" s="13" t="s">
        <v>44</v>
      </c>
      <c r="E138" s="12" t="s">
        <v>29</v>
      </c>
      <c r="F138" s="14">
        <v>0</v>
      </c>
      <c r="G138" s="14">
        <v>0</v>
      </c>
      <c r="H138" s="14">
        <v>0</v>
      </c>
      <c r="I138" s="14">
        <v>0</v>
      </c>
      <c r="J138" s="14">
        <v>0</v>
      </c>
      <c r="K138" s="14">
        <v>0</v>
      </c>
      <c r="L138" s="14">
        <v>0</v>
      </c>
      <c r="M138" s="14">
        <v>0</v>
      </c>
      <c r="N138" s="14">
        <v>607039.51</v>
      </c>
      <c r="O138" s="14">
        <v>92274.96</v>
      </c>
      <c r="P138" s="15">
        <v>141920.79</v>
      </c>
      <c r="Q138" s="16">
        <v>572353.09</v>
      </c>
      <c r="R138" s="16">
        <v>9685.14</v>
      </c>
      <c r="S138" s="16" t="s">
        <v>2994</v>
      </c>
      <c r="T138" s="16" t="s">
        <v>2994</v>
      </c>
      <c r="U138" s="16" t="s">
        <v>2994</v>
      </c>
      <c r="V138" s="16" t="s">
        <v>2994</v>
      </c>
      <c r="W138" s="16" t="s">
        <v>2994</v>
      </c>
      <c r="X138" s="16" t="s">
        <v>2994</v>
      </c>
      <c r="Y138" s="3">
        <f t="shared" si="15"/>
        <v>1423273.49</v>
      </c>
      <c r="Z138" s="96">
        <f t="array" ref="Z138">SUM(ABS(F138:P138))</f>
        <v>841235.26</v>
      </c>
      <c r="AB138" s="3"/>
      <c r="AC138" s="3"/>
      <c r="AD138" s="95"/>
      <c r="AE138" s="95"/>
      <c r="AF138" s="95"/>
      <c r="AG138" s="95"/>
      <c r="AH138" s="482"/>
      <c r="AI138" s="482"/>
      <c r="AJ138" s="482"/>
      <c r="AK138" s="482"/>
      <c r="AL138" s="482"/>
    </row>
    <row r="139" spans="1:38" x14ac:dyDescent="0.15">
      <c r="A139" s="12" t="s">
        <v>297</v>
      </c>
      <c r="B139" s="13" t="s">
        <v>298</v>
      </c>
      <c r="C139" s="13" t="s">
        <v>27</v>
      </c>
      <c r="D139" s="13" t="s">
        <v>44</v>
      </c>
      <c r="E139" s="12" t="s">
        <v>29</v>
      </c>
      <c r="F139" s="14">
        <v>0</v>
      </c>
      <c r="G139" s="14">
        <v>0</v>
      </c>
      <c r="H139" s="14">
        <v>0</v>
      </c>
      <c r="I139" s="14">
        <v>0</v>
      </c>
      <c r="J139" s="14">
        <v>0</v>
      </c>
      <c r="K139" s="14">
        <v>0</v>
      </c>
      <c r="L139" s="14">
        <v>0</v>
      </c>
      <c r="M139" s="14">
        <v>0</v>
      </c>
      <c r="N139" s="14">
        <v>99401.85</v>
      </c>
      <c r="O139" s="14">
        <v>76064.539999999994</v>
      </c>
      <c r="P139" s="15">
        <v>3427784.1</v>
      </c>
      <c r="Q139" s="16">
        <v>2649364.89</v>
      </c>
      <c r="R139" s="16">
        <v>9045.9699999999993</v>
      </c>
      <c r="S139" s="16" t="s">
        <v>2994</v>
      </c>
      <c r="T139" s="16" t="s">
        <v>2994</v>
      </c>
      <c r="U139" s="16" t="s">
        <v>2994</v>
      </c>
      <c r="V139" s="16" t="s">
        <v>2994</v>
      </c>
      <c r="W139" s="16" t="s">
        <v>2994</v>
      </c>
      <c r="X139" s="16" t="s">
        <v>2994</v>
      </c>
      <c r="Y139" s="3">
        <f t="shared" si="15"/>
        <v>6261661.3500000006</v>
      </c>
      <c r="Z139" s="96">
        <f t="array" ref="Z139">SUM(ABS(F139:P139))</f>
        <v>3603250.49</v>
      </c>
      <c r="AB139" s="3"/>
      <c r="AC139" s="3"/>
      <c r="AD139" s="95"/>
      <c r="AE139" s="95"/>
      <c r="AF139" s="95"/>
      <c r="AG139" s="95"/>
      <c r="AH139" s="482"/>
      <c r="AI139" s="482"/>
      <c r="AJ139" s="482"/>
      <c r="AK139" s="482"/>
      <c r="AL139" s="482"/>
    </row>
    <row r="140" spans="1:38" x14ac:dyDescent="0.15">
      <c r="A140" s="12" t="s">
        <v>299</v>
      </c>
      <c r="B140" s="13" t="s">
        <v>2302</v>
      </c>
      <c r="C140" s="13" t="s">
        <v>27</v>
      </c>
      <c r="D140" s="13" t="s">
        <v>55</v>
      </c>
      <c r="E140" s="12" t="s">
        <v>29</v>
      </c>
      <c r="F140" s="14">
        <v>0</v>
      </c>
      <c r="G140" s="14">
        <v>0</v>
      </c>
      <c r="H140" s="14">
        <v>0</v>
      </c>
      <c r="I140" s="14">
        <v>0</v>
      </c>
      <c r="J140" s="14">
        <v>0</v>
      </c>
      <c r="K140" s="14">
        <v>0</v>
      </c>
      <c r="L140" s="14">
        <v>0</v>
      </c>
      <c r="M140" s="14">
        <v>0</v>
      </c>
      <c r="N140" s="14"/>
      <c r="O140" s="14"/>
      <c r="P140" s="15"/>
      <c r="Q140" s="16">
        <v>643198.25</v>
      </c>
      <c r="R140" s="16">
        <v>33124.36</v>
      </c>
      <c r="S140" s="16" t="s">
        <v>2994</v>
      </c>
      <c r="T140" s="16" t="s">
        <v>2994</v>
      </c>
      <c r="U140" s="16" t="s">
        <v>2994</v>
      </c>
      <c r="V140" s="16" t="s">
        <v>2994</v>
      </c>
      <c r="W140" s="16" t="s">
        <v>2994</v>
      </c>
      <c r="X140" s="16" t="s">
        <v>2994</v>
      </c>
      <c r="Y140" s="3">
        <f t="shared" si="15"/>
        <v>676322.61</v>
      </c>
      <c r="Z140" s="96">
        <f t="array" ref="Z140">SUM(ABS(F140:P140))</f>
        <v>0</v>
      </c>
      <c r="AB140" s="3"/>
      <c r="AC140" s="3"/>
      <c r="AD140" s="95"/>
      <c r="AE140" s="95"/>
      <c r="AF140" s="95"/>
      <c r="AG140" s="95"/>
      <c r="AH140" s="482"/>
      <c r="AI140" s="482"/>
      <c r="AJ140" s="482"/>
      <c r="AK140" s="482"/>
      <c r="AL140" s="482"/>
    </row>
    <row r="141" spans="1:38" x14ac:dyDescent="0.15">
      <c r="A141" s="12" t="s">
        <v>300</v>
      </c>
      <c r="B141" s="13" t="s">
        <v>301</v>
      </c>
      <c r="C141" s="13" t="s">
        <v>27</v>
      </c>
      <c r="D141" s="13" t="s">
        <v>40</v>
      </c>
      <c r="E141" s="12" t="s">
        <v>29</v>
      </c>
      <c r="F141" s="14">
        <v>0</v>
      </c>
      <c r="G141" s="14">
        <v>0</v>
      </c>
      <c r="H141" s="14">
        <v>0</v>
      </c>
      <c r="I141" s="14">
        <v>0</v>
      </c>
      <c r="J141" s="14">
        <v>0</v>
      </c>
      <c r="K141" s="14">
        <v>0</v>
      </c>
      <c r="L141" s="14">
        <v>0</v>
      </c>
      <c r="M141" s="14">
        <v>37048.43</v>
      </c>
      <c r="N141" s="14">
        <v>484827.3</v>
      </c>
      <c r="O141" s="14">
        <v>138716.12</v>
      </c>
      <c r="P141" s="15">
        <v>42278.81</v>
      </c>
      <c r="Q141" s="16">
        <v>2812136.97</v>
      </c>
      <c r="R141" s="16">
        <v>2809368.69</v>
      </c>
      <c r="S141" s="16">
        <v>483.81</v>
      </c>
      <c r="T141" s="16" t="s">
        <v>2994</v>
      </c>
      <c r="U141" s="16" t="s">
        <v>2994</v>
      </c>
      <c r="V141" s="16" t="s">
        <v>2994</v>
      </c>
      <c r="W141" s="16" t="s">
        <v>2994</v>
      </c>
      <c r="X141" s="16" t="s">
        <v>2994</v>
      </c>
      <c r="Y141" s="3">
        <f t="shared" si="15"/>
        <v>6324860.1299999999</v>
      </c>
      <c r="Z141" s="96">
        <f t="array" ref="Z141">SUM(ABS(F141:P141))</f>
        <v>702870.65999999992</v>
      </c>
      <c r="AB141" s="3"/>
      <c r="AC141" s="3"/>
      <c r="AD141" s="95"/>
      <c r="AE141" s="95"/>
      <c r="AF141" s="95"/>
      <c r="AG141" s="95"/>
      <c r="AH141" s="482"/>
      <c r="AI141" s="482"/>
      <c r="AJ141" s="482"/>
      <c r="AK141" s="482"/>
      <c r="AL141" s="482"/>
    </row>
    <row r="142" spans="1:38" x14ac:dyDescent="0.15">
      <c r="A142" s="12" t="s">
        <v>302</v>
      </c>
      <c r="B142" s="13" t="s">
        <v>303</v>
      </c>
      <c r="C142" s="13" t="s">
        <v>27</v>
      </c>
      <c r="D142" s="13" t="s">
        <v>54</v>
      </c>
      <c r="E142" s="12" t="s">
        <v>29</v>
      </c>
      <c r="F142" s="14">
        <v>0</v>
      </c>
      <c r="G142" s="14">
        <v>0</v>
      </c>
      <c r="H142" s="14">
        <v>0</v>
      </c>
      <c r="I142" s="14">
        <v>0</v>
      </c>
      <c r="J142" s="14">
        <v>0</v>
      </c>
      <c r="K142" s="14">
        <v>0</v>
      </c>
      <c r="L142" s="14">
        <v>0</v>
      </c>
      <c r="M142" s="14">
        <v>0</v>
      </c>
      <c r="N142" s="14">
        <v>490301.42</v>
      </c>
      <c r="O142" s="14">
        <v>531448.59</v>
      </c>
      <c r="P142" s="15">
        <v>1053221.75</v>
      </c>
      <c r="Q142" s="16">
        <v>4666831.3600000003</v>
      </c>
      <c r="R142" s="16">
        <v>1254007.52</v>
      </c>
      <c r="S142" s="16">
        <v>16880.09</v>
      </c>
      <c r="T142" s="16" t="s">
        <v>2994</v>
      </c>
      <c r="U142" s="16" t="s">
        <v>2994</v>
      </c>
      <c r="V142" s="16" t="s">
        <v>2994</v>
      </c>
      <c r="W142" s="16" t="s">
        <v>2994</v>
      </c>
      <c r="X142" s="16" t="s">
        <v>2994</v>
      </c>
      <c r="Y142" s="3">
        <f t="shared" si="15"/>
        <v>8012690.7300000004</v>
      </c>
      <c r="Z142" s="96">
        <f t="array" ref="Z142">SUM(ABS(F142:P142))</f>
        <v>2074971.76</v>
      </c>
      <c r="AB142" s="3"/>
      <c r="AC142" s="3"/>
      <c r="AD142" s="95"/>
      <c r="AE142" s="95"/>
      <c r="AF142" s="95"/>
      <c r="AG142" s="95"/>
      <c r="AH142" s="482"/>
      <c r="AI142" s="482"/>
      <c r="AJ142" s="482"/>
      <c r="AK142" s="482"/>
      <c r="AL142" s="482"/>
    </row>
    <row r="143" spans="1:38" x14ac:dyDescent="0.15">
      <c r="A143" s="12" t="s">
        <v>304</v>
      </c>
      <c r="B143" s="13" t="s">
        <v>305</v>
      </c>
      <c r="C143" s="13" t="s">
        <v>27</v>
      </c>
      <c r="D143" s="13" t="s">
        <v>28</v>
      </c>
      <c r="E143" s="12" t="s">
        <v>32</v>
      </c>
      <c r="F143" s="14">
        <v>0</v>
      </c>
      <c r="G143" s="14">
        <v>0</v>
      </c>
      <c r="H143" s="14">
        <v>0</v>
      </c>
      <c r="I143" s="14">
        <v>0</v>
      </c>
      <c r="J143" s="14">
        <v>0</v>
      </c>
      <c r="K143" s="14">
        <v>0</v>
      </c>
      <c r="L143" s="14">
        <v>0</v>
      </c>
      <c r="M143" s="14">
        <v>0</v>
      </c>
      <c r="N143" s="14">
        <v>8221.2099999999991</v>
      </c>
      <c r="O143" s="14">
        <v>317591.37</v>
      </c>
      <c r="P143" s="15">
        <v>1332108.6299999999</v>
      </c>
      <c r="Q143" s="16">
        <v>1116.27</v>
      </c>
      <c r="R143" s="16" t="s">
        <v>2994</v>
      </c>
      <c r="S143" s="16" t="s">
        <v>2994</v>
      </c>
      <c r="T143" s="16" t="s">
        <v>2994</v>
      </c>
      <c r="U143" s="16" t="s">
        <v>2994</v>
      </c>
      <c r="V143" s="16" t="s">
        <v>2994</v>
      </c>
      <c r="W143" s="16" t="s">
        <v>2994</v>
      </c>
      <c r="X143" s="16" t="s">
        <v>2994</v>
      </c>
      <c r="Y143" s="3">
        <f t="shared" si="15"/>
        <v>1659037.48</v>
      </c>
      <c r="Z143" s="96">
        <f t="array" ref="Z143">SUM(ABS(F143:P143))</f>
        <v>1657921.21</v>
      </c>
      <c r="AB143" s="3"/>
      <c r="AC143" s="3"/>
      <c r="AD143" s="95"/>
      <c r="AE143" s="95"/>
      <c r="AF143" s="95"/>
      <c r="AG143" s="95"/>
      <c r="AH143" s="482"/>
      <c r="AI143" s="482"/>
      <c r="AJ143" s="482"/>
      <c r="AK143" s="482"/>
      <c r="AL143" s="482"/>
    </row>
    <row r="144" spans="1:38" x14ac:dyDescent="0.15">
      <c r="A144" s="12" t="s">
        <v>306</v>
      </c>
      <c r="B144" s="13" t="s">
        <v>307</v>
      </c>
      <c r="C144" s="13" t="s">
        <v>27</v>
      </c>
      <c r="D144" s="13" t="s">
        <v>40</v>
      </c>
      <c r="E144" s="12" t="s">
        <v>29</v>
      </c>
      <c r="F144" s="14">
        <v>0</v>
      </c>
      <c r="G144" s="14">
        <v>0</v>
      </c>
      <c r="H144" s="14">
        <v>0</v>
      </c>
      <c r="I144" s="14">
        <v>0</v>
      </c>
      <c r="J144" s="14">
        <v>0</v>
      </c>
      <c r="K144" s="14">
        <v>0</v>
      </c>
      <c r="L144" s="14">
        <v>0</v>
      </c>
      <c r="M144" s="14">
        <v>0</v>
      </c>
      <c r="N144" s="14"/>
      <c r="O144" s="14"/>
      <c r="P144" s="15">
        <v>87606.14</v>
      </c>
      <c r="Q144" s="16">
        <v>511148.22</v>
      </c>
      <c r="R144" s="16">
        <v>3224241.91</v>
      </c>
      <c r="S144" s="16">
        <v>1802489.4</v>
      </c>
      <c r="T144" s="16" t="s">
        <v>2994</v>
      </c>
      <c r="U144" s="16" t="s">
        <v>2994</v>
      </c>
      <c r="V144" s="16" t="s">
        <v>2994</v>
      </c>
      <c r="W144" s="16" t="s">
        <v>2994</v>
      </c>
      <c r="X144" s="16" t="s">
        <v>2994</v>
      </c>
      <c r="Y144" s="3">
        <f t="shared" si="15"/>
        <v>5625485.6699999999</v>
      </c>
      <c r="Z144" s="96">
        <f t="array" ref="Z144">SUM(ABS(F144:P144))</f>
        <v>87606.14</v>
      </c>
      <c r="AB144" s="3"/>
      <c r="AC144" s="3"/>
      <c r="AD144" s="95"/>
      <c r="AE144" s="95"/>
      <c r="AF144" s="95"/>
      <c r="AG144" s="95"/>
      <c r="AH144" s="482"/>
      <c r="AI144" s="482"/>
      <c r="AJ144" s="482"/>
      <c r="AK144" s="482"/>
      <c r="AL144" s="482"/>
    </row>
    <row r="145" spans="1:38" x14ac:dyDescent="0.15">
      <c r="A145" s="12" t="s">
        <v>308</v>
      </c>
      <c r="B145" s="13" t="s">
        <v>2381</v>
      </c>
      <c r="C145" s="13" t="s">
        <v>27</v>
      </c>
      <c r="D145" s="13" t="s">
        <v>40</v>
      </c>
      <c r="E145" s="12" t="s">
        <v>29</v>
      </c>
      <c r="F145" s="14">
        <v>0</v>
      </c>
      <c r="G145" s="14">
        <v>0</v>
      </c>
      <c r="H145" s="14">
        <v>0</v>
      </c>
      <c r="I145" s="14">
        <v>0</v>
      </c>
      <c r="J145" s="14">
        <v>0</v>
      </c>
      <c r="K145" s="14">
        <v>0</v>
      </c>
      <c r="L145" s="14">
        <v>0</v>
      </c>
      <c r="M145" s="14">
        <v>0</v>
      </c>
      <c r="N145" s="14"/>
      <c r="O145" s="14">
        <v>60003.55</v>
      </c>
      <c r="P145" s="15">
        <v>414454.11</v>
      </c>
      <c r="Q145" s="16">
        <v>1156684.69</v>
      </c>
      <c r="R145" s="16">
        <v>5569792.0300000003</v>
      </c>
      <c r="S145" s="16">
        <v>2400878.88</v>
      </c>
      <c r="T145" s="16" t="s">
        <v>2994</v>
      </c>
      <c r="U145" s="16" t="s">
        <v>2994</v>
      </c>
      <c r="V145" s="16" t="s">
        <v>2994</v>
      </c>
      <c r="W145" s="16" t="s">
        <v>2994</v>
      </c>
      <c r="X145" s="16" t="s">
        <v>2994</v>
      </c>
      <c r="Y145" s="3">
        <f t="shared" si="15"/>
        <v>9601813.2599999998</v>
      </c>
      <c r="Z145" s="96">
        <f t="array" ref="Z145">SUM(ABS(F145:P145))</f>
        <v>474457.66</v>
      </c>
      <c r="AB145" s="3"/>
      <c r="AC145" s="3"/>
      <c r="AD145" s="95"/>
      <c r="AE145" s="95"/>
      <c r="AF145" s="95"/>
      <c r="AG145" s="95"/>
      <c r="AH145" s="482"/>
      <c r="AI145" s="482"/>
      <c r="AJ145" s="482"/>
      <c r="AK145" s="482"/>
      <c r="AL145" s="482"/>
    </row>
    <row r="146" spans="1:38" x14ac:dyDescent="0.15">
      <c r="A146" s="12" t="s">
        <v>310</v>
      </c>
      <c r="B146" s="13" t="s">
        <v>311</v>
      </c>
      <c r="C146" s="13" t="s">
        <v>27</v>
      </c>
      <c r="D146" s="13" t="s">
        <v>40</v>
      </c>
      <c r="E146" s="12" t="s">
        <v>29</v>
      </c>
      <c r="F146" s="14">
        <v>0</v>
      </c>
      <c r="G146" s="14">
        <v>0</v>
      </c>
      <c r="H146" s="14">
        <v>0</v>
      </c>
      <c r="I146" s="14">
        <v>0</v>
      </c>
      <c r="J146" s="14">
        <v>0</v>
      </c>
      <c r="K146" s="14">
        <v>0</v>
      </c>
      <c r="L146" s="14">
        <v>0</v>
      </c>
      <c r="M146" s="14">
        <v>0</v>
      </c>
      <c r="N146" s="14"/>
      <c r="O146" s="14">
        <v>9388.5499999999993</v>
      </c>
      <c r="P146" s="15">
        <v>231514.37</v>
      </c>
      <c r="Q146" s="16">
        <v>1693949.19</v>
      </c>
      <c r="R146" s="16">
        <v>375539.53</v>
      </c>
      <c r="S146" s="16">
        <v>4527.9399999999996</v>
      </c>
      <c r="T146" s="16" t="s">
        <v>2994</v>
      </c>
      <c r="U146" s="16" t="s">
        <v>2994</v>
      </c>
      <c r="V146" s="16" t="s">
        <v>2994</v>
      </c>
      <c r="W146" s="16" t="s">
        <v>2994</v>
      </c>
      <c r="X146" s="16" t="s">
        <v>2994</v>
      </c>
      <c r="Y146" s="3">
        <f t="shared" si="15"/>
        <v>2314919.5799999996</v>
      </c>
      <c r="Z146" s="96">
        <f t="array" ref="Z146">SUM(ABS(F146:P146))</f>
        <v>240902.91999999998</v>
      </c>
      <c r="AB146" s="3"/>
      <c r="AC146" s="3"/>
      <c r="AD146" s="95"/>
      <c r="AE146" s="95"/>
      <c r="AF146" s="95"/>
      <c r="AG146" s="95"/>
      <c r="AH146" s="482"/>
      <c r="AI146" s="482"/>
      <c r="AJ146" s="482"/>
      <c r="AK146" s="482"/>
      <c r="AL146" s="482"/>
    </row>
    <row r="147" spans="1:38" x14ac:dyDescent="0.15">
      <c r="A147" s="12" t="s">
        <v>312</v>
      </c>
      <c r="B147" s="13" t="s">
        <v>313</v>
      </c>
      <c r="C147" s="13" t="s">
        <v>27</v>
      </c>
      <c r="D147" s="13" t="s">
        <v>36</v>
      </c>
      <c r="E147" s="12" t="s">
        <v>29</v>
      </c>
      <c r="F147" s="14">
        <v>0</v>
      </c>
      <c r="G147" s="14">
        <v>0</v>
      </c>
      <c r="H147" s="14">
        <v>0</v>
      </c>
      <c r="I147" s="14">
        <v>0</v>
      </c>
      <c r="J147" s="14">
        <v>0</v>
      </c>
      <c r="K147" s="14">
        <v>0</v>
      </c>
      <c r="L147" s="14">
        <v>0</v>
      </c>
      <c r="M147" s="14">
        <v>0</v>
      </c>
      <c r="N147" s="14"/>
      <c r="O147" s="14"/>
      <c r="P147" s="15"/>
      <c r="Q147" s="16">
        <v>390312.79</v>
      </c>
      <c r="R147" s="16" t="s">
        <v>2994</v>
      </c>
      <c r="S147" s="16" t="s">
        <v>2994</v>
      </c>
      <c r="T147" s="16" t="s">
        <v>2994</v>
      </c>
      <c r="U147" s="16" t="s">
        <v>2994</v>
      </c>
      <c r="V147" s="16" t="s">
        <v>2994</v>
      </c>
      <c r="W147" s="16" t="s">
        <v>2994</v>
      </c>
      <c r="X147" s="16" t="s">
        <v>2994</v>
      </c>
      <c r="Y147" s="3">
        <f t="shared" si="15"/>
        <v>390312.79</v>
      </c>
      <c r="Z147" s="96">
        <f t="array" ref="Z147">SUM(ABS(F147:P147))</f>
        <v>0</v>
      </c>
      <c r="AB147" s="3"/>
      <c r="AC147" s="3"/>
      <c r="AD147" s="95"/>
      <c r="AE147" s="95"/>
      <c r="AF147" s="95"/>
      <c r="AG147" s="95"/>
      <c r="AH147" s="482"/>
      <c r="AI147" s="482"/>
      <c r="AJ147" s="482"/>
      <c r="AK147" s="482"/>
      <c r="AL147" s="482"/>
    </row>
    <row r="148" spans="1:38" x14ac:dyDescent="0.15">
      <c r="A148" s="12" t="s">
        <v>314</v>
      </c>
      <c r="B148" s="13" t="s">
        <v>315</v>
      </c>
      <c r="C148" s="13" t="s">
        <v>27</v>
      </c>
      <c r="D148" s="13" t="s">
        <v>60</v>
      </c>
      <c r="E148" s="12" t="s">
        <v>29</v>
      </c>
      <c r="F148" s="14">
        <v>0</v>
      </c>
      <c r="G148" s="14">
        <v>0</v>
      </c>
      <c r="H148" s="14">
        <v>0</v>
      </c>
      <c r="I148" s="14">
        <v>0</v>
      </c>
      <c r="J148" s="14">
        <v>0</v>
      </c>
      <c r="K148" s="14">
        <v>0</v>
      </c>
      <c r="L148" s="14">
        <v>0</v>
      </c>
      <c r="M148" s="14">
        <v>0</v>
      </c>
      <c r="N148" s="14"/>
      <c r="O148" s="14"/>
      <c r="P148" s="15"/>
      <c r="Q148" s="16">
        <v>448453.02</v>
      </c>
      <c r="R148" s="16" t="s">
        <v>2994</v>
      </c>
      <c r="S148" s="16" t="s">
        <v>2994</v>
      </c>
      <c r="T148" s="16" t="s">
        <v>2994</v>
      </c>
      <c r="U148" s="16" t="s">
        <v>2994</v>
      </c>
      <c r="V148" s="16" t="s">
        <v>2994</v>
      </c>
      <c r="W148" s="16" t="s">
        <v>2994</v>
      </c>
      <c r="X148" s="16" t="s">
        <v>2994</v>
      </c>
      <c r="Y148" s="3">
        <f t="shared" si="15"/>
        <v>448453.02</v>
      </c>
      <c r="Z148" s="96">
        <f t="array" ref="Z148">SUM(ABS(F148:P148))</f>
        <v>0</v>
      </c>
      <c r="AB148" s="3"/>
      <c r="AC148" s="3"/>
      <c r="AD148" s="95"/>
      <c r="AE148" s="95"/>
      <c r="AF148" s="95"/>
      <c r="AG148" s="95"/>
      <c r="AH148" s="482"/>
      <c r="AI148" s="482"/>
      <c r="AJ148" s="482"/>
      <c r="AK148" s="482"/>
      <c r="AL148" s="482"/>
    </row>
    <row r="149" spans="1:38" x14ac:dyDescent="0.15">
      <c r="A149" s="12" t="s">
        <v>318</v>
      </c>
      <c r="B149" s="13" t="s">
        <v>2303</v>
      </c>
      <c r="C149" s="13" t="s">
        <v>27</v>
      </c>
      <c r="D149" s="13" t="s">
        <v>55</v>
      </c>
      <c r="E149" s="12" t="s">
        <v>29</v>
      </c>
      <c r="F149" s="14">
        <v>0</v>
      </c>
      <c r="G149" s="14">
        <v>0</v>
      </c>
      <c r="H149" s="14">
        <v>0</v>
      </c>
      <c r="I149" s="14">
        <v>0</v>
      </c>
      <c r="J149" s="14">
        <v>0</v>
      </c>
      <c r="K149" s="14">
        <v>0</v>
      </c>
      <c r="L149" s="14">
        <v>0</v>
      </c>
      <c r="M149" s="14">
        <v>0</v>
      </c>
      <c r="N149" s="14"/>
      <c r="O149" s="14"/>
      <c r="P149" s="15"/>
      <c r="Q149" s="16">
        <v>189790.78</v>
      </c>
      <c r="R149" s="16" t="s">
        <v>2994</v>
      </c>
      <c r="S149" s="16">
        <v>50262.19</v>
      </c>
      <c r="T149" s="16">
        <v>482403.6</v>
      </c>
      <c r="U149" s="16">
        <v>11474.56</v>
      </c>
      <c r="V149" s="16" t="s">
        <v>2994</v>
      </c>
      <c r="W149" s="16" t="s">
        <v>2994</v>
      </c>
      <c r="X149" s="16" t="s">
        <v>2994</v>
      </c>
      <c r="Y149" s="3">
        <f t="shared" si="15"/>
        <v>733931.13</v>
      </c>
      <c r="Z149" s="96">
        <f t="array" ref="Z149">SUM(ABS(F149:P149))</f>
        <v>0</v>
      </c>
      <c r="AB149" s="3"/>
      <c r="AC149" s="3"/>
      <c r="AD149" s="95"/>
      <c r="AE149" s="95"/>
      <c r="AF149" s="95"/>
      <c r="AG149" s="95"/>
      <c r="AH149" s="482"/>
      <c r="AI149" s="482"/>
      <c r="AJ149" s="482"/>
      <c r="AK149" s="482"/>
      <c r="AL149" s="482"/>
    </row>
    <row r="150" spans="1:38" x14ac:dyDescent="0.15">
      <c r="A150" s="12" t="s">
        <v>319</v>
      </c>
      <c r="B150" s="13" t="s">
        <v>320</v>
      </c>
      <c r="C150" s="13" t="s">
        <v>27</v>
      </c>
      <c r="D150" s="13" t="s">
        <v>55</v>
      </c>
      <c r="E150" s="12" t="s">
        <v>29</v>
      </c>
      <c r="F150" s="14">
        <v>0</v>
      </c>
      <c r="G150" s="14">
        <v>0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/>
      <c r="O150" s="14">
        <v>8096.17</v>
      </c>
      <c r="P150" s="15">
        <v>165269.04</v>
      </c>
      <c r="Q150" s="16">
        <v>310212.11</v>
      </c>
      <c r="R150" s="16">
        <v>4554.6000000000004</v>
      </c>
      <c r="S150" s="16" t="s">
        <v>2994</v>
      </c>
      <c r="T150" s="16" t="s">
        <v>2994</v>
      </c>
      <c r="U150" s="16" t="s">
        <v>2994</v>
      </c>
      <c r="V150" s="16" t="s">
        <v>2994</v>
      </c>
      <c r="W150" s="16" t="s">
        <v>2994</v>
      </c>
      <c r="X150" s="16" t="s">
        <v>2994</v>
      </c>
      <c r="Y150" s="3">
        <f t="shared" si="15"/>
        <v>488131.92</v>
      </c>
      <c r="Z150" s="96">
        <f t="array" ref="Z150">SUM(ABS(F150:P150))</f>
        <v>173365.21000000002</v>
      </c>
      <c r="AB150" s="3"/>
      <c r="AC150" s="3"/>
      <c r="AD150" s="95"/>
      <c r="AE150" s="95"/>
      <c r="AF150" s="95"/>
      <c r="AG150" s="95"/>
      <c r="AH150" s="482"/>
      <c r="AI150" s="482"/>
      <c r="AJ150" s="482"/>
      <c r="AK150" s="482"/>
      <c r="AL150" s="482"/>
    </row>
    <row r="151" spans="1:38" x14ac:dyDescent="0.15">
      <c r="A151" s="12" t="s">
        <v>322</v>
      </c>
      <c r="B151" s="13" t="s">
        <v>323</v>
      </c>
      <c r="C151" s="13" t="s">
        <v>27</v>
      </c>
      <c r="D151" s="13" t="s">
        <v>55</v>
      </c>
      <c r="E151" s="12" t="s">
        <v>112</v>
      </c>
      <c r="F151" s="14">
        <v>0</v>
      </c>
      <c r="G151" s="14">
        <v>0</v>
      </c>
      <c r="H151" s="14">
        <v>0</v>
      </c>
      <c r="I151" s="14">
        <v>0</v>
      </c>
      <c r="J151" s="14">
        <v>0</v>
      </c>
      <c r="K151" s="14">
        <v>0</v>
      </c>
      <c r="L151" s="14">
        <v>0</v>
      </c>
      <c r="M151" s="14">
        <v>0</v>
      </c>
      <c r="N151" s="14"/>
      <c r="O151" s="14"/>
      <c r="P151" s="15"/>
      <c r="Q151" s="16" t="s">
        <v>2994</v>
      </c>
      <c r="R151" s="16" t="s">
        <v>2994</v>
      </c>
      <c r="S151" s="16" t="s">
        <v>2994</v>
      </c>
      <c r="T151" s="16">
        <v>232980.63</v>
      </c>
      <c r="U151" s="16">
        <v>480328.71</v>
      </c>
      <c r="V151" s="16">
        <v>615520.34</v>
      </c>
      <c r="W151" s="16">
        <v>280182.5</v>
      </c>
      <c r="X151" s="16" t="s">
        <v>2994</v>
      </c>
      <c r="Y151" s="3">
        <f t="shared" si="15"/>
        <v>1609012.1800000002</v>
      </c>
      <c r="Z151" s="96">
        <f t="array" ref="Z151">SUM(ABS(F151:P151))</f>
        <v>0</v>
      </c>
      <c r="AB151" s="3"/>
      <c r="AC151" s="3"/>
      <c r="AD151" s="95"/>
      <c r="AE151" s="95"/>
      <c r="AF151" s="95"/>
      <c r="AG151" s="95"/>
      <c r="AH151" s="482"/>
      <c r="AI151" s="482"/>
      <c r="AJ151" s="482"/>
      <c r="AK151" s="482"/>
      <c r="AL151" s="482"/>
    </row>
    <row r="152" spans="1:38" x14ac:dyDescent="0.15">
      <c r="A152" s="608" t="s">
        <v>324</v>
      </c>
      <c r="B152" s="609" t="s">
        <v>325</v>
      </c>
      <c r="C152" s="609" t="s">
        <v>27</v>
      </c>
      <c r="D152" s="609" t="s">
        <v>40</v>
      </c>
      <c r="E152" s="608" t="s">
        <v>29</v>
      </c>
      <c r="F152" s="615">
        <v>0</v>
      </c>
      <c r="G152" s="615">
        <v>0</v>
      </c>
      <c r="H152" s="615">
        <v>0</v>
      </c>
      <c r="I152" s="615">
        <v>0</v>
      </c>
      <c r="J152" s="615">
        <v>0</v>
      </c>
      <c r="K152" s="615">
        <v>0</v>
      </c>
      <c r="L152" s="615">
        <v>0</v>
      </c>
      <c r="M152" s="615">
        <v>3325.07</v>
      </c>
      <c r="N152" s="615">
        <v>665573.62</v>
      </c>
      <c r="O152" s="615">
        <v>655963.36</v>
      </c>
      <c r="P152" s="610">
        <v>2745396.56</v>
      </c>
      <c r="Q152" s="610">
        <v>849798.02500000002</v>
      </c>
      <c r="R152" s="610" t="s">
        <v>2994</v>
      </c>
      <c r="S152" s="610" t="s">
        <v>2994</v>
      </c>
      <c r="T152" s="610" t="s">
        <v>2994</v>
      </c>
      <c r="U152" s="610" t="s">
        <v>2994</v>
      </c>
      <c r="V152" s="610" t="s">
        <v>2994</v>
      </c>
      <c r="W152" s="610" t="s">
        <v>2994</v>
      </c>
      <c r="X152" s="610" t="s">
        <v>2994</v>
      </c>
      <c r="Y152" s="3">
        <f t="shared" si="15"/>
        <v>4920056.6349999998</v>
      </c>
      <c r="Z152" s="96">
        <f t="array" ref="Z152">SUM(ABS(F152:P152))</f>
        <v>4070258.61</v>
      </c>
      <c r="AB152" s="3"/>
      <c r="AC152" s="3"/>
      <c r="AD152" s="783">
        <v>0.25</v>
      </c>
      <c r="AE152" s="783">
        <v>0</v>
      </c>
      <c r="AF152" s="783">
        <v>0</v>
      </c>
      <c r="AG152" s="783">
        <v>0</v>
      </c>
      <c r="AH152" s="783">
        <v>0</v>
      </c>
      <c r="AI152" s="783">
        <v>0</v>
      </c>
      <c r="AJ152" s="783">
        <v>0</v>
      </c>
      <c r="AK152" s="482"/>
      <c r="AL152" s="482"/>
    </row>
    <row r="153" spans="1:38" x14ac:dyDescent="0.15">
      <c r="A153" s="12" t="s">
        <v>326</v>
      </c>
      <c r="B153" s="13" t="s">
        <v>2363</v>
      </c>
      <c r="C153" s="13" t="s">
        <v>27</v>
      </c>
      <c r="D153" s="13" t="s">
        <v>40</v>
      </c>
      <c r="E153" s="12" t="s">
        <v>32</v>
      </c>
      <c r="F153" s="14">
        <v>0</v>
      </c>
      <c r="G153" s="14">
        <v>0</v>
      </c>
      <c r="H153" s="14">
        <v>0</v>
      </c>
      <c r="I153" s="14">
        <v>0</v>
      </c>
      <c r="J153" s="14">
        <v>0</v>
      </c>
      <c r="K153" s="14">
        <v>0</v>
      </c>
      <c r="L153" s="14">
        <v>15962.64</v>
      </c>
      <c r="M153" s="14">
        <v>500401.04</v>
      </c>
      <c r="N153" s="14">
        <v>4492442.0999999996</v>
      </c>
      <c r="O153" s="14">
        <v>1076465.56</v>
      </c>
      <c r="P153" s="15">
        <v>255005.82</v>
      </c>
      <c r="Q153" s="16">
        <v>9399.75</v>
      </c>
      <c r="R153" s="16" t="s">
        <v>2994</v>
      </c>
      <c r="S153" s="16" t="s">
        <v>2994</v>
      </c>
      <c r="T153" s="16" t="s">
        <v>2994</v>
      </c>
      <c r="U153" s="16" t="s">
        <v>2994</v>
      </c>
      <c r="V153" s="16" t="s">
        <v>2994</v>
      </c>
      <c r="W153" s="16" t="s">
        <v>2994</v>
      </c>
      <c r="X153" s="16" t="s">
        <v>2994</v>
      </c>
      <c r="Y153" s="3">
        <f t="shared" si="15"/>
        <v>6349676.9100000001</v>
      </c>
      <c r="Z153" s="96">
        <f t="array" ref="Z153">SUM(ABS(F153:P153))</f>
        <v>6340277.1600000001</v>
      </c>
      <c r="AB153" s="3"/>
      <c r="AC153" s="3"/>
      <c r="AD153" s="95"/>
      <c r="AE153" s="95"/>
      <c r="AF153" s="95"/>
      <c r="AG153" s="95"/>
      <c r="AH153" s="482"/>
      <c r="AI153" s="482"/>
      <c r="AJ153" s="482"/>
      <c r="AK153" s="482"/>
      <c r="AL153" s="482"/>
    </row>
    <row r="154" spans="1:38" x14ac:dyDescent="0.15">
      <c r="A154" s="12" t="s">
        <v>327</v>
      </c>
      <c r="B154" s="13" t="s">
        <v>328</v>
      </c>
      <c r="C154" s="13" t="s">
        <v>27</v>
      </c>
      <c r="D154" s="13" t="s">
        <v>28</v>
      </c>
      <c r="E154" s="12" t="s">
        <v>29</v>
      </c>
      <c r="F154" s="14">
        <v>0</v>
      </c>
      <c r="G154" s="14">
        <v>0</v>
      </c>
      <c r="H154" s="14">
        <v>0</v>
      </c>
      <c r="I154" s="14">
        <v>0</v>
      </c>
      <c r="J154" s="14">
        <v>0</v>
      </c>
      <c r="K154" s="14">
        <v>0</v>
      </c>
      <c r="L154" s="14">
        <v>0</v>
      </c>
      <c r="M154" s="14">
        <v>0</v>
      </c>
      <c r="N154" s="14">
        <v>235792.68</v>
      </c>
      <c r="O154" s="14">
        <v>351063.65</v>
      </c>
      <c r="P154" s="15">
        <v>1940704.88</v>
      </c>
      <c r="Q154" s="16">
        <v>414488.11</v>
      </c>
      <c r="R154" s="16" t="s">
        <v>2994</v>
      </c>
      <c r="S154" s="16" t="s">
        <v>2994</v>
      </c>
      <c r="T154" s="16" t="s">
        <v>2994</v>
      </c>
      <c r="U154" s="16" t="s">
        <v>2994</v>
      </c>
      <c r="V154" s="16" t="s">
        <v>2994</v>
      </c>
      <c r="W154" s="16" t="s">
        <v>2994</v>
      </c>
      <c r="X154" s="16" t="s">
        <v>2994</v>
      </c>
      <c r="Y154" s="3">
        <f t="shared" si="15"/>
        <v>2942049.32</v>
      </c>
      <c r="Z154" s="96">
        <f t="array" ref="Z154">SUM(ABS(F154:P154))</f>
        <v>2527561.21</v>
      </c>
      <c r="AB154" s="3"/>
      <c r="AC154" s="3"/>
      <c r="AD154" s="95"/>
      <c r="AE154" s="95"/>
      <c r="AF154" s="95"/>
      <c r="AG154" s="95"/>
      <c r="AH154" s="482"/>
      <c r="AI154" s="482"/>
      <c r="AJ154" s="482"/>
      <c r="AK154" s="482"/>
      <c r="AL154" s="482"/>
    </row>
    <row r="155" spans="1:38" x14ac:dyDescent="0.15">
      <c r="A155" s="12" t="s">
        <v>329</v>
      </c>
      <c r="B155" s="13" t="s">
        <v>330</v>
      </c>
      <c r="C155" s="13" t="s">
        <v>27</v>
      </c>
      <c r="D155" s="13" t="s">
        <v>31</v>
      </c>
      <c r="E155" s="12" t="s">
        <v>29</v>
      </c>
      <c r="F155" s="14">
        <v>0</v>
      </c>
      <c r="G155" s="14">
        <v>0</v>
      </c>
      <c r="H155" s="14">
        <v>0</v>
      </c>
      <c r="I155" s="14">
        <v>0</v>
      </c>
      <c r="J155" s="14">
        <v>0</v>
      </c>
      <c r="K155" s="14">
        <v>0</v>
      </c>
      <c r="L155" s="14">
        <v>68042.98</v>
      </c>
      <c r="M155" s="14">
        <v>482239.01</v>
      </c>
      <c r="N155" s="14">
        <v>984921.21</v>
      </c>
      <c r="O155" s="14">
        <v>618196.63</v>
      </c>
      <c r="P155" s="15">
        <v>2583838.58</v>
      </c>
      <c r="Q155" s="16">
        <v>2885762.39</v>
      </c>
      <c r="R155" s="16" t="s">
        <v>2994</v>
      </c>
      <c r="S155" s="16" t="s">
        <v>2994</v>
      </c>
      <c r="T155" s="16" t="s">
        <v>2994</v>
      </c>
      <c r="U155" s="16" t="s">
        <v>2994</v>
      </c>
      <c r="V155" s="16" t="s">
        <v>2994</v>
      </c>
      <c r="W155" s="16" t="s">
        <v>2994</v>
      </c>
      <c r="X155" s="16" t="s">
        <v>2994</v>
      </c>
      <c r="Y155" s="3">
        <f t="shared" si="15"/>
        <v>7623000.8000000007</v>
      </c>
      <c r="Z155" s="96">
        <f t="array" ref="Z155">SUM(ABS(F155:P155))</f>
        <v>4737238.41</v>
      </c>
      <c r="AB155" s="3"/>
      <c r="AC155" s="3"/>
      <c r="AD155" s="95"/>
      <c r="AE155" s="95"/>
      <c r="AF155" s="95"/>
      <c r="AG155" s="95"/>
      <c r="AH155" s="482"/>
      <c r="AI155" s="482"/>
      <c r="AJ155" s="482"/>
      <c r="AK155" s="482"/>
      <c r="AL155" s="482"/>
    </row>
    <row r="156" spans="1:38" x14ac:dyDescent="0.15">
      <c r="A156" s="12" t="s">
        <v>332</v>
      </c>
      <c r="B156" s="13" t="s">
        <v>333</v>
      </c>
      <c r="C156" s="13" t="s">
        <v>27</v>
      </c>
      <c r="D156" s="13" t="s">
        <v>54</v>
      </c>
      <c r="E156" s="12" t="s">
        <v>112</v>
      </c>
      <c r="F156" s="14">
        <v>0</v>
      </c>
      <c r="G156" s="14">
        <v>0</v>
      </c>
      <c r="H156" s="14">
        <v>0</v>
      </c>
      <c r="I156" s="14">
        <v>0</v>
      </c>
      <c r="J156" s="14">
        <v>0</v>
      </c>
      <c r="K156" s="14">
        <v>0</v>
      </c>
      <c r="L156" s="14">
        <v>0</v>
      </c>
      <c r="M156" s="14">
        <v>0</v>
      </c>
      <c r="N156" s="14"/>
      <c r="O156" s="14"/>
      <c r="P156" s="15"/>
      <c r="Q156" s="16">
        <v>88663.91</v>
      </c>
      <c r="R156" s="16">
        <v>809462.18</v>
      </c>
      <c r="S156" s="16">
        <v>264870.75</v>
      </c>
      <c r="T156" s="16" t="s">
        <v>2994</v>
      </c>
      <c r="U156" s="16" t="s">
        <v>2994</v>
      </c>
      <c r="V156" s="16" t="s">
        <v>2994</v>
      </c>
      <c r="W156" s="16" t="s">
        <v>2994</v>
      </c>
      <c r="X156" s="16" t="s">
        <v>2994</v>
      </c>
      <c r="Y156" s="3">
        <f t="shared" si="15"/>
        <v>1162996.8400000001</v>
      </c>
      <c r="Z156" s="96">
        <f t="array" ref="Z156">SUM(ABS(F156:P156))</f>
        <v>0</v>
      </c>
      <c r="AB156" s="3"/>
      <c r="AC156" s="3"/>
      <c r="AD156" s="95"/>
      <c r="AE156" s="95"/>
      <c r="AF156" s="95"/>
      <c r="AG156" s="95"/>
      <c r="AH156" s="482"/>
      <c r="AI156" s="482"/>
      <c r="AJ156" s="482"/>
      <c r="AK156" s="482"/>
      <c r="AL156" s="482"/>
    </row>
    <row r="157" spans="1:38" x14ac:dyDescent="0.15">
      <c r="A157" s="12" t="s">
        <v>334</v>
      </c>
      <c r="B157" s="13" t="s">
        <v>335</v>
      </c>
      <c r="C157" s="13" t="s">
        <v>27</v>
      </c>
      <c r="D157" s="13" t="s">
        <v>40</v>
      </c>
      <c r="E157" s="12" t="s">
        <v>29</v>
      </c>
      <c r="F157" s="14">
        <v>0</v>
      </c>
      <c r="G157" s="14">
        <v>0</v>
      </c>
      <c r="H157" s="14">
        <v>0</v>
      </c>
      <c r="I157" s="14">
        <v>0</v>
      </c>
      <c r="J157" s="14">
        <v>0</v>
      </c>
      <c r="K157" s="14">
        <v>0</v>
      </c>
      <c r="L157" s="14">
        <v>0</v>
      </c>
      <c r="M157" s="14">
        <v>0</v>
      </c>
      <c r="N157" s="14">
        <v>553053.62</v>
      </c>
      <c r="O157" s="14">
        <v>2539573.15</v>
      </c>
      <c r="P157" s="15">
        <v>301859.86</v>
      </c>
      <c r="Q157" s="16">
        <v>15513.92</v>
      </c>
      <c r="R157" s="16" t="s">
        <v>2994</v>
      </c>
      <c r="S157" s="16" t="s">
        <v>2994</v>
      </c>
      <c r="T157" s="16" t="s">
        <v>2994</v>
      </c>
      <c r="U157" s="16" t="s">
        <v>2994</v>
      </c>
      <c r="V157" s="16" t="s">
        <v>2994</v>
      </c>
      <c r="W157" s="16" t="s">
        <v>2994</v>
      </c>
      <c r="X157" s="16" t="s">
        <v>2994</v>
      </c>
      <c r="Y157" s="3">
        <f t="shared" ref="Y157:Y185" si="16">SUM(F157:X157)</f>
        <v>3410000.55</v>
      </c>
      <c r="Z157" s="96">
        <f t="array" ref="Z157">SUM(ABS(F157:P157))</f>
        <v>3394486.63</v>
      </c>
      <c r="AB157" s="3"/>
      <c r="AC157" s="3"/>
      <c r="AD157" s="95"/>
      <c r="AE157" s="95"/>
      <c r="AF157" s="95"/>
      <c r="AG157" s="95"/>
      <c r="AH157" s="482"/>
      <c r="AI157" s="482"/>
      <c r="AJ157" s="482"/>
      <c r="AK157" s="482"/>
      <c r="AL157" s="482"/>
    </row>
    <row r="158" spans="1:38" x14ac:dyDescent="0.15">
      <c r="A158" s="12" t="s">
        <v>336</v>
      </c>
      <c r="B158" s="13" t="s">
        <v>337</v>
      </c>
      <c r="C158" s="13" t="s">
        <v>27</v>
      </c>
      <c r="D158" s="13" t="s">
        <v>40</v>
      </c>
      <c r="E158" s="12" t="s">
        <v>112</v>
      </c>
      <c r="F158" s="14">
        <v>0</v>
      </c>
      <c r="G158" s="14">
        <v>0</v>
      </c>
      <c r="H158" s="14">
        <v>0</v>
      </c>
      <c r="I158" s="14">
        <v>0</v>
      </c>
      <c r="J158" s="14">
        <v>0</v>
      </c>
      <c r="K158" s="14">
        <v>0</v>
      </c>
      <c r="L158" s="14">
        <v>0</v>
      </c>
      <c r="M158" s="14">
        <v>0</v>
      </c>
      <c r="N158" s="14"/>
      <c r="O158" s="14"/>
      <c r="P158" s="15"/>
      <c r="Q158" s="16" t="s">
        <v>2994</v>
      </c>
      <c r="R158" s="16" t="s">
        <v>2994</v>
      </c>
      <c r="S158" s="16" t="s">
        <v>2994</v>
      </c>
      <c r="T158" s="16" t="s">
        <v>2994</v>
      </c>
      <c r="U158" s="16">
        <v>116311.16</v>
      </c>
      <c r="V158" s="16">
        <v>152406.03</v>
      </c>
      <c r="W158" s="16">
        <v>138339.10999999999</v>
      </c>
      <c r="X158" s="16" t="s">
        <v>2994</v>
      </c>
      <c r="Y158" s="3">
        <f t="shared" si="16"/>
        <v>407056.3</v>
      </c>
      <c r="Z158" s="96">
        <f t="array" ref="Z158">SUM(ABS(F158:P158))</f>
        <v>0</v>
      </c>
      <c r="AB158" s="3"/>
      <c r="AC158" s="3"/>
      <c r="AD158" s="95"/>
      <c r="AE158" s="95"/>
      <c r="AF158" s="95"/>
      <c r="AG158" s="95"/>
      <c r="AH158" s="482"/>
      <c r="AI158" s="482"/>
      <c r="AJ158" s="482"/>
      <c r="AK158" s="482"/>
      <c r="AL158" s="482"/>
    </row>
    <row r="159" spans="1:38" x14ac:dyDescent="0.15">
      <c r="A159" s="12" t="s">
        <v>338</v>
      </c>
      <c r="B159" s="13" t="s">
        <v>339</v>
      </c>
      <c r="C159" s="13" t="s">
        <v>27</v>
      </c>
      <c r="D159" s="13" t="s">
        <v>40</v>
      </c>
      <c r="E159" s="12" t="s">
        <v>29</v>
      </c>
      <c r="F159" s="14">
        <v>0</v>
      </c>
      <c r="G159" s="14">
        <v>0</v>
      </c>
      <c r="H159" s="14">
        <v>0</v>
      </c>
      <c r="I159" s="14">
        <v>0</v>
      </c>
      <c r="J159" s="14">
        <v>0</v>
      </c>
      <c r="K159" s="14">
        <v>0</v>
      </c>
      <c r="L159" s="14">
        <v>0</v>
      </c>
      <c r="M159" s="14">
        <v>0</v>
      </c>
      <c r="N159" s="14"/>
      <c r="O159" s="14">
        <v>157936.68</v>
      </c>
      <c r="P159" s="15">
        <v>735154.39</v>
      </c>
      <c r="Q159" s="16">
        <v>2604652.92</v>
      </c>
      <c r="R159" s="16">
        <v>1732090.22</v>
      </c>
      <c r="S159" s="16">
        <v>91871.34</v>
      </c>
      <c r="T159" s="16">
        <v>10749.8</v>
      </c>
      <c r="U159" s="16" t="s">
        <v>2994</v>
      </c>
      <c r="V159" s="16" t="s">
        <v>2994</v>
      </c>
      <c r="W159" s="16" t="s">
        <v>2994</v>
      </c>
      <c r="X159" s="16" t="s">
        <v>2994</v>
      </c>
      <c r="Y159" s="3">
        <f t="shared" si="16"/>
        <v>5332455.3499999996</v>
      </c>
      <c r="Z159" s="96">
        <f t="array" ref="Z159">SUM(ABS(F159:P159))</f>
        <v>893091.07000000007</v>
      </c>
      <c r="AB159" s="3"/>
      <c r="AC159" s="3"/>
      <c r="AD159" s="95"/>
      <c r="AE159" s="95"/>
      <c r="AF159" s="95"/>
      <c r="AG159" s="95"/>
      <c r="AH159" s="482"/>
      <c r="AI159" s="482"/>
      <c r="AJ159" s="482"/>
      <c r="AK159" s="482"/>
      <c r="AL159" s="482"/>
    </row>
    <row r="160" spans="1:38" x14ac:dyDescent="0.15">
      <c r="A160" s="12" t="s">
        <v>340</v>
      </c>
      <c r="B160" s="13" t="s">
        <v>142</v>
      </c>
      <c r="C160" s="13" t="s">
        <v>27</v>
      </c>
      <c r="D160" s="13" t="s">
        <v>28</v>
      </c>
      <c r="E160" s="12" t="s">
        <v>29</v>
      </c>
      <c r="F160" s="14">
        <v>0</v>
      </c>
      <c r="G160" s="14">
        <v>0</v>
      </c>
      <c r="H160" s="14">
        <v>0</v>
      </c>
      <c r="I160" s="14">
        <v>0</v>
      </c>
      <c r="J160" s="14">
        <v>0</v>
      </c>
      <c r="K160" s="14">
        <v>0</v>
      </c>
      <c r="L160" s="14">
        <v>0</v>
      </c>
      <c r="M160" s="14">
        <v>185716.89</v>
      </c>
      <c r="N160" s="14">
        <v>254436.19</v>
      </c>
      <c r="O160" s="14">
        <v>414371.98</v>
      </c>
      <c r="P160" s="15">
        <v>375632.94</v>
      </c>
      <c r="Q160" s="16">
        <v>364738.57</v>
      </c>
      <c r="R160" s="16">
        <v>4501.1499999999996</v>
      </c>
      <c r="S160" s="16" t="s">
        <v>2994</v>
      </c>
      <c r="T160" s="16" t="s">
        <v>2994</v>
      </c>
      <c r="U160" s="16" t="s">
        <v>2994</v>
      </c>
      <c r="V160" s="16" t="s">
        <v>2994</v>
      </c>
      <c r="W160" s="16" t="s">
        <v>2994</v>
      </c>
      <c r="X160" s="16" t="s">
        <v>2994</v>
      </c>
      <c r="Y160" s="3">
        <f t="shared" si="16"/>
        <v>1599397.72</v>
      </c>
      <c r="Z160" s="96">
        <f t="array" ref="Z160">SUM(ABS(F160:P160))</f>
        <v>1230158</v>
      </c>
      <c r="AB160" s="3"/>
      <c r="AC160" s="3"/>
      <c r="AD160" s="95"/>
      <c r="AE160" s="95"/>
      <c r="AF160" s="95"/>
      <c r="AG160" s="95"/>
      <c r="AH160" s="482"/>
      <c r="AI160" s="482"/>
      <c r="AJ160" s="482"/>
      <c r="AK160" s="482"/>
      <c r="AL160" s="482"/>
    </row>
    <row r="161" spans="1:38" x14ac:dyDescent="0.15">
      <c r="A161" s="12" t="s">
        <v>341</v>
      </c>
      <c r="B161" s="13" t="s">
        <v>342</v>
      </c>
      <c r="C161" s="13" t="s">
        <v>27</v>
      </c>
      <c r="D161" s="13" t="s">
        <v>40</v>
      </c>
      <c r="E161" s="12" t="s">
        <v>29</v>
      </c>
      <c r="F161" s="14">
        <v>0</v>
      </c>
      <c r="G161" s="14">
        <v>0</v>
      </c>
      <c r="H161" s="14">
        <v>0</v>
      </c>
      <c r="I161" s="14">
        <v>0</v>
      </c>
      <c r="J161" s="14">
        <v>0</v>
      </c>
      <c r="K161" s="14">
        <v>0</v>
      </c>
      <c r="L161" s="14">
        <v>0</v>
      </c>
      <c r="M161" s="14">
        <v>0</v>
      </c>
      <c r="N161" s="14"/>
      <c r="O161" s="14"/>
      <c r="P161" s="15">
        <v>21297.82</v>
      </c>
      <c r="Q161" s="16">
        <v>491195.23</v>
      </c>
      <c r="R161" s="16">
        <v>626715.87</v>
      </c>
      <c r="S161" s="16">
        <v>20583.72</v>
      </c>
      <c r="T161" s="16" t="s">
        <v>2994</v>
      </c>
      <c r="U161" s="16" t="s">
        <v>2994</v>
      </c>
      <c r="V161" s="16" t="s">
        <v>2994</v>
      </c>
      <c r="W161" s="16" t="s">
        <v>2994</v>
      </c>
      <c r="X161" s="16" t="s">
        <v>2994</v>
      </c>
      <c r="Y161" s="3">
        <f t="shared" si="16"/>
        <v>1159792.6399999999</v>
      </c>
      <c r="Z161" s="96">
        <f t="array" ref="Z161">SUM(ABS(F161:P161))</f>
        <v>21297.82</v>
      </c>
      <c r="AB161" s="3"/>
      <c r="AC161" s="3"/>
      <c r="AD161" s="95"/>
      <c r="AE161" s="95"/>
      <c r="AF161" s="95"/>
      <c r="AG161" s="95"/>
      <c r="AH161" s="482"/>
      <c r="AI161" s="482"/>
      <c r="AJ161" s="482"/>
      <c r="AK161" s="482"/>
      <c r="AL161" s="482"/>
    </row>
    <row r="162" spans="1:38" x14ac:dyDescent="0.15">
      <c r="A162" s="12" t="s">
        <v>343</v>
      </c>
      <c r="B162" s="13" t="s">
        <v>344</v>
      </c>
      <c r="C162" s="13" t="s">
        <v>27</v>
      </c>
      <c r="D162" s="13" t="s">
        <v>40</v>
      </c>
      <c r="E162" s="12" t="s">
        <v>112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/>
      <c r="O162" s="14"/>
      <c r="P162" s="15"/>
      <c r="Q162" s="16" t="s">
        <v>2994</v>
      </c>
      <c r="R162" s="16" t="s">
        <v>2994</v>
      </c>
      <c r="S162" s="16" t="s">
        <v>2994</v>
      </c>
      <c r="T162" s="16">
        <v>149108.54</v>
      </c>
      <c r="U162" s="16">
        <v>411022.43</v>
      </c>
      <c r="V162" s="16">
        <v>408976.33</v>
      </c>
      <c r="W162" s="16" t="s">
        <v>2994</v>
      </c>
      <c r="X162" s="16" t="s">
        <v>2994</v>
      </c>
      <c r="Y162" s="3">
        <f t="shared" si="16"/>
        <v>969107.3</v>
      </c>
      <c r="Z162" s="96">
        <f t="array" ref="Z162">SUM(ABS(F162:P162))</f>
        <v>0</v>
      </c>
      <c r="AB162" s="3"/>
      <c r="AC162" s="3"/>
      <c r="AD162" s="95"/>
      <c r="AE162" s="95"/>
      <c r="AF162" s="95"/>
      <c r="AG162" s="95"/>
      <c r="AH162" s="482"/>
      <c r="AI162" s="482"/>
      <c r="AJ162" s="482"/>
      <c r="AK162" s="482"/>
      <c r="AL162" s="482"/>
    </row>
    <row r="163" spans="1:38" x14ac:dyDescent="0.15">
      <c r="A163" s="12" t="s">
        <v>345</v>
      </c>
      <c r="B163" s="13" t="s">
        <v>2382</v>
      </c>
      <c r="C163" s="13" t="s">
        <v>27</v>
      </c>
      <c r="D163" s="13" t="s">
        <v>55</v>
      </c>
      <c r="E163" s="12" t="s">
        <v>29</v>
      </c>
      <c r="F163" s="14">
        <v>0</v>
      </c>
      <c r="G163" s="14">
        <v>0</v>
      </c>
      <c r="H163" s="14">
        <v>0</v>
      </c>
      <c r="I163" s="14">
        <v>0</v>
      </c>
      <c r="J163" s="14">
        <v>0</v>
      </c>
      <c r="K163" s="14">
        <v>0</v>
      </c>
      <c r="L163" s="14">
        <v>0</v>
      </c>
      <c r="M163" s="14">
        <v>0</v>
      </c>
      <c r="N163" s="14"/>
      <c r="O163" s="14"/>
      <c r="P163" s="15"/>
      <c r="Q163" s="16">
        <v>796211.17</v>
      </c>
      <c r="R163" s="16">
        <v>166160.73000000001</v>
      </c>
      <c r="S163" s="16" t="s">
        <v>2994</v>
      </c>
      <c r="T163" s="16" t="s">
        <v>2994</v>
      </c>
      <c r="U163" s="16" t="s">
        <v>2994</v>
      </c>
      <c r="V163" s="16" t="s">
        <v>2994</v>
      </c>
      <c r="W163" s="16" t="s">
        <v>2994</v>
      </c>
      <c r="X163" s="16" t="s">
        <v>2994</v>
      </c>
      <c r="Y163" s="3">
        <f t="shared" si="16"/>
        <v>962371.9</v>
      </c>
      <c r="Z163" s="96">
        <f t="array" ref="Z163">SUM(ABS(F163:P163))</f>
        <v>0</v>
      </c>
      <c r="AB163" s="3"/>
      <c r="AC163" s="3"/>
      <c r="AD163" s="95"/>
      <c r="AE163" s="95"/>
      <c r="AF163" s="95"/>
      <c r="AG163" s="95"/>
      <c r="AH163" s="482"/>
      <c r="AI163" s="482"/>
      <c r="AJ163" s="482"/>
      <c r="AK163" s="482"/>
      <c r="AL163" s="482"/>
    </row>
    <row r="164" spans="1:38" x14ac:dyDescent="0.15">
      <c r="A164" s="12" t="s">
        <v>346</v>
      </c>
      <c r="B164" s="13" t="s">
        <v>2304</v>
      </c>
      <c r="C164" s="13" t="s">
        <v>27</v>
      </c>
      <c r="D164" s="13" t="s">
        <v>55</v>
      </c>
      <c r="E164" s="12" t="s">
        <v>29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/>
      <c r="O164" s="14"/>
      <c r="P164" s="15"/>
      <c r="Q164" s="16">
        <v>815017.13</v>
      </c>
      <c r="R164" s="16">
        <v>822970.44</v>
      </c>
      <c r="S164" s="16">
        <v>293682.89</v>
      </c>
      <c r="T164" s="16" t="s">
        <v>2994</v>
      </c>
      <c r="U164" s="16" t="s">
        <v>2994</v>
      </c>
      <c r="V164" s="16" t="s">
        <v>2994</v>
      </c>
      <c r="W164" s="16" t="s">
        <v>2994</v>
      </c>
      <c r="X164" s="16" t="s">
        <v>2994</v>
      </c>
      <c r="Y164" s="3">
        <f t="shared" si="16"/>
        <v>1931670.46</v>
      </c>
      <c r="Z164" s="96">
        <f t="array" ref="Z164">SUM(ABS(F164:P164))</f>
        <v>0</v>
      </c>
      <c r="AB164" s="3"/>
      <c r="AC164" s="3"/>
      <c r="AD164" s="95"/>
      <c r="AE164" s="95"/>
      <c r="AF164" s="95"/>
      <c r="AG164" s="95"/>
      <c r="AH164" s="482"/>
      <c r="AI164" s="482"/>
      <c r="AJ164" s="482"/>
      <c r="AK164" s="482"/>
      <c r="AL164" s="482"/>
    </row>
    <row r="165" spans="1:38" x14ac:dyDescent="0.15">
      <c r="A165" s="12" t="s">
        <v>347</v>
      </c>
      <c r="B165" s="13" t="s">
        <v>2305</v>
      </c>
      <c r="C165" s="13" t="s">
        <v>27</v>
      </c>
      <c r="D165" s="13" t="s">
        <v>55</v>
      </c>
      <c r="E165" s="12" t="s">
        <v>112</v>
      </c>
      <c r="F165" s="14">
        <v>0</v>
      </c>
      <c r="G165" s="14">
        <v>0</v>
      </c>
      <c r="H165" s="14">
        <v>0</v>
      </c>
      <c r="I165" s="14">
        <v>0</v>
      </c>
      <c r="J165" s="14">
        <v>0</v>
      </c>
      <c r="K165" s="14">
        <v>0</v>
      </c>
      <c r="L165" s="14">
        <v>0</v>
      </c>
      <c r="M165" s="14">
        <v>0</v>
      </c>
      <c r="N165" s="14"/>
      <c r="O165" s="14"/>
      <c r="P165" s="15"/>
      <c r="Q165" s="16">
        <v>22119.02</v>
      </c>
      <c r="R165" s="16">
        <v>611757.76</v>
      </c>
      <c r="S165" s="16">
        <v>641728.28</v>
      </c>
      <c r="T165" s="16">
        <v>15493.93</v>
      </c>
      <c r="U165" s="16" t="s">
        <v>2994</v>
      </c>
      <c r="V165" s="16" t="s">
        <v>2994</v>
      </c>
      <c r="W165" s="16" t="s">
        <v>2994</v>
      </c>
      <c r="X165" s="16" t="s">
        <v>2994</v>
      </c>
      <c r="Y165" s="3">
        <f t="shared" si="16"/>
        <v>1291098.99</v>
      </c>
      <c r="Z165" s="96">
        <f t="array" ref="Z165">SUM(ABS(F165:P165))</f>
        <v>0</v>
      </c>
      <c r="AB165" s="3"/>
      <c r="AC165" s="3"/>
      <c r="AD165" s="95"/>
      <c r="AE165" s="95"/>
      <c r="AF165" s="95"/>
      <c r="AG165" s="95"/>
      <c r="AH165" s="482"/>
      <c r="AI165" s="482"/>
      <c r="AJ165" s="482"/>
      <c r="AK165" s="482"/>
      <c r="AL165" s="482"/>
    </row>
    <row r="166" spans="1:38" x14ac:dyDescent="0.15">
      <c r="A166" s="12" t="s">
        <v>348</v>
      </c>
      <c r="B166" s="13" t="s">
        <v>349</v>
      </c>
      <c r="C166" s="13" t="s">
        <v>27</v>
      </c>
      <c r="D166" s="13" t="s">
        <v>40</v>
      </c>
      <c r="E166" s="12" t="s">
        <v>29</v>
      </c>
      <c r="F166" s="14">
        <v>0</v>
      </c>
      <c r="G166" s="14">
        <v>0</v>
      </c>
      <c r="H166" s="14">
        <v>0</v>
      </c>
      <c r="I166" s="14">
        <v>0</v>
      </c>
      <c r="J166" s="14">
        <v>0</v>
      </c>
      <c r="K166" s="14">
        <v>0</v>
      </c>
      <c r="L166" s="14">
        <v>0</v>
      </c>
      <c r="M166" s="14">
        <v>0</v>
      </c>
      <c r="N166" s="14"/>
      <c r="O166" s="14"/>
      <c r="P166" s="15"/>
      <c r="Q166" s="16">
        <v>131591.1</v>
      </c>
      <c r="R166" s="16">
        <v>1256424.8</v>
      </c>
      <c r="S166" s="16">
        <v>734376.1</v>
      </c>
      <c r="T166" s="16" t="s">
        <v>2994</v>
      </c>
      <c r="U166" s="16" t="s">
        <v>2994</v>
      </c>
      <c r="V166" s="16" t="s">
        <v>2994</v>
      </c>
      <c r="W166" s="16" t="s">
        <v>2994</v>
      </c>
      <c r="X166" s="16" t="s">
        <v>2994</v>
      </c>
      <c r="Y166" s="3">
        <f t="shared" si="16"/>
        <v>2122392</v>
      </c>
      <c r="Z166" s="96">
        <f t="array" ref="Z166">SUM(ABS(F166:P166))</f>
        <v>0</v>
      </c>
      <c r="AB166" s="3"/>
      <c r="AC166" s="3"/>
      <c r="AD166" s="95"/>
      <c r="AE166" s="95"/>
      <c r="AF166" s="95"/>
      <c r="AG166" s="95"/>
      <c r="AH166" s="482"/>
      <c r="AI166" s="482"/>
      <c r="AJ166" s="482"/>
      <c r="AK166" s="482"/>
      <c r="AL166" s="482"/>
    </row>
    <row r="167" spans="1:38" x14ac:dyDescent="0.15">
      <c r="A167" s="12" t="s">
        <v>352</v>
      </c>
      <c r="B167" s="13" t="s">
        <v>353</v>
      </c>
      <c r="C167" s="13" t="s">
        <v>27</v>
      </c>
      <c r="D167" s="13" t="s">
        <v>36</v>
      </c>
      <c r="E167" s="12" t="s">
        <v>112</v>
      </c>
      <c r="F167" s="14">
        <v>0</v>
      </c>
      <c r="G167" s="14">
        <v>0</v>
      </c>
      <c r="H167" s="14">
        <v>0</v>
      </c>
      <c r="I167" s="14">
        <v>0</v>
      </c>
      <c r="J167" s="14">
        <v>0</v>
      </c>
      <c r="K167" s="14">
        <v>0</v>
      </c>
      <c r="L167" s="14">
        <v>0</v>
      </c>
      <c r="M167" s="14">
        <v>0</v>
      </c>
      <c r="N167" s="14"/>
      <c r="O167" s="14"/>
      <c r="P167" s="15"/>
      <c r="Q167" s="16" t="s">
        <v>2994</v>
      </c>
      <c r="R167" s="16">
        <v>129916.44</v>
      </c>
      <c r="S167" s="16" t="s">
        <v>2994</v>
      </c>
      <c r="T167" s="16" t="s">
        <v>2994</v>
      </c>
      <c r="U167" s="16" t="s">
        <v>2994</v>
      </c>
      <c r="V167" s="16" t="s">
        <v>2994</v>
      </c>
      <c r="W167" s="16" t="s">
        <v>2994</v>
      </c>
      <c r="X167" s="16" t="s">
        <v>2994</v>
      </c>
      <c r="Y167" s="3">
        <f t="shared" si="16"/>
        <v>129916.44</v>
      </c>
      <c r="Z167" s="96">
        <f t="array" ref="Z167">SUM(ABS(F167:P167))</f>
        <v>0</v>
      </c>
      <c r="AB167" s="3"/>
      <c r="AC167" s="3"/>
      <c r="AD167" s="95"/>
      <c r="AE167" s="95"/>
      <c r="AF167" s="95"/>
      <c r="AG167" s="95"/>
      <c r="AH167" s="482"/>
      <c r="AI167" s="482"/>
      <c r="AJ167" s="482"/>
      <c r="AK167" s="482"/>
      <c r="AL167" s="482"/>
    </row>
    <row r="168" spans="1:38" x14ac:dyDescent="0.15">
      <c r="A168" s="12" t="s">
        <v>354</v>
      </c>
      <c r="B168" s="13" t="s">
        <v>355</v>
      </c>
      <c r="C168" s="13" t="s">
        <v>27</v>
      </c>
      <c r="D168" s="13" t="s">
        <v>36</v>
      </c>
      <c r="E168" s="12" t="s">
        <v>112</v>
      </c>
      <c r="F168" s="14">
        <v>0</v>
      </c>
      <c r="G168" s="14">
        <v>0</v>
      </c>
      <c r="H168" s="14">
        <v>0</v>
      </c>
      <c r="I168" s="14">
        <v>0</v>
      </c>
      <c r="J168" s="14">
        <v>0</v>
      </c>
      <c r="K168" s="14">
        <v>0</v>
      </c>
      <c r="L168" s="14">
        <v>0</v>
      </c>
      <c r="M168" s="14">
        <v>0</v>
      </c>
      <c r="N168" s="14"/>
      <c r="O168" s="14"/>
      <c r="P168" s="15"/>
      <c r="Q168" s="16" t="s">
        <v>2994</v>
      </c>
      <c r="R168" s="16">
        <v>236999.01</v>
      </c>
      <c r="S168" s="16" t="s">
        <v>2994</v>
      </c>
      <c r="T168" s="16" t="s">
        <v>2994</v>
      </c>
      <c r="U168" s="16" t="s">
        <v>2994</v>
      </c>
      <c r="V168" s="16" t="s">
        <v>2994</v>
      </c>
      <c r="W168" s="16" t="s">
        <v>2994</v>
      </c>
      <c r="X168" s="16" t="s">
        <v>2994</v>
      </c>
      <c r="Y168" s="3">
        <f t="shared" si="16"/>
        <v>236999.01</v>
      </c>
      <c r="Z168" s="96">
        <f t="array" ref="Z168">SUM(ABS(F168:P168))</f>
        <v>0</v>
      </c>
      <c r="AB168" s="3"/>
      <c r="AC168" s="3"/>
      <c r="AD168" s="95"/>
      <c r="AE168" s="95"/>
      <c r="AF168" s="95"/>
      <c r="AG168" s="95"/>
      <c r="AH168" s="482"/>
      <c r="AI168" s="482"/>
      <c r="AJ168" s="482"/>
      <c r="AK168" s="482"/>
      <c r="AL168" s="482"/>
    </row>
    <row r="169" spans="1:38" x14ac:dyDescent="0.15">
      <c r="A169" s="12" t="s">
        <v>356</v>
      </c>
      <c r="B169" s="13" t="s">
        <v>357</v>
      </c>
      <c r="C169" s="13" t="s">
        <v>27</v>
      </c>
      <c r="D169" s="13" t="s">
        <v>36</v>
      </c>
      <c r="E169" s="12" t="s">
        <v>112</v>
      </c>
      <c r="F169" s="14">
        <v>0</v>
      </c>
      <c r="G169" s="14">
        <v>0</v>
      </c>
      <c r="H169" s="14">
        <v>0</v>
      </c>
      <c r="I169" s="14">
        <v>0</v>
      </c>
      <c r="J169" s="14">
        <v>0</v>
      </c>
      <c r="K169" s="14">
        <v>0</v>
      </c>
      <c r="L169" s="14">
        <v>0</v>
      </c>
      <c r="M169" s="14">
        <v>0</v>
      </c>
      <c r="N169" s="14"/>
      <c r="O169" s="14"/>
      <c r="P169" s="15"/>
      <c r="Q169" s="16" t="s">
        <v>2994</v>
      </c>
      <c r="R169" s="16">
        <v>144999.41</v>
      </c>
      <c r="S169" s="16" t="s">
        <v>2994</v>
      </c>
      <c r="T169" s="16" t="s">
        <v>2994</v>
      </c>
      <c r="U169" s="16" t="s">
        <v>2994</v>
      </c>
      <c r="V169" s="16" t="s">
        <v>2994</v>
      </c>
      <c r="W169" s="16" t="s">
        <v>2994</v>
      </c>
      <c r="X169" s="16" t="s">
        <v>2994</v>
      </c>
      <c r="Y169" s="3">
        <f t="shared" si="16"/>
        <v>144999.41</v>
      </c>
      <c r="Z169" s="96">
        <f t="array" ref="Z169">SUM(ABS(F169:P169))</f>
        <v>0</v>
      </c>
      <c r="AB169" s="3"/>
      <c r="AC169" s="3"/>
      <c r="AD169" s="95"/>
      <c r="AE169" s="95"/>
      <c r="AF169" s="95"/>
      <c r="AG169" s="95"/>
      <c r="AH169" s="482"/>
      <c r="AI169" s="482"/>
      <c r="AJ169" s="482"/>
      <c r="AK169" s="482"/>
      <c r="AL169" s="482"/>
    </row>
    <row r="170" spans="1:38" x14ac:dyDescent="0.15">
      <c r="A170" s="608" t="s">
        <v>358</v>
      </c>
      <c r="B170" s="609" t="s">
        <v>359</v>
      </c>
      <c r="C170" s="609" t="s">
        <v>27</v>
      </c>
      <c r="D170" s="609" t="s">
        <v>40</v>
      </c>
      <c r="E170" s="608" t="s">
        <v>29</v>
      </c>
      <c r="F170" s="615">
        <v>0</v>
      </c>
      <c r="G170" s="615">
        <v>0</v>
      </c>
      <c r="H170" s="615">
        <v>0</v>
      </c>
      <c r="I170" s="615">
        <v>0</v>
      </c>
      <c r="J170" s="615">
        <v>0</v>
      </c>
      <c r="K170" s="615">
        <v>0</v>
      </c>
      <c r="L170" s="615">
        <v>0</v>
      </c>
      <c r="M170" s="615">
        <v>0</v>
      </c>
      <c r="N170" s="615">
        <v>1609920.14</v>
      </c>
      <c r="O170" s="615">
        <v>9232886.5999999996</v>
      </c>
      <c r="P170" s="610">
        <v>14013854.380000001</v>
      </c>
      <c r="Q170" s="610">
        <v>4233506.8899999997</v>
      </c>
      <c r="R170" s="610" t="s">
        <v>2994</v>
      </c>
      <c r="S170" s="610" t="s">
        <v>2994</v>
      </c>
      <c r="T170" s="610" t="s">
        <v>2994</v>
      </c>
      <c r="U170" s="610" t="s">
        <v>2994</v>
      </c>
      <c r="V170" s="610" t="s">
        <v>2994</v>
      </c>
      <c r="W170" s="610" t="s">
        <v>2994</v>
      </c>
      <c r="X170" s="610" t="s">
        <v>2994</v>
      </c>
      <c r="Y170" s="3">
        <f t="shared" si="16"/>
        <v>29090168.010000002</v>
      </c>
      <c r="Z170" s="96">
        <f t="array" ref="Z170">SUM(ABS(F170:P170))</f>
        <v>24856661.120000001</v>
      </c>
      <c r="AB170" s="3"/>
      <c r="AC170" s="3"/>
      <c r="AD170" s="782">
        <v>0.5</v>
      </c>
      <c r="AE170" s="95">
        <v>0</v>
      </c>
      <c r="AF170" s="95">
        <v>0</v>
      </c>
      <c r="AG170" s="95">
        <v>0</v>
      </c>
      <c r="AH170" s="482">
        <v>0</v>
      </c>
      <c r="AI170" s="482">
        <v>0</v>
      </c>
      <c r="AJ170" s="482">
        <v>0</v>
      </c>
      <c r="AK170" s="482"/>
      <c r="AL170" s="482"/>
    </row>
    <row r="171" spans="1:38" x14ac:dyDescent="0.15">
      <c r="A171" s="12" t="s">
        <v>360</v>
      </c>
      <c r="B171" s="13" t="s">
        <v>361</v>
      </c>
      <c r="C171" s="13" t="s">
        <v>27</v>
      </c>
      <c r="D171" s="13" t="s">
        <v>60</v>
      </c>
      <c r="E171" s="12" t="s">
        <v>112</v>
      </c>
      <c r="F171" s="14">
        <v>0</v>
      </c>
      <c r="G171" s="14">
        <v>0</v>
      </c>
      <c r="H171" s="14">
        <v>0</v>
      </c>
      <c r="I171" s="14">
        <v>0</v>
      </c>
      <c r="J171" s="14">
        <v>0</v>
      </c>
      <c r="K171" s="14">
        <v>0</v>
      </c>
      <c r="L171" s="14">
        <v>0</v>
      </c>
      <c r="M171" s="14">
        <v>0</v>
      </c>
      <c r="N171" s="14"/>
      <c r="O171" s="14"/>
      <c r="P171" s="15"/>
      <c r="Q171" s="16" t="s">
        <v>2994</v>
      </c>
      <c r="R171" s="16">
        <v>2162377.33</v>
      </c>
      <c r="S171" s="16" t="s">
        <v>2994</v>
      </c>
      <c r="T171" s="16" t="s">
        <v>2994</v>
      </c>
      <c r="U171" s="16" t="s">
        <v>2994</v>
      </c>
      <c r="V171" s="16" t="s">
        <v>2994</v>
      </c>
      <c r="W171" s="16" t="s">
        <v>2994</v>
      </c>
      <c r="X171" s="16" t="s">
        <v>2994</v>
      </c>
      <c r="Y171" s="3">
        <f t="shared" si="16"/>
        <v>2162377.33</v>
      </c>
      <c r="Z171" s="96">
        <f t="array" ref="Z171">SUM(ABS(F171:P171))</f>
        <v>0</v>
      </c>
      <c r="AB171" s="3"/>
      <c r="AC171" s="3"/>
      <c r="AD171" s="95"/>
      <c r="AE171" s="95"/>
      <c r="AF171" s="95"/>
      <c r="AG171" s="95"/>
      <c r="AH171" s="482"/>
      <c r="AI171" s="482"/>
      <c r="AJ171" s="482"/>
      <c r="AK171" s="482"/>
      <c r="AL171" s="482"/>
    </row>
    <row r="172" spans="1:38" x14ac:dyDescent="0.15">
      <c r="A172" s="12" t="s">
        <v>362</v>
      </c>
      <c r="B172" s="13" t="s">
        <v>363</v>
      </c>
      <c r="C172" s="13" t="s">
        <v>27</v>
      </c>
      <c r="D172" s="13" t="s">
        <v>40</v>
      </c>
      <c r="E172" s="12" t="s">
        <v>29</v>
      </c>
      <c r="F172" s="14">
        <v>0</v>
      </c>
      <c r="G172" s="14">
        <v>0</v>
      </c>
      <c r="H172" s="14">
        <v>0</v>
      </c>
      <c r="I172" s="14">
        <v>0</v>
      </c>
      <c r="J172" s="14">
        <v>0</v>
      </c>
      <c r="K172" s="14">
        <v>0</v>
      </c>
      <c r="L172" s="14">
        <v>0</v>
      </c>
      <c r="M172" s="14">
        <v>0</v>
      </c>
      <c r="N172" s="14"/>
      <c r="O172" s="14">
        <v>1049455.56</v>
      </c>
      <c r="P172" s="15">
        <v>1220165.2</v>
      </c>
      <c r="Q172" s="16">
        <v>717265.53</v>
      </c>
      <c r="R172" s="16" t="s">
        <v>2994</v>
      </c>
      <c r="S172" s="16" t="s">
        <v>2994</v>
      </c>
      <c r="T172" s="16" t="s">
        <v>2994</v>
      </c>
      <c r="U172" s="16" t="s">
        <v>2994</v>
      </c>
      <c r="V172" s="16" t="s">
        <v>2994</v>
      </c>
      <c r="W172" s="16" t="s">
        <v>2994</v>
      </c>
      <c r="X172" s="16" t="s">
        <v>2994</v>
      </c>
      <c r="Y172" s="3">
        <f t="shared" si="16"/>
        <v>2986886.29</v>
      </c>
      <c r="Z172" s="96">
        <f t="array" ref="Z172">SUM(ABS(F172:P172))</f>
        <v>2269620.7599999998</v>
      </c>
      <c r="AB172" s="3"/>
      <c r="AC172" s="3"/>
      <c r="AD172" s="95"/>
      <c r="AE172" s="95"/>
      <c r="AF172" s="95"/>
      <c r="AG172" s="95"/>
      <c r="AH172" s="482"/>
      <c r="AI172" s="482"/>
      <c r="AJ172" s="482"/>
      <c r="AK172" s="482"/>
      <c r="AL172" s="482"/>
    </row>
    <row r="173" spans="1:38" x14ac:dyDescent="0.15">
      <c r="A173" s="12" t="s">
        <v>364</v>
      </c>
      <c r="B173" s="13" t="s">
        <v>365</v>
      </c>
      <c r="C173" s="13" t="s">
        <v>27</v>
      </c>
      <c r="D173" s="13" t="s">
        <v>36</v>
      </c>
      <c r="E173" s="12" t="s">
        <v>112</v>
      </c>
      <c r="F173" s="14">
        <v>0</v>
      </c>
      <c r="G173" s="14">
        <v>0</v>
      </c>
      <c r="H173" s="14">
        <v>0</v>
      </c>
      <c r="I173" s="14">
        <v>0</v>
      </c>
      <c r="J173" s="14">
        <v>0</v>
      </c>
      <c r="K173" s="14">
        <v>0</v>
      </c>
      <c r="L173" s="14">
        <v>0</v>
      </c>
      <c r="M173" s="14">
        <v>0</v>
      </c>
      <c r="N173" s="14"/>
      <c r="O173" s="14"/>
      <c r="P173" s="15"/>
      <c r="Q173" s="16" t="s">
        <v>2994</v>
      </c>
      <c r="R173" s="16">
        <v>219998.98</v>
      </c>
      <c r="S173" s="16" t="s">
        <v>2994</v>
      </c>
      <c r="T173" s="16" t="s">
        <v>2994</v>
      </c>
      <c r="U173" s="16" t="s">
        <v>2994</v>
      </c>
      <c r="V173" s="16" t="s">
        <v>2994</v>
      </c>
      <c r="W173" s="16" t="s">
        <v>2994</v>
      </c>
      <c r="X173" s="16" t="s">
        <v>2994</v>
      </c>
      <c r="Y173" s="3">
        <f t="shared" si="16"/>
        <v>219998.98</v>
      </c>
      <c r="Z173" s="96">
        <f t="array" ref="Z173">SUM(ABS(F173:P173))</f>
        <v>0</v>
      </c>
      <c r="AB173" s="3"/>
      <c r="AC173" s="3"/>
      <c r="AD173" s="95"/>
      <c r="AE173" s="95"/>
      <c r="AF173" s="95"/>
      <c r="AG173" s="95"/>
      <c r="AH173" s="482"/>
      <c r="AI173" s="482"/>
      <c r="AJ173" s="482"/>
      <c r="AK173" s="482"/>
      <c r="AL173" s="482"/>
    </row>
    <row r="174" spans="1:38" x14ac:dyDescent="0.15">
      <c r="A174" s="12" t="s">
        <v>366</v>
      </c>
      <c r="B174" s="13" t="s">
        <v>2383</v>
      </c>
      <c r="C174" s="13" t="s">
        <v>27</v>
      </c>
      <c r="D174" s="13" t="s">
        <v>55</v>
      </c>
      <c r="E174" s="12" t="s">
        <v>29</v>
      </c>
      <c r="F174" s="14">
        <v>0</v>
      </c>
      <c r="G174" s="14">
        <v>0</v>
      </c>
      <c r="H174" s="14">
        <v>0</v>
      </c>
      <c r="I174" s="14">
        <v>0</v>
      </c>
      <c r="J174" s="14">
        <v>0</v>
      </c>
      <c r="K174" s="14">
        <v>0</v>
      </c>
      <c r="L174" s="14">
        <v>0</v>
      </c>
      <c r="M174" s="14">
        <v>0</v>
      </c>
      <c r="N174" s="14"/>
      <c r="O174" s="14"/>
      <c r="P174" s="15"/>
      <c r="Q174" s="16">
        <v>145332.34</v>
      </c>
      <c r="R174" s="16">
        <v>19202.43</v>
      </c>
      <c r="S174" s="16" t="s">
        <v>2994</v>
      </c>
      <c r="T174" s="16" t="s">
        <v>2994</v>
      </c>
      <c r="U174" s="16" t="s">
        <v>2994</v>
      </c>
      <c r="V174" s="16" t="s">
        <v>2994</v>
      </c>
      <c r="W174" s="16" t="s">
        <v>2994</v>
      </c>
      <c r="X174" s="16" t="s">
        <v>2994</v>
      </c>
      <c r="Y174" s="3">
        <f t="shared" si="16"/>
        <v>164534.76999999999</v>
      </c>
      <c r="Z174" s="96">
        <f t="array" ref="Z174">SUM(ABS(F174:P174))</f>
        <v>0</v>
      </c>
      <c r="AB174" s="3"/>
      <c r="AC174" s="3"/>
      <c r="AD174" s="95"/>
      <c r="AE174" s="95"/>
      <c r="AF174" s="95"/>
      <c r="AG174" s="95"/>
      <c r="AH174" s="482"/>
      <c r="AI174" s="482"/>
      <c r="AJ174" s="482"/>
      <c r="AK174" s="482"/>
      <c r="AL174" s="482"/>
    </row>
    <row r="175" spans="1:38" x14ac:dyDescent="0.15">
      <c r="A175" s="12" t="s">
        <v>368</v>
      </c>
      <c r="B175" s="13" t="s">
        <v>369</v>
      </c>
      <c r="C175" s="13" t="s">
        <v>27</v>
      </c>
      <c r="D175" s="13" t="s">
        <v>44</v>
      </c>
      <c r="E175" s="12" t="s">
        <v>45</v>
      </c>
      <c r="F175" s="14">
        <v>0</v>
      </c>
      <c r="G175" s="14">
        <v>0</v>
      </c>
      <c r="H175" s="14">
        <v>0</v>
      </c>
      <c r="I175" s="14">
        <v>0</v>
      </c>
      <c r="J175" s="14">
        <v>0</v>
      </c>
      <c r="K175" s="14">
        <v>0</v>
      </c>
      <c r="L175" s="14">
        <v>0</v>
      </c>
      <c r="M175" s="14">
        <v>3436.96</v>
      </c>
      <c r="N175" s="14"/>
      <c r="O175" s="14"/>
      <c r="P175" s="15"/>
      <c r="Q175" s="16" t="s">
        <v>2994</v>
      </c>
      <c r="R175" s="16" t="s">
        <v>2994</v>
      </c>
      <c r="S175" s="16" t="s">
        <v>2994</v>
      </c>
      <c r="T175" s="16" t="s">
        <v>2994</v>
      </c>
      <c r="U175" s="16" t="s">
        <v>2994</v>
      </c>
      <c r="V175" s="16" t="s">
        <v>2994</v>
      </c>
      <c r="W175" s="16" t="s">
        <v>2994</v>
      </c>
      <c r="X175" s="16">
        <v>658309.81000000006</v>
      </c>
      <c r="Y175" s="3">
        <f t="shared" si="16"/>
        <v>661746.77</v>
      </c>
      <c r="Z175" s="96">
        <f t="array" ref="Z175">SUM(ABS(F175:P175))</f>
        <v>3436.96</v>
      </c>
      <c r="AB175" s="3"/>
      <c r="AC175" s="3"/>
      <c r="AD175" s="95"/>
      <c r="AE175" s="95"/>
      <c r="AF175" s="95"/>
      <c r="AG175" s="95"/>
      <c r="AH175" s="482"/>
      <c r="AI175" s="482"/>
      <c r="AJ175" s="482"/>
      <c r="AK175" s="482"/>
      <c r="AL175" s="482"/>
    </row>
    <row r="176" spans="1:38" x14ac:dyDescent="0.15">
      <c r="A176" s="12" t="s">
        <v>371</v>
      </c>
      <c r="B176" s="13" t="s">
        <v>2306</v>
      </c>
      <c r="C176" s="13" t="s">
        <v>27</v>
      </c>
      <c r="D176" s="13" t="s">
        <v>55</v>
      </c>
      <c r="E176" s="12" t="s">
        <v>112</v>
      </c>
      <c r="F176" s="14">
        <v>0</v>
      </c>
      <c r="G176" s="14">
        <v>0</v>
      </c>
      <c r="H176" s="14">
        <v>0</v>
      </c>
      <c r="I176" s="14">
        <v>0</v>
      </c>
      <c r="J176" s="14">
        <v>0</v>
      </c>
      <c r="K176" s="14">
        <v>0</v>
      </c>
      <c r="L176" s="14">
        <v>0</v>
      </c>
      <c r="M176" s="14">
        <v>0</v>
      </c>
      <c r="N176" s="14"/>
      <c r="O176" s="14"/>
      <c r="P176" s="15"/>
      <c r="Q176" s="16" t="s">
        <v>2994</v>
      </c>
      <c r="R176" s="16" t="s">
        <v>2994</v>
      </c>
      <c r="S176" s="16">
        <v>213544.52</v>
      </c>
      <c r="T176" s="16">
        <v>57860.39</v>
      </c>
      <c r="U176" s="16" t="s">
        <v>2994</v>
      </c>
      <c r="V176" s="16" t="s">
        <v>2994</v>
      </c>
      <c r="W176" s="16" t="s">
        <v>2994</v>
      </c>
      <c r="X176" s="16" t="s">
        <v>2994</v>
      </c>
      <c r="Y176" s="3">
        <f t="shared" si="16"/>
        <v>271404.90999999997</v>
      </c>
      <c r="Z176" s="96">
        <f t="array" ref="Z176">SUM(ABS(F176:P176))</f>
        <v>0</v>
      </c>
      <c r="AB176" s="3"/>
      <c r="AC176" s="3"/>
      <c r="AD176" s="95"/>
      <c r="AE176" s="95"/>
      <c r="AF176" s="95"/>
      <c r="AG176" s="95"/>
      <c r="AH176" s="482"/>
      <c r="AI176" s="482"/>
      <c r="AJ176" s="482"/>
      <c r="AK176" s="482"/>
      <c r="AL176" s="482"/>
    </row>
    <row r="177" spans="1:38" x14ac:dyDescent="0.15">
      <c r="A177" s="12" t="s">
        <v>372</v>
      </c>
      <c r="B177" s="13" t="s">
        <v>373</v>
      </c>
      <c r="C177" s="13" t="s">
        <v>27</v>
      </c>
      <c r="D177" s="13" t="s">
        <v>36</v>
      </c>
      <c r="E177" s="12" t="s">
        <v>112</v>
      </c>
      <c r="F177" s="14">
        <v>0</v>
      </c>
      <c r="G177" s="14">
        <v>0</v>
      </c>
      <c r="H177" s="14">
        <v>0</v>
      </c>
      <c r="I177" s="14">
        <v>0</v>
      </c>
      <c r="J177" s="14">
        <v>0</v>
      </c>
      <c r="K177" s="14">
        <v>0</v>
      </c>
      <c r="L177" s="14">
        <v>0</v>
      </c>
      <c r="M177" s="14">
        <v>0</v>
      </c>
      <c r="N177" s="14"/>
      <c r="O177" s="14"/>
      <c r="P177" s="15"/>
      <c r="Q177" s="16" t="s">
        <v>2994</v>
      </c>
      <c r="R177" s="16" t="s">
        <v>2994</v>
      </c>
      <c r="S177" s="16">
        <v>355454.37</v>
      </c>
      <c r="T177" s="16" t="s">
        <v>2994</v>
      </c>
      <c r="U177" s="16" t="s">
        <v>2994</v>
      </c>
      <c r="V177" s="16" t="s">
        <v>2994</v>
      </c>
      <c r="W177" s="16" t="s">
        <v>2994</v>
      </c>
      <c r="X177" s="16" t="s">
        <v>2994</v>
      </c>
      <c r="Y177" s="3">
        <f t="shared" si="16"/>
        <v>355454.37</v>
      </c>
      <c r="Z177" s="96">
        <f t="array" ref="Z177">SUM(ABS(F177:P177))</f>
        <v>0</v>
      </c>
      <c r="AB177" s="3"/>
      <c r="AC177" s="3"/>
      <c r="AD177" s="95"/>
      <c r="AE177" s="95"/>
      <c r="AF177" s="95"/>
      <c r="AG177" s="95"/>
      <c r="AH177" s="482"/>
      <c r="AI177" s="482"/>
      <c r="AJ177" s="482"/>
      <c r="AK177" s="482"/>
      <c r="AL177" s="482"/>
    </row>
    <row r="178" spans="1:38" x14ac:dyDescent="0.15">
      <c r="A178" s="12" t="s">
        <v>374</v>
      </c>
      <c r="B178" s="13" t="s">
        <v>375</v>
      </c>
      <c r="C178" s="13" t="s">
        <v>27</v>
      </c>
      <c r="D178" s="13" t="s">
        <v>36</v>
      </c>
      <c r="E178" s="12" t="s">
        <v>112</v>
      </c>
      <c r="F178" s="14">
        <v>0</v>
      </c>
      <c r="G178" s="14">
        <v>0</v>
      </c>
      <c r="H178" s="14">
        <v>0</v>
      </c>
      <c r="I178" s="14">
        <v>0</v>
      </c>
      <c r="J178" s="14">
        <v>0</v>
      </c>
      <c r="K178" s="14">
        <v>0</v>
      </c>
      <c r="L178" s="14">
        <v>0</v>
      </c>
      <c r="M178" s="14">
        <v>0</v>
      </c>
      <c r="N178" s="14"/>
      <c r="O178" s="14"/>
      <c r="P178" s="15"/>
      <c r="Q178" s="16" t="s">
        <v>2994</v>
      </c>
      <c r="R178" s="16" t="s">
        <v>2994</v>
      </c>
      <c r="S178" s="16">
        <v>149936.10999999999</v>
      </c>
      <c r="T178" s="16" t="s">
        <v>2994</v>
      </c>
      <c r="U178" s="16" t="s">
        <v>2994</v>
      </c>
      <c r="V178" s="16" t="s">
        <v>2994</v>
      </c>
      <c r="W178" s="16" t="s">
        <v>2994</v>
      </c>
      <c r="X178" s="16" t="s">
        <v>2994</v>
      </c>
      <c r="Y178" s="3">
        <f t="shared" si="16"/>
        <v>149936.10999999999</v>
      </c>
      <c r="Z178" s="96">
        <f t="array" ref="Z178">SUM(ABS(F178:P178))</f>
        <v>0</v>
      </c>
      <c r="AB178" s="3"/>
      <c r="AC178" s="3"/>
      <c r="AD178" s="95"/>
      <c r="AE178" s="95"/>
      <c r="AF178" s="95"/>
      <c r="AG178" s="95"/>
      <c r="AH178" s="482"/>
      <c r="AI178" s="482"/>
      <c r="AJ178" s="482"/>
      <c r="AK178" s="482"/>
      <c r="AL178" s="482"/>
    </row>
    <row r="179" spans="1:38" x14ac:dyDescent="0.15">
      <c r="A179" s="12" t="s">
        <v>376</v>
      </c>
      <c r="B179" s="13" t="s">
        <v>377</v>
      </c>
      <c r="C179" s="13" t="s">
        <v>27</v>
      </c>
      <c r="D179" s="13" t="s">
        <v>40</v>
      </c>
      <c r="E179" s="12" t="s">
        <v>112</v>
      </c>
      <c r="F179" s="14">
        <v>0</v>
      </c>
      <c r="G179" s="14">
        <v>0</v>
      </c>
      <c r="H179" s="14">
        <v>0</v>
      </c>
      <c r="I179" s="14">
        <v>0</v>
      </c>
      <c r="J179" s="14">
        <v>0</v>
      </c>
      <c r="K179" s="14">
        <v>0</v>
      </c>
      <c r="L179" s="14">
        <v>0</v>
      </c>
      <c r="M179" s="14">
        <v>0</v>
      </c>
      <c r="N179" s="14"/>
      <c r="O179" s="14"/>
      <c r="P179" s="15"/>
      <c r="Q179" s="16" t="s">
        <v>2994</v>
      </c>
      <c r="R179" s="16" t="s">
        <v>2994</v>
      </c>
      <c r="S179" s="16">
        <v>92260.66</v>
      </c>
      <c r="T179" s="16">
        <v>563459.74</v>
      </c>
      <c r="U179" s="16">
        <v>575697.14</v>
      </c>
      <c r="V179" s="16">
        <v>590458.02</v>
      </c>
      <c r="W179" s="16">
        <v>483063.42</v>
      </c>
      <c r="X179" s="16" t="s">
        <v>2994</v>
      </c>
      <c r="Y179" s="3">
        <f t="shared" si="16"/>
        <v>2304938.98</v>
      </c>
      <c r="Z179" s="96">
        <f t="array" ref="Z179">SUM(ABS(F179:P179))</f>
        <v>0</v>
      </c>
      <c r="AB179" s="3"/>
      <c r="AC179" s="3"/>
      <c r="AD179" s="95"/>
      <c r="AE179" s="95"/>
      <c r="AF179" s="95"/>
      <c r="AG179" s="95"/>
      <c r="AH179" s="482"/>
      <c r="AI179" s="482"/>
      <c r="AJ179" s="482"/>
      <c r="AK179" s="482"/>
      <c r="AL179" s="482"/>
    </row>
    <row r="180" spans="1:38" x14ac:dyDescent="0.15">
      <c r="A180" s="12" t="s">
        <v>379</v>
      </c>
      <c r="B180" s="13" t="s">
        <v>380</v>
      </c>
      <c r="C180" s="13" t="s">
        <v>27</v>
      </c>
      <c r="D180" s="13" t="s">
        <v>60</v>
      </c>
      <c r="E180" s="12" t="s">
        <v>112</v>
      </c>
      <c r="F180" s="14">
        <v>0</v>
      </c>
      <c r="G180" s="14">
        <v>0</v>
      </c>
      <c r="H180" s="14">
        <v>0</v>
      </c>
      <c r="I180" s="14">
        <v>0</v>
      </c>
      <c r="J180" s="14">
        <v>0</v>
      </c>
      <c r="K180" s="14">
        <v>0</v>
      </c>
      <c r="L180" s="14">
        <v>0</v>
      </c>
      <c r="M180" s="14">
        <v>0</v>
      </c>
      <c r="N180" s="14"/>
      <c r="O180" s="14"/>
      <c r="P180" s="15"/>
      <c r="Q180" s="16" t="s">
        <v>2994</v>
      </c>
      <c r="R180" s="16" t="s">
        <v>2994</v>
      </c>
      <c r="S180" s="16">
        <v>2371160.02</v>
      </c>
      <c r="T180" s="16" t="s">
        <v>2994</v>
      </c>
      <c r="U180" s="16" t="s">
        <v>2994</v>
      </c>
      <c r="V180" s="16" t="s">
        <v>2994</v>
      </c>
      <c r="W180" s="16" t="s">
        <v>2994</v>
      </c>
      <c r="X180" s="16" t="s">
        <v>2994</v>
      </c>
      <c r="Y180" s="3">
        <f t="shared" si="16"/>
        <v>2371160.02</v>
      </c>
      <c r="Z180" s="96">
        <f t="array" ref="Z180">SUM(ABS(F180:P180))</f>
        <v>0</v>
      </c>
      <c r="AB180" s="3"/>
      <c r="AC180" s="3"/>
      <c r="AD180" s="95"/>
      <c r="AE180" s="95"/>
      <c r="AF180" s="95"/>
      <c r="AG180" s="95"/>
      <c r="AH180" s="482"/>
      <c r="AI180" s="482"/>
      <c r="AJ180" s="482"/>
      <c r="AK180" s="482"/>
      <c r="AL180" s="482"/>
    </row>
    <row r="181" spans="1:38" x14ac:dyDescent="0.15">
      <c r="A181" s="12" t="s">
        <v>381</v>
      </c>
      <c r="B181" s="13" t="s">
        <v>2307</v>
      </c>
      <c r="C181" s="13" t="s">
        <v>27</v>
      </c>
      <c r="D181" s="13" t="s">
        <v>55</v>
      </c>
      <c r="E181" s="12" t="s">
        <v>112</v>
      </c>
      <c r="F181" s="14">
        <v>0</v>
      </c>
      <c r="G181" s="14">
        <v>0</v>
      </c>
      <c r="H181" s="14">
        <v>0</v>
      </c>
      <c r="I181" s="14">
        <v>0</v>
      </c>
      <c r="J181" s="14">
        <v>0</v>
      </c>
      <c r="K181" s="14">
        <v>0</v>
      </c>
      <c r="L181" s="14">
        <v>0</v>
      </c>
      <c r="M181" s="14">
        <v>0</v>
      </c>
      <c r="N181" s="14"/>
      <c r="O181" s="14"/>
      <c r="P181" s="15"/>
      <c r="Q181" s="16" t="s">
        <v>2994</v>
      </c>
      <c r="R181" s="16" t="s">
        <v>2994</v>
      </c>
      <c r="S181" s="16" t="s">
        <v>2994</v>
      </c>
      <c r="T181" s="16" t="s">
        <v>2994</v>
      </c>
      <c r="U181" s="16">
        <v>98490.85</v>
      </c>
      <c r="V181" s="16">
        <v>2002457.79</v>
      </c>
      <c r="W181" s="16" t="s">
        <v>2994</v>
      </c>
      <c r="X181" s="16" t="s">
        <v>2994</v>
      </c>
      <c r="Y181" s="3">
        <f t="shared" si="16"/>
        <v>2100948.64</v>
      </c>
      <c r="Z181" s="96">
        <f t="array" ref="Z181">SUM(ABS(F181:P181))</f>
        <v>0</v>
      </c>
      <c r="AB181" s="3"/>
      <c r="AC181" s="3"/>
      <c r="AD181" s="95"/>
      <c r="AE181" s="95"/>
      <c r="AF181" s="95"/>
      <c r="AG181" s="95"/>
      <c r="AH181" s="482"/>
      <c r="AI181" s="482"/>
      <c r="AJ181" s="482"/>
      <c r="AK181" s="482"/>
      <c r="AL181" s="482"/>
    </row>
    <row r="182" spans="1:38" x14ac:dyDescent="0.15">
      <c r="A182" s="12" t="s">
        <v>382</v>
      </c>
      <c r="B182" s="13" t="s">
        <v>2308</v>
      </c>
      <c r="C182" s="13" t="s">
        <v>27</v>
      </c>
      <c r="D182" s="13" t="s">
        <v>55</v>
      </c>
      <c r="E182" s="12" t="s">
        <v>112</v>
      </c>
      <c r="F182" s="14">
        <v>0</v>
      </c>
      <c r="G182" s="14">
        <v>0</v>
      </c>
      <c r="H182" s="14">
        <v>0</v>
      </c>
      <c r="I182" s="14">
        <v>0</v>
      </c>
      <c r="J182" s="14">
        <v>0</v>
      </c>
      <c r="K182" s="14">
        <v>0</v>
      </c>
      <c r="L182" s="14">
        <v>0</v>
      </c>
      <c r="M182" s="14">
        <v>0</v>
      </c>
      <c r="N182" s="14"/>
      <c r="O182" s="14"/>
      <c r="P182" s="15"/>
      <c r="Q182" s="16" t="s">
        <v>2994</v>
      </c>
      <c r="R182" s="16">
        <v>656968.09</v>
      </c>
      <c r="S182" s="16">
        <v>626096.69999999995</v>
      </c>
      <c r="T182" s="16" t="s">
        <v>2994</v>
      </c>
      <c r="U182" s="16" t="s">
        <v>2994</v>
      </c>
      <c r="V182" s="16" t="s">
        <v>2994</v>
      </c>
      <c r="W182" s="16" t="s">
        <v>2994</v>
      </c>
      <c r="X182" s="16" t="s">
        <v>2994</v>
      </c>
      <c r="Y182" s="3">
        <f t="shared" si="16"/>
        <v>1283064.79</v>
      </c>
      <c r="Z182" s="96">
        <f t="array" ref="Z182">SUM(ABS(F182:P182))</f>
        <v>0</v>
      </c>
      <c r="AB182" s="3"/>
      <c r="AC182" s="3"/>
      <c r="AD182" s="95"/>
      <c r="AE182" s="95"/>
      <c r="AF182" s="95"/>
      <c r="AG182" s="95"/>
      <c r="AH182" s="482"/>
      <c r="AI182" s="482"/>
      <c r="AJ182" s="482"/>
      <c r="AK182" s="482"/>
      <c r="AL182" s="482"/>
    </row>
    <row r="183" spans="1:38" x14ac:dyDescent="0.15">
      <c r="A183" s="12" t="s">
        <v>383</v>
      </c>
      <c r="B183" s="13" t="s">
        <v>384</v>
      </c>
      <c r="C183" s="13" t="s">
        <v>27</v>
      </c>
      <c r="D183" s="13" t="s">
        <v>55</v>
      </c>
      <c r="E183" s="12" t="s">
        <v>112</v>
      </c>
      <c r="F183" s="14">
        <v>0</v>
      </c>
      <c r="G183" s="14">
        <v>0</v>
      </c>
      <c r="H183" s="14">
        <v>0</v>
      </c>
      <c r="I183" s="14">
        <v>0</v>
      </c>
      <c r="J183" s="14">
        <v>0</v>
      </c>
      <c r="K183" s="14">
        <v>0</v>
      </c>
      <c r="L183" s="14">
        <v>0</v>
      </c>
      <c r="M183" s="14">
        <v>0</v>
      </c>
      <c r="N183" s="14"/>
      <c r="O183" s="14"/>
      <c r="P183" s="15"/>
      <c r="Q183" s="16" t="s">
        <v>2994</v>
      </c>
      <c r="R183" s="16" t="s">
        <v>2994</v>
      </c>
      <c r="S183" s="16">
        <v>108307.37</v>
      </c>
      <c r="T183" s="16">
        <v>1280986.47</v>
      </c>
      <c r="U183" s="16">
        <v>1137453.3</v>
      </c>
      <c r="V183" s="16">
        <v>8966.48</v>
      </c>
      <c r="W183" s="16" t="s">
        <v>2994</v>
      </c>
      <c r="X183" s="16" t="s">
        <v>2994</v>
      </c>
      <c r="Y183" s="3">
        <f t="shared" si="16"/>
        <v>2535713.6199999996</v>
      </c>
      <c r="Z183" s="96">
        <f t="array" ref="Z183">SUM(ABS(F183:P183))</f>
        <v>0</v>
      </c>
      <c r="AB183" s="3"/>
      <c r="AC183" s="3"/>
      <c r="AD183" s="95"/>
      <c r="AE183" s="95"/>
      <c r="AF183" s="95"/>
      <c r="AG183" s="95"/>
      <c r="AH183" s="482"/>
      <c r="AI183" s="482"/>
      <c r="AJ183" s="482"/>
      <c r="AK183" s="482"/>
      <c r="AL183" s="482"/>
    </row>
    <row r="184" spans="1:38" x14ac:dyDescent="0.15">
      <c r="A184" s="12" t="s">
        <v>385</v>
      </c>
      <c r="B184" s="13" t="s">
        <v>2309</v>
      </c>
      <c r="C184" s="13" t="s">
        <v>27</v>
      </c>
      <c r="D184" s="13" t="s">
        <v>55</v>
      </c>
      <c r="E184" s="12" t="s">
        <v>112</v>
      </c>
      <c r="F184" s="14">
        <v>0</v>
      </c>
      <c r="G184" s="14">
        <v>0</v>
      </c>
      <c r="H184" s="14">
        <v>0</v>
      </c>
      <c r="I184" s="14">
        <v>0</v>
      </c>
      <c r="J184" s="14">
        <v>0</v>
      </c>
      <c r="K184" s="14">
        <v>0</v>
      </c>
      <c r="L184" s="14">
        <v>0</v>
      </c>
      <c r="M184" s="14">
        <v>0</v>
      </c>
      <c r="N184" s="14"/>
      <c r="O184" s="14"/>
      <c r="P184" s="15"/>
      <c r="Q184" s="16" t="s">
        <v>2994</v>
      </c>
      <c r="R184" s="16" t="s">
        <v>2994</v>
      </c>
      <c r="S184" s="16" t="s">
        <v>2994</v>
      </c>
      <c r="T184" s="16" t="s">
        <v>2994</v>
      </c>
      <c r="U184" s="16">
        <v>61003.38</v>
      </c>
      <c r="V184" s="16">
        <v>806503.45</v>
      </c>
      <c r="W184" s="16">
        <v>419343.2</v>
      </c>
      <c r="X184" s="16" t="s">
        <v>2994</v>
      </c>
      <c r="Y184" s="3">
        <f t="shared" si="16"/>
        <v>1286850.03</v>
      </c>
      <c r="Z184" s="96">
        <f t="array" ref="Z184">SUM(ABS(F184:P184))</f>
        <v>0</v>
      </c>
      <c r="AB184" s="3"/>
      <c r="AC184" s="3"/>
      <c r="AD184" s="95"/>
      <c r="AE184" s="95"/>
      <c r="AF184" s="95"/>
      <c r="AG184" s="95"/>
      <c r="AH184" s="482"/>
      <c r="AI184" s="482"/>
      <c r="AJ184" s="482"/>
      <c r="AK184" s="482"/>
      <c r="AL184" s="482"/>
    </row>
    <row r="185" spans="1:38" x14ac:dyDescent="0.15">
      <c r="A185" s="12" t="s">
        <v>386</v>
      </c>
      <c r="B185" s="13" t="s">
        <v>2310</v>
      </c>
      <c r="C185" s="13" t="s">
        <v>27</v>
      </c>
      <c r="D185" s="13" t="s">
        <v>55</v>
      </c>
      <c r="E185" s="12" t="s">
        <v>112</v>
      </c>
      <c r="F185" s="14">
        <v>0</v>
      </c>
      <c r="G185" s="14">
        <v>0</v>
      </c>
      <c r="H185" s="14">
        <v>0</v>
      </c>
      <c r="I185" s="14">
        <v>0</v>
      </c>
      <c r="J185" s="14">
        <v>0</v>
      </c>
      <c r="K185" s="14">
        <v>0</v>
      </c>
      <c r="L185" s="14">
        <v>0</v>
      </c>
      <c r="M185" s="14">
        <v>0</v>
      </c>
      <c r="N185" s="14"/>
      <c r="O185" s="14"/>
      <c r="P185" s="15"/>
      <c r="Q185" s="16" t="s">
        <v>2994</v>
      </c>
      <c r="R185" s="16" t="s">
        <v>2994</v>
      </c>
      <c r="S185" s="16" t="s">
        <v>2994</v>
      </c>
      <c r="T185" s="16" t="s">
        <v>2994</v>
      </c>
      <c r="U185" s="16" t="s">
        <v>2994</v>
      </c>
      <c r="V185" s="16">
        <v>1277810.73</v>
      </c>
      <c r="W185" s="16">
        <v>1146514.23</v>
      </c>
      <c r="X185" s="16">
        <v>1116960.29</v>
      </c>
      <c r="Y185" s="3">
        <f t="shared" si="16"/>
        <v>3541285.25</v>
      </c>
      <c r="Z185" s="96">
        <f t="array" ref="Z185">SUM(ABS(F185:P185))</f>
        <v>0</v>
      </c>
      <c r="AB185" s="3"/>
      <c r="AC185" s="3"/>
      <c r="AD185" s="95"/>
      <c r="AE185" s="95"/>
      <c r="AF185" s="95"/>
      <c r="AG185" s="95"/>
      <c r="AH185" s="482"/>
      <c r="AI185" s="482"/>
      <c r="AJ185" s="482"/>
      <c r="AK185" s="482"/>
      <c r="AL185" s="482"/>
    </row>
    <row r="186" spans="1:38" x14ac:dyDescent="0.15">
      <c r="A186" s="12" t="s">
        <v>388</v>
      </c>
      <c r="B186" s="13" t="s">
        <v>389</v>
      </c>
      <c r="C186" s="13" t="s">
        <v>27</v>
      </c>
      <c r="D186" s="13" t="s">
        <v>40</v>
      </c>
      <c r="E186" s="12" t="s">
        <v>112</v>
      </c>
      <c r="F186" s="14">
        <v>0</v>
      </c>
      <c r="G186" s="14">
        <v>0</v>
      </c>
      <c r="H186" s="14">
        <v>0</v>
      </c>
      <c r="I186" s="14">
        <v>0</v>
      </c>
      <c r="J186" s="14">
        <v>0</v>
      </c>
      <c r="K186" s="14">
        <v>0</v>
      </c>
      <c r="L186" s="14">
        <v>0</v>
      </c>
      <c r="M186" s="14">
        <v>0</v>
      </c>
      <c r="N186" s="14"/>
      <c r="O186" s="14"/>
      <c r="P186" s="15"/>
      <c r="Q186" s="16" t="s">
        <v>2994</v>
      </c>
      <c r="R186" s="16" t="s">
        <v>2994</v>
      </c>
      <c r="S186" s="16" t="s">
        <v>2994</v>
      </c>
      <c r="T186" s="16">
        <v>797805.56</v>
      </c>
      <c r="U186" s="16">
        <v>1696416.52</v>
      </c>
      <c r="V186" s="16">
        <v>824707.18</v>
      </c>
      <c r="W186" s="16" t="s">
        <v>2994</v>
      </c>
      <c r="X186" s="16" t="s">
        <v>2994</v>
      </c>
      <c r="Y186" s="3">
        <f t="shared" ref="Y186:Y212" si="17">SUM(F186:X186)</f>
        <v>3318929.2600000002</v>
      </c>
      <c r="Z186" s="96">
        <f t="array" ref="Z186">SUM(ABS(F186:P186))</f>
        <v>0</v>
      </c>
      <c r="AB186" s="3"/>
      <c r="AC186" s="3"/>
      <c r="AD186" s="95"/>
      <c r="AE186" s="95"/>
      <c r="AF186" s="95"/>
      <c r="AG186" s="95"/>
      <c r="AH186" s="482"/>
      <c r="AI186" s="482"/>
      <c r="AJ186" s="482"/>
      <c r="AK186" s="482"/>
      <c r="AL186" s="482"/>
    </row>
    <row r="187" spans="1:38" x14ac:dyDescent="0.15">
      <c r="A187" s="12" t="s">
        <v>390</v>
      </c>
      <c r="B187" s="13" t="s">
        <v>391</v>
      </c>
      <c r="C187" s="13" t="s">
        <v>27</v>
      </c>
      <c r="D187" s="13" t="s">
        <v>55</v>
      </c>
      <c r="E187" s="12" t="s">
        <v>29</v>
      </c>
      <c r="F187" s="14">
        <v>0</v>
      </c>
      <c r="G187" s="14">
        <v>0</v>
      </c>
      <c r="H187" s="14">
        <v>0</v>
      </c>
      <c r="I187" s="14">
        <v>0</v>
      </c>
      <c r="J187" s="14">
        <v>0</v>
      </c>
      <c r="K187" s="14">
        <v>0</v>
      </c>
      <c r="L187" s="14">
        <v>0</v>
      </c>
      <c r="M187" s="14">
        <v>0</v>
      </c>
      <c r="N187" s="14"/>
      <c r="O187" s="14"/>
      <c r="P187" s="15"/>
      <c r="Q187" s="16">
        <v>142519.9</v>
      </c>
      <c r="R187" s="16">
        <v>976958.36</v>
      </c>
      <c r="S187" s="16">
        <v>482173.93</v>
      </c>
      <c r="T187" s="16" t="s">
        <v>2994</v>
      </c>
      <c r="U187" s="16" t="s">
        <v>2994</v>
      </c>
      <c r="V187" s="16" t="s">
        <v>2994</v>
      </c>
      <c r="W187" s="16" t="s">
        <v>2994</v>
      </c>
      <c r="X187" s="16" t="s">
        <v>2994</v>
      </c>
      <c r="Y187" s="3">
        <f t="shared" si="17"/>
        <v>1601652.19</v>
      </c>
      <c r="Z187" s="96">
        <f t="array" ref="Z187">SUM(ABS(F187:P187))</f>
        <v>0</v>
      </c>
      <c r="AB187" s="3"/>
      <c r="AC187" s="3"/>
      <c r="AD187" s="95"/>
      <c r="AE187" s="95"/>
      <c r="AF187" s="95"/>
      <c r="AG187" s="95"/>
      <c r="AH187" s="482"/>
      <c r="AI187" s="482"/>
      <c r="AJ187" s="482"/>
      <c r="AK187" s="482"/>
      <c r="AL187" s="482"/>
    </row>
    <row r="188" spans="1:38" x14ac:dyDescent="0.15">
      <c r="A188" s="12" t="s">
        <v>392</v>
      </c>
      <c r="B188" s="13" t="s">
        <v>2311</v>
      </c>
      <c r="C188" s="13" t="s">
        <v>27</v>
      </c>
      <c r="D188" s="13" t="s">
        <v>55</v>
      </c>
      <c r="E188" s="12" t="s">
        <v>112</v>
      </c>
      <c r="F188" s="14">
        <v>0</v>
      </c>
      <c r="G188" s="14">
        <v>0</v>
      </c>
      <c r="H188" s="14">
        <v>0</v>
      </c>
      <c r="I188" s="14">
        <v>0</v>
      </c>
      <c r="J188" s="14">
        <v>0</v>
      </c>
      <c r="K188" s="14">
        <v>0</v>
      </c>
      <c r="L188" s="14">
        <v>0</v>
      </c>
      <c r="M188" s="14">
        <v>0</v>
      </c>
      <c r="N188" s="14"/>
      <c r="O188" s="14"/>
      <c r="P188" s="15"/>
      <c r="Q188" s="16" t="s">
        <v>2994</v>
      </c>
      <c r="R188" s="16" t="s">
        <v>2994</v>
      </c>
      <c r="S188" s="16" t="s">
        <v>2994</v>
      </c>
      <c r="T188" s="16" t="s">
        <v>2994</v>
      </c>
      <c r="U188" s="16" t="s">
        <v>2994</v>
      </c>
      <c r="V188" s="16" t="s">
        <v>2994</v>
      </c>
      <c r="W188" s="16">
        <v>392519.88</v>
      </c>
      <c r="X188" s="16">
        <v>654628.81000000006</v>
      </c>
      <c r="Y188" s="3">
        <f t="shared" si="17"/>
        <v>1047148.6900000001</v>
      </c>
      <c r="Z188" s="96">
        <f t="array" ref="Z188">SUM(ABS(F188:P188))</f>
        <v>0</v>
      </c>
      <c r="AB188" s="3"/>
      <c r="AC188" s="3"/>
      <c r="AD188" s="95"/>
      <c r="AE188" s="95"/>
      <c r="AF188" s="95"/>
      <c r="AG188" s="95"/>
      <c r="AH188" s="482"/>
      <c r="AI188" s="482"/>
      <c r="AJ188" s="482"/>
      <c r="AK188" s="482"/>
      <c r="AL188" s="482"/>
    </row>
    <row r="189" spans="1:38" x14ac:dyDescent="0.15">
      <c r="A189" s="12" t="s">
        <v>393</v>
      </c>
      <c r="B189" s="13" t="s">
        <v>2312</v>
      </c>
      <c r="C189" s="13" t="s">
        <v>27</v>
      </c>
      <c r="D189" s="13" t="s">
        <v>55</v>
      </c>
      <c r="E189" s="12" t="s">
        <v>112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0</v>
      </c>
      <c r="N189" s="14"/>
      <c r="O189" s="14"/>
      <c r="P189" s="15"/>
      <c r="Q189" s="16" t="s">
        <v>2994</v>
      </c>
      <c r="R189" s="16" t="s">
        <v>2994</v>
      </c>
      <c r="S189" s="16" t="s">
        <v>2994</v>
      </c>
      <c r="T189" s="16" t="s">
        <v>2994</v>
      </c>
      <c r="U189" s="16" t="s">
        <v>2994</v>
      </c>
      <c r="V189" s="16">
        <v>44047.22</v>
      </c>
      <c r="W189" s="16">
        <v>906643.23</v>
      </c>
      <c r="X189" s="16">
        <v>1469964.36</v>
      </c>
      <c r="Y189" s="3">
        <f t="shared" si="17"/>
        <v>2420654.81</v>
      </c>
      <c r="Z189" s="96">
        <f t="array" ref="Z189">SUM(ABS(F189:P189))</f>
        <v>0</v>
      </c>
      <c r="AB189" s="3"/>
      <c r="AC189" s="3"/>
      <c r="AD189" s="95"/>
      <c r="AE189" s="95"/>
      <c r="AF189" s="95"/>
      <c r="AG189" s="95"/>
      <c r="AH189" s="482"/>
      <c r="AI189" s="482"/>
      <c r="AJ189" s="482"/>
      <c r="AK189" s="482"/>
      <c r="AL189" s="482"/>
    </row>
    <row r="190" spans="1:38" x14ac:dyDescent="0.15">
      <c r="A190" s="12" t="s">
        <v>394</v>
      </c>
      <c r="B190" s="13" t="s">
        <v>395</v>
      </c>
      <c r="C190" s="13" t="s">
        <v>27</v>
      </c>
      <c r="D190" s="13" t="s">
        <v>36</v>
      </c>
      <c r="E190" s="12" t="s">
        <v>112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0</v>
      </c>
      <c r="N190" s="14"/>
      <c r="O190" s="14"/>
      <c r="P190" s="15"/>
      <c r="Q190" s="16" t="s">
        <v>2994</v>
      </c>
      <c r="R190" s="16" t="s">
        <v>2994</v>
      </c>
      <c r="S190" s="16">
        <v>660999.23</v>
      </c>
      <c r="T190" s="16" t="s">
        <v>2994</v>
      </c>
      <c r="U190" s="16" t="s">
        <v>2994</v>
      </c>
      <c r="V190" s="16" t="s">
        <v>2994</v>
      </c>
      <c r="W190" s="16" t="s">
        <v>2994</v>
      </c>
      <c r="X190" s="16" t="s">
        <v>2994</v>
      </c>
      <c r="Y190" s="3">
        <f t="shared" si="17"/>
        <v>660999.23</v>
      </c>
      <c r="Z190" s="96">
        <f t="array" ref="Z190">SUM(ABS(F190:P190))</f>
        <v>0</v>
      </c>
      <c r="AB190" s="3"/>
      <c r="AC190" s="3"/>
      <c r="AD190" s="95"/>
      <c r="AE190" s="95"/>
      <c r="AF190" s="95"/>
      <c r="AG190" s="95"/>
      <c r="AH190" s="482"/>
      <c r="AI190" s="482"/>
      <c r="AJ190" s="482"/>
      <c r="AK190" s="482"/>
      <c r="AL190" s="482"/>
    </row>
    <row r="191" spans="1:38" x14ac:dyDescent="0.15">
      <c r="A191" s="12" t="s">
        <v>396</v>
      </c>
      <c r="B191" s="13" t="s">
        <v>397</v>
      </c>
      <c r="C191" s="13" t="s">
        <v>27</v>
      </c>
      <c r="D191" s="13" t="s">
        <v>36</v>
      </c>
      <c r="E191" s="12" t="s">
        <v>112</v>
      </c>
      <c r="F191" s="14">
        <v>0</v>
      </c>
      <c r="G191" s="14">
        <v>0</v>
      </c>
      <c r="H191" s="14">
        <v>0</v>
      </c>
      <c r="I191" s="14">
        <v>0</v>
      </c>
      <c r="J191" s="14">
        <v>0</v>
      </c>
      <c r="K191" s="14">
        <v>0</v>
      </c>
      <c r="L191" s="14">
        <v>0</v>
      </c>
      <c r="M191" s="14">
        <v>0</v>
      </c>
      <c r="N191" s="14"/>
      <c r="O191" s="14"/>
      <c r="P191" s="15"/>
      <c r="Q191" s="16" t="s">
        <v>2994</v>
      </c>
      <c r="R191" s="16" t="s">
        <v>2994</v>
      </c>
      <c r="S191" s="16" t="s">
        <v>2994</v>
      </c>
      <c r="T191" s="16">
        <v>347473.95</v>
      </c>
      <c r="U191" s="16" t="s">
        <v>2994</v>
      </c>
      <c r="V191" s="16" t="s">
        <v>2994</v>
      </c>
      <c r="W191" s="16" t="s">
        <v>2994</v>
      </c>
      <c r="X191" s="16" t="s">
        <v>2994</v>
      </c>
      <c r="Y191" s="3">
        <f t="shared" si="17"/>
        <v>347473.95</v>
      </c>
      <c r="Z191" s="96">
        <f t="array" ref="Z191">SUM(ABS(F191:P191))</f>
        <v>0</v>
      </c>
      <c r="AB191" s="3"/>
      <c r="AC191" s="3"/>
      <c r="AD191" s="95"/>
      <c r="AE191" s="95"/>
      <c r="AF191" s="95"/>
      <c r="AG191" s="95"/>
      <c r="AH191" s="482"/>
      <c r="AI191" s="482"/>
      <c r="AJ191" s="482"/>
      <c r="AK191" s="482"/>
      <c r="AL191" s="482"/>
    </row>
    <row r="192" spans="1:38" x14ac:dyDescent="0.15">
      <c r="A192" s="12" t="s">
        <v>398</v>
      </c>
      <c r="B192" s="13" t="s">
        <v>399</v>
      </c>
      <c r="C192" s="13" t="s">
        <v>27</v>
      </c>
      <c r="D192" s="13" t="s">
        <v>36</v>
      </c>
      <c r="E192" s="12" t="s">
        <v>112</v>
      </c>
      <c r="F192" s="14">
        <v>0</v>
      </c>
      <c r="G192" s="14">
        <v>0</v>
      </c>
      <c r="H192" s="14">
        <v>0</v>
      </c>
      <c r="I192" s="14">
        <v>0</v>
      </c>
      <c r="J192" s="14">
        <v>0</v>
      </c>
      <c r="K192" s="14">
        <v>0</v>
      </c>
      <c r="L192" s="14">
        <v>0</v>
      </c>
      <c r="M192" s="14">
        <v>0</v>
      </c>
      <c r="N192" s="14"/>
      <c r="O192" s="14"/>
      <c r="P192" s="15"/>
      <c r="Q192" s="16" t="s">
        <v>2994</v>
      </c>
      <c r="R192" s="16" t="s">
        <v>2994</v>
      </c>
      <c r="S192" s="16" t="s">
        <v>2994</v>
      </c>
      <c r="T192" s="16">
        <v>211079.11</v>
      </c>
      <c r="U192" s="16" t="s">
        <v>2994</v>
      </c>
      <c r="V192" s="16" t="s">
        <v>2994</v>
      </c>
      <c r="W192" s="16" t="s">
        <v>2994</v>
      </c>
      <c r="X192" s="16" t="s">
        <v>2994</v>
      </c>
      <c r="Y192" s="3">
        <f t="shared" si="17"/>
        <v>211079.11</v>
      </c>
      <c r="Z192" s="96">
        <f t="array" ref="Z192">SUM(ABS(F192:P192))</f>
        <v>0</v>
      </c>
      <c r="AB192" s="3"/>
      <c r="AC192" s="3"/>
      <c r="AD192" s="95"/>
      <c r="AE192" s="95"/>
      <c r="AF192" s="95"/>
      <c r="AG192" s="95"/>
      <c r="AH192" s="482"/>
      <c r="AI192" s="482"/>
      <c r="AJ192" s="482"/>
      <c r="AK192" s="482"/>
      <c r="AL192" s="482"/>
    </row>
    <row r="193" spans="1:38" x14ac:dyDescent="0.15">
      <c r="A193" s="12" t="s">
        <v>400</v>
      </c>
      <c r="B193" s="13" t="s">
        <v>2384</v>
      </c>
      <c r="C193" s="13" t="s">
        <v>27</v>
      </c>
      <c r="D193" s="13" t="s">
        <v>55</v>
      </c>
      <c r="E193" s="12" t="s">
        <v>112</v>
      </c>
      <c r="F193" s="14">
        <v>0</v>
      </c>
      <c r="G193" s="14">
        <v>0</v>
      </c>
      <c r="H193" s="14">
        <v>0</v>
      </c>
      <c r="I193" s="14">
        <v>0</v>
      </c>
      <c r="J193" s="14">
        <v>0</v>
      </c>
      <c r="K193" s="14">
        <v>0</v>
      </c>
      <c r="L193" s="14">
        <v>0</v>
      </c>
      <c r="M193" s="14">
        <v>0</v>
      </c>
      <c r="N193" s="14"/>
      <c r="O193" s="14"/>
      <c r="P193" s="15"/>
      <c r="Q193" s="16" t="s">
        <v>2994</v>
      </c>
      <c r="R193" s="16" t="s">
        <v>2994</v>
      </c>
      <c r="S193" s="16">
        <v>666987.56999999995</v>
      </c>
      <c r="T193" s="16">
        <v>661234.41</v>
      </c>
      <c r="U193" s="16">
        <v>210984.86</v>
      </c>
      <c r="V193" s="16" t="s">
        <v>2994</v>
      </c>
      <c r="W193" s="16" t="s">
        <v>2994</v>
      </c>
      <c r="X193" s="16" t="s">
        <v>2994</v>
      </c>
      <c r="Y193" s="3">
        <f t="shared" si="17"/>
        <v>1539206.8399999999</v>
      </c>
      <c r="Z193" s="96">
        <f t="array" ref="Z193">SUM(ABS(F193:P193))</f>
        <v>0</v>
      </c>
      <c r="AB193" s="3"/>
      <c r="AC193" s="3"/>
      <c r="AD193" s="95"/>
      <c r="AE193" s="95"/>
      <c r="AF193" s="95"/>
      <c r="AG193" s="95"/>
      <c r="AH193" s="482"/>
      <c r="AI193" s="482"/>
      <c r="AJ193" s="482"/>
      <c r="AK193" s="482"/>
      <c r="AL193" s="482"/>
    </row>
    <row r="194" spans="1:38" x14ac:dyDescent="0.15">
      <c r="A194" s="12" t="s">
        <v>401</v>
      </c>
      <c r="B194" s="13" t="s">
        <v>2313</v>
      </c>
      <c r="C194" s="13" t="s">
        <v>27</v>
      </c>
      <c r="D194" s="13" t="s">
        <v>55</v>
      </c>
      <c r="E194" s="12" t="s">
        <v>112</v>
      </c>
      <c r="F194" s="14">
        <v>0</v>
      </c>
      <c r="G194" s="14">
        <v>0</v>
      </c>
      <c r="H194" s="14">
        <v>0</v>
      </c>
      <c r="I194" s="14">
        <v>0</v>
      </c>
      <c r="J194" s="14">
        <v>0</v>
      </c>
      <c r="K194" s="14">
        <v>0</v>
      </c>
      <c r="L194" s="14">
        <v>0</v>
      </c>
      <c r="M194" s="14">
        <v>0</v>
      </c>
      <c r="N194" s="14"/>
      <c r="O194" s="14"/>
      <c r="P194" s="15"/>
      <c r="Q194" s="16" t="s">
        <v>2994</v>
      </c>
      <c r="R194" s="16">
        <v>56244.51</v>
      </c>
      <c r="S194" s="16">
        <v>1212866.27</v>
      </c>
      <c r="T194" s="16">
        <v>1210532.1100000001</v>
      </c>
      <c r="U194" s="16">
        <v>34794.19</v>
      </c>
      <c r="V194" s="16" t="s">
        <v>2994</v>
      </c>
      <c r="W194" s="16" t="s">
        <v>2994</v>
      </c>
      <c r="X194" s="16" t="s">
        <v>2994</v>
      </c>
      <c r="Y194" s="3">
        <f t="shared" si="17"/>
        <v>2514437.08</v>
      </c>
      <c r="Z194" s="96">
        <f t="array" ref="Z194">SUM(ABS(F194:P194))</f>
        <v>0</v>
      </c>
      <c r="AB194" s="3"/>
      <c r="AC194" s="3"/>
      <c r="AD194" s="95"/>
      <c r="AE194" s="95"/>
      <c r="AF194" s="95"/>
      <c r="AG194" s="95"/>
      <c r="AH194" s="482"/>
      <c r="AI194" s="482"/>
      <c r="AJ194" s="482"/>
      <c r="AK194" s="482"/>
      <c r="AL194" s="482"/>
    </row>
    <row r="195" spans="1:38" x14ac:dyDescent="0.15">
      <c r="A195" s="12" t="s">
        <v>402</v>
      </c>
      <c r="B195" s="13" t="s">
        <v>403</v>
      </c>
      <c r="C195" s="13" t="s">
        <v>27</v>
      </c>
      <c r="D195" s="13" t="s">
        <v>55</v>
      </c>
      <c r="E195" s="12" t="s">
        <v>112</v>
      </c>
      <c r="F195" s="14">
        <v>0</v>
      </c>
      <c r="G195" s="14">
        <v>0</v>
      </c>
      <c r="H195" s="14">
        <v>0</v>
      </c>
      <c r="I195" s="14">
        <v>0</v>
      </c>
      <c r="J195" s="14">
        <v>0</v>
      </c>
      <c r="K195" s="14">
        <v>0</v>
      </c>
      <c r="L195" s="14">
        <v>0</v>
      </c>
      <c r="M195" s="14">
        <v>0</v>
      </c>
      <c r="N195" s="14"/>
      <c r="O195" s="14"/>
      <c r="P195" s="15"/>
      <c r="Q195" s="16" t="s">
        <v>2994</v>
      </c>
      <c r="R195" s="16" t="s">
        <v>2994</v>
      </c>
      <c r="S195" s="16">
        <v>327419.12</v>
      </c>
      <c r="T195" s="16">
        <v>639873.23</v>
      </c>
      <c r="U195" s="16">
        <v>474842.64</v>
      </c>
      <c r="V195" s="16" t="s">
        <v>2994</v>
      </c>
      <c r="W195" s="16" t="s">
        <v>2994</v>
      </c>
      <c r="X195" s="16" t="s">
        <v>2994</v>
      </c>
      <c r="Y195" s="3">
        <f t="shared" si="17"/>
        <v>1442134.99</v>
      </c>
      <c r="Z195" s="96">
        <f t="array" ref="Z195">SUM(ABS(F195:P195))</f>
        <v>0</v>
      </c>
      <c r="AB195" s="3"/>
      <c r="AC195" s="3"/>
      <c r="AD195" s="95"/>
      <c r="AE195" s="95"/>
      <c r="AF195" s="95"/>
      <c r="AG195" s="95"/>
      <c r="AH195" s="482"/>
      <c r="AI195" s="482"/>
      <c r="AJ195" s="482"/>
      <c r="AK195" s="482"/>
      <c r="AL195" s="482"/>
    </row>
    <row r="196" spans="1:38" x14ac:dyDescent="0.15">
      <c r="A196" s="12" t="s">
        <v>404</v>
      </c>
      <c r="B196" s="13" t="s">
        <v>405</v>
      </c>
      <c r="C196" s="13" t="s">
        <v>27</v>
      </c>
      <c r="D196" s="13" t="s">
        <v>40</v>
      </c>
      <c r="E196" s="12" t="s">
        <v>112</v>
      </c>
      <c r="F196" s="14">
        <v>0</v>
      </c>
      <c r="G196" s="14">
        <v>0</v>
      </c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4">
        <v>0</v>
      </c>
      <c r="N196" s="14"/>
      <c r="O196" s="14"/>
      <c r="P196" s="15"/>
      <c r="Q196" s="16" t="s">
        <v>2994</v>
      </c>
      <c r="R196" s="16" t="s">
        <v>2994</v>
      </c>
      <c r="S196" s="16">
        <v>576303.06999999995</v>
      </c>
      <c r="T196" s="16">
        <v>893898.78</v>
      </c>
      <c r="U196" s="16">
        <v>520300.47</v>
      </c>
      <c r="V196" s="16" t="s">
        <v>2994</v>
      </c>
      <c r="W196" s="16" t="s">
        <v>2994</v>
      </c>
      <c r="X196" s="16" t="s">
        <v>2994</v>
      </c>
      <c r="Y196" s="3">
        <f t="shared" si="17"/>
        <v>1990502.32</v>
      </c>
      <c r="Z196" s="96">
        <f t="array" ref="Z196">SUM(ABS(F196:P196))</f>
        <v>0</v>
      </c>
      <c r="AB196" s="3"/>
      <c r="AC196" s="3"/>
      <c r="AD196" s="95"/>
      <c r="AE196" s="95"/>
      <c r="AF196" s="95"/>
      <c r="AG196" s="95"/>
      <c r="AH196" s="482"/>
      <c r="AI196" s="482"/>
      <c r="AJ196" s="482"/>
      <c r="AK196" s="482"/>
      <c r="AL196" s="482"/>
    </row>
    <row r="197" spans="1:38" x14ac:dyDescent="0.15">
      <c r="A197" s="12" t="s">
        <v>406</v>
      </c>
      <c r="B197" s="13" t="s">
        <v>407</v>
      </c>
      <c r="C197" s="13" t="s">
        <v>27</v>
      </c>
      <c r="D197" s="13" t="s">
        <v>60</v>
      </c>
      <c r="E197" s="12" t="s">
        <v>112</v>
      </c>
      <c r="F197" s="14">
        <v>0</v>
      </c>
      <c r="G197" s="14">
        <v>0</v>
      </c>
      <c r="H197" s="14">
        <v>0</v>
      </c>
      <c r="I197" s="14">
        <v>0</v>
      </c>
      <c r="J197" s="14">
        <v>0</v>
      </c>
      <c r="K197" s="14">
        <v>0</v>
      </c>
      <c r="L197" s="14">
        <v>0</v>
      </c>
      <c r="M197" s="14">
        <v>0</v>
      </c>
      <c r="N197" s="14"/>
      <c r="O197" s="14"/>
      <c r="P197" s="15"/>
      <c r="Q197" s="16" t="s">
        <v>2994</v>
      </c>
      <c r="R197" s="16" t="s">
        <v>2994</v>
      </c>
      <c r="S197" s="16" t="s">
        <v>2994</v>
      </c>
      <c r="T197" s="16">
        <v>2435256.56</v>
      </c>
      <c r="U197" s="16" t="s">
        <v>2994</v>
      </c>
      <c r="V197" s="16" t="s">
        <v>2994</v>
      </c>
      <c r="W197" s="16" t="s">
        <v>2994</v>
      </c>
      <c r="X197" s="16" t="s">
        <v>2994</v>
      </c>
      <c r="Y197" s="3">
        <f t="shared" si="17"/>
        <v>2435256.56</v>
      </c>
      <c r="Z197" s="96">
        <f t="array" ref="Z197">SUM(ABS(F197:P197))</f>
        <v>0</v>
      </c>
      <c r="AB197" s="3"/>
      <c r="AC197" s="3"/>
      <c r="AD197" s="95"/>
      <c r="AE197" s="95"/>
      <c r="AF197" s="95"/>
      <c r="AG197" s="95"/>
      <c r="AH197" s="482"/>
      <c r="AI197" s="482"/>
      <c r="AJ197" s="482"/>
      <c r="AK197" s="482"/>
      <c r="AL197" s="482"/>
    </row>
    <row r="198" spans="1:38" x14ac:dyDescent="0.15">
      <c r="A198" s="12" t="s">
        <v>408</v>
      </c>
      <c r="B198" s="13" t="s">
        <v>409</v>
      </c>
      <c r="C198" s="13" t="s">
        <v>27</v>
      </c>
      <c r="D198" s="13" t="s">
        <v>55</v>
      </c>
      <c r="E198" s="12" t="s">
        <v>29</v>
      </c>
      <c r="F198" s="14">
        <v>0</v>
      </c>
      <c r="G198" s="14">
        <v>0</v>
      </c>
      <c r="H198" s="14">
        <v>0</v>
      </c>
      <c r="I198" s="14">
        <v>0</v>
      </c>
      <c r="J198" s="14">
        <v>0</v>
      </c>
      <c r="K198" s="14">
        <v>0</v>
      </c>
      <c r="L198" s="14">
        <v>0</v>
      </c>
      <c r="M198" s="14">
        <v>0</v>
      </c>
      <c r="N198" s="14"/>
      <c r="O198" s="14"/>
      <c r="P198" s="15">
        <v>27690.75</v>
      </c>
      <c r="Q198" s="16">
        <v>806308.13</v>
      </c>
      <c r="R198" s="16">
        <v>1309809.6399999999</v>
      </c>
      <c r="S198" s="16" t="s">
        <v>2994</v>
      </c>
      <c r="T198" s="16" t="s">
        <v>2994</v>
      </c>
      <c r="U198" s="16" t="s">
        <v>2994</v>
      </c>
      <c r="V198" s="16" t="s">
        <v>2994</v>
      </c>
      <c r="W198" s="16" t="s">
        <v>2994</v>
      </c>
      <c r="X198" s="16" t="s">
        <v>2994</v>
      </c>
      <c r="Y198" s="3">
        <f t="shared" si="17"/>
        <v>2143808.52</v>
      </c>
      <c r="Z198" s="96">
        <f t="array" ref="Z198">SUM(ABS(F198:P198))</f>
        <v>27690.75</v>
      </c>
      <c r="AB198" s="3"/>
      <c r="AC198" s="3"/>
      <c r="AD198" s="95"/>
      <c r="AE198" s="95"/>
      <c r="AF198" s="95"/>
      <c r="AG198" s="95"/>
      <c r="AH198" s="482"/>
      <c r="AI198" s="482"/>
      <c r="AJ198" s="482"/>
      <c r="AK198" s="482"/>
      <c r="AL198" s="482"/>
    </row>
    <row r="199" spans="1:38" x14ac:dyDescent="0.15">
      <c r="A199" s="12" t="s">
        <v>411</v>
      </c>
      <c r="B199" s="13" t="s">
        <v>412</v>
      </c>
      <c r="C199" s="13" t="s">
        <v>27</v>
      </c>
      <c r="D199" s="13" t="s">
        <v>36</v>
      </c>
      <c r="E199" s="12" t="s">
        <v>112</v>
      </c>
      <c r="F199" s="14">
        <v>0</v>
      </c>
      <c r="G199" s="14">
        <v>0</v>
      </c>
      <c r="H199" s="14">
        <v>0</v>
      </c>
      <c r="I199" s="14">
        <v>0</v>
      </c>
      <c r="J199" s="14">
        <v>0</v>
      </c>
      <c r="K199" s="14">
        <v>0</v>
      </c>
      <c r="L199" s="14">
        <v>0</v>
      </c>
      <c r="M199" s="14">
        <v>0</v>
      </c>
      <c r="N199" s="14"/>
      <c r="O199" s="14"/>
      <c r="P199" s="15"/>
      <c r="Q199" s="16" t="s">
        <v>2994</v>
      </c>
      <c r="R199" s="16" t="s">
        <v>2994</v>
      </c>
      <c r="S199" s="16" t="s">
        <v>2994</v>
      </c>
      <c r="T199" s="16" t="s">
        <v>2994</v>
      </c>
      <c r="U199" s="16">
        <v>258998.01</v>
      </c>
      <c r="V199" s="16" t="s">
        <v>2994</v>
      </c>
      <c r="W199" s="16" t="s">
        <v>2994</v>
      </c>
      <c r="X199" s="16" t="s">
        <v>2994</v>
      </c>
      <c r="Y199" s="3">
        <f t="shared" si="17"/>
        <v>258998.01</v>
      </c>
      <c r="Z199" s="96">
        <f t="array" ref="Z199">SUM(ABS(F199:P199))</f>
        <v>0</v>
      </c>
      <c r="AB199" s="3"/>
      <c r="AC199" s="3"/>
      <c r="AD199" s="95"/>
      <c r="AE199" s="95"/>
      <c r="AF199" s="95"/>
      <c r="AG199" s="95"/>
      <c r="AH199" s="482"/>
      <c r="AI199" s="482"/>
      <c r="AJ199" s="482"/>
      <c r="AK199" s="482"/>
      <c r="AL199" s="482"/>
    </row>
    <row r="200" spans="1:38" x14ac:dyDescent="0.15">
      <c r="A200" s="12" t="s">
        <v>413</v>
      </c>
      <c r="B200" s="13" t="s">
        <v>414</v>
      </c>
      <c r="C200" s="13" t="s">
        <v>27</v>
      </c>
      <c r="D200" s="13" t="s">
        <v>36</v>
      </c>
      <c r="E200" s="12" t="s">
        <v>112</v>
      </c>
      <c r="F200" s="14">
        <v>0</v>
      </c>
      <c r="G200" s="14">
        <v>0</v>
      </c>
      <c r="H200" s="14">
        <v>0</v>
      </c>
      <c r="I200" s="14">
        <v>0</v>
      </c>
      <c r="J200" s="14">
        <v>0</v>
      </c>
      <c r="K200" s="14">
        <v>0</v>
      </c>
      <c r="L200" s="14">
        <v>0</v>
      </c>
      <c r="M200" s="14">
        <v>0</v>
      </c>
      <c r="N200" s="14"/>
      <c r="O200" s="14"/>
      <c r="P200" s="15"/>
      <c r="Q200" s="16" t="s">
        <v>2994</v>
      </c>
      <c r="R200" s="16" t="s">
        <v>2994</v>
      </c>
      <c r="S200" s="16" t="s">
        <v>2994</v>
      </c>
      <c r="T200" s="16" t="s">
        <v>2994</v>
      </c>
      <c r="U200" s="16">
        <v>370700.41</v>
      </c>
      <c r="V200" s="16" t="s">
        <v>2994</v>
      </c>
      <c r="W200" s="16" t="s">
        <v>2994</v>
      </c>
      <c r="X200" s="16" t="s">
        <v>2994</v>
      </c>
      <c r="Y200" s="3">
        <f t="shared" si="17"/>
        <v>370700.41</v>
      </c>
      <c r="Z200" s="96">
        <f t="array" ref="Z200">SUM(ABS(F200:P200))</f>
        <v>0</v>
      </c>
      <c r="AB200" s="3"/>
      <c r="AC200" s="3"/>
      <c r="AD200" s="95"/>
      <c r="AE200" s="95"/>
      <c r="AF200" s="95"/>
      <c r="AG200" s="95"/>
      <c r="AH200" s="482"/>
      <c r="AI200" s="482"/>
      <c r="AJ200" s="482"/>
      <c r="AK200" s="482"/>
      <c r="AL200" s="482"/>
    </row>
    <row r="201" spans="1:38" x14ac:dyDescent="0.15">
      <c r="A201" s="12" t="s">
        <v>415</v>
      </c>
      <c r="B201" s="13" t="s">
        <v>416</v>
      </c>
      <c r="C201" s="13" t="s">
        <v>27</v>
      </c>
      <c r="D201" s="13" t="s">
        <v>36</v>
      </c>
      <c r="E201" s="12" t="s">
        <v>112</v>
      </c>
      <c r="F201" s="14">
        <v>0</v>
      </c>
      <c r="G201" s="14">
        <v>0</v>
      </c>
      <c r="H201" s="14">
        <v>0</v>
      </c>
      <c r="I201" s="14">
        <v>0</v>
      </c>
      <c r="J201" s="14">
        <v>0</v>
      </c>
      <c r="K201" s="14">
        <v>0</v>
      </c>
      <c r="L201" s="14">
        <v>0</v>
      </c>
      <c r="M201" s="14">
        <v>0</v>
      </c>
      <c r="N201" s="14"/>
      <c r="O201" s="14"/>
      <c r="P201" s="15"/>
      <c r="Q201" s="16" t="s">
        <v>2994</v>
      </c>
      <c r="R201" s="16" t="s">
        <v>2994</v>
      </c>
      <c r="S201" s="16" t="s">
        <v>2994</v>
      </c>
      <c r="T201" s="16" t="s">
        <v>2994</v>
      </c>
      <c r="U201" s="16">
        <v>173999.09</v>
      </c>
      <c r="V201" s="16" t="s">
        <v>2994</v>
      </c>
      <c r="W201" s="16" t="s">
        <v>2994</v>
      </c>
      <c r="X201" s="16" t="s">
        <v>2994</v>
      </c>
      <c r="Y201" s="3">
        <f t="shared" si="17"/>
        <v>173999.09</v>
      </c>
      <c r="Z201" s="96">
        <f t="array" ref="Z201">SUM(ABS(F201:P201))</f>
        <v>0</v>
      </c>
      <c r="AB201" s="3"/>
      <c r="AC201" s="3"/>
      <c r="AD201" s="95"/>
      <c r="AE201" s="95"/>
      <c r="AF201" s="95"/>
      <c r="AG201" s="95"/>
      <c r="AH201" s="482"/>
      <c r="AI201" s="482"/>
      <c r="AJ201" s="482"/>
      <c r="AK201" s="482"/>
      <c r="AL201" s="482"/>
    </row>
    <row r="202" spans="1:38" x14ac:dyDescent="0.15">
      <c r="A202" s="12" t="s">
        <v>418</v>
      </c>
      <c r="B202" s="13" t="s">
        <v>419</v>
      </c>
      <c r="C202" s="13" t="s">
        <v>27</v>
      </c>
      <c r="D202" s="13" t="s">
        <v>36</v>
      </c>
      <c r="E202" s="12" t="s">
        <v>112</v>
      </c>
      <c r="F202" s="14">
        <v>0</v>
      </c>
      <c r="G202" s="14">
        <v>0</v>
      </c>
      <c r="H202" s="14">
        <v>0</v>
      </c>
      <c r="I202" s="14">
        <v>0</v>
      </c>
      <c r="J202" s="14">
        <v>0</v>
      </c>
      <c r="K202" s="14">
        <v>0</v>
      </c>
      <c r="L202" s="14">
        <v>0</v>
      </c>
      <c r="M202" s="14">
        <v>0</v>
      </c>
      <c r="N202" s="14"/>
      <c r="O202" s="14"/>
      <c r="P202" s="15"/>
      <c r="Q202" s="16" t="s">
        <v>2994</v>
      </c>
      <c r="R202" s="16" t="s">
        <v>2994</v>
      </c>
      <c r="S202" s="16" t="s">
        <v>2994</v>
      </c>
      <c r="T202" s="16" t="s">
        <v>2994</v>
      </c>
      <c r="U202" s="16">
        <v>280654.61</v>
      </c>
      <c r="V202" s="16" t="s">
        <v>2994</v>
      </c>
      <c r="W202" s="16" t="s">
        <v>2994</v>
      </c>
      <c r="X202" s="16" t="s">
        <v>2994</v>
      </c>
      <c r="Y202" s="3">
        <f t="shared" si="17"/>
        <v>280654.61</v>
      </c>
      <c r="Z202" s="96">
        <f t="array" ref="Z202">SUM(ABS(F202:P202))</f>
        <v>0</v>
      </c>
      <c r="AB202" s="3"/>
      <c r="AC202" s="3"/>
      <c r="AD202" s="95"/>
      <c r="AE202" s="95"/>
      <c r="AF202" s="95"/>
      <c r="AG202" s="95"/>
      <c r="AH202" s="482"/>
      <c r="AI202" s="482"/>
      <c r="AJ202" s="482"/>
      <c r="AK202" s="482"/>
      <c r="AL202" s="482"/>
    </row>
    <row r="203" spans="1:38" x14ac:dyDescent="0.15">
      <c r="A203" s="12" t="s">
        <v>420</v>
      </c>
      <c r="B203" s="13" t="s">
        <v>421</v>
      </c>
      <c r="C203" s="13" t="s">
        <v>27</v>
      </c>
      <c r="D203" s="13" t="s">
        <v>40</v>
      </c>
      <c r="E203" s="12" t="s">
        <v>112</v>
      </c>
      <c r="F203" s="14">
        <v>0</v>
      </c>
      <c r="G203" s="14">
        <v>0</v>
      </c>
      <c r="H203" s="14">
        <v>0</v>
      </c>
      <c r="I203" s="14">
        <v>0</v>
      </c>
      <c r="J203" s="14">
        <v>0</v>
      </c>
      <c r="K203" s="14">
        <v>0</v>
      </c>
      <c r="L203" s="14">
        <v>0</v>
      </c>
      <c r="M203" s="14">
        <v>0</v>
      </c>
      <c r="N203" s="14"/>
      <c r="O203" s="14"/>
      <c r="P203" s="15"/>
      <c r="Q203" s="16" t="s">
        <v>2994</v>
      </c>
      <c r="R203" s="16" t="s">
        <v>2994</v>
      </c>
      <c r="S203" s="16">
        <v>579145.18000000005</v>
      </c>
      <c r="T203" s="16">
        <v>1272366.33</v>
      </c>
      <c r="U203" s="16">
        <v>2077277.82</v>
      </c>
      <c r="V203" s="16">
        <v>2131482.87</v>
      </c>
      <c r="W203" s="16">
        <v>1327667.6100000001</v>
      </c>
      <c r="X203" s="16" t="s">
        <v>2994</v>
      </c>
      <c r="Y203" s="3">
        <f t="shared" si="17"/>
        <v>7387939.8100000005</v>
      </c>
      <c r="Z203" s="96">
        <f t="array" ref="Z203">SUM(ABS(F203:P203))</f>
        <v>0</v>
      </c>
      <c r="AB203" s="3"/>
      <c r="AC203" s="3"/>
      <c r="AD203" s="95"/>
      <c r="AE203" s="95"/>
      <c r="AF203" s="95"/>
      <c r="AG203" s="95"/>
      <c r="AH203" s="482"/>
      <c r="AI203" s="482"/>
      <c r="AJ203" s="482"/>
      <c r="AK203" s="482"/>
      <c r="AL203" s="482"/>
    </row>
    <row r="204" spans="1:38" x14ac:dyDescent="0.15">
      <c r="A204" s="12" t="s">
        <v>422</v>
      </c>
      <c r="B204" s="13" t="s">
        <v>423</v>
      </c>
      <c r="C204" s="13" t="s">
        <v>27</v>
      </c>
      <c r="D204" s="13" t="s">
        <v>55</v>
      </c>
      <c r="E204" s="12" t="s">
        <v>112</v>
      </c>
      <c r="F204" s="14">
        <v>0</v>
      </c>
      <c r="G204" s="14">
        <v>0</v>
      </c>
      <c r="H204" s="14">
        <v>0</v>
      </c>
      <c r="I204" s="14">
        <v>0</v>
      </c>
      <c r="J204" s="14">
        <v>0</v>
      </c>
      <c r="K204" s="14">
        <v>0</v>
      </c>
      <c r="L204" s="14">
        <v>0</v>
      </c>
      <c r="M204" s="14">
        <v>0</v>
      </c>
      <c r="N204" s="14"/>
      <c r="O204" s="14"/>
      <c r="P204" s="15"/>
      <c r="Q204" s="16" t="s">
        <v>2994</v>
      </c>
      <c r="R204" s="16" t="s">
        <v>2994</v>
      </c>
      <c r="S204" s="16" t="s">
        <v>2994</v>
      </c>
      <c r="T204" s="16">
        <v>32690.14</v>
      </c>
      <c r="U204" s="16">
        <v>833689.59</v>
      </c>
      <c r="V204" s="16">
        <v>933978.83</v>
      </c>
      <c r="W204" s="16">
        <v>275948.11</v>
      </c>
      <c r="X204" s="16" t="s">
        <v>2994</v>
      </c>
      <c r="Y204" s="3">
        <f t="shared" si="17"/>
        <v>2076306.67</v>
      </c>
      <c r="Z204" s="96">
        <f t="array" ref="Z204">SUM(ABS(F204:P204))</f>
        <v>0</v>
      </c>
      <c r="AB204" s="3"/>
      <c r="AC204" s="3"/>
      <c r="AD204" s="95"/>
      <c r="AE204" s="95"/>
      <c r="AF204" s="95"/>
      <c r="AG204" s="95"/>
      <c r="AH204" s="482"/>
      <c r="AI204" s="482"/>
      <c r="AJ204" s="482"/>
      <c r="AK204" s="482"/>
      <c r="AL204" s="482"/>
    </row>
    <row r="205" spans="1:38" x14ac:dyDescent="0.15">
      <c r="A205" s="12" t="s">
        <v>424</v>
      </c>
      <c r="B205" s="13" t="s">
        <v>425</v>
      </c>
      <c r="C205" s="13" t="s">
        <v>27</v>
      </c>
      <c r="D205" s="13" t="s">
        <v>36</v>
      </c>
      <c r="E205" s="12" t="s">
        <v>112</v>
      </c>
      <c r="F205" s="14">
        <v>0</v>
      </c>
      <c r="G205" s="14">
        <v>0</v>
      </c>
      <c r="H205" s="14">
        <v>0</v>
      </c>
      <c r="I205" s="14">
        <v>0</v>
      </c>
      <c r="J205" s="14">
        <v>0</v>
      </c>
      <c r="K205" s="14">
        <v>0</v>
      </c>
      <c r="L205" s="14">
        <v>0</v>
      </c>
      <c r="M205" s="14">
        <v>0</v>
      </c>
      <c r="N205" s="14"/>
      <c r="O205" s="14"/>
      <c r="P205" s="15"/>
      <c r="Q205" s="16" t="s">
        <v>2994</v>
      </c>
      <c r="R205" s="16" t="s">
        <v>2994</v>
      </c>
      <c r="S205" s="16" t="s">
        <v>2994</v>
      </c>
      <c r="T205" s="16" t="s">
        <v>2994</v>
      </c>
      <c r="U205" s="16" t="s">
        <v>2994</v>
      </c>
      <c r="V205" s="16">
        <v>381901.19</v>
      </c>
      <c r="W205" s="16" t="s">
        <v>2994</v>
      </c>
      <c r="X205" s="16" t="s">
        <v>2994</v>
      </c>
      <c r="Y205" s="3">
        <f t="shared" si="17"/>
        <v>381901.19</v>
      </c>
      <c r="Z205" s="96">
        <f t="array" ref="Z205">SUM(ABS(F205:P205))</f>
        <v>0</v>
      </c>
      <c r="AB205" s="3"/>
      <c r="AC205" s="3"/>
      <c r="AD205" s="95"/>
      <c r="AE205" s="95"/>
      <c r="AF205" s="95"/>
      <c r="AG205" s="95"/>
      <c r="AH205" s="482"/>
      <c r="AI205" s="482"/>
      <c r="AJ205" s="482"/>
      <c r="AK205" s="482"/>
      <c r="AL205" s="482"/>
    </row>
    <row r="206" spans="1:38" x14ac:dyDescent="0.15">
      <c r="A206" s="12" t="s">
        <v>426</v>
      </c>
      <c r="B206" s="13" t="s">
        <v>427</v>
      </c>
      <c r="C206" s="13" t="s">
        <v>27</v>
      </c>
      <c r="D206" s="13" t="s">
        <v>36</v>
      </c>
      <c r="E206" s="12" t="s">
        <v>112</v>
      </c>
      <c r="F206" s="14">
        <v>0</v>
      </c>
      <c r="G206" s="14">
        <v>0</v>
      </c>
      <c r="H206" s="14">
        <v>0</v>
      </c>
      <c r="I206" s="14">
        <v>0</v>
      </c>
      <c r="J206" s="14">
        <v>0</v>
      </c>
      <c r="K206" s="14">
        <v>0</v>
      </c>
      <c r="L206" s="14">
        <v>0</v>
      </c>
      <c r="M206" s="14">
        <v>0</v>
      </c>
      <c r="N206" s="14"/>
      <c r="O206" s="14"/>
      <c r="P206" s="15"/>
      <c r="Q206" s="16" t="s">
        <v>2994</v>
      </c>
      <c r="R206" s="16" t="s">
        <v>2994</v>
      </c>
      <c r="S206" s="16" t="s">
        <v>2994</v>
      </c>
      <c r="T206" s="16" t="s">
        <v>2994</v>
      </c>
      <c r="U206" s="16" t="s">
        <v>2994</v>
      </c>
      <c r="V206" s="16">
        <v>397381.16</v>
      </c>
      <c r="W206" s="16" t="s">
        <v>2994</v>
      </c>
      <c r="X206" s="16" t="s">
        <v>2994</v>
      </c>
      <c r="Y206" s="3">
        <f t="shared" si="17"/>
        <v>397381.16</v>
      </c>
      <c r="Z206" s="96">
        <f t="array" ref="Z206">SUM(ABS(F206:P206))</f>
        <v>0</v>
      </c>
      <c r="AB206" s="3"/>
      <c r="AC206" s="3"/>
      <c r="AD206" s="95"/>
      <c r="AE206" s="95"/>
      <c r="AF206" s="95"/>
      <c r="AG206" s="95"/>
      <c r="AH206" s="482"/>
      <c r="AI206" s="482"/>
      <c r="AJ206" s="482"/>
      <c r="AK206" s="482"/>
      <c r="AL206" s="482"/>
    </row>
    <row r="207" spans="1:38" x14ac:dyDescent="0.15">
      <c r="A207" s="12" t="s">
        <v>428</v>
      </c>
      <c r="B207" s="13" t="s">
        <v>429</v>
      </c>
      <c r="C207" s="13" t="s">
        <v>27</v>
      </c>
      <c r="D207" s="13" t="s">
        <v>36</v>
      </c>
      <c r="E207" s="12" t="s">
        <v>112</v>
      </c>
      <c r="F207" s="14">
        <v>0</v>
      </c>
      <c r="G207" s="14">
        <v>0</v>
      </c>
      <c r="H207" s="14">
        <v>0</v>
      </c>
      <c r="I207" s="14">
        <v>0</v>
      </c>
      <c r="J207" s="14">
        <v>0</v>
      </c>
      <c r="K207" s="14">
        <v>0</v>
      </c>
      <c r="L207" s="14">
        <v>0</v>
      </c>
      <c r="M207" s="14">
        <v>0</v>
      </c>
      <c r="N207" s="14"/>
      <c r="O207" s="14"/>
      <c r="P207" s="15"/>
      <c r="Q207" s="16" t="s">
        <v>2994</v>
      </c>
      <c r="R207" s="16" t="s">
        <v>2994</v>
      </c>
      <c r="S207" s="16" t="s">
        <v>2994</v>
      </c>
      <c r="T207" s="16" t="s">
        <v>2994</v>
      </c>
      <c r="U207" s="16" t="s">
        <v>2994</v>
      </c>
      <c r="V207" s="16">
        <v>270354.08</v>
      </c>
      <c r="W207" s="16" t="s">
        <v>2994</v>
      </c>
      <c r="X207" s="16" t="s">
        <v>2994</v>
      </c>
      <c r="Y207" s="3">
        <f t="shared" si="17"/>
        <v>270354.08</v>
      </c>
      <c r="Z207" s="96">
        <f t="array" ref="Z207">SUM(ABS(F207:P207))</f>
        <v>0</v>
      </c>
      <c r="AB207" s="3"/>
      <c r="AC207" s="3"/>
      <c r="AD207" s="95"/>
      <c r="AE207" s="95"/>
      <c r="AF207" s="95"/>
      <c r="AG207" s="95"/>
      <c r="AH207" s="482"/>
      <c r="AI207" s="482"/>
      <c r="AJ207" s="482"/>
      <c r="AK207" s="482"/>
      <c r="AL207" s="482"/>
    </row>
    <row r="208" spans="1:38" x14ac:dyDescent="0.15">
      <c r="A208" s="12" t="s">
        <v>430</v>
      </c>
      <c r="B208" s="13" t="s">
        <v>2385</v>
      </c>
      <c r="C208" s="13" t="s">
        <v>27</v>
      </c>
      <c r="D208" s="13" t="s">
        <v>55</v>
      </c>
      <c r="E208" s="12" t="s">
        <v>112</v>
      </c>
      <c r="F208" s="14">
        <v>0</v>
      </c>
      <c r="G208" s="14">
        <v>0</v>
      </c>
      <c r="H208" s="14">
        <v>0</v>
      </c>
      <c r="I208" s="14">
        <v>0</v>
      </c>
      <c r="J208" s="14">
        <v>0</v>
      </c>
      <c r="K208" s="14">
        <v>0</v>
      </c>
      <c r="L208" s="14">
        <v>0</v>
      </c>
      <c r="M208" s="14">
        <v>0</v>
      </c>
      <c r="N208" s="14"/>
      <c r="O208" s="14"/>
      <c r="P208" s="15"/>
      <c r="Q208" s="16" t="s">
        <v>2994</v>
      </c>
      <c r="R208" s="16" t="s">
        <v>2994</v>
      </c>
      <c r="S208" s="16" t="s">
        <v>2994</v>
      </c>
      <c r="T208" s="16" t="s">
        <v>2994</v>
      </c>
      <c r="U208" s="16">
        <v>715248.2</v>
      </c>
      <c r="V208" s="16">
        <v>631232.06000000006</v>
      </c>
      <c r="W208" s="16">
        <v>28629.69</v>
      </c>
      <c r="X208" s="16" t="s">
        <v>2994</v>
      </c>
      <c r="Y208" s="3">
        <f t="shared" si="17"/>
        <v>1375109.95</v>
      </c>
      <c r="Z208" s="96">
        <f t="array" ref="Z208">SUM(ABS(F208:P208))</f>
        <v>0</v>
      </c>
      <c r="AB208" s="3"/>
      <c r="AC208" s="3"/>
      <c r="AD208" s="95"/>
      <c r="AE208" s="95"/>
      <c r="AF208" s="95"/>
      <c r="AG208" s="95"/>
      <c r="AH208" s="482"/>
      <c r="AI208" s="482"/>
      <c r="AJ208" s="482"/>
      <c r="AK208" s="482"/>
      <c r="AL208" s="482"/>
    </row>
    <row r="209" spans="1:38" x14ac:dyDescent="0.15">
      <c r="A209" s="12" t="s">
        <v>431</v>
      </c>
      <c r="B209" s="13" t="s">
        <v>2315</v>
      </c>
      <c r="C209" s="13" t="s">
        <v>27</v>
      </c>
      <c r="D209" s="13" t="s">
        <v>55</v>
      </c>
      <c r="E209" s="12" t="s">
        <v>112</v>
      </c>
      <c r="F209" s="14">
        <v>0</v>
      </c>
      <c r="G209" s="14">
        <v>0</v>
      </c>
      <c r="H209" s="14">
        <v>0</v>
      </c>
      <c r="I209" s="14">
        <v>0</v>
      </c>
      <c r="J209" s="14">
        <v>0</v>
      </c>
      <c r="K209" s="14">
        <v>0</v>
      </c>
      <c r="L209" s="14">
        <v>0</v>
      </c>
      <c r="M209" s="14">
        <v>0</v>
      </c>
      <c r="N209" s="14"/>
      <c r="O209" s="14"/>
      <c r="P209" s="15"/>
      <c r="Q209" s="16" t="s">
        <v>2994</v>
      </c>
      <c r="R209" s="16" t="s">
        <v>2994</v>
      </c>
      <c r="S209" s="16" t="s">
        <v>2994</v>
      </c>
      <c r="T209" s="16" t="s">
        <v>2994</v>
      </c>
      <c r="U209" s="16">
        <v>325782.33</v>
      </c>
      <c r="V209" s="16">
        <v>708084.49</v>
      </c>
      <c r="W209" s="16">
        <v>479858.89</v>
      </c>
      <c r="X209" s="16" t="s">
        <v>2994</v>
      </c>
      <c r="Y209" s="3">
        <f t="shared" si="17"/>
        <v>1513725.71</v>
      </c>
      <c r="Z209" s="96">
        <f t="array" ref="Z209">SUM(ABS(F209:P209))</f>
        <v>0</v>
      </c>
      <c r="AB209" s="3"/>
      <c r="AC209" s="3"/>
      <c r="AD209" s="95"/>
      <c r="AE209" s="95"/>
      <c r="AF209" s="95"/>
      <c r="AG209" s="95"/>
      <c r="AH209" s="482"/>
      <c r="AI209" s="482"/>
      <c r="AJ209" s="482"/>
      <c r="AK209" s="482"/>
      <c r="AL209" s="482"/>
    </row>
    <row r="210" spans="1:38" x14ac:dyDescent="0.15">
      <c r="A210" s="12" t="s">
        <v>432</v>
      </c>
      <c r="B210" s="13" t="s">
        <v>433</v>
      </c>
      <c r="C210" s="13" t="s">
        <v>27</v>
      </c>
      <c r="D210" s="13" t="s">
        <v>40</v>
      </c>
      <c r="E210" s="12" t="s">
        <v>112</v>
      </c>
      <c r="F210" s="14">
        <v>0</v>
      </c>
      <c r="G210" s="14">
        <v>0</v>
      </c>
      <c r="H210" s="14">
        <v>0</v>
      </c>
      <c r="I210" s="14">
        <v>0</v>
      </c>
      <c r="J210" s="14">
        <v>0</v>
      </c>
      <c r="K210" s="14">
        <v>0</v>
      </c>
      <c r="L210" s="14">
        <v>0</v>
      </c>
      <c r="M210" s="14">
        <v>0</v>
      </c>
      <c r="N210" s="14"/>
      <c r="O210" s="14"/>
      <c r="P210" s="15"/>
      <c r="Q210" s="16" t="s">
        <v>2994</v>
      </c>
      <c r="R210" s="16" t="s">
        <v>2994</v>
      </c>
      <c r="S210" s="16" t="s">
        <v>2994</v>
      </c>
      <c r="T210" s="16">
        <v>181844.5</v>
      </c>
      <c r="U210" s="16">
        <v>832961.22</v>
      </c>
      <c r="V210" s="16" t="s">
        <v>2994</v>
      </c>
      <c r="W210" s="16" t="s">
        <v>2994</v>
      </c>
      <c r="X210" s="16" t="s">
        <v>2994</v>
      </c>
      <c r="Y210" s="3">
        <f t="shared" si="17"/>
        <v>1014805.72</v>
      </c>
      <c r="Z210" s="96">
        <f t="array" ref="Z210">SUM(ABS(F210:P210))</f>
        <v>0</v>
      </c>
      <c r="AB210" s="3"/>
      <c r="AC210" s="3"/>
      <c r="AD210" s="95"/>
      <c r="AE210" s="95"/>
      <c r="AF210" s="95"/>
      <c r="AG210" s="95"/>
      <c r="AH210" s="482"/>
      <c r="AI210" s="482"/>
      <c r="AJ210" s="482"/>
      <c r="AK210" s="482"/>
      <c r="AL210" s="482"/>
    </row>
    <row r="211" spans="1:38" x14ac:dyDescent="0.15">
      <c r="A211" s="12" t="s">
        <v>434</v>
      </c>
      <c r="B211" s="13" t="s">
        <v>435</v>
      </c>
      <c r="C211" s="13" t="s">
        <v>27</v>
      </c>
      <c r="D211" s="13" t="s">
        <v>40</v>
      </c>
      <c r="E211" s="12" t="s">
        <v>112</v>
      </c>
      <c r="F211" s="14">
        <v>0</v>
      </c>
      <c r="G211" s="14">
        <v>0</v>
      </c>
      <c r="H211" s="14">
        <v>0</v>
      </c>
      <c r="I211" s="14">
        <v>0</v>
      </c>
      <c r="J211" s="14">
        <v>0</v>
      </c>
      <c r="K211" s="14">
        <v>0</v>
      </c>
      <c r="L211" s="14">
        <v>0</v>
      </c>
      <c r="M211" s="14">
        <v>0</v>
      </c>
      <c r="N211" s="14"/>
      <c r="O211" s="14"/>
      <c r="P211" s="15"/>
      <c r="Q211" s="16" t="s">
        <v>2994</v>
      </c>
      <c r="R211" s="16">
        <v>21319.53</v>
      </c>
      <c r="S211" s="16">
        <v>1881689.09</v>
      </c>
      <c r="T211" s="16">
        <v>2695125.45</v>
      </c>
      <c r="U211" s="16">
        <v>575504.05000000005</v>
      </c>
      <c r="V211" s="16" t="s">
        <v>2994</v>
      </c>
      <c r="W211" s="16" t="s">
        <v>2994</v>
      </c>
      <c r="X211" s="16" t="s">
        <v>2994</v>
      </c>
      <c r="Y211" s="3">
        <f t="shared" si="17"/>
        <v>5173638.12</v>
      </c>
      <c r="Z211" s="96">
        <f t="array" ref="Z211">SUM(ABS(F211:P211))</f>
        <v>0</v>
      </c>
      <c r="AB211" s="3"/>
      <c r="AC211" s="3"/>
      <c r="AD211" s="95"/>
      <c r="AE211" s="95"/>
      <c r="AF211" s="95"/>
      <c r="AG211" s="95"/>
      <c r="AH211" s="482"/>
      <c r="AI211" s="482"/>
      <c r="AJ211" s="482"/>
      <c r="AK211" s="482"/>
      <c r="AL211" s="482"/>
    </row>
    <row r="212" spans="1:38" x14ac:dyDescent="0.15">
      <c r="A212" s="12" t="s">
        <v>436</v>
      </c>
      <c r="B212" s="13" t="s">
        <v>437</v>
      </c>
      <c r="C212" s="13" t="s">
        <v>27</v>
      </c>
      <c r="D212" s="13" t="s">
        <v>36</v>
      </c>
      <c r="E212" s="12" t="s">
        <v>112</v>
      </c>
      <c r="F212" s="14">
        <v>0</v>
      </c>
      <c r="G212" s="14">
        <v>0</v>
      </c>
      <c r="H212" s="14">
        <v>0</v>
      </c>
      <c r="I212" s="14">
        <v>0</v>
      </c>
      <c r="J212" s="14">
        <v>0</v>
      </c>
      <c r="K212" s="14">
        <v>0</v>
      </c>
      <c r="L212" s="14">
        <v>0</v>
      </c>
      <c r="M212" s="14">
        <v>0</v>
      </c>
      <c r="N212" s="14"/>
      <c r="O212" s="14"/>
      <c r="P212" s="15"/>
      <c r="Q212" s="16" t="s">
        <v>2994</v>
      </c>
      <c r="R212" s="16" t="s">
        <v>2994</v>
      </c>
      <c r="S212" s="16" t="s">
        <v>2994</v>
      </c>
      <c r="T212" s="16" t="s">
        <v>2994</v>
      </c>
      <c r="U212" s="16" t="s">
        <v>2994</v>
      </c>
      <c r="V212" s="16" t="s">
        <v>2994</v>
      </c>
      <c r="W212" s="16">
        <v>300328.90000000002</v>
      </c>
      <c r="X212" s="16">
        <v>136630.24</v>
      </c>
      <c r="Y212" s="3">
        <f t="shared" si="17"/>
        <v>436959.14</v>
      </c>
      <c r="Z212" s="96">
        <f t="array" ref="Z212">SUM(ABS(F212:P212))</f>
        <v>0</v>
      </c>
      <c r="AB212" s="3"/>
      <c r="AC212" s="3"/>
      <c r="AD212" s="95"/>
      <c r="AE212" s="95"/>
      <c r="AF212" s="95"/>
      <c r="AG212" s="95"/>
      <c r="AH212" s="482"/>
      <c r="AI212" s="482"/>
      <c r="AJ212" s="482"/>
      <c r="AK212" s="482"/>
      <c r="AL212" s="482"/>
    </row>
    <row r="213" spans="1:38" x14ac:dyDescent="0.15">
      <c r="A213" s="12" t="s">
        <v>438</v>
      </c>
      <c r="B213" s="13" t="s">
        <v>439</v>
      </c>
      <c r="C213" s="13" t="s">
        <v>27</v>
      </c>
      <c r="D213" s="13" t="s">
        <v>36</v>
      </c>
      <c r="E213" s="12" t="s">
        <v>112</v>
      </c>
      <c r="F213" s="14">
        <v>0</v>
      </c>
      <c r="G213" s="14">
        <v>0</v>
      </c>
      <c r="H213" s="14">
        <v>0</v>
      </c>
      <c r="I213" s="14">
        <v>0</v>
      </c>
      <c r="J213" s="14">
        <v>0</v>
      </c>
      <c r="K213" s="14">
        <v>0</v>
      </c>
      <c r="L213" s="14">
        <v>0</v>
      </c>
      <c r="M213" s="14">
        <v>0</v>
      </c>
      <c r="N213" s="14"/>
      <c r="O213" s="14"/>
      <c r="P213" s="15"/>
      <c r="Q213" s="16" t="s">
        <v>2994</v>
      </c>
      <c r="R213" s="16" t="s">
        <v>2994</v>
      </c>
      <c r="S213" s="16" t="s">
        <v>2994</v>
      </c>
      <c r="T213" s="16" t="s">
        <v>2994</v>
      </c>
      <c r="U213" s="16" t="s">
        <v>2994</v>
      </c>
      <c r="V213" s="16" t="s">
        <v>2994</v>
      </c>
      <c r="W213" s="16">
        <v>165839.28</v>
      </c>
      <c r="X213" s="16">
        <v>62.79</v>
      </c>
      <c r="Y213" s="3">
        <f t="shared" ref="Y213:Y258" si="18">SUM(F213:X213)</f>
        <v>165902.07</v>
      </c>
      <c r="Z213" s="96">
        <f t="array" ref="Z213">SUM(ABS(F213:P213))</f>
        <v>0</v>
      </c>
      <c r="AB213" s="3"/>
      <c r="AC213" s="3"/>
      <c r="AD213" s="95"/>
      <c r="AE213" s="95"/>
      <c r="AF213" s="95"/>
      <c r="AG213" s="95"/>
      <c r="AH213" s="482"/>
      <c r="AI213" s="482"/>
      <c r="AJ213" s="482"/>
      <c r="AK213" s="482"/>
      <c r="AL213" s="482"/>
    </row>
    <row r="214" spans="1:38" x14ac:dyDescent="0.15">
      <c r="A214" s="12" t="s">
        <v>440</v>
      </c>
      <c r="B214" s="13" t="s">
        <v>441</v>
      </c>
      <c r="C214" s="13" t="s">
        <v>27</v>
      </c>
      <c r="D214" s="13" t="s">
        <v>36</v>
      </c>
      <c r="E214" s="12" t="s">
        <v>112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0</v>
      </c>
      <c r="M214" s="14">
        <v>0</v>
      </c>
      <c r="N214" s="14"/>
      <c r="O214" s="14"/>
      <c r="P214" s="15"/>
      <c r="Q214" s="16" t="s">
        <v>2994</v>
      </c>
      <c r="R214" s="16" t="s">
        <v>2994</v>
      </c>
      <c r="S214" s="16" t="s">
        <v>2994</v>
      </c>
      <c r="T214" s="16" t="s">
        <v>2994</v>
      </c>
      <c r="U214" s="16" t="s">
        <v>2994</v>
      </c>
      <c r="V214" s="16" t="s">
        <v>2994</v>
      </c>
      <c r="W214" s="16">
        <v>140080.64000000001</v>
      </c>
      <c r="X214" s="16">
        <v>63727.68</v>
      </c>
      <c r="Y214" s="3">
        <f t="shared" si="18"/>
        <v>203808.32</v>
      </c>
      <c r="Z214" s="96">
        <f t="array" ref="Z214">SUM(ABS(F214:P214))</f>
        <v>0</v>
      </c>
      <c r="AB214" s="3"/>
      <c r="AC214" s="3"/>
      <c r="AD214" s="95"/>
      <c r="AE214" s="95"/>
      <c r="AF214" s="95"/>
      <c r="AG214" s="95"/>
      <c r="AH214" s="482"/>
      <c r="AI214" s="482"/>
      <c r="AJ214" s="482"/>
      <c r="AK214" s="482"/>
      <c r="AL214" s="482"/>
    </row>
    <row r="215" spans="1:38" x14ac:dyDescent="0.15">
      <c r="A215" s="12" t="s">
        <v>442</v>
      </c>
      <c r="B215" s="13" t="s">
        <v>443</v>
      </c>
      <c r="C215" s="13" t="s">
        <v>27</v>
      </c>
      <c r="D215" s="13" t="s">
        <v>55</v>
      </c>
      <c r="E215" s="12" t="s">
        <v>112</v>
      </c>
      <c r="F215" s="14">
        <v>0</v>
      </c>
      <c r="G215" s="14">
        <v>0</v>
      </c>
      <c r="H215" s="14">
        <v>0</v>
      </c>
      <c r="I215" s="14">
        <v>0</v>
      </c>
      <c r="J215" s="14">
        <v>0</v>
      </c>
      <c r="K215" s="14">
        <v>0</v>
      </c>
      <c r="L215" s="14">
        <v>0</v>
      </c>
      <c r="M215" s="14">
        <v>0</v>
      </c>
      <c r="N215" s="14"/>
      <c r="O215" s="14"/>
      <c r="P215" s="15"/>
      <c r="Q215" s="16" t="s">
        <v>2994</v>
      </c>
      <c r="R215" s="16" t="s">
        <v>2994</v>
      </c>
      <c r="S215" s="16" t="s">
        <v>2994</v>
      </c>
      <c r="T215" s="16" t="s">
        <v>2994</v>
      </c>
      <c r="U215" s="16" t="s">
        <v>2994</v>
      </c>
      <c r="V215" s="16">
        <v>35188.239999999998</v>
      </c>
      <c r="W215" s="16">
        <v>880102.64</v>
      </c>
      <c r="X215" s="16">
        <v>954343.47</v>
      </c>
      <c r="Y215" s="3">
        <f t="shared" si="18"/>
        <v>1869634.35</v>
      </c>
      <c r="Z215" s="96">
        <f t="array" ref="Z215">SUM(ABS(F215:P215))</f>
        <v>0</v>
      </c>
      <c r="AB215" s="3"/>
      <c r="AC215" s="3"/>
      <c r="AD215" s="95"/>
      <c r="AE215" s="95"/>
      <c r="AF215" s="95"/>
      <c r="AG215" s="95"/>
      <c r="AH215" s="482"/>
      <c r="AI215" s="482"/>
      <c r="AJ215" s="482"/>
      <c r="AK215" s="482"/>
      <c r="AL215" s="482"/>
    </row>
    <row r="216" spans="1:38" x14ac:dyDescent="0.15">
      <c r="A216" s="12" t="s">
        <v>444</v>
      </c>
      <c r="B216" s="13" t="s">
        <v>2386</v>
      </c>
      <c r="C216" s="13" t="s">
        <v>27</v>
      </c>
      <c r="D216" s="13" t="s">
        <v>55</v>
      </c>
      <c r="E216" s="12" t="s">
        <v>112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0</v>
      </c>
      <c r="M216" s="14">
        <v>0</v>
      </c>
      <c r="N216" s="14"/>
      <c r="O216" s="14"/>
      <c r="P216" s="15"/>
      <c r="Q216" s="16" t="s">
        <v>2994</v>
      </c>
      <c r="R216" s="16" t="s">
        <v>2994</v>
      </c>
      <c r="S216" s="16" t="s">
        <v>2994</v>
      </c>
      <c r="T216" s="16" t="s">
        <v>2994</v>
      </c>
      <c r="U216" s="16" t="s">
        <v>2994</v>
      </c>
      <c r="V216" s="16" t="s">
        <v>2994</v>
      </c>
      <c r="W216" s="16">
        <v>717376.93</v>
      </c>
      <c r="X216" s="16">
        <v>682919.43</v>
      </c>
      <c r="Y216" s="3">
        <f t="shared" si="18"/>
        <v>1400296.36</v>
      </c>
      <c r="Z216" s="96">
        <f t="array" ref="Z216">SUM(ABS(F216:P216))</f>
        <v>0</v>
      </c>
      <c r="AB216" s="3"/>
      <c r="AC216" s="3"/>
      <c r="AD216" s="95"/>
      <c r="AE216" s="95"/>
      <c r="AF216" s="95"/>
      <c r="AG216" s="95"/>
      <c r="AH216" s="482"/>
      <c r="AI216" s="482"/>
      <c r="AJ216" s="482"/>
      <c r="AK216" s="482"/>
      <c r="AL216" s="482"/>
    </row>
    <row r="217" spans="1:38" x14ac:dyDescent="0.15">
      <c r="A217" s="12" t="s">
        <v>445</v>
      </c>
      <c r="B217" s="13" t="s">
        <v>2316</v>
      </c>
      <c r="C217" s="13" t="s">
        <v>27</v>
      </c>
      <c r="D217" s="13" t="s">
        <v>55</v>
      </c>
      <c r="E217" s="12" t="s">
        <v>112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/>
      <c r="O217" s="14"/>
      <c r="P217" s="15"/>
      <c r="Q217" s="16" t="s">
        <v>2994</v>
      </c>
      <c r="R217" s="16" t="s">
        <v>2994</v>
      </c>
      <c r="S217" s="16" t="s">
        <v>2994</v>
      </c>
      <c r="T217" s="16">
        <v>25675.11</v>
      </c>
      <c r="U217" s="16">
        <v>1067725.6299999999</v>
      </c>
      <c r="V217" s="16">
        <v>1549893.24</v>
      </c>
      <c r="W217" s="16" t="s">
        <v>2994</v>
      </c>
      <c r="X217" s="16" t="s">
        <v>2994</v>
      </c>
      <c r="Y217" s="3">
        <f t="shared" si="18"/>
        <v>2643293.98</v>
      </c>
      <c r="Z217" s="96">
        <f t="array" ref="Z217">SUM(ABS(F217:P217))</f>
        <v>0</v>
      </c>
      <c r="AB217" s="3"/>
      <c r="AC217" s="3"/>
      <c r="AD217" s="95"/>
      <c r="AE217" s="95"/>
      <c r="AF217" s="95"/>
      <c r="AG217" s="95"/>
      <c r="AH217" s="482"/>
      <c r="AI217" s="482"/>
      <c r="AJ217" s="482"/>
      <c r="AK217" s="482"/>
      <c r="AL217" s="482"/>
    </row>
    <row r="218" spans="1:38" x14ac:dyDescent="0.15">
      <c r="A218" s="12" t="s">
        <v>446</v>
      </c>
      <c r="B218" s="13" t="s">
        <v>2317</v>
      </c>
      <c r="C218" s="13" t="s">
        <v>27</v>
      </c>
      <c r="D218" s="13" t="s">
        <v>55</v>
      </c>
      <c r="E218" s="12" t="s">
        <v>112</v>
      </c>
      <c r="F218" s="14">
        <v>0</v>
      </c>
      <c r="G218" s="14">
        <v>0</v>
      </c>
      <c r="H218" s="14">
        <v>0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/>
      <c r="O218" s="14"/>
      <c r="P218" s="15"/>
      <c r="Q218" s="16" t="s">
        <v>2994</v>
      </c>
      <c r="R218" s="16" t="s">
        <v>2994</v>
      </c>
      <c r="S218" s="16" t="s">
        <v>2994</v>
      </c>
      <c r="T218" s="16">
        <v>79116.47</v>
      </c>
      <c r="U218" s="16">
        <v>687973.66</v>
      </c>
      <c r="V218" s="16">
        <v>910104.68</v>
      </c>
      <c r="W218" s="16">
        <v>827148.43</v>
      </c>
      <c r="X218" s="16">
        <v>6607.06</v>
      </c>
      <c r="Y218" s="3">
        <f t="shared" si="18"/>
        <v>2510950.3000000003</v>
      </c>
      <c r="Z218" s="96">
        <f t="array" ref="Z218">SUM(ABS(F218:P218))</f>
        <v>0</v>
      </c>
      <c r="AB218" s="3"/>
      <c r="AC218" s="3"/>
      <c r="AD218" s="95"/>
      <c r="AE218" s="95"/>
      <c r="AF218" s="95"/>
      <c r="AG218" s="95"/>
      <c r="AH218" s="482"/>
      <c r="AI218" s="482"/>
      <c r="AJ218" s="482"/>
      <c r="AK218" s="482"/>
      <c r="AL218" s="482"/>
    </row>
    <row r="219" spans="1:38" x14ac:dyDescent="0.15">
      <c r="A219" s="12" t="s">
        <v>447</v>
      </c>
      <c r="B219" s="13" t="s">
        <v>2319</v>
      </c>
      <c r="C219" s="13" t="s">
        <v>27</v>
      </c>
      <c r="D219" s="13" t="s">
        <v>55</v>
      </c>
      <c r="E219" s="12" t="s">
        <v>112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/>
      <c r="O219" s="14"/>
      <c r="P219" s="15"/>
      <c r="Q219" s="16" t="s">
        <v>2994</v>
      </c>
      <c r="R219" s="16" t="s">
        <v>2994</v>
      </c>
      <c r="S219" s="16" t="s">
        <v>2994</v>
      </c>
      <c r="T219" s="16" t="s">
        <v>2994</v>
      </c>
      <c r="U219" s="16" t="s">
        <v>2994</v>
      </c>
      <c r="V219" s="16">
        <v>240801.48</v>
      </c>
      <c r="W219" s="16">
        <v>230165.5</v>
      </c>
      <c r="X219" s="16" t="s">
        <v>2994</v>
      </c>
      <c r="Y219" s="3">
        <f t="shared" si="18"/>
        <v>470966.98</v>
      </c>
      <c r="Z219" s="96">
        <f t="array" ref="Z219">SUM(ABS(F219:P219))</f>
        <v>0</v>
      </c>
      <c r="AB219" s="3"/>
      <c r="AC219" s="3"/>
      <c r="AD219" s="95"/>
      <c r="AE219" s="95"/>
      <c r="AF219" s="95"/>
      <c r="AG219" s="95"/>
      <c r="AH219" s="482"/>
      <c r="AI219" s="482"/>
      <c r="AJ219" s="482"/>
      <c r="AK219" s="482"/>
      <c r="AL219" s="482"/>
    </row>
    <row r="220" spans="1:38" x14ac:dyDescent="0.15">
      <c r="A220" s="12" t="s">
        <v>449</v>
      </c>
      <c r="B220" s="13" t="s">
        <v>2320</v>
      </c>
      <c r="C220" s="13" t="s">
        <v>27</v>
      </c>
      <c r="D220" s="13" t="s">
        <v>40</v>
      </c>
      <c r="E220" s="12" t="s">
        <v>112</v>
      </c>
      <c r="F220" s="14">
        <v>0</v>
      </c>
      <c r="G220" s="14">
        <v>0</v>
      </c>
      <c r="H220" s="14">
        <v>0</v>
      </c>
      <c r="I220" s="14">
        <v>0</v>
      </c>
      <c r="J220" s="14">
        <v>0</v>
      </c>
      <c r="K220" s="14">
        <v>0</v>
      </c>
      <c r="L220" s="14">
        <v>0</v>
      </c>
      <c r="M220" s="14">
        <v>0</v>
      </c>
      <c r="N220" s="14"/>
      <c r="O220" s="14"/>
      <c r="P220" s="15"/>
      <c r="Q220" s="16" t="s">
        <v>2994</v>
      </c>
      <c r="R220" s="16" t="s">
        <v>2994</v>
      </c>
      <c r="S220" s="16" t="s">
        <v>2994</v>
      </c>
      <c r="T220" s="16">
        <v>151947.96</v>
      </c>
      <c r="U220" s="16">
        <v>361382.68</v>
      </c>
      <c r="V220" s="16">
        <v>270165.76000000001</v>
      </c>
      <c r="W220" s="16">
        <v>195991.28</v>
      </c>
      <c r="X220" s="16" t="s">
        <v>2994</v>
      </c>
      <c r="Y220" s="3">
        <f t="shared" si="18"/>
        <v>979487.68</v>
      </c>
      <c r="Z220" s="96">
        <f t="array" ref="Z220">SUM(ABS(F220:P220))</f>
        <v>0</v>
      </c>
      <c r="AB220" s="3"/>
      <c r="AC220" s="3"/>
      <c r="AD220" s="95"/>
      <c r="AE220" s="95"/>
      <c r="AF220" s="95"/>
      <c r="AG220" s="95"/>
      <c r="AH220" s="482"/>
      <c r="AI220" s="482"/>
      <c r="AJ220" s="482"/>
      <c r="AK220" s="482"/>
      <c r="AL220" s="482"/>
    </row>
    <row r="221" spans="1:38" x14ac:dyDescent="0.15">
      <c r="A221" s="12" t="s">
        <v>450</v>
      </c>
      <c r="B221" s="13" t="s">
        <v>451</v>
      </c>
      <c r="C221" s="13" t="s">
        <v>27</v>
      </c>
      <c r="D221" s="13" t="s">
        <v>28</v>
      </c>
      <c r="E221" s="12" t="s">
        <v>32</v>
      </c>
      <c r="F221" s="14">
        <v>0</v>
      </c>
      <c r="G221" s="14">
        <v>0</v>
      </c>
      <c r="H221" s="14">
        <v>0</v>
      </c>
      <c r="I221" s="14">
        <v>0</v>
      </c>
      <c r="J221" s="14">
        <v>0</v>
      </c>
      <c r="K221" s="14">
        <v>0</v>
      </c>
      <c r="L221" s="14">
        <v>0</v>
      </c>
      <c r="M221" s="14">
        <v>0</v>
      </c>
      <c r="N221" s="14">
        <v>227479.92</v>
      </c>
      <c r="O221" s="14">
        <v>915419.84</v>
      </c>
      <c r="P221" s="15">
        <v>110131.04</v>
      </c>
      <c r="Q221" s="16" t="s">
        <v>2994</v>
      </c>
      <c r="R221" s="16" t="s">
        <v>2994</v>
      </c>
      <c r="S221" s="16" t="s">
        <v>2994</v>
      </c>
      <c r="T221" s="16" t="s">
        <v>2994</v>
      </c>
      <c r="U221" s="16" t="s">
        <v>2994</v>
      </c>
      <c r="V221" s="16" t="s">
        <v>2994</v>
      </c>
      <c r="W221" s="16" t="s">
        <v>2994</v>
      </c>
      <c r="X221" s="16" t="s">
        <v>2994</v>
      </c>
      <c r="Y221" s="3">
        <f t="shared" si="18"/>
        <v>1253030.8</v>
      </c>
      <c r="Z221" s="96">
        <f t="array" ref="Z221">SUM(ABS(F221:P221))</f>
        <v>1253030.8</v>
      </c>
      <c r="AB221" s="3"/>
      <c r="AC221" s="3"/>
      <c r="AD221" s="95"/>
      <c r="AE221" s="95"/>
      <c r="AF221" s="95"/>
      <c r="AG221" s="95"/>
      <c r="AH221" s="482"/>
      <c r="AI221" s="482"/>
      <c r="AJ221" s="482"/>
      <c r="AK221" s="482"/>
      <c r="AL221" s="482"/>
    </row>
    <row r="222" spans="1:38" x14ac:dyDescent="0.15">
      <c r="A222" s="12" t="s">
        <v>452</v>
      </c>
      <c r="B222" s="13" t="s">
        <v>2387</v>
      </c>
      <c r="C222" s="13" t="s">
        <v>27</v>
      </c>
      <c r="D222" s="13" t="s">
        <v>107</v>
      </c>
      <c r="E222" s="12" t="s">
        <v>32</v>
      </c>
      <c r="F222" s="14">
        <v>0</v>
      </c>
      <c r="G222" s="14">
        <v>0</v>
      </c>
      <c r="H222" s="14">
        <v>0</v>
      </c>
      <c r="I222" s="14">
        <v>0</v>
      </c>
      <c r="J222" s="14">
        <v>0</v>
      </c>
      <c r="K222" s="14">
        <v>0</v>
      </c>
      <c r="L222" s="14">
        <v>0</v>
      </c>
      <c r="M222" s="14">
        <v>0</v>
      </c>
      <c r="N222" s="14"/>
      <c r="O222" s="14">
        <v>290805.39</v>
      </c>
      <c r="P222" s="15">
        <v>29718.66</v>
      </c>
      <c r="Q222" s="16">
        <v>2639.76</v>
      </c>
      <c r="R222" s="16" t="s">
        <v>2994</v>
      </c>
      <c r="S222" s="16" t="s">
        <v>2994</v>
      </c>
      <c r="T222" s="16" t="s">
        <v>2994</v>
      </c>
      <c r="U222" s="16" t="s">
        <v>2994</v>
      </c>
      <c r="V222" s="16" t="s">
        <v>2994</v>
      </c>
      <c r="W222" s="16" t="s">
        <v>2994</v>
      </c>
      <c r="X222" s="16" t="s">
        <v>2994</v>
      </c>
      <c r="Y222" s="3">
        <f t="shared" si="18"/>
        <v>323163.81</v>
      </c>
      <c r="Z222" s="96">
        <f t="array" ref="Z222">SUM(ABS(F222:P222))</f>
        <v>320524.05</v>
      </c>
      <c r="AB222" s="3"/>
      <c r="AC222" s="3"/>
      <c r="AD222" s="95"/>
      <c r="AE222" s="95"/>
      <c r="AF222" s="95"/>
      <c r="AG222" s="95"/>
      <c r="AH222" s="482"/>
      <c r="AI222" s="482"/>
      <c r="AJ222" s="482"/>
      <c r="AK222" s="482"/>
      <c r="AL222" s="482"/>
    </row>
    <row r="223" spans="1:38" x14ac:dyDescent="0.15">
      <c r="A223" s="12" t="s">
        <v>454</v>
      </c>
      <c r="B223" s="13" t="s">
        <v>2388</v>
      </c>
      <c r="C223" s="13" t="s">
        <v>27</v>
      </c>
      <c r="D223" s="13" t="s">
        <v>54</v>
      </c>
      <c r="E223" s="12" t="s">
        <v>45</v>
      </c>
      <c r="F223" s="14">
        <v>0</v>
      </c>
      <c r="G223" s="14">
        <v>0</v>
      </c>
      <c r="H223" s="14">
        <v>0</v>
      </c>
      <c r="I223" s="14">
        <v>0</v>
      </c>
      <c r="J223" s="14">
        <v>0</v>
      </c>
      <c r="K223" s="14">
        <v>0</v>
      </c>
      <c r="L223" s="14">
        <v>0</v>
      </c>
      <c r="M223" s="14">
        <v>0</v>
      </c>
      <c r="N223" s="14"/>
      <c r="O223" s="14"/>
      <c r="P223" s="15"/>
      <c r="Q223" s="16">
        <v>10662.66</v>
      </c>
      <c r="R223" s="16">
        <v>399705.61</v>
      </c>
      <c r="S223" s="16">
        <v>47667.93</v>
      </c>
      <c r="T223" s="16" t="s">
        <v>2994</v>
      </c>
      <c r="U223" s="16" t="s">
        <v>2994</v>
      </c>
      <c r="V223" s="16" t="s">
        <v>2994</v>
      </c>
      <c r="W223" s="16" t="s">
        <v>2994</v>
      </c>
      <c r="X223" s="16" t="s">
        <v>2994</v>
      </c>
      <c r="Y223" s="3">
        <f t="shared" si="18"/>
        <v>458036.19999999995</v>
      </c>
      <c r="Z223" s="96">
        <f t="array" ref="Z223">SUM(ABS(F223:P223))</f>
        <v>0</v>
      </c>
      <c r="AB223" s="3"/>
      <c r="AC223" s="3"/>
      <c r="AD223" s="95"/>
      <c r="AE223" s="95"/>
      <c r="AF223" s="95"/>
      <c r="AG223" s="95"/>
      <c r="AH223" s="482"/>
      <c r="AI223" s="482"/>
      <c r="AJ223" s="482"/>
      <c r="AK223" s="482"/>
      <c r="AL223" s="482"/>
    </row>
    <row r="224" spans="1:38" x14ac:dyDescent="0.15">
      <c r="A224" s="12" t="s">
        <v>455</v>
      </c>
      <c r="B224" s="13" t="s">
        <v>456</v>
      </c>
      <c r="C224" s="13" t="s">
        <v>27</v>
      </c>
      <c r="D224" s="13" t="s">
        <v>40</v>
      </c>
      <c r="E224" s="12" t="s">
        <v>29</v>
      </c>
      <c r="F224" s="14">
        <v>0</v>
      </c>
      <c r="G224" s="14">
        <v>0</v>
      </c>
      <c r="H224" s="14">
        <v>0</v>
      </c>
      <c r="I224" s="14">
        <v>0</v>
      </c>
      <c r="J224" s="14">
        <v>0</v>
      </c>
      <c r="K224" s="14">
        <v>0</v>
      </c>
      <c r="L224" s="14">
        <v>0</v>
      </c>
      <c r="M224" s="14">
        <v>0</v>
      </c>
      <c r="N224" s="14"/>
      <c r="O224" s="14">
        <v>27587.72</v>
      </c>
      <c r="P224" s="15">
        <v>206586.78</v>
      </c>
      <c r="Q224" s="16">
        <v>136145.79999999999</v>
      </c>
      <c r="R224" s="16" t="s">
        <v>2994</v>
      </c>
      <c r="S224" s="16" t="s">
        <v>2994</v>
      </c>
      <c r="T224" s="16" t="s">
        <v>2994</v>
      </c>
      <c r="U224" s="16" t="s">
        <v>2994</v>
      </c>
      <c r="V224" s="16" t="s">
        <v>2994</v>
      </c>
      <c r="W224" s="16" t="s">
        <v>2994</v>
      </c>
      <c r="X224" s="16" t="s">
        <v>2994</v>
      </c>
      <c r="Y224" s="3">
        <f t="shared" si="18"/>
        <v>370320.3</v>
      </c>
      <c r="Z224" s="96">
        <f t="array" ref="Z224">SUM(ABS(F224:P224))</f>
        <v>234174.5</v>
      </c>
      <c r="AB224" s="3"/>
      <c r="AC224" s="3"/>
      <c r="AD224" s="95"/>
      <c r="AE224" s="95"/>
      <c r="AF224" s="95"/>
      <c r="AG224" s="95"/>
      <c r="AH224" s="482"/>
      <c r="AI224" s="482"/>
      <c r="AJ224" s="482"/>
      <c r="AK224" s="482"/>
      <c r="AL224" s="482"/>
    </row>
    <row r="225" spans="1:38" x14ac:dyDescent="0.15">
      <c r="A225" s="12" t="s">
        <v>457</v>
      </c>
      <c r="B225" s="13" t="s">
        <v>458</v>
      </c>
      <c r="C225" s="13" t="s">
        <v>27</v>
      </c>
      <c r="D225" s="13" t="s">
        <v>55</v>
      </c>
      <c r="E225" s="12" t="s">
        <v>112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0</v>
      </c>
      <c r="M225" s="14">
        <v>0</v>
      </c>
      <c r="N225" s="14"/>
      <c r="O225" s="14"/>
      <c r="P225" s="15"/>
      <c r="Q225" s="16" t="s">
        <v>2994</v>
      </c>
      <c r="R225" s="16">
        <v>96738.85</v>
      </c>
      <c r="S225" s="16">
        <v>146579.26999999999</v>
      </c>
      <c r="T225" s="16">
        <v>334400.63</v>
      </c>
      <c r="U225" s="16">
        <v>80030.53</v>
      </c>
      <c r="V225" s="16" t="s">
        <v>2994</v>
      </c>
      <c r="W225" s="16" t="s">
        <v>2994</v>
      </c>
      <c r="X225" s="16" t="s">
        <v>2994</v>
      </c>
      <c r="Y225" s="3">
        <f t="shared" si="18"/>
        <v>657749.28</v>
      </c>
      <c r="Z225" s="96">
        <f t="array" ref="Z225">SUM(ABS(F225:P225))</f>
        <v>0</v>
      </c>
      <c r="AB225" s="3"/>
      <c r="AC225" s="3"/>
      <c r="AD225" s="95"/>
      <c r="AE225" s="95"/>
      <c r="AF225" s="95"/>
      <c r="AG225" s="95"/>
      <c r="AH225" s="482"/>
      <c r="AI225" s="482"/>
      <c r="AJ225" s="482"/>
      <c r="AK225" s="482"/>
      <c r="AL225" s="482"/>
    </row>
    <row r="226" spans="1:38" x14ac:dyDescent="0.15">
      <c r="A226" s="12" t="s">
        <v>459</v>
      </c>
      <c r="B226" s="13" t="s">
        <v>460</v>
      </c>
      <c r="C226" s="13" t="s">
        <v>27</v>
      </c>
      <c r="D226" s="13" t="s">
        <v>40</v>
      </c>
      <c r="E226" s="12" t="s">
        <v>112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/>
      <c r="O226" s="14"/>
      <c r="P226" s="15"/>
      <c r="Q226" s="16" t="s">
        <v>2994</v>
      </c>
      <c r="R226" s="16" t="s">
        <v>2994</v>
      </c>
      <c r="S226" s="16">
        <v>108915.25</v>
      </c>
      <c r="T226" s="16">
        <v>293842.84999999998</v>
      </c>
      <c r="U226" s="16">
        <v>151752.41</v>
      </c>
      <c r="V226" s="16" t="s">
        <v>2994</v>
      </c>
      <c r="W226" s="16" t="s">
        <v>2994</v>
      </c>
      <c r="X226" s="16" t="s">
        <v>2994</v>
      </c>
      <c r="Y226" s="3">
        <f t="shared" si="18"/>
        <v>554510.51</v>
      </c>
      <c r="Z226" s="96">
        <f t="array" ref="Z226">SUM(ABS(F226:P226))</f>
        <v>0</v>
      </c>
      <c r="AB226" s="3"/>
      <c r="AC226" s="3"/>
      <c r="AD226" s="95"/>
      <c r="AE226" s="95"/>
      <c r="AF226" s="95"/>
      <c r="AG226" s="95"/>
      <c r="AH226" s="482"/>
      <c r="AI226" s="482"/>
      <c r="AJ226" s="482"/>
      <c r="AK226" s="482"/>
      <c r="AL226" s="482"/>
    </row>
    <row r="227" spans="1:38" x14ac:dyDescent="0.15">
      <c r="A227" s="12" t="s">
        <v>461</v>
      </c>
      <c r="B227" s="13" t="s">
        <v>462</v>
      </c>
      <c r="C227" s="13" t="s">
        <v>27</v>
      </c>
      <c r="D227" s="13" t="s">
        <v>54</v>
      </c>
      <c r="E227" s="12" t="s">
        <v>29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0</v>
      </c>
      <c r="M227" s="14">
        <v>0</v>
      </c>
      <c r="N227" s="14"/>
      <c r="O227" s="14">
        <v>37898.5</v>
      </c>
      <c r="P227" s="15">
        <v>285581.27</v>
      </c>
      <c r="Q227" s="16">
        <v>65369.72</v>
      </c>
      <c r="R227" s="16" t="s">
        <v>2994</v>
      </c>
      <c r="S227" s="16" t="s">
        <v>2994</v>
      </c>
      <c r="T227" s="16" t="s">
        <v>2994</v>
      </c>
      <c r="U227" s="16" t="s">
        <v>2994</v>
      </c>
      <c r="V227" s="16" t="s">
        <v>2994</v>
      </c>
      <c r="W227" s="16" t="s">
        <v>2994</v>
      </c>
      <c r="X227" s="16" t="s">
        <v>2994</v>
      </c>
      <c r="Y227" s="3">
        <f t="shared" si="18"/>
        <v>388849.49</v>
      </c>
      <c r="Z227" s="96">
        <f t="array" ref="Z227">SUM(ABS(F227:P227))</f>
        <v>323479.77</v>
      </c>
      <c r="AB227" s="3"/>
      <c r="AC227" s="3"/>
      <c r="AD227" s="95"/>
      <c r="AE227" s="95"/>
      <c r="AF227" s="95"/>
      <c r="AG227" s="95"/>
      <c r="AH227" s="482"/>
      <c r="AI227" s="482"/>
      <c r="AJ227" s="482"/>
      <c r="AK227" s="482"/>
      <c r="AL227" s="482"/>
    </row>
    <row r="228" spans="1:38" x14ac:dyDescent="0.15">
      <c r="A228" s="12" t="s">
        <v>463</v>
      </c>
      <c r="B228" s="13" t="s">
        <v>464</v>
      </c>
      <c r="C228" s="13" t="s">
        <v>27</v>
      </c>
      <c r="D228" s="13" t="s">
        <v>40</v>
      </c>
      <c r="E228" s="12" t="s">
        <v>112</v>
      </c>
      <c r="F228" s="14">
        <v>0</v>
      </c>
      <c r="G228" s="14">
        <v>0</v>
      </c>
      <c r="H228" s="14">
        <v>0</v>
      </c>
      <c r="I228" s="14">
        <v>0</v>
      </c>
      <c r="J228" s="14">
        <v>0</v>
      </c>
      <c r="K228" s="14">
        <v>0</v>
      </c>
      <c r="L228" s="14">
        <v>0</v>
      </c>
      <c r="M228" s="14">
        <v>0</v>
      </c>
      <c r="N228" s="14"/>
      <c r="O228" s="14"/>
      <c r="P228" s="15"/>
      <c r="Q228" s="16" t="s">
        <v>2994</v>
      </c>
      <c r="R228" s="16" t="s">
        <v>2994</v>
      </c>
      <c r="S228" s="16" t="s">
        <v>2994</v>
      </c>
      <c r="T228" s="16" t="s">
        <v>2994</v>
      </c>
      <c r="U228" s="16" t="s">
        <v>2994</v>
      </c>
      <c r="V228" s="16">
        <v>230250.11</v>
      </c>
      <c r="W228" s="16">
        <v>836308.5</v>
      </c>
      <c r="X228" s="16" t="s">
        <v>2994</v>
      </c>
      <c r="Y228" s="3">
        <f t="shared" si="18"/>
        <v>1066558.6099999999</v>
      </c>
      <c r="Z228" s="96">
        <f t="array" ref="Z228">SUM(ABS(F228:P228))</f>
        <v>0</v>
      </c>
      <c r="AB228" s="3"/>
      <c r="AC228" s="3"/>
      <c r="AD228" s="95"/>
      <c r="AE228" s="95"/>
      <c r="AF228" s="95"/>
      <c r="AG228" s="95"/>
      <c r="AH228" s="482"/>
      <c r="AI228" s="482"/>
      <c r="AJ228" s="482"/>
      <c r="AK228" s="482"/>
      <c r="AL228" s="482"/>
    </row>
    <row r="229" spans="1:38" x14ac:dyDescent="0.15">
      <c r="A229" s="12" t="s">
        <v>465</v>
      </c>
      <c r="B229" s="13" t="s">
        <v>466</v>
      </c>
      <c r="C229" s="13" t="s">
        <v>27</v>
      </c>
      <c r="D229" s="13" t="s">
        <v>40</v>
      </c>
      <c r="E229" s="12" t="s">
        <v>112</v>
      </c>
      <c r="F229" s="14">
        <v>0</v>
      </c>
      <c r="G229" s="14">
        <v>0</v>
      </c>
      <c r="H229" s="14">
        <v>0</v>
      </c>
      <c r="I229" s="14">
        <v>0</v>
      </c>
      <c r="J229" s="14">
        <v>0</v>
      </c>
      <c r="K229" s="14">
        <v>0</v>
      </c>
      <c r="L229" s="14">
        <v>0</v>
      </c>
      <c r="M229" s="14">
        <v>0</v>
      </c>
      <c r="N229" s="14"/>
      <c r="O229" s="14"/>
      <c r="P229" s="15"/>
      <c r="Q229" s="16" t="s">
        <v>2994</v>
      </c>
      <c r="R229" s="16" t="s">
        <v>2994</v>
      </c>
      <c r="S229" s="16" t="s">
        <v>2994</v>
      </c>
      <c r="T229" s="16" t="s">
        <v>2994</v>
      </c>
      <c r="U229" s="16">
        <v>178237.76</v>
      </c>
      <c r="V229" s="16">
        <v>677454.22</v>
      </c>
      <c r="W229" s="16">
        <v>905029.5</v>
      </c>
      <c r="X229" s="16" t="s">
        <v>2994</v>
      </c>
      <c r="Y229" s="3">
        <f t="shared" si="18"/>
        <v>1760721.48</v>
      </c>
      <c r="Z229" s="96">
        <f t="array" ref="Z229">SUM(ABS(F229:P229))</f>
        <v>0</v>
      </c>
      <c r="AB229" s="3"/>
      <c r="AC229" s="3"/>
      <c r="AD229" s="95"/>
      <c r="AE229" s="95"/>
      <c r="AF229" s="95"/>
      <c r="AG229" s="95"/>
      <c r="AH229" s="482"/>
      <c r="AI229" s="482"/>
      <c r="AJ229" s="482"/>
      <c r="AK229" s="482"/>
      <c r="AL229" s="482"/>
    </row>
    <row r="230" spans="1:38" x14ac:dyDescent="0.15">
      <c r="A230" s="12" t="s">
        <v>467</v>
      </c>
      <c r="B230" s="13" t="s">
        <v>2321</v>
      </c>
      <c r="C230" s="13" t="s">
        <v>27</v>
      </c>
      <c r="D230" s="13" t="s">
        <v>55</v>
      </c>
      <c r="E230" s="12" t="s">
        <v>29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/>
      <c r="O230" s="14"/>
      <c r="P230" s="15"/>
      <c r="Q230" s="16">
        <v>194734.22</v>
      </c>
      <c r="R230" s="16">
        <v>136463.5</v>
      </c>
      <c r="S230" s="16" t="s">
        <v>2994</v>
      </c>
      <c r="T230" s="16" t="s">
        <v>2994</v>
      </c>
      <c r="U230" s="16" t="s">
        <v>2994</v>
      </c>
      <c r="V230" s="16" t="s">
        <v>2994</v>
      </c>
      <c r="W230" s="16" t="s">
        <v>2994</v>
      </c>
      <c r="X230" s="16" t="s">
        <v>2994</v>
      </c>
      <c r="Y230" s="3">
        <f t="shared" si="18"/>
        <v>331197.71999999997</v>
      </c>
      <c r="Z230" s="96">
        <f t="array" ref="Z230">SUM(ABS(F230:P230))</f>
        <v>0</v>
      </c>
      <c r="AB230" s="3"/>
      <c r="AC230" s="3"/>
      <c r="AD230" s="95"/>
      <c r="AE230" s="95"/>
      <c r="AF230" s="95"/>
      <c r="AG230" s="95"/>
      <c r="AH230" s="482"/>
      <c r="AI230" s="482"/>
      <c r="AJ230" s="482"/>
      <c r="AK230" s="482"/>
      <c r="AL230" s="482"/>
    </row>
    <row r="231" spans="1:38" x14ac:dyDescent="0.15">
      <c r="A231" s="12" t="s">
        <v>468</v>
      </c>
      <c r="B231" s="13" t="s">
        <v>469</v>
      </c>
      <c r="C231" s="13" t="s">
        <v>27</v>
      </c>
      <c r="D231" s="13" t="s">
        <v>55</v>
      </c>
      <c r="E231" s="12" t="s">
        <v>29</v>
      </c>
      <c r="F231" s="14">
        <v>0</v>
      </c>
      <c r="G231" s="14">
        <v>0</v>
      </c>
      <c r="H231" s="14">
        <v>0</v>
      </c>
      <c r="I231" s="14">
        <v>0</v>
      </c>
      <c r="J231" s="14">
        <v>0</v>
      </c>
      <c r="K231" s="14">
        <v>0</v>
      </c>
      <c r="L231" s="14">
        <v>0</v>
      </c>
      <c r="M231" s="14">
        <v>0</v>
      </c>
      <c r="N231" s="14"/>
      <c r="O231" s="14"/>
      <c r="P231" s="15">
        <v>49993.08</v>
      </c>
      <c r="Q231" s="16">
        <v>1711645.16</v>
      </c>
      <c r="R231" s="16">
        <v>138218.74</v>
      </c>
      <c r="S231" s="16" t="s">
        <v>2994</v>
      </c>
      <c r="T231" s="16" t="s">
        <v>2994</v>
      </c>
      <c r="U231" s="16" t="s">
        <v>2994</v>
      </c>
      <c r="V231" s="16" t="s">
        <v>2994</v>
      </c>
      <c r="W231" s="16" t="s">
        <v>2994</v>
      </c>
      <c r="X231" s="16" t="s">
        <v>2994</v>
      </c>
      <c r="Y231" s="3">
        <f t="shared" si="18"/>
        <v>1899856.98</v>
      </c>
      <c r="Z231" s="96">
        <f t="array" ref="Z231">SUM(ABS(F231:P231))</f>
        <v>49993.08</v>
      </c>
      <c r="AB231" s="3"/>
      <c r="AC231" s="3"/>
      <c r="AD231" s="95"/>
      <c r="AE231" s="95"/>
      <c r="AF231" s="95"/>
      <c r="AG231" s="95"/>
      <c r="AH231" s="482"/>
      <c r="AI231" s="482"/>
      <c r="AJ231" s="482"/>
      <c r="AK231" s="482"/>
      <c r="AL231" s="482"/>
    </row>
    <row r="232" spans="1:38" x14ac:dyDescent="0.15">
      <c r="A232" s="12" t="s">
        <v>470</v>
      </c>
      <c r="B232" s="13" t="s">
        <v>471</v>
      </c>
      <c r="C232" s="13" t="s">
        <v>27</v>
      </c>
      <c r="D232" s="13" t="s">
        <v>40</v>
      </c>
      <c r="E232" s="12" t="s">
        <v>112</v>
      </c>
      <c r="F232" s="14">
        <v>0</v>
      </c>
      <c r="G232" s="14">
        <v>0</v>
      </c>
      <c r="H232" s="14">
        <v>0</v>
      </c>
      <c r="I232" s="14">
        <v>0</v>
      </c>
      <c r="J232" s="14">
        <v>0</v>
      </c>
      <c r="K232" s="14">
        <v>0</v>
      </c>
      <c r="L232" s="14">
        <v>0</v>
      </c>
      <c r="M232" s="14">
        <v>0</v>
      </c>
      <c r="N232" s="14"/>
      <c r="O232" s="14"/>
      <c r="P232" s="15"/>
      <c r="Q232" s="16" t="s">
        <v>2994</v>
      </c>
      <c r="R232" s="16" t="s">
        <v>2994</v>
      </c>
      <c r="S232" s="16">
        <v>221292.03</v>
      </c>
      <c r="T232" s="16">
        <v>770638.16</v>
      </c>
      <c r="U232" s="16" t="s">
        <v>2994</v>
      </c>
      <c r="V232" s="16" t="s">
        <v>2994</v>
      </c>
      <c r="W232" s="16" t="s">
        <v>2994</v>
      </c>
      <c r="X232" s="16" t="s">
        <v>2994</v>
      </c>
      <c r="Y232" s="3">
        <f t="shared" si="18"/>
        <v>991930.19000000006</v>
      </c>
      <c r="Z232" s="96">
        <f t="array" ref="Z232">SUM(ABS(F232:P232))</f>
        <v>0</v>
      </c>
      <c r="AB232" s="3"/>
      <c r="AC232" s="3"/>
      <c r="AD232" s="95"/>
      <c r="AE232" s="95"/>
      <c r="AF232" s="95"/>
      <c r="AG232" s="95"/>
      <c r="AH232" s="482"/>
      <c r="AI232" s="482"/>
      <c r="AJ232" s="482"/>
      <c r="AK232" s="482"/>
      <c r="AL232" s="482"/>
    </row>
    <row r="233" spans="1:38" x14ac:dyDescent="0.15">
      <c r="A233" s="12" t="s">
        <v>472</v>
      </c>
      <c r="B233" s="13" t="s">
        <v>2322</v>
      </c>
      <c r="C233" s="13" t="s">
        <v>27</v>
      </c>
      <c r="D233" s="13" t="s">
        <v>55</v>
      </c>
      <c r="E233" s="12" t="s">
        <v>29</v>
      </c>
      <c r="F233" s="14">
        <v>0</v>
      </c>
      <c r="G233" s="14">
        <v>0</v>
      </c>
      <c r="H233" s="14">
        <v>0</v>
      </c>
      <c r="I233" s="14">
        <v>0</v>
      </c>
      <c r="J233" s="14">
        <v>0</v>
      </c>
      <c r="K233" s="14">
        <v>0</v>
      </c>
      <c r="L233" s="14">
        <v>0</v>
      </c>
      <c r="M233" s="14">
        <v>0</v>
      </c>
      <c r="N233" s="14"/>
      <c r="O233" s="14"/>
      <c r="P233" s="15"/>
      <c r="Q233" s="16">
        <v>441323.12</v>
      </c>
      <c r="R233" s="16">
        <v>19673.830000000002</v>
      </c>
      <c r="S233" s="16" t="s">
        <v>2994</v>
      </c>
      <c r="T233" s="16" t="s">
        <v>2994</v>
      </c>
      <c r="U233" s="16" t="s">
        <v>2994</v>
      </c>
      <c r="V233" s="16" t="s">
        <v>2994</v>
      </c>
      <c r="W233" s="16" t="s">
        <v>2994</v>
      </c>
      <c r="X233" s="16" t="s">
        <v>2994</v>
      </c>
      <c r="Y233" s="3">
        <f t="shared" si="18"/>
        <v>460996.95</v>
      </c>
      <c r="Z233" s="96">
        <f t="array" ref="Z233">SUM(ABS(F233:P233))</f>
        <v>0</v>
      </c>
      <c r="AB233" s="3"/>
      <c r="AC233" s="3"/>
      <c r="AD233" s="95"/>
      <c r="AE233" s="95"/>
      <c r="AF233" s="95"/>
      <c r="AG233" s="95"/>
      <c r="AH233" s="482"/>
      <c r="AI233" s="482"/>
      <c r="AJ233" s="482"/>
      <c r="AK233" s="482"/>
      <c r="AL233" s="482"/>
    </row>
    <row r="234" spans="1:38" x14ac:dyDescent="0.15">
      <c r="A234" s="12" t="s">
        <v>473</v>
      </c>
      <c r="B234" s="13" t="s">
        <v>474</v>
      </c>
      <c r="C234" s="13" t="s">
        <v>27</v>
      </c>
      <c r="D234" s="13" t="s">
        <v>55</v>
      </c>
      <c r="E234" s="12" t="s">
        <v>112</v>
      </c>
      <c r="F234" s="14">
        <v>0</v>
      </c>
      <c r="G234" s="14">
        <v>0</v>
      </c>
      <c r="H234" s="14">
        <v>0</v>
      </c>
      <c r="I234" s="14">
        <v>0</v>
      </c>
      <c r="J234" s="14">
        <v>0</v>
      </c>
      <c r="K234" s="14">
        <v>0</v>
      </c>
      <c r="L234" s="14">
        <v>0</v>
      </c>
      <c r="M234" s="14">
        <v>0</v>
      </c>
      <c r="N234" s="14"/>
      <c r="O234" s="14"/>
      <c r="P234" s="15"/>
      <c r="Q234" s="16" t="s">
        <v>2994</v>
      </c>
      <c r="R234" s="16" t="s">
        <v>2994</v>
      </c>
      <c r="S234" s="16">
        <v>303184.28000000003</v>
      </c>
      <c r="T234" s="16">
        <v>242995.74</v>
      </c>
      <c r="U234" s="16" t="s">
        <v>2994</v>
      </c>
      <c r="V234" s="16" t="s">
        <v>2994</v>
      </c>
      <c r="W234" s="16" t="s">
        <v>2994</v>
      </c>
      <c r="X234" s="16" t="s">
        <v>2994</v>
      </c>
      <c r="Y234" s="3">
        <f t="shared" si="18"/>
        <v>546180.02</v>
      </c>
      <c r="Z234" s="96">
        <f t="array" ref="Z234">SUM(ABS(F234:P234))</f>
        <v>0</v>
      </c>
      <c r="AB234" s="3"/>
      <c r="AC234" s="3"/>
      <c r="AD234" s="95"/>
      <c r="AE234" s="95"/>
      <c r="AF234" s="95"/>
      <c r="AG234" s="95"/>
      <c r="AH234" s="482"/>
      <c r="AI234" s="482"/>
      <c r="AJ234" s="482"/>
      <c r="AK234" s="482"/>
      <c r="AL234" s="482"/>
    </row>
    <row r="235" spans="1:38" x14ac:dyDescent="0.15">
      <c r="A235" s="12" t="s">
        <v>475</v>
      </c>
      <c r="B235" s="13" t="s">
        <v>476</v>
      </c>
      <c r="C235" s="13" t="s">
        <v>27</v>
      </c>
      <c r="D235" s="13" t="s">
        <v>55</v>
      </c>
      <c r="E235" s="12" t="s">
        <v>32</v>
      </c>
      <c r="F235" s="14">
        <v>0</v>
      </c>
      <c r="G235" s="14">
        <v>0</v>
      </c>
      <c r="H235" s="14">
        <v>0</v>
      </c>
      <c r="I235" s="14">
        <v>0</v>
      </c>
      <c r="J235" s="14">
        <v>0</v>
      </c>
      <c r="K235" s="14">
        <v>0</v>
      </c>
      <c r="L235" s="14">
        <v>0</v>
      </c>
      <c r="M235" s="14">
        <v>0</v>
      </c>
      <c r="N235" s="14"/>
      <c r="O235" s="14"/>
      <c r="P235" s="15">
        <v>371613.36</v>
      </c>
      <c r="Q235" s="16" t="s">
        <v>2994</v>
      </c>
      <c r="R235" s="16" t="s">
        <v>2994</v>
      </c>
      <c r="S235" s="16" t="s">
        <v>2994</v>
      </c>
      <c r="T235" s="16" t="s">
        <v>2994</v>
      </c>
      <c r="U235" s="16" t="s">
        <v>2994</v>
      </c>
      <c r="V235" s="16" t="s">
        <v>2994</v>
      </c>
      <c r="W235" s="16" t="s">
        <v>2994</v>
      </c>
      <c r="X235" s="16" t="s">
        <v>2994</v>
      </c>
      <c r="Y235" s="3">
        <f t="shared" si="18"/>
        <v>371613.36</v>
      </c>
      <c r="Z235" s="96">
        <f t="array" ref="Z235">SUM(ABS(F235:P235))</f>
        <v>371613.36</v>
      </c>
      <c r="AB235" s="3"/>
      <c r="AC235" s="3"/>
      <c r="AD235" s="95"/>
      <c r="AE235" s="95"/>
      <c r="AF235" s="95"/>
      <c r="AG235" s="95"/>
      <c r="AH235" s="482"/>
      <c r="AI235" s="482"/>
      <c r="AJ235" s="482"/>
      <c r="AK235" s="482"/>
      <c r="AL235" s="482"/>
    </row>
    <row r="236" spans="1:38" x14ac:dyDescent="0.15">
      <c r="A236" s="12" t="s">
        <v>479</v>
      </c>
      <c r="B236" s="13" t="s">
        <v>480</v>
      </c>
      <c r="C236" s="13" t="s">
        <v>27</v>
      </c>
      <c r="D236" s="13" t="s">
        <v>55</v>
      </c>
      <c r="E236" s="12" t="s">
        <v>45</v>
      </c>
      <c r="F236" s="14">
        <v>0</v>
      </c>
      <c r="G236" s="14">
        <v>0</v>
      </c>
      <c r="H236" s="14">
        <v>0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/>
      <c r="O236" s="14"/>
      <c r="P236" s="15"/>
      <c r="Q236" s="16">
        <v>24172.06</v>
      </c>
      <c r="R236" s="16">
        <v>225051.57</v>
      </c>
      <c r="S236" s="16">
        <v>464786.3</v>
      </c>
      <c r="T236" s="16" t="s">
        <v>2994</v>
      </c>
      <c r="U236" s="16" t="s">
        <v>2994</v>
      </c>
      <c r="V236" s="16" t="s">
        <v>2994</v>
      </c>
      <c r="W236" s="16" t="s">
        <v>2994</v>
      </c>
      <c r="X236" s="16" t="s">
        <v>2994</v>
      </c>
      <c r="Y236" s="3">
        <f t="shared" si="18"/>
        <v>714009.92999999993</v>
      </c>
      <c r="Z236" s="96">
        <f t="array" ref="Z236">SUM(ABS(F236:P236))</f>
        <v>0</v>
      </c>
      <c r="AB236" s="3"/>
      <c r="AC236" s="3"/>
      <c r="AD236" s="95"/>
      <c r="AE236" s="95"/>
      <c r="AF236" s="95"/>
      <c r="AG236" s="95"/>
      <c r="AH236" s="482"/>
      <c r="AI236" s="482"/>
      <c r="AJ236" s="482"/>
      <c r="AK236" s="482"/>
      <c r="AL236" s="482"/>
    </row>
    <row r="237" spans="1:38" x14ac:dyDescent="0.15">
      <c r="A237" s="12" t="s">
        <v>481</v>
      </c>
      <c r="B237" s="13" t="s">
        <v>482</v>
      </c>
      <c r="C237" s="13" t="s">
        <v>27</v>
      </c>
      <c r="D237" s="13" t="s">
        <v>60</v>
      </c>
      <c r="E237" s="12" t="s">
        <v>112</v>
      </c>
      <c r="F237" s="14">
        <v>0</v>
      </c>
      <c r="G237" s="14">
        <v>0</v>
      </c>
      <c r="H237" s="14">
        <v>0</v>
      </c>
      <c r="I237" s="14">
        <v>0</v>
      </c>
      <c r="J237" s="14">
        <v>0</v>
      </c>
      <c r="K237" s="14">
        <v>0</v>
      </c>
      <c r="L237" s="14">
        <v>0</v>
      </c>
      <c r="M237" s="14">
        <v>0</v>
      </c>
      <c r="N237" s="14"/>
      <c r="O237" s="14"/>
      <c r="P237" s="15"/>
      <c r="Q237" s="16" t="s">
        <v>2994</v>
      </c>
      <c r="R237" s="16" t="s">
        <v>2994</v>
      </c>
      <c r="S237" s="16" t="s">
        <v>2994</v>
      </c>
      <c r="T237" s="16" t="s">
        <v>2994</v>
      </c>
      <c r="U237" s="16">
        <v>2478441.96</v>
      </c>
      <c r="V237" s="16" t="s">
        <v>2994</v>
      </c>
      <c r="W237" s="16" t="s">
        <v>2994</v>
      </c>
      <c r="X237" s="16" t="s">
        <v>2994</v>
      </c>
      <c r="Y237" s="3">
        <f t="shared" si="18"/>
        <v>2478441.96</v>
      </c>
      <c r="Z237" s="96">
        <f t="array" ref="Z237">SUM(ABS(F237:P237))</f>
        <v>0</v>
      </c>
      <c r="AB237" s="3"/>
      <c r="AC237" s="3"/>
      <c r="AD237" s="95"/>
      <c r="AE237" s="95"/>
      <c r="AF237" s="95"/>
      <c r="AG237" s="95"/>
      <c r="AH237" s="482"/>
      <c r="AI237" s="482"/>
      <c r="AJ237" s="482"/>
      <c r="AK237" s="482"/>
      <c r="AL237" s="482"/>
    </row>
    <row r="238" spans="1:38" x14ac:dyDescent="0.15">
      <c r="A238" s="12" t="s">
        <v>483</v>
      </c>
      <c r="B238" s="13" t="s">
        <v>484</v>
      </c>
      <c r="C238" s="13" t="s">
        <v>27</v>
      </c>
      <c r="D238" s="13" t="s">
        <v>60</v>
      </c>
      <c r="E238" s="12" t="s">
        <v>112</v>
      </c>
      <c r="F238" s="14">
        <v>0</v>
      </c>
      <c r="G238" s="14">
        <v>0</v>
      </c>
      <c r="H238" s="14">
        <v>0</v>
      </c>
      <c r="I238" s="14">
        <v>0</v>
      </c>
      <c r="J238" s="14">
        <v>0</v>
      </c>
      <c r="K238" s="14">
        <v>0</v>
      </c>
      <c r="L238" s="14">
        <v>0</v>
      </c>
      <c r="M238" s="14">
        <v>0</v>
      </c>
      <c r="N238" s="14"/>
      <c r="O238" s="14"/>
      <c r="P238" s="15"/>
      <c r="Q238" s="16" t="s">
        <v>2994</v>
      </c>
      <c r="R238" s="16" t="s">
        <v>2994</v>
      </c>
      <c r="S238" s="16" t="s">
        <v>2994</v>
      </c>
      <c r="T238" s="16" t="s">
        <v>2994</v>
      </c>
      <c r="U238" s="16" t="s">
        <v>2994</v>
      </c>
      <c r="V238" s="16">
        <v>2542605.2400000002</v>
      </c>
      <c r="W238" s="16" t="s">
        <v>2994</v>
      </c>
      <c r="X238" s="16" t="s">
        <v>2994</v>
      </c>
      <c r="Y238" s="3">
        <f t="shared" si="18"/>
        <v>2542605.2400000002</v>
      </c>
      <c r="Z238" s="96">
        <f t="array" ref="Z238">SUM(ABS(F238:P238))</f>
        <v>0</v>
      </c>
      <c r="AB238" s="3"/>
      <c r="AC238" s="3"/>
      <c r="AD238" s="95"/>
      <c r="AE238" s="95"/>
      <c r="AF238" s="95"/>
      <c r="AG238" s="95"/>
      <c r="AH238" s="482"/>
      <c r="AI238" s="482"/>
      <c r="AJ238" s="482"/>
      <c r="AK238" s="482"/>
      <c r="AL238" s="482"/>
    </row>
    <row r="239" spans="1:38" x14ac:dyDescent="0.15">
      <c r="A239" s="12" t="s">
        <v>485</v>
      </c>
      <c r="B239" s="13" t="s">
        <v>486</v>
      </c>
      <c r="C239" s="13" t="s">
        <v>27</v>
      </c>
      <c r="D239" s="13" t="s">
        <v>60</v>
      </c>
      <c r="E239" s="12" t="s">
        <v>112</v>
      </c>
      <c r="F239" s="14">
        <v>0</v>
      </c>
      <c r="G239" s="14">
        <v>0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4">
        <v>0</v>
      </c>
      <c r="N239" s="14"/>
      <c r="O239" s="14"/>
      <c r="P239" s="15"/>
      <c r="Q239" s="16" t="s">
        <v>2994</v>
      </c>
      <c r="R239" s="16" t="s">
        <v>2994</v>
      </c>
      <c r="S239" s="16" t="s">
        <v>2994</v>
      </c>
      <c r="T239" s="16" t="s">
        <v>2994</v>
      </c>
      <c r="U239" s="16" t="s">
        <v>2994</v>
      </c>
      <c r="V239" s="16" t="s">
        <v>2994</v>
      </c>
      <c r="W239" s="16">
        <v>2606801.56</v>
      </c>
      <c r="X239" s="16" t="s">
        <v>2994</v>
      </c>
      <c r="Y239" s="3">
        <f t="shared" si="18"/>
        <v>2606801.56</v>
      </c>
      <c r="Z239" s="96">
        <f t="array" ref="Z239">SUM(ABS(F239:P239))</f>
        <v>0</v>
      </c>
      <c r="AB239" s="3"/>
      <c r="AC239" s="3"/>
      <c r="AD239" s="95"/>
      <c r="AE239" s="95"/>
      <c r="AF239" s="95"/>
      <c r="AG239" s="95"/>
      <c r="AH239" s="482"/>
      <c r="AI239" s="482"/>
      <c r="AJ239" s="482"/>
      <c r="AK239" s="482"/>
      <c r="AL239" s="482"/>
    </row>
    <row r="240" spans="1:38" x14ac:dyDescent="0.15">
      <c r="A240" s="12" t="s">
        <v>487</v>
      </c>
      <c r="B240" s="13" t="s">
        <v>488</v>
      </c>
      <c r="C240" s="13" t="s">
        <v>27</v>
      </c>
      <c r="D240" s="13" t="s">
        <v>40</v>
      </c>
      <c r="E240" s="12" t="s">
        <v>32</v>
      </c>
      <c r="F240" s="14">
        <v>0</v>
      </c>
      <c r="G240" s="14">
        <v>0</v>
      </c>
      <c r="H240" s="14">
        <v>0</v>
      </c>
      <c r="I240" s="14">
        <v>0</v>
      </c>
      <c r="J240" s="14">
        <v>0</v>
      </c>
      <c r="K240" s="14">
        <v>0</v>
      </c>
      <c r="L240" s="14">
        <v>0</v>
      </c>
      <c r="M240" s="14">
        <v>0</v>
      </c>
      <c r="N240" s="14"/>
      <c r="O240" s="14"/>
      <c r="P240" s="15">
        <v>3110.54</v>
      </c>
      <c r="Q240" s="16">
        <v>83940.79</v>
      </c>
      <c r="R240" s="16" t="s">
        <v>2994</v>
      </c>
      <c r="S240" s="16" t="s">
        <v>2994</v>
      </c>
      <c r="T240" s="16" t="s">
        <v>2994</v>
      </c>
      <c r="U240" s="16" t="s">
        <v>2994</v>
      </c>
      <c r="V240" s="16" t="s">
        <v>2994</v>
      </c>
      <c r="W240" s="16" t="s">
        <v>2994</v>
      </c>
      <c r="X240" s="16" t="s">
        <v>2994</v>
      </c>
      <c r="Y240" s="3">
        <f t="shared" si="18"/>
        <v>87051.329999999987</v>
      </c>
      <c r="Z240" s="96">
        <f t="array" ref="Z240">SUM(ABS(F240:P240))</f>
        <v>3110.54</v>
      </c>
      <c r="AB240" s="3"/>
      <c r="AC240" s="3"/>
      <c r="AD240" s="95"/>
      <c r="AE240" s="95"/>
      <c r="AF240" s="95"/>
      <c r="AG240" s="95"/>
      <c r="AH240" s="482"/>
      <c r="AI240" s="482"/>
      <c r="AJ240" s="482"/>
      <c r="AK240" s="482"/>
      <c r="AL240" s="482"/>
    </row>
    <row r="241" spans="1:38" x14ac:dyDescent="0.15">
      <c r="A241" s="12" t="s">
        <v>489</v>
      </c>
      <c r="B241" s="13" t="s">
        <v>490</v>
      </c>
      <c r="C241" s="13" t="s">
        <v>27</v>
      </c>
      <c r="D241" s="13" t="s">
        <v>54</v>
      </c>
      <c r="E241" s="12" t="s">
        <v>29</v>
      </c>
      <c r="F241" s="14">
        <v>0</v>
      </c>
      <c r="G241" s="14">
        <v>0</v>
      </c>
      <c r="H241" s="14">
        <v>0</v>
      </c>
      <c r="I241" s="14">
        <v>0</v>
      </c>
      <c r="J241" s="14">
        <v>0</v>
      </c>
      <c r="K241" s="14">
        <v>0</v>
      </c>
      <c r="L241" s="14">
        <v>0</v>
      </c>
      <c r="M241" s="14">
        <v>0</v>
      </c>
      <c r="N241" s="14"/>
      <c r="O241" s="14"/>
      <c r="P241" s="15">
        <v>39283.25</v>
      </c>
      <c r="Q241" s="16">
        <v>653133.11</v>
      </c>
      <c r="R241" s="16">
        <v>689420.91</v>
      </c>
      <c r="S241" s="16" t="s">
        <v>2994</v>
      </c>
      <c r="T241" s="16" t="s">
        <v>2994</v>
      </c>
      <c r="U241" s="16" t="s">
        <v>2994</v>
      </c>
      <c r="V241" s="16" t="s">
        <v>2994</v>
      </c>
      <c r="W241" s="16" t="s">
        <v>2994</v>
      </c>
      <c r="X241" s="16" t="s">
        <v>2994</v>
      </c>
      <c r="Y241" s="3">
        <f t="shared" si="18"/>
        <v>1381837.27</v>
      </c>
      <c r="Z241" s="96">
        <f t="array" ref="Z241">SUM(ABS(F241:P241))</f>
        <v>39283.25</v>
      </c>
      <c r="AB241" s="3"/>
      <c r="AC241" s="3"/>
      <c r="AD241" s="95"/>
      <c r="AE241" s="95"/>
      <c r="AF241" s="95"/>
      <c r="AG241" s="95"/>
      <c r="AH241" s="482"/>
      <c r="AI241" s="482"/>
      <c r="AJ241" s="482"/>
      <c r="AK241" s="482"/>
      <c r="AL241" s="482"/>
    </row>
    <row r="242" spans="1:38" x14ac:dyDescent="0.15">
      <c r="A242" s="12" t="s">
        <v>491</v>
      </c>
      <c r="B242" s="13" t="s">
        <v>492</v>
      </c>
      <c r="C242" s="13" t="s">
        <v>27</v>
      </c>
      <c r="D242" s="13" t="s">
        <v>40</v>
      </c>
      <c r="E242" s="12" t="s">
        <v>112</v>
      </c>
      <c r="F242" s="14">
        <v>0</v>
      </c>
      <c r="G242" s="14">
        <v>0</v>
      </c>
      <c r="H242" s="14">
        <v>0</v>
      </c>
      <c r="I242" s="14">
        <v>0</v>
      </c>
      <c r="J242" s="14">
        <v>0</v>
      </c>
      <c r="K242" s="14">
        <v>0</v>
      </c>
      <c r="L242" s="14">
        <v>0</v>
      </c>
      <c r="M242" s="14">
        <v>0</v>
      </c>
      <c r="N242" s="14"/>
      <c r="O242" s="14"/>
      <c r="P242" s="15"/>
      <c r="Q242" s="16" t="s">
        <v>2994</v>
      </c>
      <c r="R242" s="16">
        <v>1052696.51</v>
      </c>
      <c r="S242" s="16">
        <v>3577668.72</v>
      </c>
      <c r="T242" s="16">
        <v>7233075.3499999996</v>
      </c>
      <c r="U242" s="16">
        <v>7015670.8200000003</v>
      </c>
      <c r="V242" s="16">
        <v>7199785.5199999996</v>
      </c>
      <c r="W242" s="16">
        <v>6224937.1799999997</v>
      </c>
      <c r="X242" s="16" t="s">
        <v>2994</v>
      </c>
      <c r="Y242" s="3">
        <f t="shared" si="18"/>
        <v>32303834.099999998</v>
      </c>
      <c r="Z242" s="96">
        <f t="array" ref="Z242">SUM(ABS(F242:P242))</f>
        <v>0</v>
      </c>
      <c r="AB242" s="3"/>
      <c r="AC242" s="3"/>
      <c r="AD242" s="95"/>
      <c r="AE242" s="95"/>
      <c r="AF242" s="95"/>
      <c r="AG242" s="95"/>
      <c r="AH242" s="482"/>
      <c r="AI242" s="482"/>
      <c r="AJ242" s="482"/>
      <c r="AK242" s="482"/>
      <c r="AL242" s="482"/>
    </row>
    <row r="243" spans="1:38" x14ac:dyDescent="0.15">
      <c r="A243" s="12" t="s">
        <v>493</v>
      </c>
      <c r="B243" s="13" t="s">
        <v>494</v>
      </c>
      <c r="C243" s="13" t="s">
        <v>27</v>
      </c>
      <c r="D243" s="13" t="s">
        <v>40</v>
      </c>
      <c r="E243" s="12" t="s">
        <v>112</v>
      </c>
      <c r="F243" s="14">
        <v>0</v>
      </c>
      <c r="G243" s="14">
        <v>0</v>
      </c>
      <c r="H243" s="14">
        <v>0</v>
      </c>
      <c r="I243" s="14">
        <v>0</v>
      </c>
      <c r="J243" s="14">
        <v>0</v>
      </c>
      <c r="K243" s="14">
        <v>0</v>
      </c>
      <c r="L243" s="14">
        <v>0</v>
      </c>
      <c r="M243" s="14">
        <v>0</v>
      </c>
      <c r="N243" s="14"/>
      <c r="O243" s="14"/>
      <c r="P243" s="15"/>
      <c r="Q243" s="16" t="s">
        <v>2994</v>
      </c>
      <c r="R243" s="16" t="s">
        <v>2994</v>
      </c>
      <c r="S243" s="16">
        <v>94481.33</v>
      </c>
      <c r="T243" s="16">
        <v>107598.08</v>
      </c>
      <c r="U243" s="16">
        <v>950002.5</v>
      </c>
      <c r="V243" s="16">
        <v>2392263.9500000002</v>
      </c>
      <c r="W243" s="16">
        <v>1733846.76</v>
      </c>
      <c r="X243" s="16" t="s">
        <v>2994</v>
      </c>
      <c r="Y243" s="3">
        <f t="shared" si="18"/>
        <v>5278192.62</v>
      </c>
      <c r="Z243" s="96">
        <f t="array" ref="Z243">SUM(ABS(F243:P243))</f>
        <v>0</v>
      </c>
      <c r="AB243" s="3"/>
      <c r="AC243" s="3"/>
      <c r="AD243" s="95"/>
      <c r="AE243" s="95"/>
      <c r="AF243" s="95"/>
      <c r="AG243" s="95"/>
      <c r="AH243" s="482"/>
      <c r="AI243" s="482"/>
      <c r="AJ243" s="482"/>
      <c r="AK243" s="482"/>
      <c r="AL243" s="482"/>
    </row>
    <row r="244" spans="1:38" x14ac:dyDescent="0.15">
      <c r="A244" s="12" t="s">
        <v>495</v>
      </c>
      <c r="B244" s="13" t="s">
        <v>496</v>
      </c>
      <c r="C244" s="13" t="s">
        <v>27</v>
      </c>
      <c r="D244" s="13" t="s">
        <v>40</v>
      </c>
      <c r="E244" s="12" t="s">
        <v>112</v>
      </c>
      <c r="F244" s="14">
        <v>0</v>
      </c>
      <c r="G244" s="14">
        <v>0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  <c r="N244" s="14"/>
      <c r="O244" s="14"/>
      <c r="P244" s="15"/>
      <c r="Q244" s="16" t="s">
        <v>2994</v>
      </c>
      <c r="R244" s="16" t="s">
        <v>2994</v>
      </c>
      <c r="S244" s="16">
        <v>130488.16</v>
      </c>
      <c r="T244" s="16">
        <v>148603.31</v>
      </c>
      <c r="U244" s="16">
        <v>965490.84</v>
      </c>
      <c r="V244" s="16">
        <v>2375427.46</v>
      </c>
      <c r="W244" s="16">
        <v>1726741.74</v>
      </c>
      <c r="X244" s="16" t="s">
        <v>2994</v>
      </c>
      <c r="Y244" s="3">
        <f t="shared" si="18"/>
        <v>5346751.51</v>
      </c>
      <c r="Z244" s="96">
        <f t="array" ref="Z244">SUM(ABS(F244:P244))</f>
        <v>0</v>
      </c>
      <c r="AB244" s="3"/>
      <c r="AC244" s="3"/>
      <c r="AD244" s="95"/>
      <c r="AE244" s="95"/>
      <c r="AF244" s="95"/>
      <c r="AG244" s="95"/>
      <c r="AH244" s="482"/>
      <c r="AI244" s="482"/>
      <c r="AJ244" s="482"/>
      <c r="AK244" s="482"/>
      <c r="AL244" s="482"/>
    </row>
    <row r="245" spans="1:38" x14ac:dyDescent="0.15">
      <c r="A245" s="12" t="s">
        <v>497</v>
      </c>
      <c r="B245" s="13" t="s">
        <v>498</v>
      </c>
      <c r="C245" s="13" t="s">
        <v>27</v>
      </c>
      <c r="D245" s="13" t="s">
        <v>40</v>
      </c>
      <c r="E245" s="12" t="s">
        <v>112</v>
      </c>
      <c r="F245" s="14">
        <v>0</v>
      </c>
      <c r="G245" s="14">
        <v>0</v>
      </c>
      <c r="H245" s="14">
        <v>0</v>
      </c>
      <c r="I245" s="14">
        <v>0</v>
      </c>
      <c r="J245" s="14">
        <v>0</v>
      </c>
      <c r="K245" s="14">
        <v>0</v>
      </c>
      <c r="L245" s="14">
        <v>0</v>
      </c>
      <c r="M245" s="14">
        <v>0</v>
      </c>
      <c r="N245" s="14"/>
      <c r="O245" s="14"/>
      <c r="P245" s="15"/>
      <c r="Q245" s="16" t="s">
        <v>2994</v>
      </c>
      <c r="R245" s="16" t="s">
        <v>2994</v>
      </c>
      <c r="S245" s="16">
        <v>205723.75</v>
      </c>
      <c r="T245" s="16">
        <v>343672.41</v>
      </c>
      <c r="U245" s="16">
        <v>2282891.84</v>
      </c>
      <c r="V245" s="16">
        <v>5363477.62</v>
      </c>
      <c r="W245" s="16">
        <v>3871215.38</v>
      </c>
      <c r="X245" s="16" t="s">
        <v>2994</v>
      </c>
      <c r="Y245" s="3">
        <f t="shared" si="18"/>
        <v>12066981</v>
      </c>
      <c r="Z245" s="96">
        <f t="array" ref="Z245">SUM(ABS(F245:P245))</f>
        <v>0</v>
      </c>
      <c r="AB245" s="3"/>
      <c r="AC245" s="3"/>
      <c r="AD245" s="95"/>
      <c r="AE245" s="95"/>
      <c r="AF245" s="95"/>
      <c r="AG245" s="95"/>
      <c r="AH245" s="482"/>
      <c r="AI245" s="482"/>
      <c r="AJ245" s="482"/>
      <c r="AK245" s="482"/>
      <c r="AL245" s="482"/>
    </row>
    <row r="246" spans="1:38" x14ac:dyDescent="0.15">
      <c r="A246" s="12" t="s">
        <v>500</v>
      </c>
      <c r="B246" s="13" t="s">
        <v>501</v>
      </c>
      <c r="C246" s="13" t="s">
        <v>2633</v>
      </c>
      <c r="D246" s="13" t="s">
        <v>28</v>
      </c>
      <c r="E246" s="12" t="s">
        <v>29</v>
      </c>
      <c r="F246" s="14">
        <v>0</v>
      </c>
      <c r="G246" s="14">
        <v>0</v>
      </c>
      <c r="H246" s="14">
        <v>0</v>
      </c>
      <c r="I246" s="14">
        <v>0</v>
      </c>
      <c r="J246" s="14">
        <v>0</v>
      </c>
      <c r="K246" s="14">
        <v>0</v>
      </c>
      <c r="L246" s="14">
        <v>0</v>
      </c>
      <c r="M246" s="14">
        <v>0</v>
      </c>
      <c r="N246" s="14"/>
      <c r="O246" s="14"/>
      <c r="P246" s="15">
        <v>339333.03</v>
      </c>
      <c r="Q246" s="16">
        <v>2239997.29</v>
      </c>
      <c r="R246" s="16">
        <v>615224.30000000005</v>
      </c>
      <c r="S246" s="16" t="s">
        <v>2994</v>
      </c>
      <c r="T246" s="16" t="s">
        <v>2994</v>
      </c>
      <c r="U246" s="16" t="s">
        <v>2994</v>
      </c>
      <c r="V246" s="16" t="s">
        <v>2994</v>
      </c>
      <c r="W246" s="16" t="s">
        <v>2994</v>
      </c>
      <c r="X246" s="16" t="s">
        <v>2994</v>
      </c>
      <c r="Y246" s="3">
        <f t="shared" si="18"/>
        <v>3194554.62</v>
      </c>
      <c r="Z246" s="96">
        <f t="array" ref="Z246">SUM(ABS(F246:P246))</f>
        <v>339333.03</v>
      </c>
      <c r="AB246" s="3"/>
      <c r="AC246" s="3"/>
      <c r="AD246" s="95"/>
      <c r="AE246" s="95"/>
      <c r="AF246" s="95"/>
      <c r="AG246" s="95"/>
      <c r="AH246" s="482"/>
      <c r="AI246" s="482"/>
      <c r="AJ246" s="482"/>
      <c r="AK246" s="482"/>
      <c r="AL246" s="482"/>
    </row>
    <row r="247" spans="1:38" x14ac:dyDescent="0.15">
      <c r="A247" s="12" t="s">
        <v>502</v>
      </c>
      <c r="B247" s="13" t="s">
        <v>503</v>
      </c>
      <c r="C247" s="13" t="s">
        <v>2633</v>
      </c>
      <c r="D247" s="13" t="s">
        <v>28</v>
      </c>
      <c r="E247" s="12" t="s">
        <v>32</v>
      </c>
      <c r="F247" s="14">
        <v>0</v>
      </c>
      <c r="G247" s="14">
        <v>0</v>
      </c>
      <c r="H247" s="14">
        <v>0</v>
      </c>
      <c r="I247" s="14">
        <v>0</v>
      </c>
      <c r="J247" s="14">
        <v>0</v>
      </c>
      <c r="K247" s="14">
        <v>0</v>
      </c>
      <c r="L247" s="14">
        <v>0</v>
      </c>
      <c r="M247" s="14">
        <v>0</v>
      </c>
      <c r="N247" s="14"/>
      <c r="O247" s="14"/>
      <c r="P247" s="15">
        <v>1180071.6499999999</v>
      </c>
      <c r="Q247" s="16">
        <v>1105594.19</v>
      </c>
      <c r="R247" s="16" t="s">
        <v>2994</v>
      </c>
      <c r="S247" s="16" t="s">
        <v>2994</v>
      </c>
      <c r="T247" s="16" t="s">
        <v>2994</v>
      </c>
      <c r="U247" s="16" t="s">
        <v>2994</v>
      </c>
      <c r="V247" s="16" t="s">
        <v>2994</v>
      </c>
      <c r="W247" s="16" t="s">
        <v>2994</v>
      </c>
      <c r="X247" s="16" t="s">
        <v>2994</v>
      </c>
      <c r="Y247" s="3">
        <f t="shared" si="18"/>
        <v>2285665.84</v>
      </c>
      <c r="Z247" s="96">
        <f t="array" ref="Z247">SUM(ABS(F247:P247))</f>
        <v>1180071.6499999999</v>
      </c>
      <c r="AB247" s="3"/>
      <c r="AC247" s="3"/>
      <c r="AD247" s="95"/>
      <c r="AE247" s="95"/>
      <c r="AF247" s="95"/>
      <c r="AG247" s="95"/>
      <c r="AH247" s="482"/>
      <c r="AI247" s="482"/>
      <c r="AJ247" s="482"/>
      <c r="AK247" s="482"/>
      <c r="AL247" s="482"/>
    </row>
    <row r="248" spans="1:38" x14ac:dyDescent="0.15">
      <c r="A248" s="12" t="s">
        <v>504</v>
      </c>
      <c r="B248" s="13" t="s">
        <v>505</v>
      </c>
      <c r="C248" s="13" t="s">
        <v>2633</v>
      </c>
      <c r="D248" s="13" t="s">
        <v>28</v>
      </c>
      <c r="E248" s="12" t="s">
        <v>32</v>
      </c>
      <c r="F248" s="14">
        <v>0</v>
      </c>
      <c r="G248" s="14">
        <v>0</v>
      </c>
      <c r="H248" s="14">
        <v>0</v>
      </c>
      <c r="I248" s="14">
        <v>0</v>
      </c>
      <c r="J248" s="14">
        <v>0</v>
      </c>
      <c r="K248" s="14">
        <v>0</v>
      </c>
      <c r="L248" s="14">
        <v>0</v>
      </c>
      <c r="M248" s="14">
        <v>0</v>
      </c>
      <c r="N248" s="14"/>
      <c r="O248" s="14"/>
      <c r="P248" s="15">
        <v>1394966.12</v>
      </c>
      <c r="Q248" s="16">
        <v>341309.38</v>
      </c>
      <c r="R248" s="16" t="s">
        <v>2994</v>
      </c>
      <c r="S248" s="16" t="s">
        <v>2994</v>
      </c>
      <c r="T248" s="16" t="s">
        <v>2994</v>
      </c>
      <c r="U248" s="16" t="s">
        <v>2994</v>
      </c>
      <c r="V248" s="16" t="s">
        <v>2994</v>
      </c>
      <c r="W248" s="16" t="s">
        <v>2994</v>
      </c>
      <c r="X248" s="16" t="s">
        <v>2994</v>
      </c>
      <c r="Y248" s="3">
        <f t="shared" si="18"/>
        <v>1736275.5</v>
      </c>
      <c r="Z248" s="96">
        <f t="array" ref="Z248">SUM(ABS(F248:P248))</f>
        <v>1394966.12</v>
      </c>
      <c r="AB248" s="3"/>
      <c r="AC248" s="3"/>
      <c r="AD248" s="95"/>
      <c r="AE248" s="95"/>
      <c r="AF248" s="95"/>
      <c r="AG248" s="95"/>
      <c r="AH248" s="482"/>
      <c r="AI248" s="482"/>
      <c r="AJ248" s="482"/>
      <c r="AK248" s="482"/>
      <c r="AL248" s="482"/>
    </row>
    <row r="249" spans="1:38" x14ac:dyDescent="0.15">
      <c r="A249" s="12" t="s">
        <v>508</v>
      </c>
      <c r="B249" s="13" t="s">
        <v>2389</v>
      </c>
      <c r="C249" s="13" t="s">
        <v>2995</v>
      </c>
      <c r="D249" s="13" t="s">
        <v>54</v>
      </c>
      <c r="E249" s="12" t="s">
        <v>112</v>
      </c>
      <c r="F249" s="14">
        <v>0</v>
      </c>
      <c r="G249" s="14">
        <v>0</v>
      </c>
      <c r="H249" s="14">
        <v>0</v>
      </c>
      <c r="I249" s="14">
        <v>0</v>
      </c>
      <c r="J249" s="14">
        <v>0</v>
      </c>
      <c r="K249" s="14">
        <v>0</v>
      </c>
      <c r="L249" s="14">
        <v>0</v>
      </c>
      <c r="M249" s="14">
        <v>0</v>
      </c>
      <c r="N249" s="14"/>
      <c r="O249" s="14"/>
      <c r="P249" s="15"/>
      <c r="Q249" s="16" t="s">
        <v>2994</v>
      </c>
      <c r="R249" s="16" t="s">
        <v>2994</v>
      </c>
      <c r="S249" s="16" t="s">
        <v>2994</v>
      </c>
      <c r="T249" s="16">
        <v>152419.88</v>
      </c>
      <c r="U249" s="16">
        <v>1564462.22</v>
      </c>
      <c r="V249" s="16">
        <v>4546.8100000000004</v>
      </c>
      <c r="W249" s="16" t="s">
        <v>2994</v>
      </c>
      <c r="X249" s="16" t="s">
        <v>2994</v>
      </c>
      <c r="Y249" s="3">
        <f t="shared" si="18"/>
        <v>1721428.9100000001</v>
      </c>
      <c r="Z249" s="96">
        <f t="array" ref="Z249">SUM(ABS(F249:P249))</f>
        <v>0</v>
      </c>
      <c r="AB249" s="3"/>
      <c r="AC249" s="3"/>
      <c r="AD249" s="95"/>
      <c r="AE249" s="95"/>
      <c r="AF249" s="95"/>
      <c r="AG249" s="95"/>
      <c r="AH249" s="482"/>
      <c r="AI249" s="482"/>
      <c r="AJ249" s="482"/>
      <c r="AK249" s="482"/>
      <c r="AL249" s="482"/>
    </row>
    <row r="250" spans="1:38" x14ac:dyDescent="0.15">
      <c r="A250" s="12" t="s">
        <v>510</v>
      </c>
      <c r="B250" s="13" t="s">
        <v>511</v>
      </c>
      <c r="C250" s="13" t="s">
        <v>27</v>
      </c>
      <c r="D250" s="13" t="s">
        <v>40</v>
      </c>
      <c r="E250" s="12" t="s">
        <v>112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0</v>
      </c>
      <c r="M250" s="14">
        <v>0</v>
      </c>
      <c r="N250" s="14"/>
      <c r="O250" s="14"/>
      <c r="P250" s="15"/>
      <c r="Q250" s="16" t="s">
        <v>2994</v>
      </c>
      <c r="R250" s="16" t="s">
        <v>2994</v>
      </c>
      <c r="S250" s="16">
        <v>32951</v>
      </c>
      <c r="T250" s="16">
        <v>80807.360000000001</v>
      </c>
      <c r="U250" s="16">
        <v>544329.03</v>
      </c>
      <c r="V250" s="16">
        <v>509090.85</v>
      </c>
      <c r="W250" s="16" t="s">
        <v>2994</v>
      </c>
      <c r="X250" s="16" t="s">
        <v>2994</v>
      </c>
      <c r="Y250" s="3">
        <f t="shared" si="18"/>
        <v>1167178.24</v>
      </c>
      <c r="Z250" s="96">
        <f t="array" ref="Z250">SUM(ABS(F250:P250))</f>
        <v>0</v>
      </c>
      <c r="AB250" s="3"/>
      <c r="AC250" s="3"/>
      <c r="AD250" s="95"/>
      <c r="AE250" s="95"/>
      <c r="AF250" s="95"/>
      <c r="AG250" s="95"/>
      <c r="AH250" s="482"/>
      <c r="AI250" s="482"/>
      <c r="AJ250" s="482"/>
      <c r="AK250" s="482"/>
      <c r="AL250" s="482"/>
    </row>
    <row r="251" spans="1:38" x14ac:dyDescent="0.15">
      <c r="A251" s="12" t="s">
        <v>512</v>
      </c>
      <c r="B251" s="13" t="s">
        <v>513</v>
      </c>
      <c r="C251" s="13" t="s">
        <v>27</v>
      </c>
      <c r="D251" s="13" t="s">
        <v>40</v>
      </c>
      <c r="E251" s="12" t="s">
        <v>112</v>
      </c>
      <c r="F251" s="14">
        <v>0</v>
      </c>
      <c r="G251" s="14">
        <v>0</v>
      </c>
      <c r="H251" s="14">
        <v>0</v>
      </c>
      <c r="I251" s="14">
        <v>0</v>
      </c>
      <c r="J251" s="14">
        <v>0</v>
      </c>
      <c r="K251" s="14">
        <v>0</v>
      </c>
      <c r="L251" s="14">
        <v>0</v>
      </c>
      <c r="M251" s="14">
        <v>0</v>
      </c>
      <c r="N251" s="14"/>
      <c r="O251" s="14"/>
      <c r="P251" s="15"/>
      <c r="Q251" s="16" t="s">
        <v>2994</v>
      </c>
      <c r="R251" s="16">
        <v>72656.08</v>
      </c>
      <c r="S251" s="16">
        <v>513967.7</v>
      </c>
      <c r="T251" s="16">
        <v>4556348.0599999996</v>
      </c>
      <c r="U251" s="16">
        <v>4696914.28</v>
      </c>
      <c r="V251" s="16">
        <v>311246.95</v>
      </c>
      <c r="W251" s="16" t="s">
        <v>2994</v>
      </c>
      <c r="X251" s="16" t="s">
        <v>2994</v>
      </c>
      <c r="Y251" s="3">
        <f t="shared" si="18"/>
        <v>10151133.07</v>
      </c>
      <c r="Z251" s="96">
        <f t="array" ref="Z251">SUM(ABS(F251:P251))</f>
        <v>0</v>
      </c>
      <c r="AB251" s="3"/>
      <c r="AC251" s="3"/>
      <c r="AD251" s="95"/>
      <c r="AE251" s="95"/>
      <c r="AF251" s="95"/>
      <c r="AG251" s="95"/>
      <c r="AH251" s="482"/>
      <c r="AI251" s="482"/>
      <c r="AJ251" s="482"/>
      <c r="AK251" s="482"/>
      <c r="AL251" s="482"/>
    </row>
    <row r="252" spans="1:38" x14ac:dyDescent="0.15">
      <c r="A252" s="12" t="s">
        <v>514</v>
      </c>
      <c r="B252" s="13" t="s">
        <v>515</v>
      </c>
      <c r="C252" s="13" t="s">
        <v>27</v>
      </c>
      <c r="D252" s="13" t="s">
        <v>40</v>
      </c>
      <c r="E252" s="12" t="s">
        <v>112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0</v>
      </c>
      <c r="M252" s="14">
        <v>0</v>
      </c>
      <c r="N252" s="14"/>
      <c r="O252" s="14"/>
      <c r="P252" s="15"/>
      <c r="Q252" s="16" t="s">
        <v>2994</v>
      </c>
      <c r="R252" s="16">
        <v>202149.36</v>
      </c>
      <c r="S252" s="16">
        <v>253386.25</v>
      </c>
      <c r="T252" s="16">
        <v>3688433.51</v>
      </c>
      <c r="U252" s="16">
        <v>3314753.59</v>
      </c>
      <c r="V252" s="16" t="s">
        <v>2994</v>
      </c>
      <c r="W252" s="16" t="s">
        <v>2994</v>
      </c>
      <c r="X252" s="16" t="s">
        <v>2994</v>
      </c>
      <c r="Y252" s="3">
        <f t="shared" si="18"/>
        <v>7458722.709999999</v>
      </c>
      <c r="Z252" s="96">
        <f t="array" ref="Z252">SUM(ABS(F252:P252))</f>
        <v>0</v>
      </c>
      <c r="AB252" s="3"/>
      <c r="AC252" s="3"/>
      <c r="AD252" s="95"/>
      <c r="AE252" s="95"/>
      <c r="AF252" s="95"/>
      <c r="AG252" s="95"/>
      <c r="AH252" s="482"/>
      <c r="AI252" s="482"/>
      <c r="AJ252" s="482"/>
      <c r="AK252" s="482"/>
      <c r="AL252" s="482"/>
    </row>
    <row r="253" spans="1:38" x14ac:dyDescent="0.15">
      <c r="A253" s="12" t="s">
        <v>518</v>
      </c>
      <c r="B253" s="13" t="s">
        <v>2390</v>
      </c>
      <c r="C253" s="13" t="s">
        <v>27</v>
      </c>
      <c r="D253" s="13" t="s">
        <v>40</v>
      </c>
      <c r="E253" s="12" t="s">
        <v>112</v>
      </c>
      <c r="F253" s="14">
        <v>0</v>
      </c>
      <c r="G253" s="14">
        <v>0</v>
      </c>
      <c r="H253" s="14">
        <v>0</v>
      </c>
      <c r="I253" s="14">
        <v>0</v>
      </c>
      <c r="J253" s="14">
        <v>0</v>
      </c>
      <c r="K253" s="14">
        <v>0</v>
      </c>
      <c r="L253" s="14">
        <v>0</v>
      </c>
      <c r="M253" s="14">
        <v>0</v>
      </c>
      <c r="N253" s="14"/>
      <c r="O253" s="14"/>
      <c r="P253" s="15"/>
      <c r="Q253" s="16" t="s">
        <v>2994</v>
      </c>
      <c r="R253" s="16">
        <v>169508.02</v>
      </c>
      <c r="S253" s="16">
        <v>1277907.29</v>
      </c>
      <c r="T253" s="16">
        <v>1678205.36</v>
      </c>
      <c r="U253" s="16" t="s">
        <v>2994</v>
      </c>
      <c r="V253" s="16" t="s">
        <v>2994</v>
      </c>
      <c r="W253" s="16" t="s">
        <v>2994</v>
      </c>
      <c r="X253" s="16" t="s">
        <v>2994</v>
      </c>
      <c r="Y253" s="3">
        <f t="shared" si="18"/>
        <v>3125620.67</v>
      </c>
      <c r="Z253" s="96">
        <f t="array" ref="Z253">SUM(ABS(F253:P253))</f>
        <v>0</v>
      </c>
      <c r="AB253" s="3"/>
      <c r="AC253" s="3"/>
      <c r="AD253" s="95"/>
      <c r="AE253" s="95"/>
      <c r="AF253" s="95"/>
      <c r="AG253" s="95"/>
      <c r="AH253" s="482"/>
      <c r="AI253" s="482"/>
      <c r="AJ253" s="482"/>
      <c r="AK253" s="482"/>
      <c r="AL253" s="482"/>
    </row>
    <row r="254" spans="1:38" x14ac:dyDescent="0.15">
      <c r="A254" s="12" t="s">
        <v>520</v>
      </c>
      <c r="B254" s="13" t="s">
        <v>521</v>
      </c>
      <c r="C254" s="13" t="s">
        <v>27</v>
      </c>
      <c r="D254" s="13" t="s">
        <v>54</v>
      </c>
      <c r="E254" s="12" t="s">
        <v>29</v>
      </c>
      <c r="F254" s="14">
        <v>0</v>
      </c>
      <c r="G254" s="14">
        <v>0</v>
      </c>
      <c r="H254" s="14">
        <v>0</v>
      </c>
      <c r="I254" s="14">
        <v>0</v>
      </c>
      <c r="J254" s="14">
        <v>0</v>
      </c>
      <c r="K254" s="14">
        <v>0</v>
      </c>
      <c r="L254" s="14">
        <v>0</v>
      </c>
      <c r="M254" s="14">
        <v>0</v>
      </c>
      <c r="N254" s="14"/>
      <c r="O254" s="14"/>
      <c r="P254" s="15"/>
      <c r="Q254" s="16">
        <v>131599.79999999999</v>
      </c>
      <c r="R254" s="16">
        <v>817713.97</v>
      </c>
      <c r="S254" s="16">
        <v>51729.31</v>
      </c>
      <c r="T254" s="16" t="s">
        <v>2994</v>
      </c>
      <c r="U254" s="16" t="s">
        <v>2994</v>
      </c>
      <c r="V254" s="16" t="s">
        <v>2994</v>
      </c>
      <c r="W254" s="16" t="s">
        <v>2994</v>
      </c>
      <c r="X254" s="16" t="s">
        <v>2994</v>
      </c>
      <c r="Y254" s="3">
        <f t="shared" si="18"/>
        <v>1001043.0800000001</v>
      </c>
      <c r="Z254" s="96">
        <f t="array" ref="Z254">SUM(ABS(F254:P254))</f>
        <v>0</v>
      </c>
      <c r="AB254" s="3"/>
      <c r="AC254" s="3"/>
      <c r="AD254" s="95"/>
      <c r="AE254" s="95"/>
      <c r="AF254" s="95"/>
      <c r="AG254" s="95"/>
      <c r="AH254" s="482"/>
      <c r="AI254" s="482"/>
      <c r="AJ254" s="482"/>
      <c r="AK254" s="482"/>
      <c r="AL254" s="482"/>
    </row>
    <row r="255" spans="1:38" x14ac:dyDescent="0.15">
      <c r="A255" s="12" t="s">
        <v>523</v>
      </c>
      <c r="B255" s="13" t="s">
        <v>524</v>
      </c>
      <c r="C255" s="13" t="s">
        <v>27</v>
      </c>
      <c r="D255" s="13" t="s">
        <v>55</v>
      </c>
      <c r="E255" s="12" t="s">
        <v>32</v>
      </c>
      <c r="F255" s="14">
        <v>0</v>
      </c>
      <c r="G255" s="14">
        <v>0</v>
      </c>
      <c r="H255" s="14">
        <v>0</v>
      </c>
      <c r="I255" s="14">
        <v>0</v>
      </c>
      <c r="J255" s="14">
        <v>0</v>
      </c>
      <c r="K255" s="14">
        <v>0</v>
      </c>
      <c r="L255" s="14">
        <v>0</v>
      </c>
      <c r="M255" s="14">
        <v>0</v>
      </c>
      <c r="N255" s="14"/>
      <c r="O255" s="14"/>
      <c r="P255" s="15">
        <v>257898.37</v>
      </c>
      <c r="Q255" s="16">
        <v>43383.43</v>
      </c>
      <c r="R255" s="16" t="s">
        <v>2994</v>
      </c>
      <c r="S255" s="16" t="s">
        <v>2994</v>
      </c>
      <c r="T255" s="16" t="s">
        <v>2994</v>
      </c>
      <c r="U255" s="16" t="s">
        <v>2994</v>
      </c>
      <c r="V255" s="16" t="s">
        <v>2994</v>
      </c>
      <c r="W255" s="16" t="s">
        <v>2994</v>
      </c>
      <c r="X255" s="16" t="s">
        <v>2994</v>
      </c>
      <c r="Y255" s="3">
        <f t="shared" si="18"/>
        <v>301281.8</v>
      </c>
      <c r="Z255" s="96">
        <f t="array" ref="Z255">SUM(ABS(F255:P255))</f>
        <v>257898.37</v>
      </c>
      <c r="AB255" s="3"/>
      <c r="AC255" s="3"/>
      <c r="AD255" s="95"/>
      <c r="AE255" s="95"/>
      <c r="AF255" s="95"/>
      <c r="AG255" s="95"/>
      <c r="AH255" s="482"/>
      <c r="AI255" s="482"/>
      <c r="AJ255" s="482"/>
      <c r="AK255" s="482"/>
      <c r="AL255" s="482"/>
    </row>
    <row r="256" spans="1:38" x14ac:dyDescent="0.15">
      <c r="A256" s="12" t="s">
        <v>526</v>
      </c>
      <c r="B256" s="13" t="s">
        <v>527</v>
      </c>
      <c r="C256" s="13" t="s">
        <v>27</v>
      </c>
      <c r="D256" s="13" t="s">
        <v>54</v>
      </c>
      <c r="E256" s="12" t="s">
        <v>112</v>
      </c>
      <c r="F256" s="14">
        <v>0</v>
      </c>
      <c r="G256" s="14">
        <v>0</v>
      </c>
      <c r="H256" s="14">
        <v>0</v>
      </c>
      <c r="I256" s="14">
        <v>0</v>
      </c>
      <c r="J256" s="14">
        <v>0</v>
      </c>
      <c r="K256" s="14">
        <v>0</v>
      </c>
      <c r="L256" s="14">
        <v>0</v>
      </c>
      <c r="M256" s="14">
        <v>0</v>
      </c>
      <c r="N256" s="14"/>
      <c r="O256" s="14"/>
      <c r="P256" s="15"/>
      <c r="Q256" s="16">
        <v>84560.320000000007</v>
      </c>
      <c r="R256" s="16">
        <v>1614799.5</v>
      </c>
      <c r="S256" s="16">
        <v>3215504.06</v>
      </c>
      <c r="T256" s="16" t="s">
        <v>2994</v>
      </c>
      <c r="U256" s="16" t="s">
        <v>2994</v>
      </c>
      <c r="V256" s="16" t="s">
        <v>2994</v>
      </c>
      <c r="W256" s="16" t="s">
        <v>2994</v>
      </c>
      <c r="X256" s="16" t="s">
        <v>2994</v>
      </c>
      <c r="Y256" s="3">
        <f t="shared" si="18"/>
        <v>4914863.88</v>
      </c>
      <c r="Z256" s="96">
        <f t="array" ref="Z256">SUM(ABS(F256:P256))</f>
        <v>0</v>
      </c>
      <c r="AB256" s="3"/>
      <c r="AC256" s="3"/>
      <c r="AD256" s="95"/>
      <c r="AE256" s="95"/>
      <c r="AF256" s="95"/>
      <c r="AG256" s="95"/>
      <c r="AH256" s="482"/>
      <c r="AI256" s="482"/>
      <c r="AJ256" s="482"/>
      <c r="AK256" s="482"/>
      <c r="AL256" s="482"/>
    </row>
    <row r="257" spans="1:38" x14ac:dyDescent="0.15">
      <c r="A257" s="12" t="s">
        <v>528</v>
      </c>
      <c r="B257" s="13" t="s">
        <v>529</v>
      </c>
      <c r="C257" s="13" t="s">
        <v>27</v>
      </c>
      <c r="D257" s="13" t="s">
        <v>36</v>
      </c>
      <c r="E257" s="12" t="s">
        <v>29</v>
      </c>
      <c r="F257" s="14">
        <v>0</v>
      </c>
      <c r="G257" s="14">
        <v>0</v>
      </c>
      <c r="H257" s="14">
        <v>0</v>
      </c>
      <c r="I257" s="14">
        <v>0</v>
      </c>
      <c r="J257" s="14">
        <v>0</v>
      </c>
      <c r="K257" s="14">
        <v>0</v>
      </c>
      <c r="L257" s="14">
        <v>0</v>
      </c>
      <c r="M257" s="14">
        <v>0</v>
      </c>
      <c r="N257" s="14"/>
      <c r="O257" s="14"/>
      <c r="P257" s="15"/>
      <c r="Q257" s="16">
        <v>195267.18</v>
      </c>
      <c r="R257" s="16" t="s">
        <v>2994</v>
      </c>
      <c r="S257" s="16" t="s">
        <v>2994</v>
      </c>
      <c r="T257" s="16" t="s">
        <v>2994</v>
      </c>
      <c r="U257" s="16" t="s">
        <v>2994</v>
      </c>
      <c r="V257" s="16" t="s">
        <v>2994</v>
      </c>
      <c r="W257" s="16" t="s">
        <v>2994</v>
      </c>
      <c r="X257" s="16" t="s">
        <v>2994</v>
      </c>
      <c r="Y257" s="3">
        <f t="shared" si="18"/>
        <v>195267.18</v>
      </c>
      <c r="Z257" s="96">
        <f t="array" ref="Z257">SUM(ABS(F257:P257))</f>
        <v>0</v>
      </c>
      <c r="AB257" s="3"/>
      <c r="AC257" s="3"/>
      <c r="AD257" s="95"/>
      <c r="AE257" s="95"/>
      <c r="AF257" s="95"/>
      <c r="AG257" s="95"/>
      <c r="AH257" s="482"/>
      <c r="AI257" s="482"/>
      <c r="AJ257" s="482"/>
      <c r="AK257" s="482"/>
      <c r="AL257" s="482"/>
    </row>
    <row r="258" spans="1:38" x14ac:dyDescent="0.15">
      <c r="A258" s="12" t="s">
        <v>530</v>
      </c>
      <c r="B258" s="13" t="s">
        <v>531</v>
      </c>
      <c r="C258" s="13" t="s">
        <v>27</v>
      </c>
      <c r="D258" s="13" t="s">
        <v>36</v>
      </c>
      <c r="E258" s="12" t="s">
        <v>29</v>
      </c>
      <c r="F258" s="14">
        <v>0</v>
      </c>
      <c r="G258" s="14">
        <v>0</v>
      </c>
      <c r="H258" s="14">
        <v>0</v>
      </c>
      <c r="I258" s="14">
        <v>0</v>
      </c>
      <c r="J258" s="14">
        <v>0</v>
      </c>
      <c r="K258" s="14">
        <v>0</v>
      </c>
      <c r="L258" s="14">
        <v>0</v>
      </c>
      <c r="M258" s="14">
        <v>0</v>
      </c>
      <c r="N258" s="14"/>
      <c r="O258" s="14"/>
      <c r="P258" s="15"/>
      <c r="Q258" s="16">
        <v>157946.44</v>
      </c>
      <c r="R258" s="16" t="s">
        <v>2994</v>
      </c>
      <c r="S258" s="16" t="s">
        <v>2994</v>
      </c>
      <c r="T258" s="16" t="s">
        <v>2994</v>
      </c>
      <c r="U258" s="16" t="s">
        <v>2994</v>
      </c>
      <c r="V258" s="16" t="s">
        <v>2994</v>
      </c>
      <c r="W258" s="16" t="s">
        <v>2994</v>
      </c>
      <c r="X258" s="16" t="s">
        <v>2994</v>
      </c>
      <c r="Y258" s="3">
        <f t="shared" si="18"/>
        <v>157946.44</v>
      </c>
      <c r="Z258" s="96">
        <f t="array" ref="Z258">SUM(ABS(F258:P258))</f>
        <v>0</v>
      </c>
      <c r="AB258" s="3"/>
      <c r="AC258" s="3"/>
      <c r="AD258" s="95"/>
      <c r="AE258" s="95"/>
      <c r="AF258" s="95"/>
      <c r="AG258" s="95"/>
      <c r="AH258" s="482"/>
      <c r="AI258" s="482"/>
      <c r="AJ258" s="482"/>
      <c r="AK258" s="482"/>
      <c r="AL258" s="482"/>
    </row>
    <row r="259" spans="1:38" x14ac:dyDescent="0.15">
      <c r="A259" s="12" t="s">
        <v>532</v>
      </c>
      <c r="B259" s="13" t="s">
        <v>2391</v>
      </c>
      <c r="C259" s="13" t="s">
        <v>27</v>
      </c>
      <c r="D259" s="13" t="s">
        <v>36</v>
      </c>
      <c r="E259" s="12" t="s">
        <v>32</v>
      </c>
      <c r="F259" s="14">
        <v>0</v>
      </c>
      <c r="G259" s="14">
        <v>0</v>
      </c>
      <c r="H259" s="14">
        <v>0</v>
      </c>
      <c r="I259" s="14">
        <v>0</v>
      </c>
      <c r="J259" s="14">
        <v>0</v>
      </c>
      <c r="K259" s="14">
        <v>0</v>
      </c>
      <c r="L259" s="14">
        <v>0</v>
      </c>
      <c r="M259" s="14">
        <v>0</v>
      </c>
      <c r="N259" s="14"/>
      <c r="O259" s="14"/>
      <c r="P259" s="15">
        <v>111682.87</v>
      </c>
      <c r="Q259" s="16">
        <v>29039.79</v>
      </c>
      <c r="R259" s="16" t="s">
        <v>2994</v>
      </c>
      <c r="S259" s="16" t="s">
        <v>2994</v>
      </c>
      <c r="T259" s="16" t="s">
        <v>2994</v>
      </c>
      <c r="U259" s="16" t="s">
        <v>2994</v>
      </c>
      <c r="V259" s="16" t="s">
        <v>2994</v>
      </c>
      <c r="W259" s="16" t="s">
        <v>2994</v>
      </c>
      <c r="X259" s="16" t="s">
        <v>2994</v>
      </c>
      <c r="Y259" s="3">
        <f t="shared" ref="Y259:Y311" si="19">SUM(F259:X259)</f>
        <v>140722.66</v>
      </c>
      <c r="Z259" s="96">
        <f t="array" ref="Z259">SUM(ABS(F259:P259))</f>
        <v>111682.87</v>
      </c>
      <c r="AB259" s="3"/>
      <c r="AC259" s="3"/>
      <c r="AD259" s="95"/>
      <c r="AE259" s="95"/>
      <c r="AF259" s="95"/>
      <c r="AG259" s="95"/>
      <c r="AH259" s="482"/>
      <c r="AI259" s="482"/>
      <c r="AJ259" s="482"/>
      <c r="AK259" s="482"/>
      <c r="AL259" s="482"/>
    </row>
    <row r="260" spans="1:38" x14ac:dyDescent="0.15">
      <c r="A260" s="12" t="s">
        <v>534</v>
      </c>
      <c r="B260" s="13" t="s">
        <v>535</v>
      </c>
      <c r="C260" s="13" t="s">
        <v>27</v>
      </c>
      <c r="D260" s="13" t="s">
        <v>36</v>
      </c>
      <c r="E260" s="12" t="s">
        <v>112</v>
      </c>
      <c r="F260" s="14">
        <v>0</v>
      </c>
      <c r="G260" s="14">
        <v>0</v>
      </c>
      <c r="H260" s="14">
        <v>0</v>
      </c>
      <c r="I260" s="14">
        <v>0</v>
      </c>
      <c r="J260" s="14">
        <v>0</v>
      </c>
      <c r="K260" s="14">
        <v>0</v>
      </c>
      <c r="L260" s="14">
        <v>0</v>
      </c>
      <c r="M260" s="14">
        <v>0</v>
      </c>
      <c r="N260" s="14"/>
      <c r="O260" s="14"/>
      <c r="P260" s="15"/>
      <c r="Q260" s="16" t="s">
        <v>2994</v>
      </c>
      <c r="R260" s="16" t="s">
        <v>2994</v>
      </c>
      <c r="S260" s="16">
        <v>349198.91</v>
      </c>
      <c r="T260" s="16">
        <v>209080.93</v>
      </c>
      <c r="U260" s="16" t="s">
        <v>2994</v>
      </c>
      <c r="V260" s="16" t="s">
        <v>2994</v>
      </c>
      <c r="W260" s="16" t="s">
        <v>2994</v>
      </c>
      <c r="X260" s="16" t="s">
        <v>2994</v>
      </c>
      <c r="Y260" s="3">
        <f t="shared" si="19"/>
        <v>558279.84</v>
      </c>
      <c r="Z260" s="96">
        <f t="array" ref="Z260">SUM(ABS(F260:P260))</f>
        <v>0</v>
      </c>
      <c r="AB260" s="3"/>
      <c r="AC260" s="3"/>
      <c r="AD260" s="95"/>
      <c r="AE260" s="95"/>
      <c r="AF260" s="95"/>
      <c r="AG260" s="95"/>
      <c r="AH260" s="482"/>
      <c r="AI260" s="482"/>
      <c r="AJ260" s="482"/>
      <c r="AK260" s="482"/>
      <c r="AL260" s="482"/>
    </row>
    <row r="261" spans="1:38" x14ac:dyDescent="0.15">
      <c r="A261" s="12" t="s">
        <v>536</v>
      </c>
      <c r="B261" s="13" t="s">
        <v>537</v>
      </c>
      <c r="C261" s="13" t="s">
        <v>27</v>
      </c>
      <c r="D261" s="13" t="s">
        <v>36</v>
      </c>
      <c r="E261" s="12" t="s">
        <v>112</v>
      </c>
      <c r="F261" s="14">
        <v>0</v>
      </c>
      <c r="G261" s="14">
        <v>0</v>
      </c>
      <c r="H261" s="14">
        <v>0</v>
      </c>
      <c r="I261" s="14">
        <v>0</v>
      </c>
      <c r="J261" s="14">
        <v>0</v>
      </c>
      <c r="K261" s="14">
        <v>0</v>
      </c>
      <c r="L261" s="14">
        <v>0</v>
      </c>
      <c r="M261" s="14">
        <v>0</v>
      </c>
      <c r="N261" s="14"/>
      <c r="O261" s="14"/>
      <c r="P261" s="15"/>
      <c r="Q261" s="16" t="s">
        <v>2994</v>
      </c>
      <c r="R261" s="16" t="s">
        <v>2994</v>
      </c>
      <c r="S261" s="16" t="s">
        <v>2994</v>
      </c>
      <c r="T261" s="16">
        <v>441089.5</v>
      </c>
      <c r="U261" s="16">
        <v>130355.43</v>
      </c>
      <c r="V261" s="16" t="s">
        <v>2994</v>
      </c>
      <c r="W261" s="16" t="s">
        <v>2994</v>
      </c>
      <c r="X261" s="16" t="s">
        <v>2994</v>
      </c>
      <c r="Y261" s="3">
        <f t="shared" si="19"/>
        <v>571444.92999999993</v>
      </c>
      <c r="Z261" s="96">
        <f t="array" ref="Z261">SUM(ABS(F261:P261))</f>
        <v>0</v>
      </c>
      <c r="AB261" s="3"/>
      <c r="AC261" s="3"/>
      <c r="AD261" s="95"/>
      <c r="AE261" s="95"/>
      <c r="AF261" s="95"/>
      <c r="AG261" s="95"/>
      <c r="AH261" s="482"/>
      <c r="AI261" s="482"/>
      <c r="AJ261" s="482"/>
      <c r="AK261" s="482"/>
      <c r="AL261" s="482"/>
    </row>
    <row r="262" spans="1:38" x14ac:dyDescent="0.15">
      <c r="A262" s="12" t="s">
        <v>538</v>
      </c>
      <c r="B262" s="13" t="s">
        <v>539</v>
      </c>
      <c r="C262" s="13" t="s">
        <v>27</v>
      </c>
      <c r="D262" s="13" t="s">
        <v>36</v>
      </c>
      <c r="E262" s="12" t="s">
        <v>112</v>
      </c>
      <c r="F262" s="14">
        <v>0</v>
      </c>
      <c r="G262" s="14">
        <v>0</v>
      </c>
      <c r="H262" s="14">
        <v>0</v>
      </c>
      <c r="I262" s="14">
        <v>0</v>
      </c>
      <c r="J262" s="14">
        <v>0</v>
      </c>
      <c r="K262" s="14">
        <v>0</v>
      </c>
      <c r="L262" s="14">
        <v>0</v>
      </c>
      <c r="M262" s="14">
        <v>0</v>
      </c>
      <c r="N262" s="14"/>
      <c r="O262" s="14"/>
      <c r="P262" s="15"/>
      <c r="Q262" s="16" t="s">
        <v>2994</v>
      </c>
      <c r="R262" s="16" t="s">
        <v>2994</v>
      </c>
      <c r="S262" s="16" t="s">
        <v>2994</v>
      </c>
      <c r="T262" s="16" t="s">
        <v>2994</v>
      </c>
      <c r="U262" s="16">
        <v>396665.2</v>
      </c>
      <c r="V262" s="16">
        <v>185190.35</v>
      </c>
      <c r="W262" s="16" t="s">
        <v>2994</v>
      </c>
      <c r="X262" s="16" t="s">
        <v>2994</v>
      </c>
      <c r="Y262" s="3">
        <f t="shared" si="19"/>
        <v>581855.55000000005</v>
      </c>
      <c r="Z262" s="96">
        <f t="array" ref="Z262">SUM(ABS(F262:P262))</f>
        <v>0</v>
      </c>
      <c r="AB262" s="3"/>
      <c r="AC262" s="3"/>
      <c r="AD262" s="95"/>
      <c r="AE262" s="95"/>
      <c r="AF262" s="95"/>
      <c r="AG262" s="95"/>
      <c r="AH262" s="482"/>
      <c r="AI262" s="482"/>
      <c r="AJ262" s="482"/>
      <c r="AK262" s="482"/>
      <c r="AL262" s="482"/>
    </row>
    <row r="263" spans="1:38" x14ac:dyDescent="0.15">
      <c r="A263" s="12" t="s">
        <v>541</v>
      </c>
      <c r="B263" s="13" t="s">
        <v>542</v>
      </c>
      <c r="C263" s="13" t="s">
        <v>27</v>
      </c>
      <c r="D263" s="13" t="s">
        <v>54</v>
      </c>
      <c r="E263" s="12" t="s">
        <v>112</v>
      </c>
      <c r="F263" s="14">
        <v>0</v>
      </c>
      <c r="G263" s="14">
        <v>0</v>
      </c>
      <c r="H263" s="14">
        <v>0</v>
      </c>
      <c r="I263" s="14">
        <v>0</v>
      </c>
      <c r="J263" s="14">
        <v>0</v>
      </c>
      <c r="K263" s="14">
        <v>0</v>
      </c>
      <c r="L263" s="14">
        <v>0</v>
      </c>
      <c r="M263" s="14">
        <v>0</v>
      </c>
      <c r="N263" s="14"/>
      <c r="O263" s="14"/>
      <c r="P263" s="15"/>
      <c r="Q263" s="16" t="s">
        <v>2994</v>
      </c>
      <c r="R263" s="16" t="s">
        <v>2994</v>
      </c>
      <c r="S263" s="16">
        <v>106802.46</v>
      </c>
      <c r="T263" s="16">
        <v>1226969.43</v>
      </c>
      <c r="U263" s="16">
        <v>97897.51</v>
      </c>
      <c r="V263" s="16" t="s">
        <v>2994</v>
      </c>
      <c r="W263" s="16" t="s">
        <v>2994</v>
      </c>
      <c r="X263" s="16" t="s">
        <v>2994</v>
      </c>
      <c r="Y263" s="3">
        <f t="shared" si="19"/>
        <v>1431669.4</v>
      </c>
      <c r="Z263" s="96">
        <f t="array" ref="Z263">SUM(ABS(F263:P263))</f>
        <v>0</v>
      </c>
      <c r="AB263" s="3"/>
      <c r="AC263" s="3"/>
      <c r="AD263" s="95"/>
      <c r="AE263" s="95"/>
      <c r="AF263" s="95"/>
      <c r="AG263" s="95"/>
      <c r="AH263" s="482"/>
      <c r="AI263" s="482"/>
      <c r="AJ263" s="482"/>
      <c r="AK263" s="482"/>
      <c r="AL263" s="482"/>
    </row>
    <row r="264" spans="1:38" x14ac:dyDescent="0.15">
      <c r="A264" s="12" t="s">
        <v>543</v>
      </c>
      <c r="B264" s="13" t="s">
        <v>544</v>
      </c>
      <c r="C264" s="13" t="s">
        <v>27</v>
      </c>
      <c r="D264" s="13" t="s">
        <v>36</v>
      </c>
      <c r="E264" s="12" t="s">
        <v>112</v>
      </c>
      <c r="F264" s="14">
        <v>0</v>
      </c>
      <c r="G264" s="14">
        <v>0</v>
      </c>
      <c r="H264" s="14">
        <v>0</v>
      </c>
      <c r="I264" s="14">
        <v>0</v>
      </c>
      <c r="J264" s="14">
        <v>0</v>
      </c>
      <c r="K264" s="14">
        <v>0</v>
      </c>
      <c r="L264" s="14">
        <v>0</v>
      </c>
      <c r="M264" s="14">
        <v>0</v>
      </c>
      <c r="N264" s="14"/>
      <c r="O264" s="14"/>
      <c r="P264" s="15"/>
      <c r="Q264" s="16" t="s">
        <v>2994</v>
      </c>
      <c r="R264" s="16" t="s">
        <v>2994</v>
      </c>
      <c r="S264" s="16" t="s">
        <v>2994</v>
      </c>
      <c r="T264" s="16" t="s">
        <v>2994</v>
      </c>
      <c r="U264" s="16" t="s">
        <v>2994</v>
      </c>
      <c r="V264" s="16" t="s">
        <v>2994</v>
      </c>
      <c r="W264" s="16">
        <v>133152.53</v>
      </c>
      <c r="X264" s="16">
        <v>73.48</v>
      </c>
      <c r="Y264" s="3">
        <f t="shared" si="19"/>
        <v>133226.01</v>
      </c>
      <c r="Z264" s="96">
        <f t="array" ref="Z264">SUM(ABS(F264:P264))</f>
        <v>0</v>
      </c>
      <c r="AB264" s="3"/>
      <c r="AC264" s="3"/>
      <c r="AD264" s="95"/>
      <c r="AE264" s="95"/>
      <c r="AF264" s="95"/>
      <c r="AG264" s="95"/>
      <c r="AH264" s="482"/>
      <c r="AI264" s="482"/>
      <c r="AJ264" s="482"/>
      <c r="AK264" s="482"/>
      <c r="AL264" s="482"/>
    </row>
    <row r="265" spans="1:38" x14ac:dyDescent="0.15">
      <c r="A265" s="12" t="s">
        <v>545</v>
      </c>
      <c r="B265" s="13" t="s">
        <v>546</v>
      </c>
      <c r="C265" s="13" t="s">
        <v>27</v>
      </c>
      <c r="D265" s="13" t="s">
        <v>40</v>
      </c>
      <c r="E265" s="12" t="s">
        <v>29</v>
      </c>
      <c r="F265" s="14">
        <v>0</v>
      </c>
      <c r="G265" s="14">
        <v>0</v>
      </c>
      <c r="H265" s="14">
        <v>0</v>
      </c>
      <c r="I265" s="14">
        <v>0</v>
      </c>
      <c r="J265" s="14">
        <v>0</v>
      </c>
      <c r="K265" s="14">
        <v>0</v>
      </c>
      <c r="L265" s="14">
        <v>0</v>
      </c>
      <c r="M265" s="14">
        <v>0</v>
      </c>
      <c r="N265" s="14"/>
      <c r="O265" s="14"/>
      <c r="P265" s="15"/>
      <c r="Q265" s="16">
        <v>175406.43</v>
      </c>
      <c r="R265" s="16">
        <v>656953.04</v>
      </c>
      <c r="S265" s="16">
        <v>50427.38</v>
      </c>
      <c r="T265" s="16" t="s">
        <v>2994</v>
      </c>
      <c r="U265" s="16" t="s">
        <v>2994</v>
      </c>
      <c r="V265" s="16" t="s">
        <v>2994</v>
      </c>
      <c r="W265" s="16" t="s">
        <v>2994</v>
      </c>
      <c r="X265" s="16" t="s">
        <v>2994</v>
      </c>
      <c r="Y265" s="3">
        <f t="shared" si="19"/>
        <v>882786.85</v>
      </c>
      <c r="Z265" s="96">
        <f t="array" ref="Z265">SUM(ABS(F265:P265))</f>
        <v>0</v>
      </c>
      <c r="AB265" s="3"/>
      <c r="AC265" s="3"/>
      <c r="AD265" s="95"/>
      <c r="AE265" s="95"/>
      <c r="AF265" s="95"/>
      <c r="AG265" s="95"/>
      <c r="AH265" s="482"/>
      <c r="AI265" s="482"/>
      <c r="AJ265" s="482"/>
      <c r="AK265" s="482"/>
      <c r="AL265" s="482"/>
    </row>
    <row r="266" spans="1:38" x14ac:dyDescent="0.15">
      <c r="A266" s="12" t="s">
        <v>547</v>
      </c>
      <c r="B266" s="13" t="s">
        <v>548</v>
      </c>
      <c r="C266" s="13" t="s">
        <v>27</v>
      </c>
      <c r="D266" s="13" t="s">
        <v>40</v>
      </c>
      <c r="E266" s="12" t="s">
        <v>112</v>
      </c>
      <c r="F266" s="14">
        <v>0</v>
      </c>
      <c r="G266" s="14">
        <v>0</v>
      </c>
      <c r="H266" s="14">
        <v>0</v>
      </c>
      <c r="I266" s="14">
        <v>0</v>
      </c>
      <c r="J266" s="14">
        <v>0</v>
      </c>
      <c r="K266" s="14">
        <v>0</v>
      </c>
      <c r="L266" s="14">
        <v>0</v>
      </c>
      <c r="M266" s="14">
        <v>0</v>
      </c>
      <c r="N266" s="14"/>
      <c r="O266" s="14"/>
      <c r="P266" s="15"/>
      <c r="Q266" s="16" t="s">
        <v>2994</v>
      </c>
      <c r="R266" s="16" t="s">
        <v>2994</v>
      </c>
      <c r="S266" s="16">
        <v>48285.34</v>
      </c>
      <c r="T266" s="16">
        <v>116614.61</v>
      </c>
      <c r="U266" s="16">
        <v>338799.63</v>
      </c>
      <c r="V266" s="16">
        <v>867724.99</v>
      </c>
      <c r="W266" s="16">
        <v>611525.5</v>
      </c>
      <c r="X266" s="16" t="s">
        <v>2994</v>
      </c>
      <c r="Y266" s="3">
        <f t="shared" si="19"/>
        <v>1982950.07</v>
      </c>
      <c r="Z266" s="96">
        <f t="array" ref="Z266">SUM(ABS(F266:P266))</f>
        <v>0</v>
      </c>
      <c r="AB266" s="3"/>
      <c r="AC266" s="3"/>
      <c r="AD266" s="95"/>
      <c r="AE266" s="95"/>
      <c r="AF266" s="95"/>
      <c r="AG266" s="95"/>
      <c r="AH266" s="482"/>
      <c r="AI266" s="482"/>
      <c r="AJ266" s="482"/>
      <c r="AK266" s="482"/>
      <c r="AL266" s="482"/>
    </row>
    <row r="267" spans="1:38" x14ac:dyDescent="0.15">
      <c r="A267" s="12" t="s">
        <v>549</v>
      </c>
      <c r="B267" s="13" t="s">
        <v>224</v>
      </c>
      <c r="C267" s="13" t="s">
        <v>27</v>
      </c>
      <c r="D267" s="13" t="s">
        <v>40</v>
      </c>
      <c r="E267" s="12" t="s">
        <v>112</v>
      </c>
      <c r="F267" s="14">
        <v>0</v>
      </c>
      <c r="G267" s="14">
        <v>0</v>
      </c>
      <c r="H267" s="14">
        <v>0</v>
      </c>
      <c r="I267" s="14">
        <v>0</v>
      </c>
      <c r="J267" s="14">
        <v>0</v>
      </c>
      <c r="K267" s="14">
        <v>0</v>
      </c>
      <c r="L267" s="14">
        <v>0</v>
      </c>
      <c r="M267" s="14">
        <v>0</v>
      </c>
      <c r="N267" s="14"/>
      <c r="O267" s="14"/>
      <c r="P267" s="15"/>
      <c r="Q267" s="16" t="s">
        <v>2994</v>
      </c>
      <c r="R267" s="16" t="s">
        <v>2994</v>
      </c>
      <c r="S267" s="16">
        <v>303240.56</v>
      </c>
      <c r="T267" s="16">
        <v>1683258.7</v>
      </c>
      <c r="U267" s="16">
        <v>1632110.54</v>
      </c>
      <c r="V267" s="16" t="s">
        <v>2994</v>
      </c>
      <c r="W267" s="16" t="s">
        <v>2994</v>
      </c>
      <c r="X267" s="16" t="s">
        <v>2994</v>
      </c>
      <c r="Y267" s="3">
        <f t="shared" si="19"/>
        <v>3618609.8</v>
      </c>
      <c r="Z267" s="96">
        <f t="array" ref="Z267">SUM(ABS(F267:P267))</f>
        <v>0</v>
      </c>
      <c r="AB267" s="3"/>
      <c r="AC267" s="3"/>
      <c r="AD267" s="95"/>
      <c r="AE267" s="95"/>
      <c r="AF267" s="95"/>
      <c r="AG267" s="95"/>
      <c r="AH267" s="482"/>
      <c r="AI267" s="482"/>
      <c r="AJ267" s="482"/>
      <c r="AK267" s="482"/>
      <c r="AL267" s="482"/>
    </row>
    <row r="268" spans="1:38" x14ac:dyDescent="0.15">
      <c r="A268" s="12" t="s">
        <v>550</v>
      </c>
      <c r="B268" s="13" t="s">
        <v>551</v>
      </c>
      <c r="C268" s="13" t="s">
        <v>27</v>
      </c>
      <c r="D268" s="13" t="s">
        <v>54</v>
      </c>
      <c r="E268" s="12" t="s">
        <v>112</v>
      </c>
      <c r="F268" s="14">
        <v>0</v>
      </c>
      <c r="G268" s="14">
        <v>0</v>
      </c>
      <c r="H268" s="14">
        <v>0</v>
      </c>
      <c r="I268" s="14">
        <v>0</v>
      </c>
      <c r="J268" s="14">
        <v>0</v>
      </c>
      <c r="K268" s="14">
        <v>0</v>
      </c>
      <c r="L268" s="14">
        <v>0</v>
      </c>
      <c r="M268" s="14">
        <v>0</v>
      </c>
      <c r="N268" s="14"/>
      <c r="O268" s="14"/>
      <c r="P268" s="15"/>
      <c r="Q268" s="16" t="s">
        <v>2994</v>
      </c>
      <c r="R268" s="16">
        <v>277152.8</v>
      </c>
      <c r="S268" s="16">
        <v>2809952.56</v>
      </c>
      <c r="T268" s="16">
        <v>4018680.46</v>
      </c>
      <c r="U268" s="16" t="s">
        <v>2994</v>
      </c>
      <c r="V268" s="16" t="s">
        <v>2994</v>
      </c>
      <c r="W268" s="16" t="s">
        <v>2994</v>
      </c>
      <c r="X268" s="16" t="s">
        <v>2994</v>
      </c>
      <c r="Y268" s="3">
        <f t="shared" si="19"/>
        <v>7105785.8200000003</v>
      </c>
      <c r="Z268" s="96">
        <f t="array" ref="Z268">SUM(ABS(F268:P268))</f>
        <v>0</v>
      </c>
      <c r="AB268" s="3"/>
      <c r="AC268" s="3"/>
      <c r="AD268" s="95"/>
      <c r="AE268" s="95"/>
      <c r="AF268" s="95"/>
      <c r="AG268" s="95"/>
      <c r="AH268" s="482"/>
      <c r="AI268" s="482"/>
      <c r="AJ268" s="482"/>
      <c r="AK268" s="482"/>
      <c r="AL268" s="482"/>
    </row>
    <row r="269" spans="1:38" x14ac:dyDescent="0.15">
      <c r="A269" s="12" t="s">
        <v>554</v>
      </c>
      <c r="B269" s="13" t="s">
        <v>555</v>
      </c>
      <c r="C269" s="13" t="s">
        <v>27</v>
      </c>
      <c r="D269" s="13" t="s">
        <v>54</v>
      </c>
      <c r="E269" s="12" t="s">
        <v>112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/>
      <c r="O269" s="14"/>
      <c r="P269" s="15"/>
      <c r="Q269" s="16" t="s">
        <v>2994</v>
      </c>
      <c r="R269" s="16" t="s">
        <v>2994</v>
      </c>
      <c r="S269" s="16" t="s">
        <v>2994</v>
      </c>
      <c r="T269" s="16" t="s">
        <v>2994</v>
      </c>
      <c r="U269" s="16">
        <v>42939.83</v>
      </c>
      <c r="V269" s="16">
        <v>138636.95000000001</v>
      </c>
      <c r="W269" s="16">
        <v>747202.11</v>
      </c>
      <c r="X269" s="16" t="s">
        <v>2994</v>
      </c>
      <c r="Y269" s="3">
        <f t="shared" si="19"/>
        <v>928778.89</v>
      </c>
      <c r="Z269" s="96">
        <f t="array" ref="Z269">SUM(ABS(F269:P269))</f>
        <v>0</v>
      </c>
      <c r="AB269" s="3"/>
      <c r="AC269" s="3"/>
      <c r="AD269" s="95"/>
      <c r="AE269" s="95"/>
      <c r="AF269" s="95"/>
      <c r="AG269" s="95"/>
      <c r="AH269" s="482"/>
      <c r="AI269" s="482"/>
      <c r="AJ269" s="482"/>
      <c r="AK269" s="482"/>
      <c r="AL269" s="482"/>
    </row>
    <row r="270" spans="1:38" x14ac:dyDescent="0.15">
      <c r="A270" s="12" t="s">
        <v>556</v>
      </c>
      <c r="B270" s="13" t="s">
        <v>557</v>
      </c>
      <c r="C270" s="13" t="s">
        <v>27</v>
      </c>
      <c r="D270" s="13" t="s">
        <v>40</v>
      </c>
      <c r="E270" s="12" t="s">
        <v>112</v>
      </c>
      <c r="F270" s="14">
        <v>0</v>
      </c>
      <c r="G270" s="14">
        <v>0</v>
      </c>
      <c r="H270" s="14">
        <v>0</v>
      </c>
      <c r="I270" s="14">
        <v>0</v>
      </c>
      <c r="J270" s="14">
        <v>0</v>
      </c>
      <c r="K270" s="14">
        <v>0</v>
      </c>
      <c r="L270" s="14">
        <v>0</v>
      </c>
      <c r="M270" s="14">
        <v>0</v>
      </c>
      <c r="N270" s="14"/>
      <c r="O270" s="14"/>
      <c r="P270" s="15"/>
      <c r="Q270" s="16" t="s">
        <v>2994</v>
      </c>
      <c r="R270" s="16" t="s">
        <v>2994</v>
      </c>
      <c r="S270" s="16">
        <v>28884.11</v>
      </c>
      <c r="T270" s="16">
        <v>100700.23</v>
      </c>
      <c r="U270" s="16">
        <v>619717.66</v>
      </c>
      <c r="V270" s="16">
        <v>576630.94999999995</v>
      </c>
      <c r="W270" s="16" t="s">
        <v>2994</v>
      </c>
      <c r="X270" s="16" t="s">
        <v>2994</v>
      </c>
      <c r="Y270" s="3">
        <f t="shared" si="19"/>
        <v>1325932.95</v>
      </c>
      <c r="Z270" s="96">
        <f t="array" ref="Z270">SUM(ABS(F270:P270))</f>
        <v>0</v>
      </c>
      <c r="AB270" s="3"/>
      <c r="AC270" s="3"/>
      <c r="AD270" s="95"/>
      <c r="AE270" s="95"/>
      <c r="AF270" s="95"/>
      <c r="AG270" s="95"/>
      <c r="AH270" s="482"/>
      <c r="AI270" s="482"/>
      <c r="AJ270" s="482"/>
      <c r="AK270" s="482"/>
      <c r="AL270" s="482"/>
    </row>
    <row r="271" spans="1:38" x14ac:dyDescent="0.15">
      <c r="A271" s="12" t="s">
        <v>558</v>
      </c>
      <c r="B271" s="13" t="s">
        <v>559</v>
      </c>
      <c r="C271" s="13" t="s">
        <v>27</v>
      </c>
      <c r="D271" s="13" t="s">
        <v>41</v>
      </c>
      <c r="E271" s="12" t="s">
        <v>112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/>
      <c r="O271" s="14"/>
      <c r="P271" s="15"/>
      <c r="Q271" s="16" t="s">
        <v>2994</v>
      </c>
      <c r="R271" s="16">
        <v>311048.09000000003</v>
      </c>
      <c r="S271" s="16">
        <v>831071.34</v>
      </c>
      <c r="T271" s="16">
        <v>2291403.5499999998</v>
      </c>
      <c r="U271" s="16">
        <v>2313405.52</v>
      </c>
      <c r="V271" s="16">
        <v>2373851.1800000002</v>
      </c>
      <c r="W271" s="16">
        <v>1560592.83</v>
      </c>
      <c r="X271" s="16" t="s">
        <v>2994</v>
      </c>
      <c r="Y271" s="3">
        <f t="shared" si="19"/>
        <v>9681372.5099999998</v>
      </c>
      <c r="Z271" s="96">
        <f t="array" ref="Z271">SUM(ABS(F271:P271))</f>
        <v>0</v>
      </c>
      <c r="AB271" s="3"/>
      <c r="AC271" s="3"/>
      <c r="AD271" s="95"/>
      <c r="AE271" s="95"/>
      <c r="AF271" s="95"/>
      <c r="AG271" s="95"/>
      <c r="AH271" s="482"/>
      <c r="AI271" s="482"/>
      <c r="AJ271" s="482"/>
      <c r="AK271" s="482"/>
      <c r="AL271" s="482"/>
    </row>
    <row r="272" spans="1:38" x14ac:dyDescent="0.15">
      <c r="A272" s="12" t="s">
        <v>560</v>
      </c>
      <c r="B272" s="13" t="s">
        <v>561</v>
      </c>
      <c r="C272" s="13" t="s">
        <v>27</v>
      </c>
      <c r="D272" s="13" t="s">
        <v>40</v>
      </c>
      <c r="E272" s="12" t="s">
        <v>112</v>
      </c>
      <c r="F272" s="14">
        <v>0</v>
      </c>
      <c r="G272" s="14">
        <v>0</v>
      </c>
      <c r="H272" s="14">
        <v>0</v>
      </c>
      <c r="I272" s="14">
        <v>0</v>
      </c>
      <c r="J272" s="14">
        <v>0</v>
      </c>
      <c r="K272" s="14">
        <v>0</v>
      </c>
      <c r="L272" s="14">
        <v>0</v>
      </c>
      <c r="M272" s="14">
        <v>0</v>
      </c>
      <c r="N272" s="14"/>
      <c r="O272" s="14"/>
      <c r="P272" s="15"/>
      <c r="Q272" s="16" t="s">
        <v>2994</v>
      </c>
      <c r="R272" s="16" t="s">
        <v>2994</v>
      </c>
      <c r="S272" s="16">
        <v>42810.2</v>
      </c>
      <c r="T272" s="16">
        <v>130680.51</v>
      </c>
      <c r="U272" s="16">
        <v>1437206.18</v>
      </c>
      <c r="V272" s="16">
        <v>1344083.39</v>
      </c>
      <c r="W272" s="16" t="s">
        <v>2994</v>
      </c>
      <c r="X272" s="16" t="s">
        <v>2994</v>
      </c>
      <c r="Y272" s="3">
        <f t="shared" si="19"/>
        <v>2954780.28</v>
      </c>
      <c r="Z272" s="96">
        <f t="array" ref="Z272">SUM(ABS(F272:P272))</f>
        <v>0</v>
      </c>
      <c r="AB272" s="3"/>
      <c r="AC272" s="3"/>
      <c r="AD272" s="95"/>
      <c r="AE272" s="95"/>
      <c r="AF272" s="95"/>
      <c r="AG272" s="95"/>
      <c r="AH272" s="482"/>
      <c r="AI272" s="482"/>
      <c r="AJ272" s="482"/>
      <c r="AK272" s="482"/>
      <c r="AL272" s="482"/>
    </row>
    <row r="273" spans="1:38" x14ac:dyDescent="0.15">
      <c r="A273" s="12" t="s">
        <v>563</v>
      </c>
      <c r="B273" s="13" t="s">
        <v>564</v>
      </c>
      <c r="C273" s="13" t="s">
        <v>27</v>
      </c>
      <c r="D273" s="13" t="s">
        <v>40</v>
      </c>
      <c r="E273" s="12" t="s">
        <v>112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/>
      <c r="O273" s="14"/>
      <c r="P273" s="15"/>
      <c r="Q273" s="16" t="s">
        <v>2994</v>
      </c>
      <c r="R273" s="16" t="s">
        <v>2994</v>
      </c>
      <c r="S273" s="16">
        <v>32068.83</v>
      </c>
      <c r="T273" s="16">
        <v>111803.51</v>
      </c>
      <c r="U273" s="16">
        <v>688048.99</v>
      </c>
      <c r="V273" s="16">
        <v>639435.06999999995</v>
      </c>
      <c r="W273" s="16" t="s">
        <v>2994</v>
      </c>
      <c r="X273" s="16" t="s">
        <v>2994</v>
      </c>
      <c r="Y273" s="3">
        <f t="shared" si="19"/>
        <v>1471356.4</v>
      </c>
      <c r="Z273" s="96">
        <f t="array" ref="Z273">SUM(ABS(F273:P273))</f>
        <v>0</v>
      </c>
      <c r="AB273" s="3"/>
      <c r="AC273" s="3"/>
      <c r="AD273" s="95"/>
      <c r="AE273" s="95"/>
      <c r="AF273" s="95"/>
      <c r="AG273" s="95"/>
      <c r="AH273" s="482"/>
      <c r="AI273" s="482"/>
      <c r="AJ273" s="482"/>
      <c r="AK273" s="482"/>
      <c r="AL273" s="482"/>
    </row>
    <row r="274" spans="1:38" x14ac:dyDescent="0.15">
      <c r="A274" s="12" t="s">
        <v>565</v>
      </c>
      <c r="B274" s="13" t="s">
        <v>566</v>
      </c>
      <c r="C274" s="13" t="s">
        <v>27</v>
      </c>
      <c r="D274" s="13" t="s">
        <v>40</v>
      </c>
      <c r="E274" s="12" t="s">
        <v>112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0</v>
      </c>
      <c r="M274" s="14">
        <v>0</v>
      </c>
      <c r="N274" s="14"/>
      <c r="O274" s="14"/>
      <c r="P274" s="15"/>
      <c r="Q274" s="16" t="s">
        <v>2994</v>
      </c>
      <c r="R274" s="16">
        <v>234406.99</v>
      </c>
      <c r="S274" s="16">
        <v>928727.28</v>
      </c>
      <c r="T274" s="16">
        <v>2054576.73</v>
      </c>
      <c r="U274" s="16">
        <v>1269562.53</v>
      </c>
      <c r="V274" s="16" t="s">
        <v>2994</v>
      </c>
      <c r="W274" s="16" t="s">
        <v>2994</v>
      </c>
      <c r="X274" s="16" t="s">
        <v>2994</v>
      </c>
      <c r="Y274" s="3">
        <f t="shared" si="19"/>
        <v>4487273.53</v>
      </c>
      <c r="Z274" s="96">
        <f t="array" ref="Z274">SUM(ABS(F274:P274))</f>
        <v>0</v>
      </c>
      <c r="AB274" s="3"/>
      <c r="AC274" s="3"/>
      <c r="AD274" s="95"/>
      <c r="AE274" s="95"/>
      <c r="AF274" s="95"/>
      <c r="AG274" s="95"/>
      <c r="AH274" s="482"/>
      <c r="AI274" s="482"/>
      <c r="AJ274" s="482"/>
      <c r="AK274" s="482"/>
      <c r="AL274" s="482"/>
    </row>
    <row r="275" spans="1:38" x14ac:dyDescent="0.15">
      <c r="A275" s="608" t="s">
        <v>567</v>
      </c>
      <c r="B275" s="609" t="s">
        <v>568</v>
      </c>
      <c r="C275" s="609" t="s">
        <v>27</v>
      </c>
      <c r="D275" s="609" t="s">
        <v>41</v>
      </c>
      <c r="E275" s="608" t="s">
        <v>112</v>
      </c>
      <c r="F275" s="615">
        <v>0</v>
      </c>
      <c r="G275" s="615">
        <v>0</v>
      </c>
      <c r="H275" s="615">
        <v>0</v>
      </c>
      <c r="I275" s="615">
        <v>0</v>
      </c>
      <c r="J275" s="615">
        <v>0</v>
      </c>
      <c r="K275" s="615">
        <v>0</v>
      </c>
      <c r="L275" s="615">
        <v>0</v>
      </c>
      <c r="M275" s="615">
        <v>0</v>
      </c>
      <c r="N275" s="615"/>
      <c r="O275" s="615"/>
      <c r="P275" s="610"/>
      <c r="Q275" s="610" t="s">
        <v>2994</v>
      </c>
      <c r="R275" s="610">
        <v>1001167.49</v>
      </c>
      <c r="S275" s="610">
        <v>2958201.8820031798</v>
      </c>
      <c r="T275" s="610" t="s">
        <v>2994</v>
      </c>
      <c r="U275" s="610" t="s">
        <v>2994</v>
      </c>
      <c r="V275" s="610" t="s">
        <v>2994</v>
      </c>
      <c r="W275" s="610" t="s">
        <v>2994</v>
      </c>
      <c r="X275" s="610" t="s">
        <v>2994</v>
      </c>
      <c r="Y275" s="3">
        <f t="shared" si="19"/>
        <v>3959369.37200318</v>
      </c>
      <c r="Z275" s="96">
        <f t="array" ref="Z275">SUM(ABS(F275:P275))</f>
        <v>0</v>
      </c>
      <c r="AB275" s="3"/>
      <c r="AC275" s="3"/>
      <c r="AD275" s="783">
        <v>0</v>
      </c>
      <c r="AE275" s="783">
        <v>1</v>
      </c>
      <c r="AF275" s="783">
        <v>0.44647053067691372</v>
      </c>
      <c r="AG275" s="783">
        <v>0</v>
      </c>
      <c r="AH275" s="783">
        <v>0</v>
      </c>
      <c r="AI275" s="783">
        <v>0</v>
      </c>
      <c r="AJ275" s="783">
        <v>0</v>
      </c>
      <c r="AK275" s="482"/>
      <c r="AL275" s="482"/>
    </row>
    <row r="276" spans="1:38" x14ac:dyDescent="0.15">
      <c r="A276" s="608" t="s">
        <v>569</v>
      </c>
      <c r="B276" s="609" t="s">
        <v>570</v>
      </c>
      <c r="C276" s="609" t="s">
        <v>27</v>
      </c>
      <c r="D276" s="609" t="s">
        <v>41</v>
      </c>
      <c r="E276" s="608" t="s">
        <v>112</v>
      </c>
      <c r="F276" s="615">
        <v>0</v>
      </c>
      <c r="G276" s="615">
        <v>0</v>
      </c>
      <c r="H276" s="615">
        <v>0</v>
      </c>
      <c r="I276" s="615">
        <v>0</v>
      </c>
      <c r="J276" s="615">
        <v>0</v>
      </c>
      <c r="K276" s="615">
        <v>0</v>
      </c>
      <c r="L276" s="615">
        <v>0</v>
      </c>
      <c r="M276" s="615">
        <v>0</v>
      </c>
      <c r="N276" s="615"/>
      <c r="O276" s="615"/>
      <c r="P276" s="610"/>
      <c r="Q276" s="610" t="s">
        <v>2994</v>
      </c>
      <c r="R276" s="610">
        <v>58552.34</v>
      </c>
      <c r="S276" s="610">
        <v>851471.14</v>
      </c>
      <c r="T276" s="610">
        <v>3019394.9</v>
      </c>
      <c r="U276" s="610">
        <v>5192453.6722222185</v>
      </c>
      <c r="V276" s="610" t="s">
        <v>2994</v>
      </c>
      <c r="W276" s="610" t="s">
        <v>2994</v>
      </c>
      <c r="X276" s="610" t="s">
        <v>2994</v>
      </c>
      <c r="Y276" s="3">
        <f t="shared" si="19"/>
        <v>9121872.0522222184</v>
      </c>
      <c r="Z276" s="96">
        <f t="array" ref="Z276">SUM(ABS(F276:P276))</f>
        <v>0</v>
      </c>
      <c r="AB276" s="3"/>
      <c r="AC276" s="3"/>
      <c r="AD276" s="783">
        <v>0</v>
      </c>
      <c r="AE276" s="783">
        <v>1</v>
      </c>
      <c r="AF276" s="783">
        <v>1</v>
      </c>
      <c r="AG276" s="783">
        <v>1</v>
      </c>
      <c r="AH276" s="783">
        <v>0.92097092642259915</v>
      </c>
      <c r="AI276" s="783">
        <v>0</v>
      </c>
      <c r="AJ276" s="783">
        <v>0</v>
      </c>
      <c r="AK276" s="482"/>
      <c r="AL276" s="482"/>
    </row>
    <row r="277" spans="1:38" x14ac:dyDescent="0.15">
      <c r="A277" s="12" t="s">
        <v>571</v>
      </c>
      <c r="B277" s="13" t="s">
        <v>572</v>
      </c>
      <c r="C277" s="13" t="s">
        <v>27</v>
      </c>
      <c r="D277" s="13" t="s">
        <v>31</v>
      </c>
      <c r="E277" s="12" t="s">
        <v>112</v>
      </c>
      <c r="F277" s="14">
        <v>0</v>
      </c>
      <c r="G277" s="14">
        <v>0</v>
      </c>
      <c r="H277" s="14">
        <v>0</v>
      </c>
      <c r="I277" s="14">
        <v>0</v>
      </c>
      <c r="J277" s="14">
        <v>0</v>
      </c>
      <c r="K277" s="14">
        <v>0</v>
      </c>
      <c r="L277" s="14">
        <v>0</v>
      </c>
      <c r="M277" s="14">
        <v>0</v>
      </c>
      <c r="N277" s="14"/>
      <c r="O277" s="14"/>
      <c r="P277" s="15"/>
      <c r="Q277" s="16" t="s">
        <v>2994</v>
      </c>
      <c r="R277" s="16" t="s">
        <v>2994</v>
      </c>
      <c r="S277" s="16">
        <v>86351.1</v>
      </c>
      <c r="T277" s="16">
        <v>1306946.32</v>
      </c>
      <c r="U277" s="16">
        <v>5321911.9000000004</v>
      </c>
      <c r="V277" s="16">
        <v>6933.98</v>
      </c>
      <c r="W277" s="16" t="s">
        <v>2994</v>
      </c>
      <c r="X277" s="16" t="s">
        <v>2994</v>
      </c>
      <c r="Y277" s="3">
        <f t="shared" si="19"/>
        <v>6722143.3000000007</v>
      </c>
      <c r="Z277" s="96">
        <f t="array" ref="Z277">SUM(ABS(F277:P277))</f>
        <v>0</v>
      </c>
      <c r="AB277" s="3"/>
      <c r="AC277" s="3"/>
      <c r="AD277" s="95"/>
      <c r="AE277" s="95"/>
      <c r="AF277" s="95"/>
      <c r="AG277" s="95"/>
      <c r="AH277" s="482"/>
      <c r="AI277" s="482"/>
      <c r="AJ277" s="482"/>
      <c r="AK277" s="482"/>
      <c r="AL277" s="482"/>
    </row>
    <row r="278" spans="1:38" x14ac:dyDescent="0.15">
      <c r="A278" s="12" t="s">
        <v>573</v>
      </c>
      <c r="B278" s="13" t="s">
        <v>2324</v>
      </c>
      <c r="C278" s="13" t="s">
        <v>27</v>
      </c>
      <c r="D278" s="13" t="s">
        <v>55</v>
      </c>
      <c r="E278" s="12" t="s">
        <v>112</v>
      </c>
      <c r="F278" s="14">
        <v>0</v>
      </c>
      <c r="G278" s="14">
        <v>0</v>
      </c>
      <c r="H278" s="14">
        <v>0</v>
      </c>
      <c r="I278" s="14">
        <v>0</v>
      </c>
      <c r="J278" s="14">
        <v>0</v>
      </c>
      <c r="K278" s="14">
        <v>0</v>
      </c>
      <c r="L278" s="14">
        <v>0</v>
      </c>
      <c r="M278" s="14">
        <v>0</v>
      </c>
      <c r="N278" s="14"/>
      <c r="O278" s="14"/>
      <c r="P278" s="15"/>
      <c r="Q278" s="16" t="s">
        <v>2994</v>
      </c>
      <c r="R278" s="16">
        <v>351761.25</v>
      </c>
      <c r="S278" s="16">
        <v>2423.9699999999998</v>
      </c>
      <c r="T278" s="16" t="s">
        <v>2994</v>
      </c>
      <c r="U278" s="16" t="s">
        <v>2994</v>
      </c>
      <c r="V278" s="16" t="s">
        <v>2994</v>
      </c>
      <c r="W278" s="16" t="s">
        <v>2994</v>
      </c>
      <c r="X278" s="16" t="s">
        <v>2994</v>
      </c>
      <c r="Y278" s="3">
        <f t="shared" si="19"/>
        <v>354185.22</v>
      </c>
      <c r="Z278" s="96">
        <f t="array" ref="Z278">SUM(ABS(F278:P278))</f>
        <v>0</v>
      </c>
      <c r="AB278" s="3"/>
      <c r="AC278" s="3"/>
      <c r="AD278" s="95"/>
      <c r="AE278" s="95"/>
      <c r="AF278" s="95"/>
      <c r="AG278" s="95"/>
      <c r="AH278" s="482"/>
      <c r="AI278" s="482"/>
      <c r="AJ278" s="482"/>
      <c r="AK278" s="482"/>
      <c r="AL278" s="482"/>
    </row>
    <row r="279" spans="1:38" x14ac:dyDescent="0.15">
      <c r="A279" s="12" t="s">
        <v>575</v>
      </c>
      <c r="B279" s="13" t="s">
        <v>576</v>
      </c>
      <c r="C279" s="13" t="s">
        <v>27</v>
      </c>
      <c r="D279" s="13" t="s">
        <v>54</v>
      </c>
      <c r="E279" s="12" t="s">
        <v>29</v>
      </c>
      <c r="F279" s="14">
        <v>0</v>
      </c>
      <c r="G279" s="14">
        <v>0</v>
      </c>
      <c r="H279" s="14">
        <v>0</v>
      </c>
      <c r="I279" s="14">
        <v>0</v>
      </c>
      <c r="J279" s="14">
        <v>0</v>
      </c>
      <c r="K279" s="14">
        <v>0</v>
      </c>
      <c r="L279" s="14">
        <v>0</v>
      </c>
      <c r="M279" s="14">
        <v>0</v>
      </c>
      <c r="N279" s="14"/>
      <c r="O279" s="14"/>
      <c r="P279" s="15">
        <v>162054.01999999999</v>
      </c>
      <c r="Q279" s="16">
        <v>362504.21</v>
      </c>
      <c r="R279" s="16">
        <v>3144674.69</v>
      </c>
      <c r="S279" s="16">
        <v>723854.28</v>
      </c>
      <c r="T279" s="16" t="s">
        <v>2994</v>
      </c>
      <c r="U279" s="16" t="s">
        <v>2994</v>
      </c>
      <c r="V279" s="16" t="s">
        <v>2994</v>
      </c>
      <c r="W279" s="16" t="s">
        <v>2994</v>
      </c>
      <c r="X279" s="16" t="s">
        <v>2994</v>
      </c>
      <c r="Y279" s="3">
        <f t="shared" si="19"/>
        <v>4393087.2</v>
      </c>
      <c r="Z279" s="96">
        <f t="array" ref="Z279">SUM(ABS(F279:P279))</f>
        <v>162054.01999999999</v>
      </c>
      <c r="AB279" s="3"/>
      <c r="AC279" s="3"/>
      <c r="AD279" s="95"/>
      <c r="AE279" s="95"/>
      <c r="AF279" s="95"/>
      <c r="AG279" s="95"/>
      <c r="AH279" s="482"/>
      <c r="AI279" s="482"/>
      <c r="AJ279" s="482"/>
      <c r="AK279" s="482"/>
      <c r="AL279" s="482"/>
    </row>
    <row r="280" spans="1:38" x14ac:dyDescent="0.15">
      <c r="A280" s="12" t="s">
        <v>577</v>
      </c>
      <c r="B280" s="13" t="s">
        <v>578</v>
      </c>
      <c r="C280" s="13" t="s">
        <v>27</v>
      </c>
      <c r="D280" s="13" t="s">
        <v>54</v>
      </c>
      <c r="E280" s="12" t="s">
        <v>29</v>
      </c>
      <c r="F280" s="14">
        <v>0</v>
      </c>
      <c r="G280" s="14">
        <v>0</v>
      </c>
      <c r="H280" s="14">
        <v>0</v>
      </c>
      <c r="I280" s="14">
        <v>0</v>
      </c>
      <c r="J280" s="14">
        <v>0</v>
      </c>
      <c r="K280" s="14">
        <v>0</v>
      </c>
      <c r="L280" s="14">
        <v>0</v>
      </c>
      <c r="M280" s="14">
        <v>0</v>
      </c>
      <c r="N280" s="14"/>
      <c r="O280" s="14"/>
      <c r="P280" s="15">
        <v>51133.84</v>
      </c>
      <c r="Q280" s="16">
        <v>151501.21</v>
      </c>
      <c r="R280" s="16">
        <v>258948.07</v>
      </c>
      <c r="S280" s="16">
        <v>1716056.73</v>
      </c>
      <c r="T280" s="16">
        <v>6413.02</v>
      </c>
      <c r="U280" s="16" t="s">
        <v>2994</v>
      </c>
      <c r="V280" s="16" t="s">
        <v>2994</v>
      </c>
      <c r="W280" s="16" t="s">
        <v>2994</v>
      </c>
      <c r="X280" s="16" t="s">
        <v>2994</v>
      </c>
      <c r="Y280" s="3">
        <f t="shared" si="19"/>
        <v>2184052.87</v>
      </c>
      <c r="Z280" s="96">
        <f t="array" ref="Z280">SUM(ABS(F280:P280))</f>
        <v>51133.84</v>
      </c>
      <c r="AB280" s="3"/>
      <c r="AC280" s="3"/>
      <c r="AD280" s="95"/>
      <c r="AE280" s="95"/>
      <c r="AF280" s="95"/>
      <c r="AG280" s="95"/>
      <c r="AH280" s="482"/>
      <c r="AI280" s="482"/>
      <c r="AJ280" s="482"/>
      <c r="AK280" s="482"/>
      <c r="AL280" s="482"/>
    </row>
    <row r="281" spans="1:38" x14ac:dyDescent="0.15">
      <c r="A281" s="12" t="s">
        <v>579</v>
      </c>
      <c r="B281" s="13" t="s">
        <v>580</v>
      </c>
      <c r="C281" s="13" t="s">
        <v>27</v>
      </c>
      <c r="D281" s="13" t="s">
        <v>40</v>
      </c>
      <c r="E281" s="12" t="s">
        <v>112</v>
      </c>
      <c r="F281" s="14">
        <v>0</v>
      </c>
      <c r="G281" s="14">
        <v>0</v>
      </c>
      <c r="H281" s="14">
        <v>0</v>
      </c>
      <c r="I281" s="14">
        <v>0</v>
      </c>
      <c r="J281" s="14">
        <v>0</v>
      </c>
      <c r="K281" s="14">
        <v>0</v>
      </c>
      <c r="L281" s="14">
        <v>0</v>
      </c>
      <c r="M281" s="14">
        <v>0</v>
      </c>
      <c r="N281" s="14"/>
      <c r="O281" s="14"/>
      <c r="P281" s="15"/>
      <c r="Q281" s="16" t="s">
        <v>2994</v>
      </c>
      <c r="R281" s="16">
        <v>51431.25</v>
      </c>
      <c r="S281" s="16">
        <v>62794.45</v>
      </c>
      <c r="T281" s="16">
        <v>1097374.98</v>
      </c>
      <c r="U281" s="16">
        <v>1034877.16</v>
      </c>
      <c r="V281" s="16" t="s">
        <v>2994</v>
      </c>
      <c r="W281" s="16" t="s">
        <v>2994</v>
      </c>
      <c r="X281" s="16" t="s">
        <v>2994</v>
      </c>
      <c r="Y281" s="3">
        <f t="shared" si="19"/>
        <v>2246477.84</v>
      </c>
      <c r="Z281" s="96">
        <f t="array" ref="Z281">SUM(ABS(F281:P281))</f>
        <v>0</v>
      </c>
      <c r="AB281" s="3"/>
      <c r="AC281" s="3"/>
      <c r="AD281" s="95"/>
      <c r="AE281" s="95"/>
      <c r="AF281" s="95"/>
      <c r="AG281" s="95"/>
      <c r="AH281" s="482"/>
      <c r="AI281" s="482"/>
      <c r="AJ281" s="482"/>
      <c r="AK281" s="482"/>
      <c r="AL281" s="482"/>
    </row>
    <row r="282" spans="1:38" x14ac:dyDescent="0.15">
      <c r="A282" s="12" t="s">
        <v>581</v>
      </c>
      <c r="B282" s="13" t="s">
        <v>582</v>
      </c>
      <c r="C282" s="13" t="s">
        <v>27</v>
      </c>
      <c r="D282" s="13" t="s">
        <v>40</v>
      </c>
      <c r="E282" s="12" t="s">
        <v>112</v>
      </c>
      <c r="F282" s="14">
        <v>0</v>
      </c>
      <c r="G282" s="14">
        <v>0</v>
      </c>
      <c r="H282" s="14">
        <v>0</v>
      </c>
      <c r="I282" s="14">
        <v>0</v>
      </c>
      <c r="J282" s="14">
        <v>0</v>
      </c>
      <c r="K282" s="14">
        <v>0</v>
      </c>
      <c r="L282" s="14">
        <v>0</v>
      </c>
      <c r="M282" s="14">
        <v>0</v>
      </c>
      <c r="N282" s="14"/>
      <c r="O282" s="14"/>
      <c r="P282" s="15"/>
      <c r="Q282" s="16">
        <v>98689.95</v>
      </c>
      <c r="R282" s="16">
        <v>1547592.97</v>
      </c>
      <c r="S282" s="16">
        <v>1600099.95</v>
      </c>
      <c r="T282" s="16">
        <v>1723542.52</v>
      </c>
      <c r="U282" s="16">
        <v>586810.75</v>
      </c>
      <c r="V282" s="16" t="s">
        <v>2994</v>
      </c>
      <c r="W282" s="16" t="s">
        <v>2994</v>
      </c>
      <c r="X282" s="16" t="s">
        <v>2994</v>
      </c>
      <c r="Y282" s="3">
        <f t="shared" si="19"/>
        <v>5556736.1400000006</v>
      </c>
      <c r="Z282" s="96">
        <f t="array" ref="Z282">SUM(ABS(F282:P282))</f>
        <v>0</v>
      </c>
      <c r="AB282" s="3"/>
      <c r="AC282" s="3"/>
      <c r="AD282" s="95"/>
      <c r="AE282" s="95"/>
      <c r="AF282" s="95"/>
      <c r="AG282" s="95"/>
      <c r="AH282" s="482"/>
      <c r="AI282" s="482"/>
      <c r="AJ282" s="482"/>
      <c r="AK282" s="482"/>
      <c r="AL282" s="482"/>
    </row>
    <row r="283" spans="1:38" x14ac:dyDescent="0.15">
      <c r="A283" s="12" t="s">
        <v>585</v>
      </c>
      <c r="B283" s="13" t="s">
        <v>2326</v>
      </c>
      <c r="C283" s="13" t="s">
        <v>27</v>
      </c>
      <c r="D283" s="13" t="s">
        <v>55</v>
      </c>
      <c r="E283" s="12" t="s">
        <v>112</v>
      </c>
      <c r="F283" s="14">
        <v>0</v>
      </c>
      <c r="G283" s="14">
        <v>0</v>
      </c>
      <c r="H283" s="14">
        <v>0</v>
      </c>
      <c r="I283" s="14">
        <v>0</v>
      </c>
      <c r="J283" s="14">
        <v>0</v>
      </c>
      <c r="K283" s="14">
        <v>0</v>
      </c>
      <c r="L283" s="14">
        <v>0</v>
      </c>
      <c r="M283" s="14">
        <v>0</v>
      </c>
      <c r="N283" s="14"/>
      <c r="O283" s="14"/>
      <c r="P283" s="15"/>
      <c r="Q283" s="16" t="s">
        <v>2994</v>
      </c>
      <c r="R283" s="16" t="s">
        <v>2994</v>
      </c>
      <c r="S283" s="16" t="s">
        <v>2994</v>
      </c>
      <c r="T283" s="16" t="s">
        <v>2994</v>
      </c>
      <c r="U283" s="16" t="s">
        <v>2994</v>
      </c>
      <c r="V283" s="16" t="s">
        <v>2994</v>
      </c>
      <c r="W283" s="16">
        <v>19615.34</v>
      </c>
      <c r="X283" s="16">
        <v>349792.56</v>
      </c>
      <c r="Y283" s="3">
        <f t="shared" si="19"/>
        <v>369407.9</v>
      </c>
      <c r="Z283" s="96">
        <f t="array" ref="Z283">SUM(ABS(F283:P283))</f>
        <v>0</v>
      </c>
      <c r="AB283" s="3"/>
      <c r="AC283" s="3"/>
      <c r="AD283" s="95"/>
      <c r="AE283" s="95"/>
      <c r="AF283" s="95"/>
      <c r="AG283" s="95"/>
      <c r="AH283" s="482"/>
      <c r="AI283" s="482"/>
      <c r="AJ283" s="482"/>
      <c r="AK283" s="482"/>
      <c r="AL283" s="482"/>
    </row>
    <row r="284" spans="1:38" x14ac:dyDescent="0.15">
      <c r="A284" s="12" t="s">
        <v>586</v>
      </c>
      <c r="B284" s="13" t="s">
        <v>587</v>
      </c>
      <c r="C284" s="13" t="s">
        <v>27</v>
      </c>
      <c r="D284" s="13" t="s">
        <v>55</v>
      </c>
      <c r="E284" s="12" t="s">
        <v>29</v>
      </c>
      <c r="F284" s="14">
        <v>0</v>
      </c>
      <c r="G284" s="14">
        <v>0</v>
      </c>
      <c r="H284" s="14">
        <v>0</v>
      </c>
      <c r="I284" s="14">
        <v>0</v>
      </c>
      <c r="J284" s="14">
        <v>0</v>
      </c>
      <c r="K284" s="14">
        <v>0</v>
      </c>
      <c r="L284" s="14">
        <v>0</v>
      </c>
      <c r="M284" s="14">
        <v>0</v>
      </c>
      <c r="N284" s="14"/>
      <c r="O284" s="14"/>
      <c r="P284" s="15"/>
      <c r="Q284" s="16">
        <v>566940.93000000005</v>
      </c>
      <c r="R284" s="16">
        <v>596967.65</v>
      </c>
      <c r="S284" s="16">
        <v>123010.43</v>
      </c>
      <c r="T284" s="16" t="s">
        <v>2994</v>
      </c>
      <c r="U284" s="16" t="s">
        <v>2994</v>
      </c>
      <c r="V284" s="16" t="s">
        <v>2994</v>
      </c>
      <c r="W284" s="16" t="s">
        <v>2994</v>
      </c>
      <c r="X284" s="16" t="s">
        <v>2994</v>
      </c>
      <c r="Y284" s="3">
        <f t="shared" si="19"/>
        <v>1286919.01</v>
      </c>
      <c r="Z284" s="96">
        <f t="array" ref="Z284">SUM(ABS(F284:P284))</f>
        <v>0</v>
      </c>
      <c r="AB284" s="3"/>
      <c r="AC284" s="3"/>
      <c r="AD284" s="95"/>
      <c r="AE284" s="95"/>
      <c r="AF284" s="95"/>
      <c r="AG284" s="95"/>
      <c r="AH284" s="482"/>
      <c r="AI284" s="482"/>
      <c r="AJ284" s="482"/>
      <c r="AK284" s="482"/>
      <c r="AL284" s="482"/>
    </row>
    <row r="285" spans="1:38" x14ac:dyDescent="0.15">
      <c r="A285" s="12" t="s">
        <v>588</v>
      </c>
      <c r="B285" s="13" t="s">
        <v>2392</v>
      </c>
      <c r="C285" s="13" t="s">
        <v>27</v>
      </c>
      <c r="D285" s="13" t="s">
        <v>36</v>
      </c>
      <c r="E285" s="12" t="s">
        <v>32</v>
      </c>
      <c r="F285" s="14">
        <v>0</v>
      </c>
      <c r="G285" s="14">
        <v>0</v>
      </c>
      <c r="H285" s="14">
        <v>0</v>
      </c>
      <c r="I285" s="14">
        <v>0</v>
      </c>
      <c r="J285" s="14">
        <v>0</v>
      </c>
      <c r="K285" s="14">
        <v>0</v>
      </c>
      <c r="L285" s="14">
        <v>0</v>
      </c>
      <c r="M285" s="14">
        <v>0</v>
      </c>
      <c r="N285" s="14"/>
      <c r="O285" s="14">
        <v>129615.27</v>
      </c>
      <c r="P285" s="15">
        <v>55209.26</v>
      </c>
      <c r="Q285" s="16">
        <v>163.02000000000001</v>
      </c>
      <c r="R285" s="16" t="s">
        <v>2994</v>
      </c>
      <c r="S285" s="16" t="s">
        <v>2994</v>
      </c>
      <c r="T285" s="16" t="s">
        <v>2994</v>
      </c>
      <c r="U285" s="16" t="s">
        <v>2994</v>
      </c>
      <c r="V285" s="16" t="s">
        <v>2994</v>
      </c>
      <c r="W285" s="16" t="s">
        <v>2994</v>
      </c>
      <c r="X285" s="16" t="s">
        <v>2994</v>
      </c>
      <c r="Y285" s="3">
        <f t="shared" si="19"/>
        <v>184987.55</v>
      </c>
      <c r="Z285" s="96">
        <f t="array" ref="Z285">SUM(ABS(F285:P285))</f>
        <v>184824.53</v>
      </c>
      <c r="AB285" s="3"/>
      <c r="AC285" s="3"/>
      <c r="AD285" s="95"/>
      <c r="AE285" s="95"/>
      <c r="AF285" s="95"/>
      <c r="AG285" s="95"/>
      <c r="AH285" s="482"/>
      <c r="AI285" s="482"/>
      <c r="AJ285" s="482"/>
      <c r="AK285" s="482"/>
      <c r="AL285" s="482"/>
    </row>
    <row r="286" spans="1:38" x14ac:dyDescent="0.15">
      <c r="A286" s="12" t="s">
        <v>590</v>
      </c>
      <c r="B286" s="13" t="s">
        <v>591</v>
      </c>
      <c r="C286" s="13" t="s">
        <v>27</v>
      </c>
      <c r="D286" s="13" t="s">
        <v>40</v>
      </c>
      <c r="E286" s="12" t="s">
        <v>112</v>
      </c>
      <c r="F286" s="14">
        <v>0</v>
      </c>
      <c r="G286" s="14">
        <v>0</v>
      </c>
      <c r="H286" s="14">
        <v>0</v>
      </c>
      <c r="I286" s="14">
        <v>0</v>
      </c>
      <c r="J286" s="14">
        <v>0</v>
      </c>
      <c r="K286" s="14">
        <v>0</v>
      </c>
      <c r="L286" s="14">
        <v>0</v>
      </c>
      <c r="M286" s="14">
        <v>0</v>
      </c>
      <c r="N286" s="14"/>
      <c r="O286" s="14"/>
      <c r="P286" s="15"/>
      <c r="Q286" s="16" t="s">
        <v>2994</v>
      </c>
      <c r="R286" s="16" t="s">
        <v>2994</v>
      </c>
      <c r="S286" s="16" t="s">
        <v>2994</v>
      </c>
      <c r="T286" s="16" t="s">
        <v>2994</v>
      </c>
      <c r="U286" s="16">
        <v>1020297</v>
      </c>
      <c r="V286" s="16">
        <v>114907.88</v>
      </c>
      <c r="W286" s="16" t="s">
        <v>2994</v>
      </c>
      <c r="X286" s="16" t="s">
        <v>2994</v>
      </c>
      <c r="Y286" s="3">
        <f t="shared" si="19"/>
        <v>1135204.8799999999</v>
      </c>
      <c r="Z286" s="96">
        <f t="array" ref="Z286">SUM(ABS(F286:P286))</f>
        <v>0</v>
      </c>
      <c r="AB286" s="3"/>
      <c r="AC286" s="3"/>
      <c r="AD286" s="95"/>
      <c r="AE286" s="95"/>
      <c r="AF286" s="95"/>
      <c r="AG286" s="95"/>
      <c r="AH286" s="482"/>
      <c r="AI286" s="482"/>
      <c r="AJ286" s="482"/>
      <c r="AK286" s="482"/>
      <c r="AL286" s="482"/>
    </row>
    <row r="287" spans="1:38" x14ac:dyDescent="0.15">
      <c r="A287" s="12" t="s">
        <v>592</v>
      </c>
      <c r="B287" s="13" t="s">
        <v>593</v>
      </c>
      <c r="C287" s="13" t="s">
        <v>27</v>
      </c>
      <c r="D287" s="13" t="s">
        <v>40</v>
      </c>
      <c r="E287" s="12" t="s">
        <v>112</v>
      </c>
      <c r="F287" s="14">
        <v>0</v>
      </c>
      <c r="G287" s="14">
        <v>0</v>
      </c>
      <c r="H287" s="14">
        <v>0</v>
      </c>
      <c r="I287" s="14">
        <v>0</v>
      </c>
      <c r="J287" s="14">
        <v>0</v>
      </c>
      <c r="K287" s="14">
        <v>0</v>
      </c>
      <c r="L287" s="14">
        <v>0</v>
      </c>
      <c r="M287" s="14">
        <v>0</v>
      </c>
      <c r="N287" s="14"/>
      <c r="O287" s="14"/>
      <c r="P287" s="15"/>
      <c r="Q287" s="16" t="s">
        <v>2994</v>
      </c>
      <c r="R287" s="16" t="s">
        <v>2994</v>
      </c>
      <c r="S287" s="16" t="s">
        <v>2994</v>
      </c>
      <c r="T287" s="16" t="s">
        <v>2994</v>
      </c>
      <c r="U287" s="16" t="s">
        <v>2994</v>
      </c>
      <c r="V287" s="16">
        <v>283604.2</v>
      </c>
      <c r="W287" s="16">
        <v>960271.48</v>
      </c>
      <c r="X287" s="16" t="s">
        <v>2994</v>
      </c>
      <c r="Y287" s="3">
        <f t="shared" si="19"/>
        <v>1243875.68</v>
      </c>
      <c r="Z287" s="96">
        <f t="array" ref="Z287">SUM(ABS(F287:P287))</f>
        <v>0</v>
      </c>
      <c r="AB287" s="3"/>
      <c r="AC287" s="3"/>
      <c r="AD287" s="95"/>
      <c r="AE287" s="95"/>
      <c r="AF287" s="95"/>
      <c r="AG287" s="95"/>
      <c r="AH287" s="482"/>
      <c r="AI287" s="482"/>
      <c r="AJ287" s="482"/>
      <c r="AK287" s="482"/>
      <c r="AL287" s="482"/>
    </row>
    <row r="288" spans="1:38" x14ac:dyDescent="0.15">
      <c r="A288" s="12" t="s">
        <v>594</v>
      </c>
      <c r="B288" s="13" t="s">
        <v>595</v>
      </c>
      <c r="C288" s="13" t="s">
        <v>27</v>
      </c>
      <c r="D288" s="13" t="s">
        <v>40</v>
      </c>
      <c r="E288" s="12" t="s">
        <v>112</v>
      </c>
      <c r="F288" s="14">
        <v>0</v>
      </c>
      <c r="G288" s="14">
        <v>0</v>
      </c>
      <c r="H288" s="14">
        <v>0</v>
      </c>
      <c r="I288" s="14">
        <v>0</v>
      </c>
      <c r="J288" s="14">
        <v>0</v>
      </c>
      <c r="K288" s="14">
        <v>0</v>
      </c>
      <c r="L288" s="14">
        <v>0</v>
      </c>
      <c r="M288" s="14">
        <v>0</v>
      </c>
      <c r="N288" s="14"/>
      <c r="O288" s="14"/>
      <c r="P288" s="15"/>
      <c r="Q288" s="16" t="s">
        <v>2994</v>
      </c>
      <c r="R288" s="16" t="s">
        <v>2994</v>
      </c>
      <c r="S288" s="16" t="s">
        <v>2994</v>
      </c>
      <c r="T288" s="16" t="s">
        <v>2994</v>
      </c>
      <c r="U288" s="16">
        <v>452543.86</v>
      </c>
      <c r="V288" s="16" t="s">
        <v>2994</v>
      </c>
      <c r="W288" s="16" t="s">
        <v>2994</v>
      </c>
      <c r="X288" s="16" t="s">
        <v>2994</v>
      </c>
      <c r="Y288" s="3">
        <f t="shared" si="19"/>
        <v>452543.86</v>
      </c>
      <c r="Z288" s="96">
        <f t="array" ref="Z288">SUM(ABS(F288:P288))</f>
        <v>0</v>
      </c>
      <c r="AB288" s="3"/>
      <c r="AC288" s="3"/>
      <c r="AD288" s="95"/>
      <c r="AE288" s="95"/>
      <c r="AF288" s="95"/>
      <c r="AG288" s="95"/>
      <c r="AH288" s="482"/>
      <c r="AI288" s="482"/>
      <c r="AJ288" s="482"/>
      <c r="AK288" s="482"/>
      <c r="AL288" s="482"/>
    </row>
    <row r="289" spans="1:38" x14ac:dyDescent="0.15">
      <c r="A289" s="12" t="s">
        <v>596</v>
      </c>
      <c r="B289" s="13" t="s">
        <v>597</v>
      </c>
      <c r="C289" s="13" t="s">
        <v>27</v>
      </c>
      <c r="D289" s="13" t="s">
        <v>40</v>
      </c>
      <c r="E289" s="12" t="s">
        <v>112</v>
      </c>
      <c r="F289" s="14">
        <v>0</v>
      </c>
      <c r="G289" s="14">
        <v>0</v>
      </c>
      <c r="H289" s="14">
        <v>0</v>
      </c>
      <c r="I289" s="14">
        <v>0</v>
      </c>
      <c r="J289" s="14">
        <v>0</v>
      </c>
      <c r="K289" s="14">
        <v>0</v>
      </c>
      <c r="L289" s="14">
        <v>0</v>
      </c>
      <c r="M289" s="14">
        <v>0</v>
      </c>
      <c r="N289" s="14"/>
      <c r="O289" s="14"/>
      <c r="P289" s="15"/>
      <c r="Q289" s="16" t="s">
        <v>2994</v>
      </c>
      <c r="R289" s="16" t="s">
        <v>2994</v>
      </c>
      <c r="S289" s="16" t="s">
        <v>2994</v>
      </c>
      <c r="T289" s="16">
        <v>552578.16</v>
      </c>
      <c r="U289" s="16">
        <v>520399.99</v>
      </c>
      <c r="V289" s="16">
        <v>10948065.199999999</v>
      </c>
      <c r="W289" s="16" t="s">
        <v>2994</v>
      </c>
      <c r="X289" s="16" t="s">
        <v>2994</v>
      </c>
      <c r="Y289" s="3">
        <f t="shared" si="19"/>
        <v>12021043.35</v>
      </c>
      <c r="Z289" s="96">
        <f t="array" ref="Z289">SUM(ABS(F289:P289))</f>
        <v>0</v>
      </c>
      <c r="AB289" s="3"/>
      <c r="AC289" s="3"/>
      <c r="AD289" s="95"/>
      <c r="AE289" s="95"/>
      <c r="AF289" s="95"/>
      <c r="AG289" s="95"/>
      <c r="AH289" s="482"/>
      <c r="AI289" s="482"/>
      <c r="AJ289" s="482"/>
      <c r="AK289" s="482"/>
      <c r="AL289" s="482"/>
    </row>
    <row r="290" spans="1:38" x14ac:dyDescent="0.15">
      <c r="A290" s="12" t="s">
        <v>601</v>
      </c>
      <c r="B290" s="13" t="s">
        <v>2328</v>
      </c>
      <c r="C290" s="13" t="s">
        <v>27</v>
      </c>
      <c r="D290" s="13" t="s">
        <v>55</v>
      </c>
      <c r="E290" s="12" t="s">
        <v>112</v>
      </c>
      <c r="F290" s="14">
        <v>0</v>
      </c>
      <c r="G290" s="14">
        <v>0</v>
      </c>
      <c r="H290" s="14">
        <v>0</v>
      </c>
      <c r="I290" s="14">
        <v>0</v>
      </c>
      <c r="J290" s="14">
        <v>0</v>
      </c>
      <c r="K290" s="14">
        <v>0</v>
      </c>
      <c r="L290" s="14">
        <v>0</v>
      </c>
      <c r="M290" s="14">
        <v>0</v>
      </c>
      <c r="N290" s="14"/>
      <c r="O290" s="14"/>
      <c r="P290" s="15"/>
      <c r="Q290" s="16" t="s">
        <v>2994</v>
      </c>
      <c r="R290" s="16" t="s">
        <v>2994</v>
      </c>
      <c r="S290" s="16" t="s">
        <v>2994</v>
      </c>
      <c r="T290" s="16">
        <v>76805.87</v>
      </c>
      <c r="U290" s="16">
        <v>551867.98</v>
      </c>
      <c r="V290" s="16">
        <v>137060.29999999999</v>
      </c>
      <c r="W290" s="16" t="s">
        <v>2994</v>
      </c>
      <c r="X290" s="16" t="s">
        <v>2994</v>
      </c>
      <c r="Y290" s="3">
        <f t="shared" si="19"/>
        <v>765734.14999999991</v>
      </c>
      <c r="Z290" s="96">
        <f t="array" ref="Z290">SUM(ABS(F290:P290))</f>
        <v>0</v>
      </c>
      <c r="AB290" s="3"/>
      <c r="AC290" s="3"/>
      <c r="AD290" s="95"/>
      <c r="AE290" s="95"/>
      <c r="AF290" s="95"/>
      <c r="AG290" s="95"/>
      <c r="AH290" s="482"/>
      <c r="AI290" s="482"/>
      <c r="AJ290" s="482"/>
      <c r="AK290" s="482"/>
      <c r="AL290" s="482"/>
    </row>
    <row r="291" spans="1:38" x14ac:dyDescent="0.15">
      <c r="A291" s="12" t="s">
        <v>605</v>
      </c>
      <c r="B291" s="13" t="s">
        <v>2330</v>
      </c>
      <c r="C291" s="13" t="s">
        <v>27</v>
      </c>
      <c r="D291" s="13" t="s">
        <v>55</v>
      </c>
      <c r="E291" s="12" t="s">
        <v>112</v>
      </c>
      <c r="F291" s="14">
        <v>0</v>
      </c>
      <c r="G291" s="14">
        <v>0</v>
      </c>
      <c r="H291" s="14">
        <v>0</v>
      </c>
      <c r="I291" s="14">
        <v>0</v>
      </c>
      <c r="J291" s="14">
        <v>0</v>
      </c>
      <c r="K291" s="14">
        <v>0</v>
      </c>
      <c r="L291" s="14">
        <v>0</v>
      </c>
      <c r="M291" s="14">
        <v>0</v>
      </c>
      <c r="N291" s="14"/>
      <c r="O291" s="14"/>
      <c r="P291" s="15"/>
      <c r="Q291" s="16" t="s">
        <v>2994</v>
      </c>
      <c r="R291" s="16" t="s">
        <v>2994</v>
      </c>
      <c r="S291" s="16" t="s">
        <v>2994</v>
      </c>
      <c r="T291" s="16" t="s">
        <v>2994</v>
      </c>
      <c r="U291" s="16" t="s">
        <v>2994</v>
      </c>
      <c r="V291" s="16" t="s">
        <v>2994</v>
      </c>
      <c r="W291" s="16">
        <v>531109</v>
      </c>
      <c r="X291" s="16">
        <v>7814.62</v>
      </c>
      <c r="Y291" s="3">
        <f t="shared" si="19"/>
        <v>538923.62</v>
      </c>
      <c r="Z291" s="96">
        <f t="array" ref="Z291">SUM(ABS(F291:P291))</f>
        <v>0</v>
      </c>
      <c r="AB291" s="3"/>
      <c r="AC291" s="3"/>
      <c r="AD291" s="95"/>
      <c r="AE291" s="95"/>
      <c r="AF291" s="95"/>
      <c r="AG291" s="95"/>
      <c r="AH291" s="482"/>
      <c r="AI291" s="482"/>
      <c r="AJ291" s="482"/>
      <c r="AK291" s="482"/>
      <c r="AL291" s="482"/>
    </row>
    <row r="292" spans="1:38" x14ac:dyDescent="0.15">
      <c r="A292" s="12" t="s">
        <v>607</v>
      </c>
      <c r="B292" s="13" t="s">
        <v>2332</v>
      </c>
      <c r="C292" s="13" t="s">
        <v>27</v>
      </c>
      <c r="D292" s="13" t="s">
        <v>55</v>
      </c>
      <c r="E292" s="12" t="s">
        <v>112</v>
      </c>
      <c r="F292" s="14">
        <v>0</v>
      </c>
      <c r="G292" s="14">
        <v>0</v>
      </c>
      <c r="H292" s="14">
        <v>0</v>
      </c>
      <c r="I292" s="14">
        <v>0</v>
      </c>
      <c r="J292" s="14">
        <v>0</v>
      </c>
      <c r="K292" s="14">
        <v>0</v>
      </c>
      <c r="L292" s="14">
        <v>0</v>
      </c>
      <c r="M292" s="14">
        <v>0</v>
      </c>
      <c r="N292" s="14"/>
      <c r="O292" s="14"/>
      <c r="P292" s="15"/>
      <c r="Q292" s="16" t="s">
        <v>2994</v>
      </c>
      <c r="R292" s="16" t="s">
        <v>2994</v>
      </c>
      <c r="S292" s="16">
        <v>108856.9</v>
      </c>
      <c r="T292" s="16">
        <v>156948.82</v>
      </c>
      <c r="U292" s="16">
        <v>19958.64</v>
      </c>
      <c r="V292" s="16" t="s">
        <v>2994</v>
      </c>
      <c r="W292" s="16" t="s">
        <v>2994</v>
      </c>
      <c r="X292" s="16" t="s">
        <v>2994</v>
      </c>
      <c r="Y292" s="3">
        <f t="shared" si="19"/>
        <v>285764.36</v>
      </c>
      <c r="Z292" s="96">
        <f t="array" ref="Z292">SUM(ABS(F292:P292))</f>
        <v>0</v>
      </c>
      <c r="AB292" s="3"/>
      <c r="AC292" s="3"/>
      <c r="AD292" s="95"/>
      <c r="AE292" s="95"/>
      <c r="AF292" s="95"/>
      <c r="AG292" s="95"/>
      <c r="AH292" s="482"/>
      <c r="AI292" s="482"/>
      <c r="AJ292" s="482"/>
      <c r="AK292" s="482"/>
      <c r="AL292" s="482"/>
    </row>
    <row r="293" spans="1:38" x14ac:dyDescent="0.15">
      <c r="A293" s="12" t="s">
        <v>608</v>
      </c>
      <c r="B293" s="13" t="s">
        <v>609</v>
      </c>
      <c r="C293" s="13" t="s">
        <v>27</v>
      </c>
      <c r="D293" s="13" t="s">
        <v>44</v>
      </c>
      <c r="E293" s="12" t="s">
        <v>45</v>
      </c>
      <c r="F293" s="14">
        <v>0</v>
      </c>
      <c r="G293" s="14">
        <v>0</v>
      </c>
      <c r="H293" s="14">
        <v>0</v>
      </c>
      <c r="I293" s="14">
        <v>0</v>
      </c>
      <c r="J293" s="14">
        <v>0</v>
      </c>
      <c r="K293" s="14">
        <v>0</v>
      </c>
      <c r="L293" s="14">
        <v>0</v>
      </c>
      <c r="M293" s="14">
        <v>0</v>
      </c>
      <c r="N293" s="14"/>
      <c r="O293" s="14"/>
      <c r="P293" s="15">
        <v>8906.7900000000009</v>
      </c>
      <c r="Q293" s="16" t="s">
        <v>2994</v>
      </c>
      <c r="R293" s="16" t="s">
        <v>2994</v>
      </c>
      <c r="S293" s="16" t="s">
        <v>2994</v>
      </c>
      <c r="T293" s="16" t="s">
        <v>2994</v>
      </c>
      <c r="U293" s="16" t="s">
        <v>2994</v>
      </c>
      <c r="V293" s="16" t="s">
        <v>2994</v>
      </c>
      <c r="W293" s="16" t="s">
        <v>2994</v>
      </c>
      <c r="X293" s="16" t="s">
        <v>2994</v>
      </c>
      <c r="Y293" s="3">
        <f t="shared" si="19"/>
        <v>8906.7900000000009</v>
      </c>
      <c r="Z293" s="96">
        <f t="array" ref="Z293">SUM(ABS(F293:P293))</f>
        <v>8906.7900000000009</v>
      </c>
      <c r="AB293" s="3"/>
      <c r="AC293" s="3"/>
      <c r="AD293" s="95"/>
      <c r="AE293" s="95"/>
      <c r="AF293" s="95"/>
      <c r="AG293" s="95"/>
      <c r="AH293" s="482"/>
      <c r="AI293" s="482"/>
      <c r="AJ293" s="482"/>
      <c r="AK293" s="482"/>
      <c r="AL293" s="482"/>
    </row>
    <row r="294" spans="1:38" x14ac:dyDescent="0.15">
      <c r="A294" s="12" t="s">
        <v>610</v>
      </c>
      <c r="B294" s="13" t="s">
        <v>2333</v>
      </c>
      <c r="C294" s="13" t="s">
        <v>27</v>
      </c>
      <c r="D294" s="13" t="s">
        <v>55</v>
      </c>
      <c r="E294" s="12" t="s">
        <v>112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0</v>
      </c>
      <c r="M294" s="14">
        <v>0</v>
      </c>
      <c r="N294" s="14"/>
      <c r="O294" s="14"/>
      <c r="P294" s="15"/>
      <c r="Q294" s="16" t="s">
        <v>2994</v>
      </c>
      <c r="R294" s="16" t="s">
        <v>2994</v>
      </c>
      <c r="S294" s="16" t="s">
        <v>2994</v>
      </c>
      <c r="T294" s="16">
        <v>461004</v>
      </c>
      <c r="U294" s="16">
        <v>230600.95</v>
      </c>
      <c r="V294" s="16" t="s">
        <v>2994</v>
      </c>
      <c r="W294" s="16" t="s">
        <v>2994</v>
      </c>
      <c r="X294" s="16" t="s">
        <v>2994</v>
      </c>
      <c r="Y294" s="3">
        <f t="shared" si="19"/>
        <v>691604.95</v>
      </c>
      <c r="Z294" s="96">
        <f t="array" ref="Z294">SUM(ABS(F294:P294))</f>
        <v>0</v>
      </c>
      <c r="AB294" s="3"/>
      <c r="AC294" s="3"/>
      <c r="AD294" s="95"/>
      <c r="AE294" s="95"/>
      <c r="AF294" s="95"/>
      <c r="AG294" s="95"/>
      <c r="AH294" s="482"/>
      <c r="AI294" s="482"/>
      <c r="AJ294" s="482"/>
      <c r="AK294" s="482"/>
      <c r="AL294" s="482"/>
    </row>
    <row r="295" spans="1:38" x14ac:dyDescent="0.15">
      <c r="A295" s="12" t="s">
        <v>611</v>
      </c>
      <c r="B295" s="13" t="s">
        <v>2334</v>
      </c>
      <c r="C295" s="13" t="s">
        <v>27</v>
      </c>
      <c r="D295" s="13" t="s">
        <v>55</v>
      </c>
      <c r="E295" s="12" t="s">
        <v>112</v>
      </c>
      <c r="F295" s="14">
        <v>0</v>
      </c>
      <c r="G295" s="14">
        <v>0</v>
      </c>
      <c r="H295" s="14">
        <v>0</v>
      </c>
      <c r="I295" s="14">
        <v>0</v>
      </c>
      <c r="J295" s="14">
        <v>0</v>
      </c>
      <c r="K295" s="14">
        <v>0</v>
      </c>
      <c r="L295" s="14">
        <v>0</v>
      </c>
      <c r="M295" s="14">
        <v>0</v>
      </c>
      <c r="N295" s="14"/>
      <c r="O295" s="14"/>
      <c r="P295" s="15"/>
      <c r="Q295" s="16" t="s">
        <v>2994</v>
      </c>
      <c r="R295" s="16" t="s">
        <v>2994</v>
      </c>
      <c r="S295" s="16">
        <v>38227.760000000002</v>
      </c>
      <c r="T295" s="16">
        <v>247584.79</v>
      </c>
      <c r="U295" s="16">
        <v>423998.8</v>
      </c>
      <c r="V295" s="16">
        <v>193829.92</v>
      </c>
      <c r="W295" s="16" t="s">
        <v>2994</v>
      </c>
      <c r="X295" s="16" t="s">
        <v>2994</v>
      </c>
      <c r="Y295" s="3">
        <f t="shared" si="19"/>
        <v>903641.27</v>
      </c>
      <c r="Z295" s="96">
        <f t="array" ref="Z295">SUM(ABS(F295:P295))</f>
        <v>0</v>
      </c>
      <c r="AB295" s="3"/>
      <c r="AC295" s="3"/>
      <c r="AD295" s="95"/>
      <c r="AE295" s="95"/>
      <c r="AF295" s="95"/>
      <c r="AG295" s="95"/>
      <c r="AH295" s="482"/>
      <c r="AI295" s="482"/>
      <c r="AJ295" s="482"/>
      <c r="AK295" s="482"/>
      <c r="AL295" s="482"/>
    </row>
    <row r="296" spans="1:38" x14ac:dyDescent="0.15">
      <c r="A296" s="12" t="s">
        <v>614</v>
      </c>
      <c r="B296" s="13" t="s">
        <v>2335</v>
      </c>
      <c r="C296" s="13" t="s">
        <v>27</v>
      </c>
      <c r="D296" s="13" t="s">
        <v>55</v>
      </c>
      <c r="E296" s="12" t="s">
        <v>112</v>
      </c>
      <c r="F296" s="14">
        <v>0</v>
      </c>
      <c r="G296" s="14">
        <v>0</v>
      </c>
      <c r="H296" s="14">
        <v>0</v>
      </c>
      <c r="I296" s="14">
        <v>0</v>
      </c>
      <c r="J296" s="14">
        <v>0</v>
      </c>
      <c r="K296" s="14">
        <v>0</v>
      </c>
      <c r="L296" s="14">
        <v>0</v>
      </c>
      <c r="M296" s="14">
        <v>0</v>
      </c>
      <c r="N296" s="14"/>
      <c r="O296" s="14"/>
      <c r="P296" s="15"/>
      <c r="Q296" s="16" t="s">
        <v>2994</v>
      </c>
      <c r="R296" s="16" t="s">
        <v>2994</v>
      </c>
      <c r="S296" s="16">
        <v>419507.05</v>
      </c>
      <c r="T296" s="16">
        <v>521190.96</v>
      </c>
      <c r="U296" s="16">
        <v>2113521.85</v>
      </c>
      <c r="V296" s="16" t="s">
        <v>2994</v>
      </c>
      <c r="W296" s="16" t="s">
        <v>2994</v>
      </c>
      <c r="X296" s="16" t="s">
        <v>2994</v>
      </c>
      <c r="Y296" s="3">
        <f t="shared" si="19"/>
        <v>3054219.8600000003</v>
      </c>
      <c r="Z296" s="96">
        <f t="array" ref="Z296">SUM(ABS(F296:P296))</f>
        <v>0</v>
      </c>
      <c r="AB296" s="3"/>
      <c r="AC296" s="3"/>
      <c r="AD296" s="95"/>
      <c r="AE296" s="95"/>
      <c r="AF296" s="95"/>
      <c r="AG296" s="95"/>
      <c r="AH296" s="482"/>
      <c r="AI296" s="482"/>
      <c r="AJ296" s="482"/>
      <c r="AK296" s="482"/>
      <c r="AL296" s="482"/>
    </row>
    <row r="297" spans="1:38" x14ac:dyDescent="0.15">
      <c r="A297" s="12" t="s">
        <v>615</v>
      </c>
      <c r="B297" s="13" t="s">
        <v>616</v>
      </c>
      <c r="C297" s="13" t="s">
        <v>27</v>
      </c>
      <c r="D297" s="13" t="s">
        <v>28</v>
      </c>
      <c r="E297" s="12" t="s">
        <v>32</v>
      </c>
      <c r="F297" s="14">
        <v>0</v>
      </c>
      <c r="G297" s="14">
        <v>0</v>
      </c>
      <c r="H297" s="14">
        <v>0</v>
      </c>
      <c r="I297" s="14">
        <v>0</v>
      </c>
      <c r="J297" s="14">
        <v>0</v>
      </c>
      <c r="K297" s="14">
        <v>0</v>
      </c>
      <c r="L297" s="14">
        <v>0</v>
      </c>
      <c r="M297" s="14">
        <v>0</v>
      </c>
      <c r="N297" s="14"/>
      <c r="O297" s="14"/>
      <c r="P297" s="15">
        <v>40481.32</v>
      </c>
      <c r="Q297" s="16" t="s">
        <v>2994</v>
      </c>
      <c r="R297" s="16" t="s">
        <v>2994</v>
      </c>
      <c r="S297" s="16" t="s">
        <v>2994</v>
      </c>
      <c r="T297" s="16" t="s">
        <v>2994</v>
      </c>
      <c r="U297" s="16" t="s">
        <v>2994</v>
      </c>
      <c r="V297" s="16" t="s">
        <v>2994</v>
      </c>
      <c r="W297" s="16" t="s">
        <v>2994</v>
      </c>
      <c r="X297" s="16" t="s">
        <v>2994</v>
      </c>
      <c r="Y297" s="3">
        <f t="shared" si="19"/>
        <v>40481.32</v>
      </c>
      <c r="Z297" s="96">
        <f t="array" ref="Z297">SUM(ABS(F297:P297))</f>
        <v>40481.32</v>
      </c>
      <c r="AB297" s="3"/>
      <c r="AC297" s="3"/>
      <c r="AD297" s="95"/>
      <c r="AE297" s="95"/>
      <c r="AF297" s="95"/>
      <c r="AG297" s="95"/>
      <c r="AH297" s="482"/>
      <c r="AI297" s="482"/>
      <c r="AJ297" s="482"/>
      <c r="AK297" s="482"/>
      <c r="AL297" s="482"/>
    </row>
    <row r="298" spans="1:38" x14ac:dyDescent="0.15">
      <c r="A298" s="12" t="s">
        <v>617</v>
      </c>
      <c r="B298" s="13" t="s">
        <v>618</v>
      </c>
      <c r="C298" s="13" t="s">
        <v>27</v>
      </c>
      <c r="D298" s="13" t="s">
        <v>54</v>
      </c>
      <c r="E298" s="12" t="s">
        <v>29</v>
      </c>
      <c r="F298" s="14">
        <v>0</v>
      </c>
      <c r="G298" s="14">
        <v>0</v>
      </c>
      <c r="H298" s="14">
        <v>0</v>
      </c>
      <c r="I298" s="14">
        <v>0</v>
      </c>
      <c r="J298" s="14">
        <v>0</v>
      </c>
      <c r="K298" s="14">
        <v>0</v>
      </c>
      <c r="L298" s="14">
        <v>0</v>
      </c>
      <c r="M298" s="14">
        <v>0</v>
      </c>
      <c r="N298" s="14"/>
      <c r="O298" s="14"/>
      <c r="P298" s="15">
        <v>48019.06</v>
      </c>
      <c r="Q298" s="16">
        <v>212085.78</v>
      </c>
      <c r="R298" s="16">
        <v>1787211.3199999998</v>
      </c>
      <c r="S298" s="16">
        <v>1045591.29</v>
      </c>
      <c r="T298" s="16" t="s">
        <v>2994</v>
      </c>
      <c r="U298" s="16" t="s">
        <v>2994</v>
      </c>
      <c r="V298" s="16" t="s">
        <v>2994</v>
      </c>
      <c r="W298" s="16" t="s">
        <v>2994</v>
      </c>
      <c r="X298" s="16" t="s">
        <v>2994</v>
      </c>
      <c r="Y298" s="3">
        <f t="shared" si="19"/>
        <v>3092907.45</v>
      </c>
      <c r="Z298" s="96">
        <f t="array" ref="Z298">SUM(ABS(F298:P298))</f>
        <v>48019.06</v>
      </c>
      <c r="AB298" s="3"/>
      <c r="AC298" s="3"/>
      <c r="AD298" s="95"/>
      <c r="AE298" s="95"/>
      <c r="AF298" s="95"/>
      <c r="AG298" s="95"/>
      <c r="AH298" s="482"/>
      <c r="AI298" s="482"/>
      <c r="AJ298" s="482"/>
      <c r="AK298" s="482"/>
      <c r="AL298" s="482"/>
    </row>
    <row r="299" spans="1:38" x14ac:dyDescent="0.15">
      <c r="A299" s="12" t="s">
        <v>619</v>
      </c>
      <c r="B299" s="13" t="s">
        <v>620</v>
      </c>
      <c r="C299" s="13" t="s">
        <v>27</v>
      </c>
      <c r="D299" s="13" t="s">
        <v>28</v>
      </c>
      <c r="E299" s="12" t="s">
        <v>112</v>
      </c>
      <c r="F299" s="14">
        <v>0</v>
      </c>
      <c r="G299" s="14">
        <v>0</v>
      </c>
      <c r="H299" s="14">
        <v>0</v>
      </c>
      <c r="I299" s="14">
        <v>0</v>
      </c>
      <c r="J299" s="14">
        <v>0</v>
      </c>
      <c r="K299" s="14">
        <v>0</v>
      </c>
      <c r="L299" s="14">
        <v>0</v>
      </c>
      <c r="M299" s="14">
        <v>0</v>
      </c>
      <c r="N299" s="14"/>
      <c r="O299" s="14"/>
      <c r="P299" s="15"/>
      <c r="Q299" s="16" t="s">
        <v>2994</v>
      </c>
      <c r="R299" s="16" t="s">
        <v>2994</v>
      </c>
      <c r="S299" s="16">
        <v>50406.99</v>
      </c>
      <c r="T299" s="16">
        <v>1486701.4</v>
      </c>
      <c r="U299" s="16">
        <v>139097.60999999999</v>
      </c>
      <c r="V299" s="16" t="s">
        <v>2994</v>
      </c>
      <c r="W299" s="16" t="s">
        <v>2994</v>
      </c>
      <c r="X299" s="16" t="s">
        <v>2994</v>
      </c>
      <c r="Y299" s="3">
        <f t="shared" si="19"/>
        <v>1676206</v>
      </c>
      <c r="Z299" s="96">
        <f t="array" ref="Z299">SUM(ABS(F299:P299))</f>
        <v>0</v>
      </c>
      <c r="AB299" s="3"/>
      <c r="AC299" s="3"/>
      <c r="AD299" s="95"/>
      <c r="AE299" s="95"/>
      <c r="AF299" s="95"/>
      <c r="AG299" s="95"/>
      <c r="AH299" s="482"/>
      <c r="AI299" s="482"/>
      <c r="AJ299" s="482"/>
      <c r="AK299" s="482"/>
      <c r="AL299" s="482"/>
    </row>
    <row r="300" spans="1:38" x14ac:dyDescent="0.15">
      <c r="A300" s="12" t="s">
        <v>621</v>
      </c>
      <c r="B300" s="13" t="s">
        <v>622</v>
      </c>
      <c r="C300" s="13" t="s">
        <v>27</v>
      </c>
      <c r="D300" s="13" t="s">
        <v>54</v>
      </c>
      <c r="E300" s="12" t="s">
        <v>32</v>
      </c>
      <c r="F300" s="14">
        <v>0</v>
      </c>
      <c r="G300" s="14">
        <v>0</v>
      </c>
      <c r="H300" s="14">
        <v>0</v>
      </c>
      <c r="I300" s="14">
        <v>0</v>
      </c>
      <c r="J300" s="14">
        <v>0</v>
      </c>
      <c r="K300" s="14">
        <v>0</v>
      </c>
      <c r="L300" s="14">
        <v>0</v>
      </c>
      <c r="M300" s="14">
        <v>0</v>
      </c>
      <c r="N300" s="14"/>
      <c r="O300" s="14"/>
      <c r="P300" s="15">
        <v>187262.35</v>
      </c>
      <c r="Q300" s="16">
        <v>29471.98</v>
      </c>
      <c r="R300" s="16" t="s">
        <v>2994</v>
      </c>
      <c r="S300" s="16" t="s">
        <v>2994</v>
      </c>
      <c r="T300" s="16" t="s">
        <v>2994</v>
      </c>
      <c r="U300" s="16" t="s">
        <v>2994</v>
      </c>
      <c r="V300" s="16" t="s">
        <v>2994</v>
      </c>
      <c r="W300" s="16" t="s">
        <v>2994</v>
      </c>
      <c r="X300" s="16" t="s">
        <v>2994</v>
      </c>
      <c r="Y300" s="3">
        <f t="shared" si="19"/>
        <v>216734.33000000002</v>
      </c>
      <c r="Z300" s="96">
        <f t="array" ref="Z300">SUM(ABS(F300:P300))</f>
        <v>187262.35</v>
      </c>
      <c r="AB300" s="3"/>
      <c r="AC300" s="3"/>
      <c r="AD300" s="95"/>
      <c r="AE300" s="95"/>
      <c r="AF300" s="95"/>
      <c r="AG300" s="95"/>
      <c r="AH300" s="482"/>
      <c r="AI300" s="482"/>
      <c r="AJ300" s="482"/>
      <c r="AK300" s="482"/>
      <c r="AL300" s="482"/>
    </row>
    <row r="301" spans="1:38" x14ac:dyDescent="0.15">
      <c r="A301" s="12" t="s">
        <v>623</v>
      </c>
      <c r="B301" s="13" t="s">
        <v>624</v>
      </c>
      <c r="C301" s="13" t="s">
        <v>27</v>
      </c>
      <c r="D301" s="13" t="s">
        <v>40</v>
      </c>
      <c r="E301" s="12" t="s">
        <v>29</v>
      </c>
      <c r="F301" s="14">
        <v>0</v>
      </c>
      <c r="G301" s="14">
        <v>0</v>
      </c>
      <c r="H301" s="14">
        <v>0</v>
      </c>
      <c r="I301" s="14">
        <v>0</v>
      </c>
      <c r="J301" s="14">
        <v>0</v>
      </c>
      <c r="K301" s="14">
        <v>0</v>
      </c>
      <c r="L301" s="14">
        <v>0</v>
      </c>
      <c r="M301" s="14">
        <v>0</v>
      </c>
      <c r="N301" s="14"/>
      <c r="O301" s="14"/>
      <c r="P301" s="15"/>
      <c r="Q301" s="16">
        <v>243869.46</v>
      </c>
      <c r="R301" s="16">
        <v>1507035.38</v>
      </c>
      <c r="S301" s="16">
        <v>48785.59</v>
      </c>
      <c r="T301" s="16" t="s">
        <v>2994</v>
      </c>
      <c r="U301" s="16" t="s">
        <v>2994</v>
      </c>
      <c r="V301" s="16" t="s">
        <v>2994</v>
      </c>
      <c r="W301" s="16" t="s">
        <v>2994</v>
      </c>
      <c r="X301" s="16" t="s">
        <v>2994</v>
      </c>
      <c r="Y301" s="3">
        <f t="shared" si="19"/>
        <v>1799690.43</v>
      </c>
      <c r="Z301" s="96">
        <f t="array" ref="Z301">SUM(ABS(F301:P301))</f>
        <v>0</v>
      </c>
      <c r="AB301" s="3"/>
      <c r="AC301" s="3"/>
      <c r="AD301" s="95"/>
      <c r="AE301" s="95"/>
      <c r="AF301" s="95"/>
      <c r="AG301" s="95"/>
      <c r="AH301" s="482"/>
      <c r="AI301" s="482"/>
      <c r="AJ301" s="482"/>
      <c r="AK301" s="482"/>
      <c r="AL301" s="482"/>
    </row>
    <row r="302" spans="1:38" x14ac:dyDescent="0.15">
      <c r="A302" s="12" t="s">
        <v>625</v>
      </c>
      <c r="B302" s="13" t="s">
        <v>626</v>
      </c>
      <c r="C302" s="13" t="s">
        <v>27</v>
      </c>
      <c r="D302" s="13" t="s">
        <v>40</v>
      </c>
      <c r="E302" s="12" t="s">
        <v>29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/>
      <c r="O302" s="14"/>
      <c r="P302" s="15"/>
      <c r="Q302" s="16">
        <v>163121.26</v>
      </c>
      <c r="R302" s="16">
        <v>1865629.37</v>
      </c>
      <c r="S302" s="16">
        <v>474618.31</v>
      </c>
      <c r="T302" s="16" t="s">
        <v>2994</v>
      </c>
      <c r="U302" s="16" t="s">
        <v>2994</v>
      </c>
      <c r="V302" s="16" t="s">
        <v>2994</v>
      </c>
      <c r="W302" s="16" t="s">
        <v>2994</v>
      </c>
      <c r="X302" s="16" t="s">
        <v>2994</v>
      </c>
      <c r="Y302" s="3">
        <f t="shared" si="19"/>
        <v>2503368.94</v>
      </c>
      <c r="Z302" s="96">
        <f t="array" ref="Z302">SUM(ABS(F302:P302))</f>
        <v>0</v>
      </c>
      <c r="AB302" s="3"/>
      <c r="AC302" s="3"/>
      <c r="AD302" s="95"/>
      <c r="AE302" s="95"/>
      <c r="AF302" s="95"/>
      <c r="AG302" s="95"/>
      <c r="AH302" s="482"/>
      <c r="AI302" s="482"/>
      <c r="AJ302" s="482"/>
      <c r="AK302" s="482"/>
      <c r="AL302" s="482"/>
    </row>
    <row r="303" spans="1:38" x14ac:dyDescent="0.15">
      <c r="A303" s="12" t="s">
        <v>627</v>
      </c>
      <c r="B303" s="13" t="s">
        <v>628</v>
      </c>
      <c r="C303" s="13" t="s">
        <v>27</v>
      </c>
      <c r="D303" s="13" t="s">
        <v>54</v>
      </c>
      <c r="E303" s="12" t="s">
        <v>112</v>
      </c>
      <c r="F303" s="14">
        <v>0</v>
      </c>
      <c r="G303" s="14">
        <v>0</v>
      </c>
      <c r="H303" s="14">
        <v>0</v>
      </c>
      <c r="I303" s="14">
        <v>0</v>
      </c>
      <c r="J303" s="14">
        <v>0</v>
      </c>
      <c r="K303" s="14">
        <v>0</v>
      </c>
      <c r="L303" s="14">
        <v>0</v>
      </c>
      <c r="M303" s="14">
        <v>0</v>
      </c>
      <c r="N303" s="14"/>
      <c r="O303" s="14"/>
      <c r="P303" s="15"/>
      <c r="Q303" s="16" t="s">
        <v>2994</v>
      </c>
      <c r="R303" s="16">
        <v>200117.51</v>
      </c>
      <c r="S303" s="16" t="s">
        <v>2994</v>
      </c>
      <c r="T303" s="16" t="s">
        <v>2994</v>
      </c>
      <c r="U303" s="16" t="s">
        <v>2994</v>
      </c>
      <c r="V303" s="16" t="s">
        <v>2994</v>
      </c>
      <c r="W303" s="16" t="s">
        <v>2994</v>
      </c>
      <c r="X303" s="16" t="s">
        <v>2994</v>
      </c>
      <c r="Y303" s="3">
        <f t="shared" si="19"/>
        <v>200117.51</v>
      </c>
      <c r="Z303" s="96">
        <f t="array" ref="Z303">SUM(ABS(F303:P303))</f>
        <v>0</v>
      </c>
      <c r="AB303" s="3"/>
      <c r="AC303" s="3"/>
      <c r="AD303" s="95"/>
      <c r="AE303" s="95"/>
      <c r="AF303" s="95"/>
      <c r="AG303" s="95"/>
      <c r="AH303" s="482"/>
      <c r="AI303" s="482"/>
      <c r="AJ303" s="482"/>
      <c r="AK303" s="482"/>
      <c r="AL303" s="482"/>
    </row>
    <row r="304" spans="1:38" x14ac:dyDescent="0.15">
      <c r="A304" s="12" t="s">
        <v>629</v>
      </c>
      <c r="B304" s="13" t="s">
        <v>630</v>
      </c>
      <c r="C304" s="13" t="s">
        <v>27</v>
      </c>
      <c r="D304" s="13" t="s">
        <v>40</v>
      </c>
      <c r="E304" s="12" t="s">
        <v>32</v>
      </c>
      <c r="F304" s="14">
        <v>0</v>
      </c>
      <c r="G304" s="14">
        <v>0</v>
      </c>
      <c r="H304" s="14">
        <v>0</v>
      </c>
      <c r="I304" s="14">
        <v>0</v>
      </c>
      <c r="J304" s="14">
        <v>0</v>
      </c>
      <c r="K304" s="14">
        <v>0</v>
      </c>
      <c r="L304" s="14">
        <v>0</v>
      </c>
      <c r="M304" s="14">
        <v>0</v>
      </c>
      <c r="N304" s="14"/>
      <c r="O304" s="14"/>
      <c r="P304" s="15">
        <v>420650.41</v>
      </c>
      <c r="Q304" s="16">
        <v>62007.65</v>
      </c>
      <c r="R304" s="16" t="s">
        <v>2994</v>
      </c>
      <c r="S304" s="16" t="s">
        <v>2994</v>
      </c>
      <c r="T304" s="16" t="s">
        <v>2994</v>
      </c>
      <c r="U304" s="16" t="s">
        <v>2994</v>
      </c>
      <c r="V304" s="16" t="s">
        <v>2994</v>
      </c>
      <c r="W304" s="16" t="s">
        <v>2994</v>
      </c>
      <c r="X304" s="16" t="s">
        <v>2994</v>
      </c>
      <c r="Y304" s="3">
        <f t="shared" si="19"/>
        <v>482658.06</v>
      </c>
      <c r="Z304" s="96">
        <f t="array" ref="Z304">SUM(ABS(F304:P304))</f>
        <v>420650.41</v>
      </c>
      <c r="AB304" s="3"/>
      <c r="AC304" s="3"/>
      <c r="AD304" s="95"/>
      <c r="AE304" s="95"/>
      <c r="AF304" s="95"/>
      <c r="AG304" s="95"/>
      <c r="AH304" s="482"/>
      <c r="AI304" s="482"/>
      <c r="AJ304" s="482"/>
      <c r="AK304" s="482"/>
      <c r="AL304" s="482"/>
    </row>
    <row r="305" spans="1:38" x14ac:dyDescent="0.15">
      <c r="A305" s="12" t="s">
        <v>631</v>
      </c>
      <c r="B305" s="13" t="s">
        <v>632</v>
      </c>
      <c r="C305" s="13" t="s">
        <v>27</v>
      </c>
      <c r="D305" s="13" t="s">
        <v>40</v>
      </c>
      <c r="E305" s="12" t="s">
        <v>29</v>
      </c>
      <c r="F305" s="14">
        <v>0</v>
      </c>
      <c r="G305" s="14">
        <v>0</v>
      </c>
      <c r="H305" s="14">
        <v>0</v>
      </c>
      <c r="I305" s="14">
        <v>0</v>
      </c>
      <c r="J305" s="14">
        <v>0</v>
      </c>
      <c r="K305" s="14">
        <v>0</v>
      </c>
      <c r="L305" s="14">
        <v>0</v>
      </c>
      <c r="M305" s="14">
        <v>0</v>
      </c>
      <c r="N305" s="14"/>
      <c r="O305" s="14"/>
      <c r="P305" s="15">
        <v>1350.18</v>
      </c>
      <c r="Q305" s="16">
        <v>226243.79</v>
      </c>
      <c r="R305" s="16">
        <v>238097.18</v>
      </c>
      <c r="S305" s="16">
        <v>1318203.3700000001</v>
      </c>
      <c r="T305" s="16" t="s">
        <v>2994</v>
      </c>
      <c r="U305" s="16" t="s">
        <v>2994</v>
      </c>
      <c r="V305" s="16" t="s">
        <v>2994</v>
      </c>
      <c r="W305" s="16" t="s">
        <v>2994</v>
      </c>
      <c r="X305" s="16" t="s">
        <v>2994</v>
      </c>
      <c r="Y305" s="3">
        <f t="shared" si="19"/>
        <v>1783894.52</v>
      </c>
      <c r="Z305" s="96">
        <f t="array" ref="Z305">SUM(ABS(F305:P305))</f>
        <v>1350.18</v>
      </c>
      <c r="AB305" s="3"/>
      <c r="AC305" s="3"/>
      <c r="AD305" s="95"/>
      <c r="AE305" s="95"/>
      <c r="AF305" s="95"/>
      <c r="AG305" s="95"/>
      <c r="AH305" s="482"/>
      <c r="AI305" s="482"/>
      <c r="AJ305" s="482"/>
      <c r="AK305" s="482"/>
      <c r="AL305" s="482"/>
    </row>
    <row r="306" spans="1:38" x14ac:dyDescent="0.15">
      <c r="A306" s="12" t="s">
        <v>633</v>
      </c>
      <c r="B306" s="13" t="s">
        <v>634</v>
      </c>
      <c r="C306" s="13" t="s">
        <v>27</v>
      </c>
      <c r="D306" s="13" t="s">
        <v>54</v>
      </c>
      <c r="E306" s="12" t="s">
        <v>29</v>
      </c>
      <c r="F306" s="14">
        <v>0</v>
      </c>
      <c r="G306" s="14">
        <v>0</v>
      </c>
      <c r="H306" s="14">
        <v>0</v>
      </c>
      <c r="I306" s="14">
        <v>0</v>
      </c>
      <c r="J306" s="14">
        <v>0</v>
      </c>
      <c r="K306" s="14">
        <v>0</v>
      </c>
      <c r="L306" s="14">
        <v>0</v>
      </c>
      <c r="M306" s="14">
        <v>0</v>
      </c>
      <c r="N306" s="14"/>
      <c r="O306" s="14"/>
      <c r="P306" s="15"/>
      <c r="Q306" s="16">
        <v>1412316.98</v>
      </c>
      <c r="R306" s="16">
        <v>7508807.1699999999</v>
      </c>
      <c r="S306" s="16">
        <v>2639265.77</v>
      </c>
      <c r="T306" s="16" t="s">
        <v>2994</v>
      </c>
      <c r="U306" s="16" t="s">
        <v>2994</v>
      </c>
      <c r="V306" s="16" t="s">
        <v>2994</v>
      </c>
      <c r="W306" s="16" t="s">
        <v>2994</v>
      </c>
      <c r="X306" s="16" t="s">
        <v>2994</v>
      </c>
      <c r="Y306" s="3">
        <f t="shared" si="19"/>
        <v>11560389.92</v>
      </c>
      <c r="Z306" s="96">
        <f t="array" ref="Z306">SUM(ABS(F306:P306))</f>
        <v>0</v>
      </c>
      <c r="AB306" s="3"/>
      <c r="AC306" s="3"/>
      <c r="AD306" s="95"/>
      <c r="AE306" s="95"/>
      <c r="AF306" s="95"/>
      <c r="AG306" s="95"/>
      <c r="AH306" s="482"/>
      <c r="AI306" s="482"/>
      <c r="AJ306" s="482"/>
      <c r="AK306" s="482"/>
      <c r="AL306" s="482"/>
    </row>
    <row r="307" spans="1:38" x14ac:dyDescent="0.15">
      <c r="A307" s="12" t="s">
        <v>635</v>
      </c>
      <c r="B307" s="13" t="s">
        <v>636</v>
      </c>
      <c r="C307" s="13" t="s">
        <v>27</v>
      </c>
      <c r="D307" s="13" t="s">
        <v>54</v>
      </c>
      <c r="E307" s="12" t="s">
        <v>29</v>
      </c>
      <c r="F307" s="14">
        <v>0</v>
      </c>
      <c r="G307" s="14">
        <v>0</v>
      </c>
      <c r="H307" s="14">
        <v>0</v>
      </c>
      <c r="I307" s="14">
        <v>0</v>
      </c>
      <c r="J307" s="14">
        <v>0</v>
      </c>
      <c r="K307" s="14">
        <v>0</v>
      </c>
      <c r="L307" s="14">
        <v>0</v>
      </c>
      <c r="M307" s="14">
        <v>0</v>
      </c>
      <c r="N307" s="14"/>
      <c r="O307" s="14"/>
      <c r="P307" s="15"/>
      <c r="Q307" s="16">
        <v>234278.82</v>
      </c>
      <c r="R307" s="16">
        <v>1318318.28</v>
      </c>
      <c r="S307" s="16">
        <v>257901.54</v>
      </c>
      <c r="T307" s="16" t="s">
        <v>2994</v>
      </c>
      <c r="U307" s="16" t="s">
        <v>2994</v>
      </c>
      <c r="V307" s="16" t="s">
        <v>2994</v>
      </c>
      <c r="W307" s="16" t="s">
        <v>2994</v>
      </c>
      <c r="X307" s="16" t="s">
        <v>2994</v>
      </c>
      <c r="Y307" s="3">
        <f t="shared" si="19"/>
        <v>1810498.6400000001</v>
      </c>
      <c r="Z307" s="96">
        <f t="array" ref="Z307">SUM(ABS(F307:P307))</f>
        <v>0</v>
      </c>
      <c r="AB307" s="3"/>
      <c r="AC307" s="3"/>
      <c r="AD307" s="95"/>
      <c r="AE307" s="95"/>
      <c r="AF307" s="95"/>
      <c r="AG307" s="95"/>
      <c r="AH307" s="482"/>
      <c r="AI307" s="482"/>
      <c r="AJ307" s="482"/>
      <c r="AK307" s="482"/>
      <c r="AL307" s="482"/>
    </row>
    <row r="308" spans="1:38" x14ac:dyDescent="0.15">
      <c r="A308" s="12" t="s">
        <v>2296</v>
      </c>
      <c r="B308" s="13" t="s">
        <v>2297</v>
      </c>
      <c r="C308" s="13" t="s">
        <v>27</v>
      </c>
      <c r="D308" s="13" t="s">
        <v>28</v>
      </c>
      <c r="E308" s="12" t="s">
        <v>112</v>
      </c>
      <c r="F308" s="14">
        <v>0</v>
      </c>
      <c r="G308" s="14">
        <v>0</v>
      </c>
      <c r="H308" s="14">
        <v>0</v>
      </c>
      <c r="I308" s="14">
        <v>0</v>
      </c>
      <c r="J308" s="14">
        <v>0</v>
      </c>
      <c r="K308" s="14">
        <v>0</v>
      </c>
      <c r="L308" s="14">
        <v>0</v>
      </c>
      <c r="M308" s="14">
        <v>0</v>
      </c>
      <c r="N308" s="14"/>
      <c r="O308" s="14"/>
      <c r="P308" s="15"/>
      <c r="Q308" s="16">
        <v>433093.65</v>
      </c>
      <c r="R308" s="16">
        <v>227177.91000000015</v>
      </c>
      <c r="S308" s="16">
        <v>6574230</v>
      </c>
      <c r="T308" s="16">
        <v>22200</v>
      </c>
      <c r="U308" s="16" t="s">
        <v>2994</v>
      </c>
      <c r="V308" s="16" t="s">
        <v>2994</v>
      </c>
      <c r="W308" s="16" t="s">
        <v>2994</v>
      </c>
      <c r="X308" s="16" t="s">
        <v>2994</v>
      </c>
      <c r="Y308" s="3">
        <f t="shared" si="19"/>
        <v>7256701.5600000005</v>
      </c>
      <c r="Z308" s="96">
        <f t="array" ref="Z308">SUM(ABS(F308:P308))</f>
        <v>0</v>
      </c>
      <c r="AB308" s="3"/>
      <c r="AC308" s="3"/>
      <c r="AD308" s="95"/>
      <c r="AE308" s="95"/>
      <c r="AF308" s="95"/>
      <c r="AG308" s="95"/>
      <c r="AH308" s="482"/>
      <c r="AI308" s="482"/>
      <c r="AJ308" s="482"/>
      <c r="AK308" s="482"/>
      <c r="AL308" s="482"/>
    </row>
    <row r="309" spans="1:38" x14ac:dyDescent="0.15">
      <c r="A309" s="12" t="s">
        <v>637</v>
      </c>
      <c r="B309" s="13" t="s">
        <v>638</v>
      </c>
      <c r="C309" s="13" t="s">
        <v>27</v>
      </c>
      <c r="D309" s="13" t="s">
        <v>60</v>
      </c>
      <c r="E309" s="12" t="s">
        <v>29</v>
      </c>
      <c r="F309" s="14">
        <v>0</v>
      </c>
      <c r="G309" s="14">
        <v>0</v>
      </c>
      <c r="H309" s="14">
        <v>0</v>
      </c>
      <c r="I309" s="14">
        <v>0</v>
      </c>
      <c r="J309" s="14">
        <v>0</v>
      </c>
      <c r="K309" s="14">
        <v>0</v>
      </c>
      <c r="L309" s="14">
        <v>0</v>
      </c>
      <c r="M309" s="14">
        <v>0</v>
      </c>
      <c r="N309" s="14"/>
      <c r="O309" s="14"/>
      <c r="P309" s="15">
        <v>334653.59999999998</v>
      </c>
      <c r="Q309" s="16">
        <v>2895413.5</v>
      </c>
      <c r="R309" s="16">
        <v>88953.27</v>
      </c>
      <c r="S309" s="16" t="s">
        <v>2994</v>
      </c>
      <c r="T309" s="16" t="s">
        <v>2994</v>
      </c>
      <c r="U309" s="16" t="s">
        <v>2994</v>
      </c>
      <c r="V309" s="16" t="s">
        <v>2994</v>
      </c>
      <c r="W309" s="16" t="s">
        <v>2994</v>
      </c>
      <c r="X309" s="16" t="s">
        <v>2994</v>
      </c>
      <c r="Y309" s="3">
        <f t="shared" si="19"/>
        <v>3319020.37</v>
      </c>
      <c r="Z309" s="96">
        <f t="array" ref="Z309">SUM(ABS(F309:P309))</f>
        <v>334653.59999999998</v>
      </c>
      <c r="AB309" s="3"/>
      <c r="AC309" s="3"/>
      <c r="AD309" s="95"/>
      <c r="AE309" s="95"/>
      <c r="AF309" s="95"/>
      <c r="AG309" s="95"/>
      <c r="AH309" s="482"/>
      <c r="AI309" s="482"/>
      <c r="AJ309" s="482"/>
      <c r="AK309" s="482"/>
      <c r="AL309" s="482"/>
    </row>
    <row r="310" spans="1:38" x14ac:dyDescent="0.15">
      <c r="A310" s="12" t="s">
        <v>2393</v>
      </c>
      <c r="B310" s="13" t="s">
        <v>2394</v>
      </c>
      <c r="C310" s="13" t="s">
        <v>27</v>
      </c>
      <c r="D310" s="13" t="s">
        <v>36</v>
      </c>
      <c r="E310" s="12" t="s">
        <v>29</v>
      </c>
      <c r="F310" s="14">
        <v>0</v>
      </c>
      <c r="G310" s="14">
        <v>0</v>
      </c>
      <c r="H310" s="14">
        <v>0</v>
      </c>
      <c r="I310" s="14">
        <v>0</v>
      </c>
      <c r="J310" s="14">
        <v>0</v>
      </c>
      <c r="K310" s="14">
        <v>0</v>
      </c>
      <c r="L310" s="14">
        <v>0</v>
      </c>
      <c r="M310" s="14">
        <v>0</v>
      </c>
      <c r="N310" s="14"/>
      <c r="O310" s="14"/>
      <c r="P310" s="15"/>
      <c r="Q310" s="16">
        <v>26172.05</v>
      </c>
      <c r="R310" s="16">
        <v>286314.25</v>
      </c>
      <c r="S310" s="16" t="s">
        <v>2994</v>
      </c>
      <c r="T310" s="16" t="s">
        <v>2994</v>
      </c>
      <c r="U310" s="16" t="s">
        <v>2994</v>
      </c>
      <c r="V310" s="16" t="s">
        <v>2994</v>
      </c>
      <c r="W310" s="16" t="s">
        <v>2994</v>
      </c>
      <c r="X310" s="16" t="s">
        <v>2994</v>
      </c>
      <c r="Y310" s="3">
        <f t="shared" si="19"/>
        <v>312486.3</v>
      </c>
      <c r="Z310" s="96">
        <f t="array" ref="Z310">SUM(ABS(F310:P310))</f>
        <v>0</v>
      </c>
      <c r="AB310" s="3"/>
      <c r="AC310" s="3"/>
      <c r="AD310" s="95"/>
      <c r="AE310" s="95"/>
      <c r="AF310" s="95"/>
      <c r="AG310" s="95"/>
      <c r="AH310" s="482"/>
      <c r="AI310" s="482"/>
      <c r="AJ310" s="482"/>
      <c r="AK310" s="482"/>
      <c r="AL310" s="482"/>
    </row>
    <row r="311" spans="1:38" x14ac:dyDescent="0.15">
      <c r="A311" s="12" t="s">
        <v>2395</v>
      </c>
      <c r="B311" s="13" t="s">
        <v>2396</v>
      </c>
      <c r="C311" s="13" t="s">
        <v>27</v>
      </c>
      <c r="D311" s="13" t="s">
        <v>36</v>
      </c>
      <c r="E311" s="12" t="s">
        <v>29</v>
      </c>
      <c r="F311" s="14">
        <v>0</v>
      </c>
      <c r="G311" s="14">
        <v>0</v>
      </c>
      <c r="H311" s="14">
        <v>0</v>
      </c>
      <c r="I311" s="14">
        <v>0</v>
      </c>
      <c r="J311" s="14">
        <v>0</v>
      </c>
      <c r="K311" s="14">
        <v>0</v>
      </c>
      <c r="L311" s="14">
        <v>0</v>
      </c>
      <c r="M311" s="14">
        <v>0</v>
      </c>
      <c r="N311" s="14"/>
      <c r="O311" s="14"/>
      <c r="P311" s="15"/>
      <c r="Q311" s="16">
        <v>451253.7</v>
      </c>
      <c r="R311" s="16">
        <v>298261.48</v>
      </c>
      <c r="S311" s="16" t="s">
        <v>2994</v>
      </c>
      <c r="T311" s="16" t="s">
        <v>2994</v>
      </c>
      <c r="U311" s="16" t="s">
        <v>2994</v>
      </c>
      <c r="V311" s="16" t="s">
        <v>2994</v>
      </c>
      <c r="W311" s="16" t="s">
        <v>2994</v>
      </c>
      <c r="X311" s="16" t="s">
        <v>2994</v>
      </c>
      <c r="Y311" s="3">
        <f t="shared" si="19"/>
        <v>749515.17999999993</v>
      </c>
      <c r="Z311" s="96">
        <f t="array" ref="Z311">SUM(ABS(F311:P311))</f>
        <v>0</v>
      </c>
      <c r="AB311" s="3"/>
      <c r="AC311" s="3"/>
      <c r="AD311" s="95"/>
      <c r="AE311" s="95"/>
      <c r="AF311" s="95"/>
      <c r="AG311" s="95"/>
      <c r="AH311" s="482"/>
      <c r="AI311" s="482"/>
      <c r="AJ311" s="482"/>
      <c r="AK311" s="482"/>
      <c r="AL311" s="482"/>
    </row>
    <row r="312" spans="1:38" x14ac:dyDescent="0.15">
      <c r="A312" s="12" t="s">
        <v>2397</v>
      </c>
      <c r="B312" s="13" t="s">
        <v>2398</v>
      </c>
      <c r="C312" s="13" t="s">
        <v>27</v>
      </c>
      <c r="D312" s="13" t="s">
        <v>41</v>
      </c>
      <c r="E312" s="12" t="s">
        <v>112</v>
      </c>
      <c r="F312" s="14">
        <v>0</v>
      </c>
      <c r="G312" s="14">
        <v>0</v>
      </c>
      <c r="H312" s="14">
        <v>0</v>
      </c>
      <c r="I312" s="14">
        <v>0</v>
      </c>
      <c r="J312" s="14">
        <v>0</v>
      </c>
      <c r="K312" s="14">
        <v>0</v>
      </c>
      <c r="L312" s="14">
        <v>0</v>
      </c>
      <c r="M312" s="14">
        <v>0</v>
      </c>
      <c r="N312" s="14"/>
      <c r="O312" s="14"/>
      <c r="P312" s="15"/>
      <c r="Q312" s="16" t="s">
        <v>2994</v>
      </c>
      <c r="R312" s="16">
        <v>325052.09000000003</v>
      </c>
      <c r="S312" s="16">
        <v>975336.26</v>
      </c>
      <c r="T312" s="16">
        <v>11481678.25</v>
      </c>
      <c r="U312" s="16">
        <v>16414485.970000001</v>
      </c>
      <c r="V312" s="16">
        <v>8812756.1600000001</v>
      </c>
      <c r="W312" s="16" t="s">
        <v>2994</v>
      </c>
      <c r="X312" s="16" t="s">
        <v>2994</v>
      </c>
      <c r="Y312" s="3">
        <f t="shared" ref="Y312:Y357" si="20">SUM(F312:X312)</f>
        <v>38009308.730000004</v>
      </c>
      <c r="Z312" s="96">
        <f t="array" ref="Z312">SUM(ABS(F312:P312))</f>
        <v>0</v>
      </c>
      <c r="AB312" s="3"/>
      <c r="AC312" s="3"/>
      <c r="AD312" s="95"/>
      <c r="AE312" s="95"/>
      <c r="AF312" s="95"/>
      <c r="AG312" s="95"/>
      <c r="AH312" s="482"/>
      <c r="AI312" s="482"/>
      <c r="AJ312" s="482"/>
      <c r="AK312" s="482"/>
      <c r="AL312" s="482"/>
    </row>
    <row r="313" spans="1:38" x14ac:dyDescent="0.15">
      <c r="A313" s="12" t="s">
        <v>2399</v>
      </c>
      <c r="B313" s="13" t="s">
        <v>2400</v>
      </c>
      <c r="C313" s="13" t="s">
        <v>27</v>
      </c>
      <c r="D313" s="13" t="s">
        <v>41</v>
      </c>
      <c r="E313" s="12" t="s">
        <v>112</v>
      </c>
      <c r="F313" s="14">
        <v>0</v>
      </c>
      <c r="G313" s="14">
        <v>0</v>
      </c>
      <c r="H313" s="14">
        <v>0</v>
      </c>
      <c r="I313" s="14">
        <v>0</v>
      </c>
      <c r="J313" s="14">
        <v>0</v>
      </c>
      <c r="K313" s="14">
        <v>0</v>
      </c>
      <c r="L313" s="14">
        <v>0</v>
      </c>
      <c r="M313" s="14">
        <v>0</v>
      </c>
      <c r="N313" s="14"/>
      <c r="O313" s="14"/>
      <c r="P313" s="15"/>
      <c r="Q313" s="16" t="s">
        <v>2994</v>
      </c>
      <c r="R313" s="16">
        <v>297535.3</v>
      </c>
      <c r="S313" s="16">
        <v>887277.43</v>
      </c>
      <c r="T313" s="16">
        <v>8683903.0199999996</v>
      </c>
      <c r="U313" s="16">
        <v>12199972.380000001</v>
      </c>
      <c r="V313" s="16">
        <v>12519743.26</v>
      </c>
      <c r="W313" s="16">
        <v>6680615.8300000001</v>
      </c>
      <c r="X313" s="16" t="s">
        <v>2994</v>
      </c>
      <c r="Y313" s="3">
        <f t="shared" si="20"/>
        <v>41269047.219999999</v>
      </c>
      <c r="Z313" s="96">
        <f t="array" ref="Z313">SUM(ABS(F313:P313))</f>
        <v>0</v>
      </c>
      <c r="AB313" s="3"/>
      <c r="AC313" s="3"/>
      <c r="AD313" s="95"/>
      <c r="AE313" s="95"/>
      <c r="AF313" s="95"/>
      <c r="AG313" s="95"/>
      <c r="AH313" s="482"/>
      <c r="AI313" s="482"/>
      <c r="AJ313" s="482"/>
      <c r="AK313" s="482"/>
      <c r="AL313" s="482"/>
    </row>
    <row r="314" spans="1:38" x14ac:dyDescent="0.15">
      <c r="A314" s="12" t="s">
        <v>1097</v>
      </c>
      <c r="B314" s="13" t="s">
        <v>2403</v>
      </c>
      <c r="C314" s="13" t="s">
        <v>27</v>
      </c>
      <c r="D314" s="13" t="s">
        <v>36</v>
      </c>
      <c r="E314" s="12" t="s">
        <v>32</v>
      </c>
      <c r="F314" s="14">
        <v>0</v>
      </c>
      <c r="G314" s="14">
        <v>0</v>
      </c>
      <c r="H314" s="14">
        <v>0</v>
      </c>
      <c r="I314" s="14">
        <v>0</v>
      </c>
      <c r="J314" s="14">
        <v>0</v>
      </c>
      <c r="K314" s="14">
        <v>0</v>
      </c>
      <c r="L314" s="14">
        <v>0</v>
      </c>
      <c r="M314" s="14">
        <v>0</v>
      </c>
      <c r="N314" s="14"/>
      <c r="O314" s="14"/>
      <c r="P314" s="15"/>
      <c r="Q314" s="16">
        <v>185471.46</v>
      </c>
      <c r="R314" s="16" t="s">
        <v>2994</v>
      </c>
      <c r="S314" s="16" t="s">
        <v>2994</v>
      </c>
      <c r="T314" s="16" t="s">
        <v>2994</v>
      </c>
      <c r="U314" s="16" t="s">
        <v>2994</v>
      </c>
      <c r="V314" s="16" t="s">
        <v>2994</v>
      </c>
      <c r="W314" s="16" t="s">
        <v>2994</v>
      </c>
      <c r="X314" s="16" t="s">
        <v>2994</v>
      </c>
      <c r="Y314" s="3">
        <f t="shared" si="20"/>
        <v>185471.46</v>
      </c>
      <c r="Z314" s="96">
        <f t="array" ref="Z314">SUM(ABS(F314:P314))</f>
        <v>0</v>
      </c>
      <c r="AB314" s="3"/>
      <c r="AC314" s="3"/>
      <c r="AD314" s="95"/>
      <c r="AE314" s="95"/>
      <c r="AF314" s="95"/>
      <c r="AG314" s="95"/>
      <c r="AH314" s="482"/>
      <c r="AI314" s="482"/>
      <c r="AJ314" s="482"/>
      <c r="AK314" s="482"/>
      <c r="AL314" s="482"/>
    </row>
    <row r="315" spans="1:38" x14ac:dyDescent="0.15">
      <c r="A315" s="12" t="s">
        <v>2413</v>
      </c>
      <c r="B315" s="13" t="s">
        <v>2298</v>
      </c>
      <c r="C315" s="13" t="s">
        <v>27</v>
      </c>
      <c r="D315" s="13" t="s">
        <v>54</v>
      </c>
      <c r="E315" s="12" t="s">
        <v>112</v>
      </c>
      <c r="F315" s="14">
        <v>0</v>
      </c>
      <c r="G315" s="14">
        <v>0</v>
      </c>
      <c r="H315" s="14">
        <v>0</v>
      </c>
      <c r="I315" s="14">
        <v>0</v>
      </c>
      <c r="J315" s="14">
        <v>0</v>
      </c>
      <c r="K315" s="14">
        <v>0</v>
      </c>
      <c r="L315" s="14">
        <v>0</v>
      </c>
      <c r="M315" s="14">
        <v>0</v>
      </c>
      <c r="N315" s="14"/>
      <c r="O315" s="14"/>
      <c r="P315" s="15"/>
      <c r="Q315" s="16" t="s">
        <v>2994</v>
      </c>
      <c r="R315" s="16" t="s">
        <v>2994</v>
      </c>
      <c r="S315" s="16">
        <v>136949.44</v>
      </c>
      <c r="T315" s="16" t="s">
        <v>2994</v>
      </c>
      <c r="U315" s="16" t="s">
        <v>2994</v>
      </c>
      <c r="V315" s="16" t="s">
        <v>2994</v>
      </c>
      <c r="W315" s="16" t="s">
        <v>2994</v>
      </c>
      <c r="X315" s="16" t="s">
        <v>2994</v>
      </c>
      <c r="Y315" s="3">
        <f t="shared" si="20"/>
        <v>136949.44</v>
      </c>
      <c r="Z315" s="96">
        <f t="array" ref="Z315">SUM(ABS(F315:P315))</f>
        <v>0</v>
      </c>
      <c r="AB315" s="3"/>
      <c r="AC315" s="3"/>
      <c r="AD315" s="95"/>
      <c r="AE315" s="95"/>
      <c r="AF315" s="95"/>
      <c r="AG315" s="95"/>
      <c r="AH315" s="482"/>
      <c r="AI315" s="482"/>
      <c r="AJ315" s="482"/>
      <c r="AK315" s="482"/>
      <c r="AL315" s="482"/>
    </row>
    <row r="316" spans="1:38" x14ac:dyDescent="0.15">
      <c r="A316" s="12" t="s">
        <v>2414</v>
      </c>
      <c r="B316" s="13" t="s">
        <v>2415</v>
      </c>
      <c r="C316" s="13" t="s">
        <v>2373</v>
      </c>
      <c r="D316" s="13" t="s">
        <v>28</v>
      </c>
      <c r="E316" s="12" t="s">
        <v>29</v>
      </c>
      <c r="F316" s="14">
        <v>0</v>
      </c>
      <c r="G316" s="14">
        <v>0</v>
      </c>
      <c r="H316" s="14">
        <v>0</v>
      </c>
      <c r="I316" s="14">
        <v>0</v>
      </c>
      <c r="J316" s="14">
        <v>0</v>
      </c>
      <c r="K316" s="14">
        <v>0</v>
      </c>
      <c r="L316" s="14">
        <v>0</v>
      </c>
      <c r="M316" s="14">
        <v>0</v>
      </c>
      <c r="N316" s="14"/>
      <c r="O316" s="14"/>
      <c r="P316" s="15"/>
      <c r="Q316" s="16">
        <v>1909648.53</v>
      </c>
      <c r="R316" s="16">
        <v>1019378.9</v>
      </c>
      <c r="S316" s="16" t="s">
        <v>2994</v>
      </c>
      <c r="T316" s="16" t="s">
        <v>2994</v>
      </c>
      <c r="U316" s="16" t="s">
        <v>2994</v>
      </c>
      <c r="V316" s="16" t="s">
        <v>2994</v>
      </c>
      <c r="W316" s="16" t="s">
        <v>2994</v>
      </c>
      <c r="X316" s="16" t="s">
        <v>2994</v>
      </c>
      <c r="Y316" s="3">
        <f t="shared" si="20"/>
        <v>2929027.43</v>
      </c>
      <c r="Z316" s="96">
        <f t="array" ref="Z316">SUM(ABS(F316:P316))</f>
        <v>0</v>
      </c>
      <c r="AB316" s="3"/>
      <c r="AC316" s="3"/>
      <c r="AD316" s="95"/>
      <c r="AE316" s="95"/>
      <c r="AF316" s="95"/>
      <c r="AG316" s="95"/>
      <c r="AH316" s="482"/>
      <c r="AI316" s="482"/>
      <c r="AJ316" s="482"/>
      <c r="AK316" s="482"/>
      <c r="AL316" s="482"/>
    </row>
    <row r="317" spans="1:38" x14ac:dyDescent="0.15">
      <c r="A317" s="12" t="s">
        <v>2416</v>
      </c>
      <c r="B317" s="13" t="s">
        <v>2417</v>
      </c>
      <c r="C317" s="13" t="s">
        <v>2373</v>
      </c>
      <c r="D317" s="13" t="s">
        <v>28</v>
      </c>
      <c r="E317" s="12" t="s">
        <v>29</v>
      </c>
      <c r="F317" s="14">
        <v>0</v>
      </c>
      <c r="G317" s="14">
        <v>0</v>
      </c>
      <c r="H317" s="14">
        <v>0</v>
      </c>
      <c r="I317" s="14">
        <v>0</v>
      </c>
      <c r="J317" s="14">
        <v>0</v>
      </c>
      <c r="K317" s="14">
        <v>0</v>
      </c>
      <c r="L317" s="14">
        <v>0</v>
      </c>
      <c r="M317" s="14">
        <v>0</v>
      </c>
      <c r="N317" s="14"/>
      <c r="O317" s="14"/>
      <c r="P317" s="15"/>
      <c r="Q317" s="16">
        <v>122484.25</v>
      </c>
      <c r="R317" s="16">
        <v>385445.8</v>
      </c>
      <c r="S317" s="16" t="s">
        <v>2994</v>
      </c>
      <c r="T317" s="16" t="s">
        <v>2994</v>
      </c>
      <c r="U317" s="16" t="s">
        <v>2994</v>
      </c>
      <c r="V317" s="16" t="s">
        <v>2994</v>
      </c>
      <c r="W317" s="16" t="s">
        <v>2994</v>
      </c>
      <c r="X317" s="16" t="s">
        <v>2994</v>
      </c>
      <c r="Y317" s="3">
        <f t="shared" si="20"/>
        <v>507930.05</v>
      </c>
      <c r="Z317" s="96">
        <f t="array" ref="Z317">SUM(ABS(F317:P317))</f>
        <v>0</v>
      </c>
      <c r="AB317" s="3"/>
      <c r="AC317" s="3"/>
      <c r="AD317" s="95"/>
      <c r="AE317" s="95"/>
      <c r="AF317" s="95"/>
      <c r="AG317" s="95"/>
      <c r="AH317" s="482"/>
      <c r="AI317" s="482"/>
      <c r="AJ317" s="482"/>
      <c r="AK317" s="482"/>
      <c r="AL317" s="482"/>
    </row>
    <row r="318" spans="1:38" x14ac:dyDescent="0.15">
      <c r="A318" s="12" t="s">
        <v>2418</v>
      </c>
      <c r="B318" s="13" t="s">
        <v>2419</v>
      </c>
      <c r="C318" s="13" t="s">
        <v>27</v>
      </c>
      <c r="D318" s="13" t="s">
        <v>28</v>
      </c>
      <c r="E318" s="12" t="s">
        <v>112</v>
      </c>
      <c r="F318" s="14">
        <v>0</v>
      </c>
      <c r="G318" s="14">
        <v>0</v>
      </c>
      <c r="H318" s="14">
        <v>0</v>
      </c>
      <c r="I318" s="14">
        <v>0</v>
      </c>
      <c r="J318" s="14">
        <v>0</v>
      </c>
      <c r="K318" s="14">
        <v>0</v>
      </c>
      <c r="L318" s="14">
        <v>0</v>
      </c>
      <c r="M318" s="14">
        <v>0</v>
      </c>
      <c r="N318" s="14"/>
      <c r="O318" s="14"/>
      <c r="P318" s="15"/>
      <c r="Q318" s="16">
        <v>392.56</v>
      </c>
      <c r="R318" s="16">
        <v>514054.03</v>
      </c>
      <c r="S318" s="16">
        <v>581.34</v>
      </c>
      <c r="T318" s="16" t="s">
        <v>2994</v>
      </c>
      <c r="U318" s="16" t="s">
        <v>2994</v>
      </c>
      <c r="V318" s="16" t="s">
        <v>2994</v>
      </c>
      <c r="W318" s="16" t="s">
        <v>2994</v>
      </c>
      <c r="X318" s="16" t="s">
        <v>2994</v>
      </c>
      <c r="Y318" s="3">
        <f t="shared" si="20"/>
        <v>515027.93000000005</v>
      </c>
      <c r="Z318" s="96">
        <f t="array" ref="Z318">SUM(ABS(F318:P318))</f>
        <v>0</v>
      </c>
      <c r="AB318" s="3"/>
      <c r="AC318" s="3"/>
      <c r="AD318" s="95"/>
      <c r="AE318" s="95"/>
      <c r="AF318" s="95"/>
      <c r="AG318" s="95"/>
      <c r="AH318" s="482"/>
      <c r="AI318" s="482"/>
      <c r="AJ318" s="482"/>
      <c r="AK318" s="482"/>
      <c r="AL318" s="482"/>
    </row>
    <row r="319" spans="1:38" x14ac:dyDescent="0.15">
      <c r="A319" s="12" t="s">
        <v>2421</v>
      </c>
      <c r="B319" s="13" t="s">
        <v>2422</v>
      </c>
      <c r="C319" s="13" t="s">
        <v>27</v>
      </c>
      <c r="D319" s="13" t="s">
        <v>40</v>
      </c>
      <c r="E319" s="12" t="s">
        <v>112</v>
      </c>
      <c r="F319" s="14">
        <v>0</v>
      </c>
      <c r="G319" s="14">
        <v>0</v>
      </c>
      <c r="H319" s="14">
        <v>0</v>
      </c>
      <c r="I319" s="14">
        <v>0</v>
      </c>
      <c r="J319" s="14">
        <v>0</v>
      </c>
      <c r="K319" s="14">
        <v>0</v>
      </c>
      <c r="L319" s="14">
        <v>0</v>
      </c>
      <c r="M319" s="14">
        <v>0</v>
      </c>
      <c r="N319" s="14"/>
      <c r="O319" s="14"/>
      <c r="P319" s="15"/>
      <c r="Q319" s="16" t="s">
        <v>2994</v>
      </c>
      <c r="R319" s="16" t="s">
        <v>2994</v>
      </c>
      <c r="S319" s="16">
        <v>20342.240000000002</v>
      </c>
      <c r="T319" s="16" t="s">
        <v>2994</v>
      </c>
      <c r="U319" s="16">
        <v>138514.82999999999</v>
      </c>
      <c r="V319" s="16">
        <v>1354204.85</v>
      </c>
      <c r="W319" s="16">
        <v>1279448.06</v>
      </c>
      <c r="X319" s="16" t="s">
        <v>2994</v>
      </c>
      <c r="Y319" s="3">
        <f t="shared" si="20"/>
        <v>2792509.9800000004</v>
      </c>
      <c r="Z319" s="96">
        <f t="array" ref="Z319">SUM(ABS(F319:P319))</f>
        <v>0</v>
      </c>
      <c r="AB319" s="3"/>
      <c r="AC319" s="3"/>
      <c r="AD319" s="95"/>
      <c r="AE319" s="95"/>
      <c r="AF319" s="95"/>
      <c r="AG319" s="95"/>
      <c r="AH319" s="482"/>
      <c r="AI319" s="482"/>
      <c r="AJ319" s="482"/>
      <c r="AK319" s="482"/>
      <c r="AL319" s="482"/>
    </row>
    <row r="320" spans="1:38" x14ac:dyDescent="0.15">
      <c r="A320" s="12" t="s">
        <v>2423</v>
      </c>
      <c r="B320" s="13" t="s">
        <v>2424</v>
      </c>
      <c r="C320" s="13" t="s">
        <v>27</v>
      </c>
      <c r="D320" s="13" t="s">
        <v>107</v>
      </c>
      <c r="E320" s="12" t="s">
        <v>29</v>
      </c>
      <c r="F320" s="14">
        <v>0</v>
      </c>
      <c r="G320" s="14">
        <v>0</v>
      </c>
      <c r="H320" s="14">
        <v>0</v>
      </c>
      <c r="I320" s="14">
        <v>0</v>
      </c>
      <c r="J320" s="14">
        <v>0</v>
      </c>
      <c r="K320" s="14">
        <v>0</v>
      </c>
      <c r="L320" s="14">
        <v>0</v>
      </c>
      <c r="M320" s="14">
        <v>0</v>
      </c>
      <c r="N320" s="14"/>
      <c r="O320" s="14"/>
      <c r="P320" s="15"/>
      <c r="Q320" s="16">
        <v>805285.85</v>
      </c>
      <c r="R320" s="16">
        <v>3030863.52</v>
      </c>
      <c r="S320" s="16" t="s">
        <v>2994</v>
      </c>
      <c r="T320" s="16" t="s">
        <v>2994</v>
      </c>
      <c r="U320" s="16" t="s">
        <v>2994</v>
      </c>
      <c r="V320" s="16" t="s">
        <v>2994</v>
      </c>
      <c r="W320" s="16" t="s">
        <v>2994</v>
      </c>
      <c r="X320" s="16" t="s">
        <v>2994</v>
      </c>
      <c r="Y320" s="3">
        <f t="shared" si="20"/>
        <v>3836149.37</v>
      </c>
      <c r="Z320" s="96">
        <f t="array" ref="Z320">SUM(ABS(F320:P320))</f>
        <v>0</v>
      </c>
      <c r="AB320" s="3"/>
      <c r="AC320" s="3"/>
      <c r="AD320" s="95"/>
      <c r="AE320" s="95"/>
      <c r="AF320" s="95"/>
      <c r="AG320" s="95"/>
      <c r="AH320" s="482"/>
      <c r="AI320" s="482"/>
      <c r="AJ320" s="482"/>
      <c r="AK320" s="482"/>
      <c r="AL320" s="482"/>
    </row>
    <row r="321" spans="1:38" x14ac:dyDescent="0.15">
      <c r="A321" s="12" t="s">
        <v>2425</v>
      </c>
      <c r="B321" s="13" t="s">
        <v>2426</v>
      </c>
      <c r="C321" s="13" t="s">
        <v>27</v>
      </c>
      <c r="D321" s="13" t="s">
        <v>40</v>
      </c>
      <c r="E321" s="12" t="s">
        <v>29</v>
      </c>
      <c r="F321" s="14">
        <v>0</v>
      </c>
      <c r="G321" s="14">
        <v>0</v>
      </c>
      <c r="H321" s="14">
        <v>0</v>
      </c>
      <c r="I321" s="14">
        <v>0</v>
      </c>
      <c r="J321" s="14">
        <v>0</v>
      </c>
      <c r="K321" s="14">
        <v>0</v>
      </c>
      <c r="L321" s="14">
        <v>0</v>
      </c>
      <c r="M321" s="14">
        <v>0</v>
      </c>
      <c r="N321" s="14"/>
      <c r="O321" s="14"/>
      <c r="P321" s="15"/>
      <c r="Q321" s="16">
        <v>617043.84</v>
      </c>
      <c r="R321" s="16">
        <v>49303.199999999997</v>
      </c>
      <c r="S321" s="16" t="s">
        <v>2994</v>
      </c>
      <c r="T321" s="16" t="s">
        <v>2994</v>
      </c>
      <c r="U321" s="16" t="s">
        <v>2994</v>
      </c>
      <c r="V321" s="16" t="s">
        <v>2994</v>
      </c>
      <c r="W321" s="16" t="s">
        <v>2994</v>
      </c>
      <c r="X321" s="16" t="s">
        <v>2994</v>
      </c>
      <c r="Y321" s="3">
        <f t="shared" si="20"/>
        <v>666347.03999999992</v>
      </c>
      <c r="Z321" s="96">
        <f t="array" ref="Z321">SUM(ABS(F321:P321))</f>
        <v>0</v>
      </c>
      <c r="AB321" s="3"/>
      <c r="AC321" s="3"/>
      <c r="AD321" s="95"/>
      <c r="AE321" s="95"/>
      <c r="AF321" s="95"/>
      <c r="AG321" s="95"/>
      <c r="AH321" s="482"/>
      <c r="AI321" s="482"/>
      <c r="AJ321" s="482"/>
      <c r="AK321" s="482"/>
      <c r="AL321" s="482"/>
    </row>
    <row r="322" spans="1:38" x14ac:dyDescent="0.15">
      <c r="A322" s="12" t="s">
        <v>2427</v>
      </c>
      <c r="B322" s="13" t="s">
        <v>2428</v>
      </c>
      <c r="C322" s="13" t="s">
        <v>27</v>
      </c>
      <c r="D322" s="13" t="s">
        <v>40</v>
      </c>
      <c r="E322" s="12" t="s">
        <v>112</v>
      </c>
      <c r="F322" s="14">
        <v>0</v>
      </c>
      <c r="G322" s="14">
        <v>0</v>
      </c>
      <c r="H322" s="14">
        <v>0</v>
      </c>
      <c r="I322" s="14">
        <v>0</v>
      </c>
      <c r="J322" s="14">
        <v>0</v>
      </c>
      <c r="K322" s="14">
        <v>0</v>
      </c>
      <c r="L322" s="14">
        <v>0</v>
      </c>
      <c r="M322" s="14">
        <v>0</v>
      </c>
      <c r="N322" s="14"/>
      <c r="O322" s="14"/>
      <c r="P322" s="15"/>
      <c r="Q322" s="16" t="s">
        <v>2994</v>
      </c>
      <c r="R322" s="16" t="s">
        <v>2994</v>
      </c>
      <c r="S322" s="16" t="s">
        <v>2994</v>
      </c>
      <c r="T322" s="16">
        <v>289996.40999999997</v>
      </c>
      <c r="U322" s="16">
        <v>1746240.31</v>
      </c>
      <c r="V322" s="16">
        <v>2049431.53</v>
      </c>
      <c r="W322" s="16">
        <v>2171.1999999999998</v>
      </c>
      <c r="X322" s="16" t="s">
        <v>2994</v>
      </c>
      <c r="Y322" s="3">
        <f t="shared" si="20"/>
        <v>4087839.45</v>
      </c>
      <c r="Z322" s="96">
        <f t="array" ref="Z322">SUM(ABS(F322:P322))</f>
        <v>0</v>
      </c>
      <c r="AB322" s="3"/>
      <c r="AC322" s="3"/>
      <c r="AD322" s="95"/>
      <c r="AE322" s="95"/>
      <c r="AF322" s="95"/>
      <c r="AG322" s="95"/>
      <c r="AH322" s="482"/>
      <c r="AI322" s="482"/>
      <c r="AJ322" s="482"/>
      <c r="AK322" s="482"/>
      <c r="AL322" s="482"/>
    </row>
    <row r="323" spans="1:38" x14ac:dyDescent="0.15">
      <c r="A323" s="12" t="s">
        <v>2431</v>
      </c>
      <c r="B323" s="13" t="s">
        <v>2432</v>
      </c>
      <c r="C323" s="13" t="s">
        <v>27</v>
      </c>
      <c r="D323" s="13" t="s">
        <v>40</v>
      </c>
      <c r="E323" s="12" t="s">
        <v>112</v>
      </c>
      <c r="F323" s="14">
        <v>0</v>
      </c>
      <c r="G323" s="14">
        <v>0</v>
      </c>
      <c r="H323" s="14">
        <v>0</v>
      </c>
      <c r="I323" s="14">
        <v>0</v>
      </c>
      <c r="J323" s="14">
        <v>0</v>
      </c>
      <c r="K323" s="14">
        <v>0</v>
      </c>
      <c r="L323" s="14">
        <v>0</v>
      </c>
      <c r="M323" s="14">
        <v>0</v>
      </c>
      <c r="N323" s="14"/>
      <c r="O323" s="14"/>
      <c r="P323" s="15"/>
      <c r="Q323" s="16" t="s">
        <v>2994</v>
      </c>
      <c r="R323" s="16" t="s">
        <v>2994</v>
      </c>
      <c r="S323" s="16" t="s">
        <v>2994</v>
      </c>
      <c r="T323" s="16" t="s">
        <v>2994</v>
      </c>
      <c r="U323" s="16">
        <v>967953.2</v>
      </c>
      <c r="V323" s="16">
        <v>3952023.75</v>
      </c>
      <c r="W323" s="16" t="s">
        <v>2994</v>
      </c>
      <c r="X323" s="16" t="s">
        <v>2994</v>
      </c>
      <c r="Y323" s="3">
        <f t="shared" si="20"/>
        <v>4919976.95</v>
      </c>
      <c r="Z323" s="96">
        <f t="array" ref="Z323">SUM(ABS(F323:P323))</f>
        <v>0</v>
      </c>
      <c r="AB323" s="3"/>
      <c r="AC323" s="3"/>
      <c r="AD323" s="95"/>
      <c r="AE323" s="95"/>
      <c r="AF323" s="95"/>
      <c r="AG323" s="95"/>
      <c r="AH323" s="482"/>
      <c r="AI323" s="482"/>
      <c r="AJ323" s="482"/>
      <c r="AK323" s="482"/>
      <c r="AL323" s="482"/>
    </row>
    <row r="324" spans="1:38" x14ac:dyDescent="0.15">
      <c r="A324" s="12" t="s">
        <v>2433</v>
      </c>
      <c r="B324" s="13" t="s">
        <v>2434</v>
      </c>
      <c r="C324" s="13" t="s">
        <v>27</v>
      </c>
      <c r="D324" s="13" t="s">
        <v>40</v>
      </c>
      <c r="E324" s="12" t="s">
        <v>32</v>
      </c>
      <c r="F324" s="14">
        <v>0</v>
      </c>
      <c r="G324" s="14">
        <v>0</v>
      </c>
      <c r="H324" s="14">
        <v>0</v>
      </c>
      <c r="I324" s="14">
        <v>0</v>
      </c>
      <c r="J324" s="14">
        <v>0</v>
      </c>
      <c r="K324" s="14">
        <v>0</v>
      </c>
      <c r="L324" s="14">
        <v>0</v>
      </c>
      <c r="M324" s="14">
        <v>0</v>
      </c>
      <c r="N324" s="14"/>
      <c r="O324" s="14"/>
      <c r="P324" s="15"/>
      <c r="Q324" s="16">
        <v>53395.19</v>
      </c>
      <c r="R324" s="16" t="s">
        <v>2994</v>
      </c>
      <c r="S324" s="16" t="s">
        <v>2994</v>
      </c>
      <c r="T324" s="16" t="s">
        <v>2994</v>
      </c>
      <c r="U324" s="16" t="s">
        <v>2994</v>
      </c>
      <c r="V324" s="16" t="s">
        <v>2994</v>
      </c>
      <c r="W324" s="16" t="s">
        <v>2994</v>
      </c>
      <c r="X324" s="16" t="s">
        <v>2994</v>
      </c>
      <c r="Y324" s="3">
        <f t="shared" si="20"/>
        <v>53395.19</v>
      </c>
      <c r="Z324" s="96">
        <f t="array" ref="Z324">SUM(ABS(F324:P324))</f>
        <v>0</v>
      </c>
      <c r="AB324" s="3"/>
      <c r="AC324" s="3"/>
      <c r="AD324" s="95"/>
      <c r="AE324" s="95"/>
      <c r="AF324" s="95"/>
      <c r="AG324" s="95"/>
      <c r="AH324" s="482"/>
      <c r="AI324" s="482"/>
      <c r="AJ324" s="482"/>
      <c r="AK324" s="482"/>
      <c r="AL324" s="482"/>
    </row>
    <row r="325" spans="1:38" x14ac:dyDescent="0.15">
      <c r="A325" s="12" t="s">
        <v>2435</v>
      </c>
      <c r="B325" s="13" t="s">
        <v>2436</v>
      </c>
      <c r="C325" s="13" t="s">
        <v>27</v>
      </c>
      <c r="D325" s="13" t="s">
        <v>107</v>
      </c>
      <c r="E325" s="12" t="s">
        <v>29</v>
      </c>
      <c r="F325" s="14">
        <v>0</v>
      </c>
      <c r="G325" s="14">
        <v>0</v>
      </c>
      <c r="H325" s="14">
        <v>0</v>
      </c>
      <c r="I325" s="14">
        <v>0</v>
      </c>
      <c r="J325" s="14">
        <v>0</v>
      </c>
      <c r="K325" s="14">
        <v>0</v>
      </c>
      <c r="L325" s="14">
        <v>0</v>
      </c>
      <c r="M325" s="14">
        <v>0</v>
      </c>
      <c r="N325" s="14"/>
      <c r="O325" s="14"/>
      <c r="P325" s="15"/>
      <c r="Q325" s="16">
        <v>130000</v>
      </c>
      <c r="R325" s="16" t="s">
        <v>2994</v>
      </c>
      <c r="S325" s="16" t="s">
        <v>2994</v>
      </c>
      <c r="T325" s="16" t="s">
        <v>2994</v>
      </c>
      <c r="U325" s="16" t="s">
        <v>2994</v>
      </c>
      <c r="V325" s="16" t="s">
        <v>2994</v>
      </c>
      <c r="W325" s="16" t="s">
        <v>2994</v>
      </c>
      <c r="X325" s="16" t="s">
        <v>2994</v>
      </c>
      <c r="Y325" s="3">
        <f t="shared" si="20"/>
        <v>130000</v>
      </c>
      <c r="Z325" s="96">
        <f t="array" ref="Z325">SUM(ABS(F325:P325))</f>
        <v>0</v>
      </c>
      <c r="AB325" s="3"/>
      <c r="AC325" s="3"/>
      <c r="AD325" s="95"/>
      <c r="AE325" s="95"/>
      <c r="AF325" s="95"/>
      <c r="AG325" s="95"/>
      <c r="AH325" s="482"/>
      <c r="AI325" s="482"/>
      <c r="AJ325" s="482"/>
      <c r="AK325" s="482"/>
      <c r="AL325" s="482"/>
    </row>
    <row r="326" spans="1:38" x14ac:dyDescent="0.15">
      <c r="A326" s="12" t="s">
        <v>2437</v>
      </c>
      <c r="B326" s="13" t="s">
        <v>2438</v>
      </c>
      <c r="C326" s="13" t="s">
        <v>27</v>
      </c>
      <c r="D326" s="13" t="s">
        <v>54</v>
      </c>
      <c r="E326" s="12" t="s">
        <v>29</v>
      </c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5"/>
      <c r="Q326" s="16">
        <v>266401.17</v>
      </c>
      <c r="R326" s="16">
        <v>33362.35</v>
      </c>
      <c r="S326" s="16" t="s">
        <v>2994</v>
      </c>
      <c r="T326" s="16" t="s">
        <v>2994</v>
      </c>
      <c r="U326" s="16" t="s">
        <v>2994</v>
      </c>
      <c r="V326" s="16" t="s">
        <v>2994</v>
      </c>
      <c r="W326" s="16" t="s">
        <v>2994</v>
      </c>
      <c r="X326" s="16" t="s">
        <v>2994</v>
      </c>
      <c r="Y326" s="3">
        <f t="shared" si="20"/>
        <v>299763.51999999996</v>
      </c>
      <c r="Z326" s="96">
        <f t="array" ref="Z326">SUM(ABS(F326:P326))</f>
        <v>0</v>
      </c>
      <c r="AB326" s="3"/>
      <c r="AC326" s="3"/>
      <c r="AD326" s="95"/>
      <c r="AE326" s="95"/>
      <c r="AF326" s="95"/>
      <c r="AG326" s="95"/>
      <c r="AH326" s="482"/>
      <c r="AI326" s="482"/>
      <c r="AJ326" s="482"/>
      <c r="AK326" s="482"/>
      <c r="AL326" s="482"/>
    </row>
    <row r="327" spans="1:38" x14ac:dyDescent="0.15">
      <c r="A327" s="12" t="s">
        <v>2439</v>
      </c>
      <c r="B327" s="13" t="s">
        <v>2440</v>
      </c>
      <c r="C327" s="13" t="s">
        <v>27</v>
      </c>
      <c r="D327" s="13" t="s">
        <v>36</v>
      </c>
      <c r="E327" s="12" t="s">
        <v>29</v>
      </c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5"/>
      <c r="Q327" s="16">
        <v>1000007.56</v>
      </c>
      <c r="R327" s="16">
        <v>3513067.5</v>
      </c>
      <c r="S327" s="16" t="s">
        <v>2994</v>
      </c>
      <c r="T327" s="16" t="s">
        <v>2994</v>
      </c>
      <c r="U327" s="16" t="s">
        <v>2994</v>
      </c>
      <c r="V327" s="16" t="s">
        <v>2994</v>
      </c>
      <c r="W327" s="16" t="s">
        <v>2994</v>
      </c>
      <c r="X327" s="16" t="s">
        <v>2994</v>
      </c>
      <c r="Y327" s="3">
        <f t="shared" si="20"/>
        <v>4513075.0600000005</v>
      </c>
      <c r="Z327" s="96">
        <f t="array" ref="Z327">SUM(ABS(F327:P327))</f>
        <v>0</v>
      </c>
      <c r="AB327" s="3"/>
      <c r="AC327" s="3"/>
      <c r="AD327" s="95"/>
      <c r="AE327" s="95"/>
      <c r="AF327" s="95"/>
      <c r="AG327" s="95"/>
      <c r="AH327" s="482"/>
      <c r="AI327" s="482"/>
      <c r="AJ327" s="482"/>
      <c r="AK327" s="482"/>
      <c r="AL327" s="482"/>
    </row>
    <row r="328" spans="1:38" x14ac:dyDescent="0.15">
      <c r="A328" s="12" t="s">
        <v>2441</v>
      </c>
      <c r="B328" s="13" t="s">
        <v>2442</v>
      </c>
      <c r="C328" s="13" t="s">
        <v>27</v>
      </c>
      <c r="D328" s="13" t="s">
        <v>60</v>
      </c>
      <c r="E328" s="12" t="s">
        <v>29</v>
      </c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5"/>
      <c r="Q328" s="16">
        <v>699288.29</v>
      </c>
      <c r="R328" s="16">
        <v>2272539.63</v>
      </c>
      <c r="S328" s="16" t="s">
        <v>2994</v>
      </c>
      <c r="T328" s="16" t="s">
        <v>2994</v>
      </c>
      <c r="U328" s="16" t="s">
        <v>2994</v>
      </c>
      <c r="V328" s="16" t="s">
        <v>2994</v>
      </c>
      <c r="W328" s="16" t="s">
        <v>2994</v>
      </c>
      <c r="X328" s="16" t="s">
        <v>2994</v>
      </c>
      <c r="Y328" s="3">
        <f t="shared" si="20"/>
        <v>2971827.92</v>
      </c>
      <c r="Z328" s="96">
        <f t="array" ref="Z328">SUM(ABS(F328:P328))</f>
        <v>0</v>
      </c>
      <c r="AB328" s="3"/>
      <c r="AC328" s="3"/>
      <c r="AD328" s="95"/>
      <c r="AE328" s="95"/>
      <c r="AF328" s="95"/>
      <c r="AG328" s="95"/>
      <c r="AH328" s="482"/>
      <c r="AI328" s="482"/>
      <c r="AJ328" s="482"/>
      <c r="AK328" s="482"/>
      <c r="AL328" s="482"/>
    </row>
    <row r="329" spans="1:38" x14ac:dyDescent="0.15">
      <c r="A329" s="91" t="s">
        <v>2607</v>
      </c>
      <c r="B329" s="91" t="s">
        <v>2608</v>
      </c>
      <c r="C329" s="91" t="s">
        <v>27</v>
      </c>
      <c r="D329" s="13" t="s">
        <v>28</v>
      </c>
      <c r="E329" s="91" t="s">
        <v>29</v>
      </c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5"/>
      <c r="Q329" s="16">
        <v>167733.92000000001</v>
      </c>
      <c r="R329" s="16">
        <v>3326993.46</v>
      </c>
      <c r="S329" s="16">
        <v>520734.82</v>
      </c>
      <c r="T329" s="16" t="s">
        <v>2994</v>
      </c>
      <c r="U329" s="16" t="s">
        <v>2994</v>
      </c>
      <c r="V329" s="16" t="s">
        <v>2994</v>
      </c>
      <c r="W329" s="16" t="s">
        <v>2994</v>
      </c>
      <c r="X329" s="16" t="s">
        <v>2994</v>
      </c>
      <c r="Y329" s="3">
        <f t="shared" si="20"/>
        <v>4015462.1999999997</v>
      </c>
      <c r="Z329" s="96">
        <f t="array" ref="Z329">SUM(ABS(F329:P329))</f>
        <v>0</v>
      </c>
      <c r="AB329" s="3"/>
      <c r="AC329" s="3"/>
      <c r="AD329" s="95"/>
      <c r="AE329" s="95"/>
      <c r="AF329" s="95"/>
      <c r="AG329" s="95"/>
      <c r="AH329" s="482"/>
      <c r="AI329" s="482"/>
      <c r="AJ329" s="482"/>
      <c r="AK329" s="482"/>
      <c r="AL329" s="482"/>
    </row>
    <row r="330" spans="1:38" x14ac:dyDescent="0.15">
      <c r="A330" s="91" t="s">
        <v>2609</v>
      </c>
      <c r="B330" s="91" t="s">
        <v>2610</v>
      </c>
      <c r="C330" s="91" t="s">
        <v>27</v>
      </c>
      <c r="D330" s="13" t="s">
        <v>28</v>
      </c>
      <c r="E330" s="91" t="s">
        <v>29</v>
      </c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5"/>
      <c r="Q330" s="16">
        <v>219065.98</v>
      </c>
      <c r="R330" s="16">
        <v>5262927.29</v>
      </c>
      <c r="S330" s="16">
        <v>1014256.16</v>
      </c>
      <c r="T330" s="16" t="s">
        <v>2994</v>
      </c>
      <c r="U330" s="16" t="s">
        <v>2994</v>
      </c>
      <c r="V330" s="16" t="s">
        <v>2994</v>
      </c>
      <c r="W330" s="16" t="s">
        <v>2994</v>
      </c>
      <c r="X330" s="16" t="s">
        <v>2994</v>
      </c>
      <c r="Y330" s="3">
        <f t="shared" si="20"/>
        <v>6496249.4300000006</v>
      </c>
      <c r="Z330" s="96">
        <f t="array" ref="Z330">SUM(ABS(F330:P330))</f>
        <v>0</v>
      </c>
      <c r="AB330" s="3"/>
      <c r="AC330" s="3"/>
      <c r="AD330" s="95"/>
      <c r="AE330" s="95"/>
      <c r="AF330" s="95"/>
      <c r="AG330" s="95"/>
      <c r="AH330" s="482"/>
      <c r="AI330" s="482"/>
      <c r="AJ330" s="482"/>
      <c r="AK330" s="482"/>
      <c r="AL330" s="482"/>
    </row>
    <row r="331" spans="1:38" x14ac:dyDescent="0.15">
      <c r="A331" s="91" t="s">
        <v>2611</v>
      </c>
      <c r="B331" s="91" t="s">
        <v>2612</v>
      </c>
      <c r="C331" s="91" t="s">
        <v>27</v>
      </c>
      <c r="D331" s="13" t="s">
        <v>54</v>
      </c>
      <c r="E331" s="91" t="s">
        <v>112</v>
      </c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5"/>
      <c r="Q331" s="16" t="s">
        <v>2994</v>
      </c>
      <c r="R331" s="16">
        <v>21824.36</v>
      </c>
      <c r="S331" s="16">
        <v>407980</v>
      </c>
      <c r="T331" s="16" t="s">
        <v>2994</v>
      </c>
      <c r="U331" s="16" t="s">
        <v>2994</v>
      </c>
      <c r="V331" s="16" t="s">
        <v>2994</v>
      </c>
      <c r="W331" s="16" t="s">
        <v>2994</v>
      </c>
      <c r="X331" s="16" t="s">
        <v>2994</v>
      </c>
      <c r="Y331" s="3">
        <f t="shared" si="20"/>
        <v>429804.36</v>
      </c>
      <c r="Z331" s="96">
        <f t="array" ref="Z331">SUM(ABS(F331:P331))</f>
        <v>0</v>
      </c>
      <c r="AB331" s="3"/>
      <c r="AC331" s="3"/>
      <c r="AD331" s="95"/>
      <c r="AE331" s="95"/>
      <c r="AF331" s="95"/>
      <c r="AG331" s="95"/>
      <c r="AH331" s="482"/>
      <c r="AI331" s="482"/>
      <c r="AJ331" s="482"/>
      <c r="AK331" s="482"/>
      <c r="AL331" s="482"/>
    </row>
    <row r="332" spans="1:38" x14ac:dyDescent="0.15">
      <c r="A332" s="91" t="s">
        <v>2613</v>
      </c>
      <c r="B332" s="91" t="s">
        <v>2614</v>
      </c>
      <c r="C332" s="91" t="s">
        <v>27</v>
      </c>
      <c r="D332" s="13" t="s">
        <v>40</v>
      </c>
      <c r="E332" s="91" t="s">
        <v>29</v>
      </c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5"/>
      <c r="Q332" s="16">
        <v>446096.27</v>
      </c>
      <c r="R332" s="16">
        <v>553903.76</v>
      </c>
      <c r="S332" s="16" t="s">
        <v>2994</v>
      </c>
      <c r="T332" s="16" t="s">
        <v>2994</v>
      </c>
      <c r="U332" s="16" t="s">
        <v>2994</v>
      </c>
      <c r="V332" s="16" t="s">
        <v>2994</v>
      </c>
      <c r="W332" s="16" t="s">
        <v>2994</v>
      </c>
      <c r="X332" s="16" t="s">
        <v>2994</v>
      </c>
      <c r="Y332" s="3">
        <f t="shared" si="20"/>
        <v>1000000.03</v>
      </c>
      <c r="Z332" s="96">
        <f t="array" ref="Z332">SUM(ABS(F332:P332))</f>
        <v>0</v>
      </c>
      <c r="AB332" s="3"/>
      <c r="AC332" s="3"/>
      <c r="AD332" s="95"/>
      <c r="AE332" s="95"/>
      <c r="AF332" s="95"/>
      <c r="AG332" s="95"/>
      <c r="AH332" s="482"/>
      <c r="AI332" s="482"/>
      <c r="AJ332" s="482"/>
      <c r="AK332" s="482"/>
      <c r="AL332" s="482"/>
    </row>
    <row r="333" spans="1:38" x14ac:dyDescent="0.15">
      <c r="A333" s="91" t="s">
        <v>2615</v>
      </c>
      <c r="B333" s="91" t="s">
        <v>2616</v>
      </c>
      <c r="C333" s="91" t="s">
        <v>27</v>
      </c>
      <c r="D333" s="13" t="s">
        <v>54</v>
      </c>
      <c r="E333" s="91" t="s">
        <v>29</v>
      </c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5"/>
      <c r="Q333" s="16">
        <v>96525.57</v>
      </c>
      <c r="R333" s="16">
        <v>3056475.72</v>
      </c>
      <c r="S333" s="16">
        <v>71197</v>
      </c>
      <c r="T333" s="16" t="s">
        <v>2994</v>
      </c>
      <c r="U333" s="16" t="s">
        <v>2994</v>
      </c>
      <c r="V333" s="16" t="s">
        <v>2994</v>
      </c>
      <c r="W333" s="16" t="s">
        <v>2994</v>
      </c>
      <c r="X333" s="16" t="s">
        <v>2994</v>
      </c>
      <c r="Y333" s="3">
        <f t="shared" si="20"/>
        <v>3224198.29</v>
      </c>
      <c r="Z333" s="96">
        <f t="array" ref="Z333">SUM(ABS(F333:P333))</f>
        <v>0</v>
      </c>
      <c r="AB333" s="3"/>
      <c r="AC333" s="3"/>
      <c r="AD333" s="95"/>
      <c r="AE333" s="95"/>
      <c r="AF333" s="95"/>
      <c r="AG333" s="95"/>
      <c r="AH333" s="482"/>
      <c r="AI333" s="482"/>
      <c r="AJ333" s="482"/>
      <c r="AK333" s="482"/>
      <c r="AL333" s="482"/>
    </row>
    <row r="334" spans="1:38" x14ac:dyDescent="0.15">
      <c r="A334" s="91" t="s">
        <v>2617</v>
      </c>
      <c r="B334" s="91" t="s">
        <v>2618</v>
      </c>
      <c r="C334" s="91" t="s">
        <v>27</v>
      </c>
      <c r="D334" s="13" t="s">
        <v>54</v>
      </c>
      <c r="E334" s="91" t="s">
        <v>112</v>
      </c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5"/>
      <c r="Q334" s="16">
        <v>138549.64000000001</v>
      </c>
      <c r="R334" s="16">
        <v>2647570.69</v>
      </c>
      <c r="S334" s="16" t="s">
        <v>2994</v>
      </c>
      <c r="T334" s="16" t="s">
        <v>2994</v>
      </c>
      <c r="U334" s="16" t="s">
        <v>2994</v>
      </c>
      <c r="V334" s="16" t="s">
        <v>2994</v>
      </c>
      <c r="W334" s="16" t="s">
        <v>2994</v>
      </c>
      <c r="X334" s="16" t="s">
        <v>2994</v>
      </c>
      <c r="Y334" s="3">
        <f t="shared" si="20"/>
        <v>2786120.33</v>
      </c>
      <c r="Z334" s="96">
        <f t="array" ref="Z334">SUM(ABS(F334:P334))</f>
        <v>0</v>
      </c>
      <c r="AB334" s="3"/>
      <c r="AC334" s="3"/>
      <c r="AD334" s="95"/>
      <c r="AE334" s="95"/>
      <c r="AF334" s="95"/>
      <c r="AG334" s="95"/>
      <c r="AH334" s="482"/>
      <c r="AI334" s="482"/>
      <c r="AJ334" s="482"/>
      <c r="AK334" s="482"/>
      <c r="AL334" s="482"/>
    </row>
    <row r="335" spans="1:38" x14ac:dyDescent="0.15">
      <c r="A335" s="91" t="s">
        <v>2619</v>
      </c>
      <c r="B335" s="91" t="s">
        <v>2620</v>
      </c>
      <c r="C335" s="91" t="s">
        <v>27</v>
      </c>
      <c r="D335" s="13" t="s">
        <v>54</v>
      </c>
      <c r="E335" s="91" t="s">
        <v>112</v>
      </c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5"/>
      <c r="Q335" s="16">
        <v>69224.160000000003</v>
      </c>
      <c r="R335" s="16">
        <v>1330938.9099999999</v>
      </c>
      <c r="S335" s="16" t="s">
        <v>2994</v>
      </c>
      <c r="T335" s="16" t="s">
        <v>2994</v>
      </c>
      <c r="U335" s="16" t="s">
        <v>2994</v>
      </c>
      <c r="V335" s="16" t="s">
        <v>2994</v>
      </c>
      <c r="W335" s="16" t="s">
        <v>2994</v>
      </c>
      <c r="X335" s="16" t="s">
        <v>2994</v>
      </c>
      <c r="Y335" s="3">
        <f t="shared" si="20"/>
        <v>1400163.0699999998</v>
      </c>
      <c r="Z335" s="96">
        <f t="array" ref="Z335">SUM(ABS(F335:P335))</f>
        <v>0</v>
      </c>
      <c r="AB335" s="3"/>
      <c r="AC335" s="3"/>
      <c r="AD335" s="95"/>
      <c r="AE335" s="95"/>
      <c r="AF335" s="95"/>
      <c r="AG335" s="95"/>
      <c r="AH335" s="482"/>
      <c r="AI335" s="482"/>
      <c r="AJ335" s="482"/>
      <c r="AK335" s="482"/>
      <c r="AL335" s="482"/>
    </row>
    <row r="336" spans="1:38" x14ac:dyDescent="0.15">
      <c r="A336" s="91" t="s">
        <v>2636</v>
      </c>
      <c r="B336" s="91" t="s">
        <v>2637</v>
      </c>
      <c r="C336" s="91" t="s">
        <v>27</v>
      </c>
      <c r="D336" s="13" t="s">
        <v>54</v>
      </c>
      <c r="E336" s="91" t="s">
        <v>112</v>
      </c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5"/>
      <c r="Q336" s="16">
        <v>102041.87</v>
      </c>
      <c r="R336" s="16">
        <v>1136042.69</v>
      </c>
      <c r="S336" s="16">
        <v>587.35</v>
      </c>
      <c r="T336" s="16" t="s">
        <v>2994</v>
      </c>
      <c r="U336" s="16" t="s">
        <v>2994</v>
      </c>
      <c r="V336" s="16" t="s">
        <v>2994</v>
      </c>
      <c r="W336" s="16" t="s">
        <v>2994</v>
      </c>
      <c r="X336" s="16" t="s">
        <v>2994</v>
      </c>
      <c r="Y336" s="3">
        <f t="shared" si="20"/>
        <v>1238671.9100000001</v>
      </c>
      <c r="Z336" s="96">
        <f t="array" ref="Z336">SUM(ABS(F336:P336))</f>
        <v>0</v>
      </c>
      <c r="AB336" s="3"/>
      <c r="AC336" s="3"/>
      <c r="AD336" s="95"/>
      <c r="AE336" s="95"/>
      <c r="AF336" s="95"/>
      <c r="AG336" s="95"/>
      <c r="AH336" s="482"/>
      <c r="AI336" s="482"/>
      <c r="AJ336" s="482"/>
      <c r="AK336" s="482"/>
      <c r="AL336" s="482"/>
    </row>
    <row r="337" spans="1:39" x14ac:dyDescent="0.15">
      <c r="A337" s="91" t="s">
        <v>2638</v>
      </c>
      <c r="B337" s="91" t="s">
        <v>2639</v>
      </c>
      <c r="C337" s="91" t="s">
        <v>27</v>
      </c>
      <c r="D337" s="13" t="s">
        <v>40</v>
      </c>
      <c r="E337" s="91" t="s">
        <v>112</v>
      </c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5"/>
      <c r="Q337" s="16" t="s">
        <v>2994</v>
      </c>
      <c r="R337" s="16" t="s">
        <v>2994</v>
      </c>
      <c r="S337" s="16" t="s">
        <v>2994</v>
      </c>
      <c r="T337" s="16" t="s">
        <v>2994</v>
      </c>
      <c r="U337" s="16">
        <v>77392.25</v>
      </c>
      <c r="V337" s="16">
        <v>857413.96</v>
      </c>
      <c r="W337" s="16">
        <v>428860.49</v>
      </c>
      <c r="X337" s="16" t="s">
        <v>2994</v>
      </c>
      <c r="Y337" s="3">
        <f t="shared" si="20"/>
        <v>1363666.7</v>
      </c>
      <c r="Z337" s="96">
        <f t="array" ref="Z337">SUM(ABS(F337:P337))</f>
        <v>0</v>
      </c>
      <c r="AB337" s="3"/>
      <c r="AC337" s="3"/>
      <c r="AD337" s="95"/>
      <c r="AE337" s="95"/>
      <c r="AF337" s="95"/>
      <c r="AG337" s="95"/>
      <c r="AH337" s="482"/>
      <c r="AI337" s="482"/>
      <c r="AJ337" s="482"/>
      <c r="AK337" s="482"/>
      <c r="AL337" s="482"/>
    </row>
    <row r="338" spans="1:39" x14ac:dyDescent="0.15">
      <c r="A338" s="91" t="s">
        <v>2640</v>
      </c>
      <c r="B338" s="91" t="s">
        <v>2641</v>
      </c>
      <c r="C338" s="91" t="s">
        <v>27</v>
      </c>
      <c r="D338" s="13" t="s">
        <v>54</v>
      </c>
      <c r="E338" s="91" t="s">
        <v>112</v>
      </c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5"/>
      <c r="Q338" s="16">
        <v>19233.89</v>
      </c>
      <c r="R338" s="16">
        <v>1127962.25</v>
      </c>
      <c r="S338" s="16" t="s">
        <v>2994</v>
      </c>
      <c r="T338" s="16" t="s">
        <v>2994</v>
      </c>
      <c r="U338" s="16" t="s">
        <v>2994</v>
      </c>
      <c r="V338" s="16" t="s">
        <v>2994</v>
      </c>
      <c r="W338" s="16" t="s">
        <v>2994</v>
      </c>
      <c r="X338" s="16" t="s">
        <v>2994</v>
      </c>
      <c r="Y338" s="3">
        <f t="shared" si="20"/>
        <v>1147196.1399999999</v>
      </c>
      <c r="Z338" s="96">
        <f t="array" ref="Z338">SUM(ABS(F338:P338))</f>
        <v>0</v>
      </c>
      <c r="AB338" s="3"/>
      <c r="AC338" s="3"/>
      <c r="AD338" s="95"/>
      <c r="AE338" s="95"/>
      <c r="AF338" s="95"/>
      <c r="AG338" s="95"/>
      <c r="AH338" s="482"/>
      <c r="AI338" s="482"/>
      <c r="AJ338" s="482"/>
      <c r="AK338" s="482"/>
      <c r="AL338" s="482"/>
    </row>
    <row r="339" spans="1:39" x14ac:dyDescent="0.15">
      <c r="A339" s="91" t="s">
        <v>2642</v>
      </c>
      <c r="B339" s="91" t="s">
        <v>2643</v>
      </c>
      <c r="C339" s="91" t="s">
        <v>27</v>
      </c>
      <c r="D339" s="91" t="s">
        <v>40</v>
      </c>
      <c r="E339" s="91" t="s">
        <v>112</v>
      </c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5"/>
      <c r="Q339" s="16" t="s">
        <v>2994</v>
      </c>
      <c r="R339" s="16" t="s">
        <v>2994</v>
      </c>
      <c r="S339" s="16">
        <v>461509.82</v>
      </c>
      <c r="T339" s="16">
        <v>429496.12</v>
      </c>
      <c r="U339" s="16">
        <v>437658.52</v>
      </c>
      <c r="V339" s="16">
        <v>449021.82</v>
      </c>
      <c r="W339" s="16">
        <v>361750.28</v>
      </c>
      <c r="X339" s="16" t="s">
        <v>2994</v>
      </c>
      <c r="Y339" s="3">
        <f t="shared" si="20"/>
        <v>2139436.56</v>
      </c>
      <c r="Z339" s="96">
        <f t="array" ref="Z339">SUM(ABS(F339:P339))</f>
        <v>0</v>
      </c>
      <c r="AB339" s="3"/>
      <c r="AC339" s="3"/>
      <c r="AD339" s="95"/>
      <c r="AE339" s="95"/>
      <c r="AF339" s="95"/>
      <c r="AG339" s="95"/>
      <c r="AH339" s="482"/>
      <c r="AI339" s="482"/>
      <c r="AJ339" s="482"/>
      <c r="AK339" s="482"/>
      <c r="AL339" s="482"/>
    </row>
    <row r="340" spans="1:39" x14ac:dyDescent="0.15">
      <c r="A340" s="91" t="s">
        <v>2644</v>
      </c>
      <c r="B340" s="91" t="s">
        <v>2645</v>
      </c>
      <c r="C340" s="91" t="s">
        <v>27</v>
      </c>
      <c r="D340" s="91" t="s">
        <v>54</v>
      </c>
      <c r="E340" s="91" t="s">
        <v>112</v>
      </c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5"/>
      <c r="Q340" s="16">
        <v>6872.21</v>
      </c>
      <c r="R340" s="16">
        <v>666913.4</v>
      </c>
      <c r="S340" s="16" t="s">
        <v>2994</v>
      </c>
      <c r="T340" s="16" t="s">
        <v>2994</v>
      </c>
      <c r="U340" s="16" t="s">
        <v>2994</v>
      </c>
      <c r="V340" s="16" t="s">
        <v>2994</v>
      </c>
      <c r="W340" s="16" t="s">
        <v>2994</v>
      </c>
      <c r="X340" s="16" t="s">
        <v>2994</v>
      </c>
      <c r="Y340" s="3">
        <f t="shared" si="20"/>
        <v>673785.61</v>
      </c>
      <c r="Z340" s="96">
        <f t="array" ref="Z340">SUM(ABS(F340:P340))</f>
        <v>0</v>
      </c>
      <c r="AB340" s="3"/>
      <c r="AC340" s="3"/>
      <c r="AD340" s="95"/>
      <c r="AE340" s="95"/>
      <c r="AF340" s="95"/>
      <c r="AG340" s="95"/>
      <c r="AH340" s="482"/>
      <c r="AI340" s="482"/>
      <c r="AJ340" s="482"/>
      <c r="AK340" s="482"/>
      <c r="AL340" s="482"/>
    </row>
    <row r="341" spans="1:39" x14ac:dyDescent="0.15">
      <c r="A341" s="91" t="s">
        <v>2646</v>
      </c>
      <c r="B341" s="91" t="s">
        <v>2647</v>
      </c>
      <c r="C341" s="91" t="s">
        <v>27</v>
      </c>
      <c r="D341" s="91" t="s">
        <v>54</v>
      </c>
      <c r="E341" s="91" t="s">
        <v>112</v>
      </c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5"/>
      <c r="Q341" s="16">
        <v>110830.64</v>
      </c>
      <c r="R341" s="16">
        <v>1999041.46</v>
      </c>
      <c r="S341" s="16">
        <v>2628692.35</v>
      </c>
      <c r="T341" s="16">
        <v>644330.27</v>
      </c>
      <c r="U341" s="16" t="s">
        <v>2994</v>
      </c>
      <c r="V341" s="16" t="s">
        <v>2994</v>
      </c>
      <c r="W341" s="16" t="s">
        <v>2994</v>
      </c>
      <c r="X341" s="16" t="s">
        <v>2994</v>
      </c>
      <c r="Y341" s="3">
        <f t="shared" si="20"/>
        <v>5382894.7200000007</v>
      </c>
      <c r="Z341" s="96">
        <f t="array" ref="Z341">SUM(ABS(F341:P341))</f>
        <v>0</v>
      </c>
      <c r="AB341" s="3"/>
      <c r="AC341" s="3"/>
      <c r="AD341" s="95"/>
      <c r="AE341" s="95"/>
      <c r="AF341" s="95"/>
      <c r="AG341" s="95"/>
      <c r="AH341" s="482"/>
      <c r="AI341" s="482"/>
      <c r="AJ341" s="482"/>
      <c r="AK341" s="482"/>
      <c r="AL341" s="482"/>
    </row>
    <row r="342" spans="1:39" x14ac:dyDescent="0.15">
      <c r="A342" s="91" t="s">
        <v>2648</v>
      </c>
      <c r="B342" s="91" t="s">
        <v>2649</v>
      </c>
      <c r="C342" s="91" t="s">
        <v>27</v>
      </c>
      <c r="D342" s="91" t="s">
        <v>54</v>
      </c>
      <c r="E342" s="91" t="s">
        <v>112</v>
      </c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5"/>
      <c r="Q342" s="16" t="s">
        <v>2994</v>
      </c>
      <c r="R342" s="16" t="s">
        <v>2994</v>
      </c>
      <c r="S342" s="16">
        <v>4203342.25</v>
      </c>
      <c r="T342" s="16">
        <v>3593894.39</v>
      </c>
      <c r="U342" s="16" t="s">
        <v>2994</v>
      </c>
      <c r="V342" s="16" t="s">
        <v>2994</v>
      </c>
      <c r="W342" s="16" t="s">
        <v>2994</v>
      </c>
      <c r="X342" s="16" t="s">
        <v>2994</v>
      </c>
      <c r="Y342" s="3">
        <f t="shared" si="20"/>
        <v>7797236.6400000006</v>
      </c>
      <c r="Z342" s="96">
        <f t="array" ref="Z342">SUM(ABS(F342:P342))</f>
        <v>0</v>
      </c>
      <c r="AB342" s="3"/>
      <c r="AC342" s="3"/>
      <c r="AD342" s="95"/>
      <c r="AE342" s="95"/>
      <c r="AF342" s="95"/>
      <c r="AG342" s="95"/>
      <c r="AH342" s="482"/>
      <c r="AI342" s="482"/>
      <c r="AJ342" s="482"/>
      <c r="AK342" s="482"/>
      <c r="AL342" s="482"/>
    </row>
    <row r="343" spans="1:39" x14ac:dyDescent="0.15">
      <c r="A343" s="91" t="s">
        <v>2650</v>
      </c>
      <c r="B343" s="91" t="s">
        <v>2651</v>
      </c>
      <c r="C343" s="91" t="s">
        <v>27</v>
      </c>
      <c r="D343" s="91" t="s">
        <v>54</v>
      </c>
      <c r="E343" s="91" t="s">
        <v>112</v>
      </c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5"/>
      <c r="Q343" s="16">
        <v>134979.29</v>
      </c>
      <c r="R343" s="16">
        <v>2603925.25</v>
      </c>
      <c r="S343" s="16" t="s">
        <v>2994</v>
      </c>
      <c r="T343" s="16" t="s">
        <v>2994</v>
      </c>
      <c r="U343" s="16" t="s">
        <v>2994</v>
      </c>
      <c r="V343" s="16" t="s">
        <v>2994</v>
      </c>
      <c r="W343" s="16" t="s">
        <v>2994</v>
      </c>
      <c r="X343" s="16" t="s">
        <v>2994</v>
      </c>
      <c r="Y343" s="3">
        <f t="shared" si="20"/>
        <v>2738904.54</v>
      </c>
      <c r="Z343" s="96">
        <f t="array" ref="Z343">SUM(ABS(F343:P343))</f>
        <v>0</v>
      </c>
      <c r="AB343" s="3"/>
      <c r="AC343" s="3"/>
      <c r="AD343" s="95"/>
      <c r="AE343" s="95"/>
      <c r="AF343" s="95"/>
      <c r="AG343" s="95"/>
      <c r="AH343" s="482"/>
      <c r="AI343" s="482"/>
      <c r="AJ343" s="482"/>
      <c r="AK343" s="482"/>
      <c r="AL343" s="482"/>
    </row>
    <row r="344" spans="1:39" x14ac:dyDescent="0.15">
      <c r="A344" s="91" t="s">
        <v>2653</v>
      </c>
      <c r="B344" s="91" t="s">
        <v>2654</v>
      </c>
      <c r="C344" s="91" t="s">
        <v>27</v>
      </c>
      <c r="D344" s="91" t="s">
        <v>54</v>
      </c>
      <c r="E344" s="91" t="s">
        <v>112</v>
      </c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5"/>
      <c r="Q344" s="16" t="s">
        <v>2994</v>
      </c>
      <c r="R344" s="16" t="s">
        <v>2994</v>
      </c>
      <c r="S344" s="16">
        <v>1622577.65</v>
      </c>
      <c r="T344" s="16">
        <v>2070239.02</v>
      </c>
      <c r="U344" s="16" t="s">
        <v>2994</v>
      </c>
      <c r="V344" s="16" t="s">
        <v>2994</v>
      </c>
      <c r="W344" s="16" t="s">
        <v>2994</v>
      </c>
      <c r="X344" s="16" t="s">
        <v>2994</v>
      </c>
      <c r="Y344" s="3">
        <f t="shared" si="20"/>
        <v>3692816.67</v>
      </c>
      <c r="Z344" s="96">
        <f t="array" ref="Z344">SUM(ABS(F344:P344))</f>
        <v>0</v>
      </c>
      <c r="AB344" s="3"/>
      <c r="AC344" s="3"/>
      <c r="AD344" s="95"/>
      <c r="AE344" s="95"/>
      <c r="AF344" s="95"/>
      <c r="AG344" s="95"/>
      <c r="AH344" s="482"/>
      <c r="AI344" s="482"/>
      <c r="AJ344" s="482"/>
      <c r="AK344" s="482"/>
      <c r="AL344" s="482"/>
    </row>
    <row r="345" spans="1:39" x14ac:dyDescent="0.15">
      <c r="A345" s="91" t="s">
        <v>2655</v>
      </c>
      <c r="B345" s="91" t="s">
        <v>2656</v>
      </c>
      <c r="C345" s="91" t="s">
        <v>27</v>
      </c>
      <c r="D345" s="91" t="s">
        <v>54</v>
      </c>
      <c r="E345" s="91" t="s">
        <v>112</v>
      </c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5"/>
      <c r="Q345" s="16" t="s">
        <v>2994</v>
      </c>
      <c r="R345" s="16" t="s">
        <v>2994</v>
      </c>
      <c r="S345" s="16" t="s">
        <v>2994</v>
      </c>
      <c r="T345" s="16" t="s">
        <v>2994</v>
      </c>
      <c r="U345" s="16">
        <v>289213.11</v>
      </c>
      <c r="V345" s="16">
        <v>3041140.35</v>
      </c>
      <c r="W345" s="16">
        <v>1500225.48</v>
      </c>
      <c r="X345" s="16" t="s">
        <v>2994</v>
      </c>
      <c r="Y345" s="3">
        <f t="shared" si="20"/>
        <v>4830578.9399999995</v>
      </c>
      <c r="Z345" s="96">
        <f t="array" ref="Z345">SUM(ABS(F345:P345))</f>
        <v>0</v>
      </c>
      <c r="AB345" s="3"/>
      <c r="AC345" s="3"/>
      <c r="AD345" s="95"/>
      <c r="AE345" s="95"/>
      <c r="AF345" s="95"/>
      <c r="AG345" s="95"/>
      <c r="AH345" s="482"/>
      <c r="AI345" s="482"/>
      <c r="AJ345" s="482"/>
      <c r="AK345" s="482"/>
      <c r="AL345" s="482"/>
    </row>
    <row r="346" spans="1:39" x14ac:dyDescent="0.15">
      <c r="A346" s="91" t="s">
        <v>2657</v>
      </c>
      <c r="B346" s="91" t="s">
        <v>2658</v>
      </c>
      <c r="C346" s="91" t="s">
        <v>27</v>
      </c>
      <c r="D346" s="91" t="s">
        <v>54</v>
      </c>
      <c r="E346" s="91" t="s">
        <v>112</v>
      </c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5"/>
      <c r="Q346" s="16" t="s">
        <v>2994</v>
      </c>
      <c r="R346" s="16" t="s">
        <v>2994</v>
      </c>
      <c r="S346" s="16">
        <v>41619.699999999997</v>
      </c>
      <c r="T346" s="16">
        <v>1336962.96</v>
      </c>
      <c r="U346" s="16">
        <v>3140892</v>
      </c>
      <c r="V346" s="16">
        <v>141574.46</v>
      </c>
      <c r="W346" s="16" t="s">
        <v>2994</v>
      </c>
      <c r="X346" s="16" t="s">
        <v>2994</v>
      </c>
      <c r="Y346" s="3">
        <f t="shared" si="20"/>
        <v>4661049.12</v>
      </c>
      <c r="Z346" s="96">
        <f t="array" ref="Z346">SUM(ABS(F346:P346))</f>
        <v>0</v>
      </c>
      <c r="AB346" s="3"/>
      <c r="AC346" s="3"/>
      <c r="AD346" s="95"/>
      <c r="AE346" s="95"/>
      <c r="AF346" s="95"/>
      <c r="AG346" s="95"/>
      <c r="AH346" s="482"/>
      <c r="AI346" s="482"/>
      <c r="AJ346" s="482"/>
      <c r="AK346" s="482"/>
      <c r="AL346" s="482"/>
    </row>
    <row r="347" spans="1:39" x14ac:dyDescent="0.15">
      <c r="A347" s="608" t="s">
        <v>2749</v>
      </c>
      <c r="B347" s="609" t="s">
        <v>115</v>
      </c>
      <c r="C347" s="609" t="s">
        <v>27</v>
      </c>
      <c r="D347" s="609" t="s">
        <v>40</v>
      </c>
      <c r="E347" s="608" t="s">
        <v>29</v>
      </c>
      <c r="F347" s="629"/>
      <c r="G347" s="629"/>
      <c r="H347" s="629"/>
      <c r="I347" s="629"/>
      <c r="J347" s="629"/>
      <c r="K347" s="629"/>
      <c r="L347" s="629"/>
      <c r="M347" s="629"/>
      <c r="N347" s="629"/>
      <c r="O347" s="629"/>
      <c r="P347" s="629"/>
      <c r="Q347" s="610">
        <v>14184599.66</v>
      </c>
      <c r="R347" s="610">
        <v>7789370.2400000002</v>
      </c>
      <c r="S347" s="610" t="s">
        <v>2994</v>
      </c>
      <c r="T347" s="610" t="s">
        <v>2994</v>
      </c>
      <c r="U347" s="610" t="s">
        <v>2994</v>
      </c>
      <c r="V347" s="610" t="s">
        <v>2994</v>
      </c>
      <c r="W347" s="610" t="s">
        <v>2994</v>
      </c>
      <c r="X347" s="610" t="s">
        <v>2994</v>
      </c>
      <c r="Y347" s="3">
        <f t="shared" si="20"/>
        <v>21973969.899999999</v>
      </c>
      <c r="Z347" s="96">
        <f t="array" ref="Z347">SUM(ABS(F347:P347))</f>
        <v>0</v>
      </c>
      <c r="AB347" s="3"/>
      <c r="AC347" s="3"/>
      <c r="AD347" s="782">
        <v>0.5</v>
      </c>
      <c r="AE347" s="782">
        <v>0.5</v>
      </c>
      <c r="AF347" s="782">
        <v>0</v>
      </c>
      <c r="AG347" s="782">
        <v>0</v>
      </c>
      <c r="AH347" s="782">
        <v>0</v>
      </c>
      <c r="AI347" s="782">
        <v>0</v>
      </c>
      <c r="AJ347" s="782">
        <v>0</v>
      </c>
      <c r="AK347" s="782"/>
      <c r="AL347" s="482"/>
      <c r="AM347" s="78"/>
    </row>
    <row r="348" spans="1:39" x14ac:dyDescent="0.15">
      <c r="A348" s="608" t="s">
        <v>2750</v>
      </c>
      <c r="B348" s="609" t="s">
        <v>359</v>
      </c>
      <c r="C348" s="609" t="s">
        <v>27</v>
      </c>
      <c r="D348" s="609" t="s">
        <v>40</v>
      </c>
      <c r="E348" s="608" t="s">
        <v>29</v>
      </c>
      <c r="F348" s="629"/>
      <c r="G348" s="629"/>
      <c r="H348" s="629"/>
      <c r="I348" s="629"/>
      <c r="J348" s="629"/>
      <c r="K348" s="629"/>
      <c r="L348" s="629"/>
      <c r="M348" s="629"/>
      <c r="N348" s="629"/>
      <c r="O348" s="629"/>
      <c r="P348" s="629"/>
      <c r="Q348" s="610">
        <v>4233506.8899999997</v>
      </c>
      <c r="R348" s="610">
        <v>8323254.2899999991</v>
      </c>
      <c r="S348" s="610" t="s">
        <v>2994</v>
      </c>
      <c r="T348" s="610" t="s">
        <v>2994</v>
      </c>
      <c r="U348" s="610" t="s">
        <v>2994</v>
      </c>
      <c r="V348" s="610" t="s">
        <v>2994</v>
      </c>
      <c r="W348" s="610" t="s">
        <v>2994</v>
      </c>
      <c r="X348" s="610" t="s">
        <v>2994</v>
      </c>
      <c r="Y348" s="3">
        <f t="shared" si="20"/>
        <v>12556761.18</v>
      </c>
      <c r="Z348" s="96">
        <f t="array" ref="Z348">SUM(ABS(F348:P348))</f>
        <v>0</v>
      </c>
      <c r="AB348" s="3"/>
      <c r="AC348" s="3"/>
      <c r="AD348" s="782">
        <v>0.5</v>
      </c>
      <c r="AE348" s="782">
        <v>1</v>
      </c>
      <c r="AF348" s="782">
        <v>0</v>
      </c>
      <c r="AG348" s="782">
        <v>0</v>
      </c>
      <c r="AH348" s="782">
        <v>0</v>
      </c>
      <c r="AI348" s="782">
        <v>0</v>
      </c>
      <c r="AJ348" s="782">
        <v>0</v>
      </c>
      <c r="AK348" s="782"/>
      <c r="AL348" s="482"/>
      <c r="AM348" s="78"/>
    </row>
    <row r="349" spans="1:39" x14ac:dyDescent="0.15">
      <c r="A349" s="608" t="s">
        <v>2751</v>
      </c>
      <c r="B349" s="609" t="s">
        <v>115</v>
      </c>
      <c r="C349" s="609" t="s">
        <v>27</v>
      </c>
      <c r="D349" s="609" t="s">
        <v>40</v>
      </c>
      <c r="E349" s="608" t="s">
        <v>29</v>
      </c>
      <c r="F349" s="629"/>
      <c r="G349" s="629"/>
      <c r="H349" s="629"/>
      <c r="I349" s="629"/>
      <c r="J349" s="629"/>
      <c r="K349" s="629"/>
      <c r="L349" s="629"/>
      <c r="M349" s="629"/>
      <c r="N349" s="629"/>
      <c r="O349" s="629"/>
      <c r="P349" s="629"/>
      <c r="Q349" s="610" t="s">
        <v>2994</v>
      </c>
      <c r="R349" s="610">
        <v>7789370.2400000002</v>
      </c>
      <c r="S349" s="610">
        <v>4208294.04</v>
      </c>
      <c r="T349" s="610">
        <v>140785.07</v>
      </c>
      <c r="U349" s="610" t="s">
        <v>2994</v>
      </c>
      <c r="V349" s="610" t="s">
        <v>2994</v>
      </c>
      <c r="W349" s="610" t="s">
        <v>2994</v>
      </c>
      <c r="X349" s="610" t="s">
        <v>2994</v>
      </c>
      <c r="Y349" s="3">
        <f t="shared" si="20"/>
        <v>12138449.350000001</v>
      </c>
      <c r="Z349" s="96">
        <f t="array" ref="Z349">SUM(ABS(F349:P349))</f>
        <v>0</v>
      </c>
      <c r="AB349" s="3"/>
      <c r="AC349" s="3"/>
      <c r="AD349" s="782">
        <v>0</v>
      </c>
      <c r="AE349" s="782">
        <v>0.5</v>
      </c>
      <c r="AF349" s="782">
        <v>1</v>
      </c>
      <c r="AG349" s="782">
        <v>1</v>
      </c>
      <c r="AH349" s="782">
        <v>0</v>
      </c>
      <c r="AI349" s="782">
        <v>0</v>
      </c>
      <c r="AJ349" s="782">
        <v>0</v>
      </c>
      <c r="AK349" s="782"/>
      <c r="AL349" s="482"/>
      <c r="AM349" s="78"/>
    </row>
    <row r="350" spans="1:39" x14ac:dyDescent="0.15">
      <c r="A350" s="608" t="s">
        <v>2752</v>
      </c>
      <c r="B350" s="609" t="s">
        <v>359</v>
      </c>
      <c r="C350" s="609" t="s">
        <v>27</v>
      </c>
      <c r="D350" s="609" t="s">
        <v>40</v>
      </c>
      <c r="E350" s="608" t="s">
        <v>29</v>
      </c>
      <c r="F350" s="629"/>
      <c r="G350" s="629"/>
      <c r="H350" s="629"/>
      <c r="I350" s="629"/>
      <c r="J350" s="629"/>
      <c r="K350" s="629"/>
      <c r="L350" s="629"/>
      <c r="M350" s="629"/>
      <c r="N350" s="629"/>
      <c r="O350" s="629"/>
      <c r="P350" s="629"/>
      <c r="Q350" s="610" t="s">
        <v>2994</v>
      </c>
      <c r="R350" s="610" t="s">
        <v>2994</v>
      </c>
      <c r="S350" s="610">
        <v>309120.19</v>
      </c>
      <c r="T350" s="610" t="s">
        <v>2994</v>
      </c>
      <c r="U350" s="610" t="s">
        <v>2994</v>
      </c>
      <c r="V350" s="610" t="s">
        <v>2994</v>
      </c>
      <c r="W350" s="610" t="s">
        <v>2994</v>
      </c>
      <c r="X350" s="610" t="s">
        <v>2994</v>
      </c>
      <c r="Y350" s="3">
        <f t="shared" si="20"/>
        <v>309120.19</v>
      </c>
      <c r="Z350" s="96">
        <f t="array" ref="Z350">SUM(ABS(F350:P350))</f>
        <v>0</v>
      </c>
      <c r="AB350" s="3"/>
      <c r="AC350" s="3"/>
      <c r="AD350" s="782">
        <v>0</v>
      </c>
      <c r="AE350" s="782">
        <v>0</v>
      </c>
      <c r="AF350" s="782">
        <v>1</v>
      </c>
      <c r="AG350" s="782">
        <v>0</v>
      </c>
      <c r="AH350" s="782">
        <v>0</v>
      </c>
      <c r="AI350" s="782">
        <v>0</v>
      </c>
      <c r="AJ350" s="782">
        <v>0</v>
      </c>
      <c r="AK350" s="782"/>
      <c r="AL350" s="482"/>
      <c r="AM350" s="78"/>
    </row>
    <row r="351" spans="1:39" x14ac:dyDescent="0.15">
      <c r="A351" s="608" t="s">
        <v>2754</v>
      </c>
      <c r="B351" s="609" t="s">
        <v>568</v>
      </c>
      <c r="C351" s="609" t="s">
        <v>27</v>
      </c>
      <c r="D351" s="609" t="s">
        <v>41</v>
      </c>
      <c r="E351" s="609" t="s">
        <v>112</v>
      </c>
      <c r="F351" s="629"/>
      <c r="G351" s="629"/>
      <c r="H351" s="629"/>
      <c r="I351" s="629"/>
      <c r="J351" s="629"/>
      <c r="K351" s="629"/>
      <c r="L351" s="629"/>
      <c r="M351" s="629"/>
      <c r="N351" s="629"/>
      <c r="O351" s="629"/>
      <c r="P351" s="629"/>
      <c r="Q351" s="610" t="s">
        <v>2994</v>
      </c>
      <c r="R351" s="610" t="s">
        <v>2994</v>
      </c>
      <c r="S351" s="610">
        <v>3667547.5879968205</v>
      </c>
      <c r="T351" s="610">
        <v>6687726.1541653425</v>
      </c>
      <c r="U351" s="610" t="s">
        <v>2994</v>
      </c>
      <c r="V351" s="610" t="s">
        <v>2994</v>
      </c>
      <c r="W351" s="610" t="s">
        <v>2994</v>
      </c>
      <c r="X351" s="610" t="s">
        <v>2994</v>
      </c>
      <c r="Y351" s="3">
        <f t="shared" si="20"/>
        <v>10355273.742162162</v>
      </c>
      <c r="Z351" s="96">
        <f t="array" ref="Z351">SUM(ABS(F351:P351))</f>
        <v>0</v>
      </c>
      <c r="AC351" s="3"/>
      <c r="AD351" s="783">
        <v>0</v>
      </c>
      <c r="AE351" s="783">
        <v>0</v>
      </c>
      <c r="AF351" s="783">
        <v>0.55352946932308633</v>
      </c>
      <c r="AG351" s="783">
        <v>0.46310230100438177</v>
      </c>
      <c r="AH351" s="783">
        <v>0</v>
      </c>
      <c r="AI351" s="783">
        <v>0</v>
      </c>
      <c r="AJ351" s="783">
        <v>0</v>
      </c>
      <c r="AK351" s="782"/>
      <c r="AL351" s="482"/>
      <c r="AM351" s="78"/>
    </row>
    <row r="352" spans="1:39" x14ac:dyDescent="0.15">
      <c r="A352" s="608" t="s">
        <v>2755</v>
      </c>
      <c r="B352" s="609" t="s">
        <v>568</v>
      </c>
      <c r="C352" s="609" t="s">
        <v>27</v>
      </c>
      <c r="D352" s="609" t="s">
        <v>41</v>
      </c>
      <c r="E352" s="609" t="s">
        <v>112</v>
      </c>
      <c r="F352" s="629"/>
      <c r="G352" s="629"/>
      <c r="H352" s="629"/>
      <c r="I352" s="629"/>
      <c r="J352" s="629"/>
      <c r="K352" s="629"/>
      <c r="L352" s="629"/>
      <c r="M352" s="629"/>
      <c r="N352" s="629"/>
      <c r="O352" s="629"/>
      <c r="P352" s="629"/>
      <c r="Q352" s="610" t="s">
        <v>2994</v>
      </c>
      <c r="R352" s="610" t="s">
        <v>2994</v>
      </c>
      <c r="S352" s="610" t="s">
        <v>2994</v>
      </c>
      <c r="T352" s="610">
        <v>7753415.9858346581</v>
      </c>
      <c r="U352" s="610">
        <v>5241437.3376629576</v>
      </c>
      <c r="V352" s="610" t="s">
        <v>2994</v>
      </c>
      <c r="W352" s="610" t="s">
        <v>2994</v>
      </c>
      <c r="X352" s="610" t="s">
        <v>2994</v>
      </c>
      <c r="Y352" s="3">
        <f t="shared" si="20"/>
        <v>12994853.323497616</v>
      </c>
      <c r="Z352" s="96">
        <f t="array" ref="Z352">SUM(ABS(F352:P352))</f>
        <v>0</v>
      </c>
      <c r="AC352" s="3"/>
      <c r="AD352" s="783">
        <v>0</v>
      </c>
      <c r="AE352" s="783">
        <v>0</v>
      </c>
      <c r="AF352" s="783">
        <v>0</v>
      </c>
      <c r="AG352" s="783">
        <v>0.53689769899561823</v>
      </c>
      <c r="AH352" s="783">
        <v>0.35949979138494909</v>
      </c>
      <c r="AI352" s="783">
        <v>0</v>
      </c>
      <c r="AJ352" s="783">
        <v>0</v>
      </c>
      <c r="AK352" s="782"/>
      <c r="AL352" s="482"/>
      <c r="AM352" s="78"/>
    </row>
    <row r="353" spans="1:39" x14ac:dyDescent="0.15">
      <c r="A353" s="608" t="s">
        <v>2756</v>
      </c>
      <c r="B353" s="609" t="s">
        <v>568</v>
      </c>
      <c r="C353" s="609" t="s">
        <v>27</v>
      </c>
      <c r="D353" s="609" t="s">
        <v>41</v>
      </c>
      <c r="E353" s="609" t="s">
        <v>112</v>
      </c>
      <c r="F353" s="629"/>
      <c r="G353" s="629"/>
      <c r="H353" s="629"/>
      <c r="I353" s="629"/>
      <c r="J353" s="629"/>
      <c r="K353" s="629"/>
      <c r="L353" s="629"/>
      <c r="M353" s="629"/>
      <c r="N353" s="629"/>
      <c r="O353" s="629"/>
      <c r="P353" s="629"/>
      <c r="Q353" s="610" t="s">
        <v>2994</v>
      </c>
      <c r="R353" s="610" t="s">
        <v>2994</v>
      </c>
      <c r="S353" s="610" t="s">
        <v>2994</v>
      </c>
      <c r="T353" s="610" t="s">
        <v>2994</v>
      </c>
      <c r="U353" s="610">
        <v>9338369.0023370404</v>
      </c>
      <c r="V353" s="610">
        <v>9544777.2333704326</v>
      </c>
      <c r="W353" s="610" t="s">
        <v>2994</v>
      </c>
      <c r="X353" s="610" t="s">
        <v>2994</v>
      </c>
      <c r="Y353" s="3">
        <f t="shared" si="20"/>
        <v>18883146.235707473</v>
      </c>
      <c r="Z353" s="96">
        <f t="array" ref="Z353">SUM(ABS(F353:P353))</f>
        <v>0</v>
      </c>
      <c r="AC353" s="3"/>
      <c r="AD353" s="783">
        <v>0</v>
      </c>
      <c r="AE353" s="783">
        <v>0</v>
      </c>
      <c r="AF353" s="783">
        <v>0</v>
      </c>
      <c r="AG353" s="783">
        <v>0</v>
      </c>
      <c r="AH353" s="783">
        <v>0.64050020861505086</v>
      </c>
      <c r="AI353" s="783">
        <v>0.6379878220201588</v>
      </c>
      <c r="AJ353" s="783">
        <v>0</v>
      </c>
      <c r="AK353" s="782"/>
      <c r="AL353" s="482"/>
      <c r="AM353" s="78"/>
    </row>
    <row r="354" spans="1:39" x14ac:dyDescent="0.15">
      <c r="A354" s="608" t="s">
        <v>2757</v>
      </c>
      <c r="B354" s="609" t="s">
        <v>570</v>
      </c>
      <c r="C354" s="609" t="s">
        <v>27</v>
      </c>
      <c r="D354" s="609" t="s">
        <v>41</v>
      </c>
      <c r="E354" s="609" t="s">
        <v>112</v>
      </c>
      <c r="F354" s="629"/>
      <c r="G354" s="629"/>
      <c r="H354" s="629"/>
      <c r="I354" s="629"/>
      <c r="J354" s="629"/>
      <c r="K354" s="629"/>
      <c r="L354" s="629"/>
      <c r="M354" s="629"/>
      <c r="N354" s="629"/>
      <c r="O354" s="629"/>
      <c r="P354" s="629"/>
      <c r="Q354" s="610" t="s">
        <v>2994</v>
      </c>
      <c r="R354" s="610" t="s">
        <v>2994</v>
      </c>
      <c r="S354" s="610" t="s">
        <v>2994</v>
      </c>
      <c r="T354" s="610" t="s">
        <v>2994</v>
      </c>
      <c r="U354" s="610">
        <v>445567.59777778096</v>
      </c>
      <c r="V354" s="610">
        <v>5769334.2399999956</v>
      </c>
      <c r="W354" s="610" t="s">
        <v>2994</v>
      </c>
      <c r="X354" s="610" t="s">
        <v>2994</v>
      </c>
      <c r="Y354" s="3">
        <f t="shared" si="20"/>
        <v>6214901.8377777766</v>
      </c>
      <c r="Z354" s="96">
        <f t="array" ref="Z354">SUM(ABS(F354:P354))</f>
        <v>0</v>
      </c>
      <c r="AC354" s="3"/>
      <c r="AD354" s="783">
        <v>0</v>
      </c>
      <c r="AE354" s="783">
        <v>0</v>
      </c>
      <c r="AF354" s="783">
        <v>0</v>
      </c>
      <c r="AG354" s="783">
        <v>0</v>
      </c>
      <c r="AH354" s="783">
        <v>7.9029073577400855E-2</v>
      </c>
      <c r="AI354" s="783">
        <v>0.99723459653148816</v>
      </c>
      <c r="AJ354" s="783">
        <v>0</v>
      </c>
      <c r="AK354" s="782"/>
      <c r="AL354" s="482"/>
      <c r="AM354" s="78"/>
    </row>
    <row r="355" spans="1:39" x14ac:dyDescent="0.15">
      <c r="A355" s="608" t="s">
        <v>2758</v>
      </c>
      <c r="B355" s="609" t="s">
        <v>568</v>
      </c>
      <c r="C355" s="609" t="s">
        <v>27</v>
      </c>
      <c r="D355" s="609" t="s">
        <v>41</v>
      </c>
      <c r="E355" s="609" t="s">
        <v>112</v>
      </c>
      <c r="F355" s="629"/>
      <c r="G355" s="629"/>
      <c r="H355" s="629"/>
      <c r="I355" s="629"/>
      <c r="J355" s="629"/>
      <c r="K355" s="629"/>
      <c r="L355" s="629"/>
      <c r="M355" s="629"/>
      <c r="N355" s="629"/>
      <c r="O355" s="629"/>
      <c r="P355" s="629"/>
      <c r="Q355" s="610" t="s">
        <v>2994</v>
      </c>
      <c r="R355" s="610" t="s">
        <v>2994</v>
      </c>
      <c r="S355" s="610" t="s">
        <v>2994</v>
      </c>
      <c r="T355" s="610" t="s">
        <v>2994</v>
      </c>
      <c r="U355" s="610" t="s">
        <v>2994</v>
      </c>
      <c r="V355" s="610">
        <v>5415974.2166295666</v>
      </c>
      <c r="W355" s="610">
        <v>12248904.520000001</v>
      </c>
      <c r="X355" s="610" t="s">
        <v>2994</v>
      </c>
      <c r="Y355" s="3">
        <f t="shared" si="20"/>
        <v>17664878.736629568</v>
      </c>
      <c r="Z355" s="96">
        <f t="array" ref="Z355">SUM(ABS(F355:P355))</f>
        <v>0</v>
      </c>
      <c r="AC355" s="3"/>
      <c r="AD355" s="783">
        <v>0</v>
      </c>
      <c r="AE355" s="783">
        <v>0</v>
      </c>
      <c r="AF355" s="783">
        <v>0</v>
      </c>
      <c r="AG355" s="783">
        <v>0</v>
      </c>
      <c r="AH355" s="783">
        <v>0</v>
      </c>
      <c r="AI355" s="783">
        <v>0.3620121779798412</v>
      </c>
      <c r="AJ355" s="783">
        <v>1.0000000000000002</v>
      </c>
      <c r="AK355" s="782"/>
      <c r="AL355" s="482"/>
      <c r="AM355" s="78"/>
    </row>
    <row r="356" spans="1:39" x14ac:dyDescent="0.15">
      <c r="A356" s="608" t="s">
        <v>2759</v>
      </c>
      <c r="B356" s="609" t="s">
        <v>570</v>
      </c>
      <c r="C356" s="609" t="s">
        <v>27</v>
      </c>
      <c r="D356" s="609" t="s">
        <v>41</v>
      </c>
      <c r="E356" s="609" t="s">
        <v>112</v>
      </c>
      <c r="F356" s="629"/>
      <c r="G356" s="629"/>
      <c r="H356" s="629"/>
      <c r="I356" s="629"/>
      <c r="J356" s="629"/>
      <c r="K356" s="629"/>
      <c r="L356" s="629"/>
      <c r="M356" s="629"/>
      <c r="N356" s="629"/>
      <c r="O356" s="629"/>
      <c r="P356" s="629"/>
      <c r="Q356" s="610" t="s">
        <v>2994</v>
      </c>
      <c r="R356" s="610" t="s">
        <v>2994</v>
      </c>
      <c r="S356" s="610" t="s">
        <v>2994</v>
      </c>
      <c r="T356" s="610" t="s">
        <v>2994</v>
      </c>
      <c r="U356" s="610" t="s">
        <v>2994</v>
      </c>
      <c r="V356" s="610">
        <v>15998.780000004077</v>
      </c>
      <c r="W356" s="610">
        <v>3592653.9</v>
      </c>
      <c r="X356" s="610" t="s">
        <v>2994</v>
      </c>
      <c r="Y356" s="3">
        <f t="shared" si="20"/>
        <v>3608652.6800000039</v>
      </c>
      <c r="Z356" s="96">
        <f t="array" ref="Z356">SUM(ABS(F356:P356))</f>
        <v>0</v>
      </c>
      <c r="AC356" s="3"/>
      <c r="AD356" s="783">
        <v>0</v>
      </c>
      <c r="AE356" s="783">
        <v>0</v>
      </c>
      <c r="AF356" s="783">
        <v>0</v>
      </c>
      <c r="AG356" s="783">
        <v>0</v>
      </c>
      <c r="AH356" s="783">
        <v>0</v>
      </c>
      <c r="AI356" s="783">
        <v>2.76540346851184E-3</v>
      </c>
      <c r="AJ356" s="783">
        <v>1</v>
      </c>
      <c r="AK356" s="782"/>
      <c r="AL356" s="482"/>
      <c r="AM356" s="78"/>
    </row>
    <row r="357" spans="1:39" x14ac:dyDescent="0.15">
      <c r="A357" s="614" t="s">
        <v>2984</v>
      </c>
      <c r="B357" s="609" t="s">
        <v>325</v>
      </c>
      <c r="C357" s="609"/>
      <c r="D357" s="609"/>
      <c r="E357" s="609"/>
      <c r="F357" s="629"/>
      <c r="G357" s="629"/>
      <c r="H357" s="629"/>
      <c r="I357" s="629"/>
      <c r="J357" s="629"/>
      <c r="K357" s="629"/>
      <c r="L357" s="629"/>
      <c r="M357" s="629"/>
      <c r="N357" s="629"/>
      <c r="O357" s="629"/>
      <c r="P357" s="629"/>
      <c r="Q357" s="610">
        <v>2549394.0750000002</v>
      </c>
      <c r="R357" s="610">
        <v>3565790.43</v>
      </c>
      <c r="S357" s="610">
        <v>69638.36</v>
      </c>
      <c r="T357" s="610" t="s">
        <v>2994</v>
      </c>
      <c r="U357" s="610" t="s">
        <v>2994</v>
      </c>
      <c r="V357" s="610" t="s">
        <v>2994</v>
      </c>
      <c r="W357" s="610" t="s">
        <v>2994</v>
      </c>
      <c r="X357" s="610" t="s">
        <v>2994</v>
      </c>
      <c r="Y357" s="3">
        <f t="shared" si="20"/>
        <v>6184822.8650000012</v>
      </c>
      <c r="Z357" s="96">
        <f t="array" ref="Z357">SUM(ABS(F357:P357))</f>
        <v>0</v>
      </c>
      <c r="AC357" s="3"/>
      <c r="AD357" s="783">
        <v>0.75</v>
      </c>
      <c r="AE357" s="783">
        <v>1</v>
      </c>
      <c r="AF357" s="783">
        <v>1</v>
      </c>
      <c r="AG357" s="783">
        <v>0</v>
      </c>
      <c r="AH357" s="783">
        <v>0</v>
      </c>
      <c r="AI357" s="783">
        <v>0</v>
      </c>
      <c r="AJ357" s="783">
        <v>0</v>
      </c>
      <c r="AK357" s="782"/>
      <c r="AL357" s="482"/>
      <c r="AM357" s="78"/>
    </row>
    <row r="358" spans="1:39" x14ac:dyDescent="0.15">
      <c r="A358" s="91" t="s">
        <v>2778</v>
      </c>
      <c r="B358" s="91" t="s">
        <v>2779</v>
      </c>
      <c r="C358" s="91" t="s">
        <v>27</v>
      </c>
      <c r="D358" s="91" t="s">
        <v>54</v>
      </c>
      <c r="E358" s="91" t="s">
        <v>112</v>
      </c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6" t="s">
        <v>2994</v>
      </c>
      <c r="R358" s="16">
        <v>2869616.34</v>
      </c>
      <c r="S358" s="16">
        <v>636375.14</v>
      </c>
      <c r="T358" s="16" t="s">
        <v>2994</v>
      </c>
      <c r="U358" s="16" t="s">
        <v>2994</v>
      </c>
      <c r="V358" s="16" t="s">
        <v>2994</v>
      </c>
      <c r="W358" s="16" t="s">
        <v>2994</v>
      </c>
      <c r="X358" s="16" t="s">
        <v>2994</v>
      </c>
      <c r="Y358" s="3">
        <f t="shared" ref="Y358:Y359" si="21">SUM(F358:X358)</f>
        <v>3505991.48</v>
      </c>
      <c r="Z358" s="96">
        <f t="array" ref="Z358">SUM(ABS(F358:P358))</f>
        <v>0</v>
      </c>
      <c r="AC358" s="3"/>
      <c r="AF358" s="1" t="s">
        <v>2717</v>
      </c>
    </row>
    <row r="359" spans="1:39" x14ac:dyDescent="0.15">
      <c r="A359" s="91" t="s">
        <v>2776</v>
      </c>
      <c r="B359" s="91" t="s">
        <v>2777</v>
      </c>
      <c r="C359" s="91" t="s">
        <v>27</v>
      </c>
      <c r="D359" s="91" t="s">
        <v>54</v>
      </c>
      <c r="E359" s="91" t="s">
        <v>112</v>
      </c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6" t="s">
        <v>2994</v>
      </c>
      <c r="R359" s="16" t="s">
        <v>2994</v>
      </c>
      <c r="S359" s="16" t="s">
        <v>2994</v>
      </c>
      <c r="T359" s="16" t="s">
        <v>2994</v>
      </c>
      <c r="U359" s="16">
        <v>95215</v>
      </c>
      <c r="V359" s="16">
        <v>458147.32</v>
      </c>
      <c r="W359" s="16">
        <v>1022225.4</v>
      </c>
      <c r="X359" s="16" t="s">
        <v>2994</v>
      </c>
      <c r="Y359" s="3">
        <f t="shared" si="21"/>
        <v>1575587.7200000002</v>
      </c>
      <c r="Z359" s="96">
        <f t="array" ref="Z359">SUM(ABS(F359:P359))</f>
        <v>0</v>
      </c>
      <c r="AC359" s="3"/>
    </row>
    <row r="434" spans="1:16377" x14ac:dyDescent="0.15">
      <c r="A434" s="56"/>
      <c r="B434" s="56"/>
      <c r="C434" s="56"/>
      <c r="D434" s="56"/>
      <c r="E434" s="56"/>
      <c r="F434" s="57"/>
      <c r="G434" s="57"/>
      <c r="H434" s="57"/>
      <c r="I434" s="57"/>
      <c r="J434" s="57"/>
      <c r="K434" s="57"/>
      <c r="L434" s="57"/>
      <c r="M434" s="57"/>
      <c r="N434" s="57"/>
      <c r="O434" s="57"/>
      <c r="P434" s="57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56"/>
      <c r="AR434" s="56"/>
      <c r="AS434" s="56"/>
      <c r="AT434" s="56"/>
      <c r="AU434" s="56"/>
      <c r="AV434" s="56"/>
      <c r="AW434" s="56"/>
      <c r="AX434" s="56"/>
      <c r="AY434" s="56"/>
      <c r="AZ434" s="56"/>
      <c r="BA434" s="56"/>
      <c r="BB434" s="56"/>
      <c r="BC434" s="56"/>
      <c r="BD434" s="56"/>
      <c r="BE434" s="56"/>
      <c r="BF434" s="56"/>
      <c r="BG434" s="56"/>
      <c r="BH434" s="56"/>
      <c r="BI434" s="56"/>
      <c r="BJ434" s="56"/>
      <c r="BK434" s="56"/>
      <c r="BL434" s="56"/>
      <c r="BM434" s="56"/>
      <c r="BN434" s="56"/>
      <c r="BO434" s="56"/>
      <c r="BP434" s="56"/>
      <c r="BQ434" s="56"/>
      <c r="BR434" s="56"/>
      <c r="BS434" s="56"/>
      <c r="BT434" s="56"/>
      <c r="BU434" s="56"/>
      <c r="BV434" s="56"/>
      <c r="BW434" s="56"/>
      <c r="BX434" s="56"/>
      <c r="BY434" s="56"/>
      <c r="BZ434" s="56"/>
      <c r="CA434" s="56"/>
      <c r="CB434" s="56"/>
      <c r="CC434" s="56"/>
      <c r="CD434" s="56"/>
      <c r="CE434" s="56"/>
      <c r="CF434" s="56"/>
      <c r="CG434" s="56"/>
      <c r="CH434" s="56"/>
      <c r="CI434" s="56"/>
      <c r="CJ434" s="56"/>
      <c r="CK434" s="56"/>
      <c r="CL434" s="56"/>
      <c r="CM434" s="56"/>
      <c r="CN434" s="56"/>
      <c r="CO434" s="56"/>
      <c r="CP434" s="56"/>
      <c r="CQ434" s="56"/>
      <c r="CR434" s="56"/>
      <c r="CS434" s="56"/>
      <c r="CT434" s="56"/>
      <c r="CU434" s="56"/>
      <c r="CV434" s="56"/>
      <c r="CW434" s="56"/>
      <c r="CX434" s="56"/>
      <c r="CY434" s="56"/>
      <c r="CZ434" s="56"/>
      <c r="DA434" s="56"/>
      <c r="DB434" s="56"/>
      <c r="DC434" s="56"/>
      <c r="DD434" s="56"/>
      <c r="DE434" s="56"/>
      <c r="DF434" s="56"/>
      <c r="DG434" s="56"/>
      <c r="DH434" s="56"/>
      <c r="DI434" s="56"/>
      <c r="DJ434" s="56"/>
      <c r="DK434" s="56"/>
      <c r="DL434" s="56"/>
      <c r="DM434" s="56"/>
      <c r="DN434" s="56"/>
      <c r="DO434" s="56"/>
      <c r="DP434" s="56"/>
      <c r="DQ434" s="56"/>
      <c r="DR434" s="56"/>
      <c r="DS434" s="56"/>
      <c r="DT434" s="56"/>
      <c r="DU434" s="56"/>
      <c r="DV434" s="56"/>
      <c r="DW434" s="56"/>
      <c r="DX434" s="56"/>
      <c r="DY434" s="56"/>
      <c r="DZ434" s="56"/>
      <c r="EA434" s="56"/>
      <c r="EB434" s="56"/>
      <c r="EC434" s="56"/>
      <c r="ED434" s="56"/>
      <c r="EE434" s="56"/>
      <c r="EF434" s="56"/>
      <c r="EG434" s="56"/>
      <c r="EH434" s="56"/>
      <c r="EI434" s="56"/>
      <c r="EJ434" s="56"/>
      <c r="EK434" s="56"/>
      <c r="EL434" s="56"/>
      <c r="EM434" s="56"/>
      <c r="EN434" s="56"/>
      <c r="EO434" s="56"/>
      <c r="EP434" s="56"/>
      <c r="EQ434" s="56"/>
      <c r="ER434" s="56"/>
      <c r="ES434" s="56"/>
      <c r="ET434" s="56"/>
      <c r="EU434" s="56"/>
      <c r="EV434" s="56"/>
      <c r="EW434" s="56"/>
      <c r="EX434" s="56"/>
      <c r="EY434" s="56"/>
      <c r="EZ434" s="56"/>
      <c r="FA434" s="56"/>
      <c r="FB434" s="56"/>
      <c r="FC434" s="56"/>
      <c r="FD434" s="56"/>
      <c r="FE434" s="56"/>
      <c r="FF434" s="56"/>
      <c r="FG434" s="56"/>
      <c r="FH434" s="56"/>
      <c r="FI434" s="56"/>
      <c r="FJ434" s="56"/>
      <c r="FK434" s="56"/>
      <c r="FL434" s="56"/>
      <c r="FM434" s="56"/>
      <c r="FN434" s="56"/>
      <c r="FO434" s="56"/>
      <c r="FP434" s="56"/>
      <c r="FQ434" s="56"/>
      <c r="FR434" s="56"/>
      <c r="FS434" s="56"/>
      <c r="FT434" s="56"/>
      <c r="FU434" s="56"/>
      <c r="FV434" s="56"/>
      <c r="FW434" s="56"/>
      <c r="FX434" s="56"/>
      <c r="FY434" s="56"/>
      <c r="FZ434" s="56"/>
      <c r="GA434" s="56"/>
      <c r="GB434" s="56"/>
      <c r="GC434" s="56"/>
      <c r="GD434" s="56"/>
      <c r="GE434" s="56"/>
      <c r="GF434" s="56"/>
      <c r="GG434" s="56"/>
      <c r="GH434" s="56"/>
      <c r="GI434" s="56"/>
      <c r="GJ434" s="56"/>
      <c r="GK434" s="56"/>
      <c r="GL434" s="56"/>
      <c r="GM434" s="56"/>
      <c r="GN434" s="56"/>
      <c r="GO434" s="56"/>
      <c r="GP434" s="56"/>
      <c r="GQ434" s="56"/>
      <c r="GR434" s="56"/>
      <c r="GS434" s="56"/>
      <c r="GT434" s="56"/>
      <c r="GU434" s="56"/>
      <c r="GV434" s="56"/>
      <c r="GW434" s="56"/>
      <c r="GX434" s="56"/>
      <c r="GY434" s="56"/>
      <c r="GZ434" s="56"/>
      <c r="HA434" s="56"/>
      <c r="HB434" s="56"/>
      <c r="HC434" s="56"/>
      <c r="HD434" s="56"/>
      <c r="HE434" s="56"/>
      <c r="HF434" s="56"/>
      <c r="HG434" s="56"/>
      <c r="HH434" s="56"/>
      <c r="HI434" s="56"/>
      <c r="HJ434" s="56"/>
      <c r="HK434" s="56"/>
      <c r="HL434" s="56"/>
      <c r="HM434" s="56"/>
      <c r="HN434" s="56"/>
      <c r="HO434" s="56"/>
      <c r="HP434" s="56"/>
      <c r="HQ434" s="56"/>
      <c r="HR434" s="56"/>
      <c r="HS434" s="56"/>
      <c r="HT434" s="56"/>
      <c r="HU434" s="56"/>
      <c r="HV434" s="56"/>
      <c r="HW434" s="56"/>
      <c r="HX434" s="56"/>
      <c r="HY434" s="56"/>
      <c r="HZ434" s="56"/>
      <c r="IA434" s="56"/>
      <c r="IB434" s="56"/>
      <c r="IC434" s="56"/>
      <c r="ID434" s="56"/>
      <c r="IE434" s="56"/>
      <c r="IF434" s="56"/>
      <c r="IG434" s="56"/>
      <c r="IH434" s="56"/>
      <c r="II434" s="56"/>
      <c r="IJ434" s="56"/>
      <c r="IK434" s="56"/>
      <c r="IL434" s="56"/>
      <c r="IM434" s="56"/>
      <c r="IN434" s="56"/>
      <c r="IO434" s="56"/>
      <c r="IP434" s="56"/>
      <c r="IQ434" s="56"/>
      <c r="IR434" s="56"/>
      <c r="IS434" s="56"/>
      <c r="IT434" s="56"/>
      <c r="IU434" s="56"/>
      <c r="IV434" s="56"/>
      <c r="IW434" s="56"/>
      <c r="IX434" s="56"/>
      <c r="IY434" s="56"/>
      <c r="IZ434" s="56"/>
      <c r="JA434" s="56"/>
      <c r="JB434" s="56"/>
      <c r="JC434" s="56"/>
      <c r="JD434" s="56"/>
      <c r="JE434" s="56"/>
      <c r="JF434" s="56"/>
      <c r="JG434" s="56"/>
      <c r="JH434" s="56"/>
      <c r="JI434" s="56"/>
      <c r="JJ434" s="56"/>
      <c r="JK434" s="56"/>
      <c r="JL434" s="56"/>
      <c r="JM434" s="56"/>
      <c r="JN434" s="56"/>
      <c r="JO434" s="56"/>
      <c r="JP434" s="56"/>
      <c r="JQ434" s="56"/>
      <c r="JR434" s="56"/>
      <c r="JS434" s="56"/>
      <c r="JT434" s="56"/>
      <c r="JU434" s="56"/>
      <c r="JV434" s="56"/>
      <c r="JW434" s="56"/>
      <c r="JX434" s="56"/>
      <c r="JY434" s="56"/>
      <c r="JZ434" s="56"/>
      <c r="KA434" s="56"/>
      <c r="KB434" s="56"/>
      <c r="KC434" s="56"/>
      <c r="KD434" s="56"/>
      <c r="KE434" s="56"/>
      <c r="KF434" s="56"/>
      <c r="KG434" s="56"/>
      <c r="KH434" s="56"/>
      <c r="KI434" s="56"/>
      <c r="KJ434" s="56"/>
      <c r="KK434" s="56"/>
      <c r="KL434" s="56"/>
      <c r="KM434" s="56"/>
      <c r="KN434" s="56"/>
      <c r="KO434" s="56"/>
      <c r="KP434" s="56"/>
      <c r="KQ434" s="56"/>
      <c r="KR434" s="56"/>
      <c r="KS434" s="56"/>
      <c r="KT434" s="56"/>
      <c r="KU434" s="56"/>
      <c r="KV434" s="56"/>
      <c r="KW434" s="56"/>
      <c r="KX434" s="56"/>
      <c r="KY434" s="56"/>
      <c r="KZ434" s="56"/>
      <c r="LA434" s="56"/>
      <c r="LB434" s="56"/>
      <c r="LC434" s="56"/>
      <c r="LD434" s="56"/>
      <c r="LE434" s="56"/>
      <c r="LF434" s="56"/>
      <c r="LG434" s="56"/>
      <c r="LH434" s="56"/>
      <c r="LI434" s="56"/>
      <c r="LJ434" s="56"/>
      <c r="LK434" s="56"/>
      <c r="LL434" s="56"/>
      <c r="LM434" s="56"/>
      <c r="LN434" s="56"/>
      <c r="LO434" s="56"/>
      <c r="LP434" s="56"/>
      <c r="LQ434" s="56"/>
      <c r="LR434" s="56"/>
      <c r="LS434" s="56"/>
      <c r="LT434" s="56"/>
      <c r="LU434" s="56"/>
      <c r="LV434" s="56"/>
      <c r="LW434" s="56"/>
      <c r="LX434" s="56"/>
      <c r="LY434" s="56"/>
      <c r="LZ434" s="56"/>
      <c r="MA434" s="56"/>
      <c r="MB434" s="56"/>
      <c r="MC434" s="56"/>
      <c r="MD434" s="56"/>
      <c r="ME434" s="56"/>
      <c r="MF434" s="56"/>
      <c r="MG434" s="56"/>
      <c r="MH434" s="56"/>
      <c r="MI434" s="56"/>
      <c r="MJ434" s="56"/>
      <c r="MK434" s="56"/>
      <c r="ML434" s="56"/>
      <c r="MM434" s="56"/>
      <c r="MN434" s="56"/>
      <c r="MO434" s="56"/>
      <c r="MP434" s="56"/>
      <c r="MQ434" s="56"/>
      <c r="MR434" s="56"/>
      <c r="MS434" s="56"/>
      <c r="MT434" s="56"/>
      <c r="MU434" s="56"/>
      <c r="MV434" s="56"/>
      <c r="MW434" s="56"/>
      <c r="MX434" s="56"/>
      <c r="MY434" s="56"/>
      <c r="MZ434" s="56"/>
      <c r="NA434" s="56"/>
      <c r="NB434" s="56"/>
      <c r="NC434" s="56"/>
      <c r="ND434" s="56"/>
      <c r="NE434" s="56"/>
      <c r="NF434" s="56"/>
      <c r="NG434" s="56"/>
      <c r="NH434" s="56"/>
      <c r="NI434" s="56"/>
      <c r="NJ434" s="56"/>
      <c r="NK434" s="56"/>
      <c r="NL434" s="56"/>
      <c r="NM434" s="56"/>
      <c r="NN434" s="56"/>
      <c r="NO434" s="56"/>
      <c r="NP434" s="56"/>
      <c r="NQ434" s="56"/>
      <c r="NR434" s="56"/>
      <c r="NS434" s="56"/>
      <c r="NT434" s="56"/>
      <c r="NU434" s="56"/>
      <c r="NV434" s="56"/>
      <c r="NW434" s="56"/>
      <c r="NX434" s="56"/>
      <c r="NY434" s="56"/>
      <c r="NZ434" s="56"/>
      <c r="OA434" s="56"/>
      <c r="OB434" s="56"/>
      <c r="OC434" s="56"/>
      <c r="OD434" s="56"/>
      <c r="OE434" s="56"/>
      <c r="OF434" s="56"/>
      <c r="OG434" s="56"/>
      <c r="OH434" s="56"/>
      <c r="OI434" s="56"/>
      <c r="OJ434" s="56"/>
      <c r="OK434" s="56"/>
      <c r="OL434" s="56"/>
      <c r="OM434" s="56"/>
      <c r="ON434" s="56"/>
      <c r="OO434" s="56"/>
      <c r="OP434" s="56"/>
      <c r="OQ434" s="56"/>
      <c r="OR434" s="56"/>
      <c r="OS434" s="56"/>
      <c r="OT434" s="56"/>
      <c r="OU434" s="56"/>
      <c r="OV434" s="56"/>
      <c r="OW434" s="56"/>
      <c r="OX434" s="56"/>
      <c r="OY434" s="56"/>
      <c r="OZ434" s="56"/>
      <c r="PA434" s="56"/>
      <c r="PB434" s="56"/>
      <c r="PC434" s="56"/>
      <c r="PD434" s="56"/>
      <c r="PE434" s="56"/>
      <c r="PF434" s="56"/>
      <c r="PG434" s="56"/>
      <c r="PH434" s="56"/>
      <c r="PI434" s="56"/>
      <c r="PJ434" s="56"/>
      <c r="PK434" s="56"/>
      <c r="PL434" s="56"/>
      <c r="PM434" s="56"/>
      <c r="PN434" s="56"/>
      <c r="PO434" s="56"/>
      <c r="PP434" s="56"/>
      <c r="PQ434" s="56"/>
      <c r="PR434" s="56"/>
      <c r="PS434" s="56"/>
      <c r="PT434" s="56"/>
      <c r="PU434" s="56"/>
      <c r="PV434" s="56"/>
      <c r="PW434" s="56"/>
      <c r="PX434" s="56"/>
      <c r="PY434" s="56"/>
      <c r="PZ434" s="56"/>
      <c r="QA434" s="56"/>
      <c r="QB434" s="56"/>
      <c r="QC434" s="56"/>
      <c r="QD434" s="56"/>
      <c r="QE434" s="56"/>
      <c r="QF434" s="56"/>
      <c r="QG434" s="56"/>
      <c r="QH434" s="56"/>
      <c r="QI434" s="56"/>
      <c r="QJ434" s="56"/>
      <c r="QK434" s="56"/>
      <c r="QL434" s="56"/>
      <c r="QM434" s="56"/>
      <c r="QN434" s="56"/>
      <c r="QO434" s="56"/>
      <c r="QP434" s="56"/>
      <c r="QQ434" s="56"/>
      <c r="QR434" s="56"/>
      <c r="QS434" s="56"/>
      <c r="QT434" s="56"/>
      <c r="QU434" s="56"/>
      <c r="QV434" s="56"/>
      <c r="QW434" s="56"/>
      <c r="QX434" s="56"/>
      <c r="QY434" s="56"/>
      <c r="QZ434" s="56"/>
      <c r="RA434" s="56"/>
      <c r="RB434" s="56"/>
      <c r="RC434" s="56"/>
      <c r="RD434" s="56"/>
      <c r="RE434" s="56"/>
      <c r="RF434" s="56"/>
      <c r="RG434" s="56"/>
      <c r="RH434" s="56"/>
      <c r="RI434" s="56"/>
      <c r="RJ434" s="56"/>
      <c r="RK434" s="56"/>
      <c r="RL434" s="56"/>
      <c r="RM434" s="56"/>
      <c r="RN434" s="56"/>
      <c r="RO434" s="56"/>
      <c r="RP434" s="56"/>
      <c r="RQ434" s="56"/>
      <c r="RR434" s="56"/>
      <c r="RS434" s="56"/>
      <c r="RT434" s="56"/>
      <c r="RU434" s="56"/>
      <c r="RV434" s="56"/>
      <c r="RW434" s="56"/>
      <c r="RX434" s="56"/>
      <c r="RY434" s="56"/>
      <c r="RZ434" s="56"/>
      <c r="SA434" s="56"/>
      <c r="SB434" s="56"/>
      <c r="SC434" s="56"/>
      <c r="SD434" s="56"/>
      <c r="SE434" s="56"/>
      <c r="SF434" s="56"/>
      <c r="SG434" s="56"/>
      <c r="SH434" s="56"/>
      <c r="SI434" s="56"/>
      <c r="SJ434" s="56"/>
      <c r="SK434" s="56"/>
      <c r="SL434" s="56"/>
      <c r="SM434" s="56"/>
      <c r="SN434" s="56"/>
      <c r="SO434" s="56"/>
      <c r="SP434" s="56"/>
      <c r="SQ434" s="56"/>
      <c r="SR434" s="56"/>
      <c r="SS434" s="56"/>
      <c r="ST434" s="56"/>
      <c r="SU434" s="56"/>
      <c r="SV434" s="56"/>
      <c r="SW434" s="56"/>
      <c r="SX434" s="56"/>
      <c r="SY434" s="56"/>
      <c r="SZ434" s="56"/>
      <c r="TA434" s="56"/>
      <c r="TB434" s="56"/>
      <c r="TC434" s="56"/>
      <c r="TD434" s="56"/>
      <c r="TE434" s="56"/>
      <c r="TF434" s="56"/>
      <c r="TG434" s="56"/>
      <c r="TH434" s="56"/>
      <c r="TI434" s="56"/>
      <c r="TJ434" s="56"/>
      <c r="TK434" s="56"/>
      <c r="TL434" s="56"/>
      <c r="TM434" s="56"/>
      <c r="TN434" s="56"/>
      <c r="TO434" s="56"/>
      <c r="TP434" s="56"/>
      <c r="TQ434" s="56"/>
      <c r="TR434" s="56"/>
      <c r="TS434" s="56"/>
      <c r="TT434" s="56"/>
      <c r="TU434" s="56"/>
      <c r="TV434" s="56"/>
      <c r="TW434" s="56"/>
      <c r="TX434" s="56"/>
      <c r="TY434" s="56"/>
      <c r="TZ434" s="56"/>
      <c r="UA434" s="56"/>
      <c r="UB434" s="56"/>
      <c r="UC434" s="56"/>
      <c r="UD434" s="56"/>
      <c r="UE434" s="56"/>
      <c r="UF434" s="56"/>
      <c r="UG434" s="56"/>
      <c r="UH434" s="56"/>
      <c r="UI434" s="56"/>
      <c r="UJ434" s="56"/>
      <c r="UK434" s="56"/>
      <c r="UL434" s="56"/>
      <c r="UM434" s="56"/>
      <c r="UN434" s="56"/>
      <c r="UO434" s="56"/>
      <c r="UP434" s="56"/>
      <c r="UQ434" s="56"/>
      <c r="UR434" s="56"/>
      <c r="US434" s="56"/>
      <c r="UT434" s="56"/>
      <c r="UU434" s="56"/>
      <c r="UV434" s="56"/>
      <c r="UW434" s="56"/>
      <c r="UX434" s="56"/>
      <c r="UY434" s="56"/>
      <c r="UZ434" s="56"/>
      <c r="VA434" s="56"/>
      <c r="VB434" s="56"/>
      <c r="VC434" s="56"/>
      <c r="VD434" s="56"/>
      <c r="VE434" s="56"/>
      <c r="VF434" s="56"/>
      <c r="VG434" s="56"/>
      <c r="VH434" s="56"/>
      <c r="VI434" s="56"/>
      <c r="VJ434" s="56"/>
      <c r="VK434" s="56"/>
      <c r="VL434" s="56"/>
      <c r="VM434" s="56"/>
      <c r="VN434" s="56"/>
      <c r="VO434" s="56"/>
      <c r="VP434" s="56"/>
      <c r="VQ434" s="56"/>
      <c r="VR434" s="56"/>
      <c r="VS434" s="56"/>
      <c r="VT434" s="56"/>
      <c r="VU434" s="56"/>
      <c r="VV434" s="56"/>
      <c r="VW434" s="56"/>
      <c r="VX434" s="56"/>
      <c r="VY434" s="56"/>
      <c r="VZ434" s="56"/>
      <c r="WA434" s="56"/>
      <c r="WB434" s="56"/>
      <c r="WC434" s="56"/>
      <c r="WD434" s="56"/>
      <c r="WE434" s="56"/>
      <c r="WF434" s="56"/>
      <c r="WG434" s="56"/>
      <c r="WH434" s="56"/>
      <c r="WI434" s="56"/>
      <c r="WJ434" s="56"/>
      <c r="WK434" s="56"/>
      <c r="WL434" s="56"/>
      <c r="WM434" s="56"/>
      <c r="WN434" s="56"/>
      <c r="WO434" s="56"/>
      <c r="WP434" s="56"/>
      <c r="WQ434" s="56"/>
      <c r="WR434" s="56"/>
      <c r="WS434" s="56"/>
      <c r="WT434" s="56"/>
      <c r="WU434" s="56"/>
      <c r="WV434" s="56"/>
      <c r="WW434" s="56"/>
      <c r="WX434" s="56"/>
      <c r="WY434" s="56"/>
      <c r="WZ434" s="56"/>
      <c r="XA434" s="56"/>
      <c r="XB434" s="56"/>
      <c r="XC434" s="56"/>
      <c r="XD434" s="56"/>
      <c r="XE434" s="56"/>
      <c r="XF434" s="56"/>
      <c r="XG434" s="56"/>
      <c r="XH434" s="56"/>
      <c r="XI434" s="56"/>
      <c r="XJ434" s="56"/>
      <c r="XK434" s="56"/>
      <c r="XL434" s="56"/>
      <c r="XM434" s="56"/>
      <c r="XN434" s="56"/>
      <c r="XO434" s="56"/>
      <c r="XP434" s="56"/>
      <c r="XQ434" s="56"/>
      <c r="XR434" s="56"/>
      <c r="XS434" s="56"/>
      <c r="XT434" s="56"/>
      <c r="XU434" s="56"/>
      <c r="XV434" s="56"/>
      <c r="XW434" s="56"/>
      <c r="XX434" s="56"/>
      <c r="XY434" s="56"/>
      <c r="XZ434" s="56"/>
      <c r="YA434" s="56"/>
      <c r="YB434" s="56"/>
      <c r="YC434" s="56"/>
      <c r="YD434" s="56"/>
      <c r="YE434" s="56"/>
      <c r="YF434" s="56"/>
      <c r="YG434" s="56"/>
      <c r="YH434" s="56"/>
      <c r="YI434" s="56"/>
      <c r="YJ434" s="56"/>
      <c r="YK434" s="56"/>
      <c r="YL434" s="56"/>
      <c r="YM434" s="56"/>
      <c r="YN434" s="56"/>
      <c r="YO434" s="56"/>
      <c r="YP434" s="56"/>
      <c r="YQ434" s="56"/>
      <c r="YR434" s="56"/>
      <c r="YS434" s="56"/>
      <c r="YT434" s="56"/>
      <c r="YU434" s="56"/>
      <c r="YV434" s="56"/>
      <c r="YW434" s="56"/>
      <c r="YX434" s="56"/>
      <c r="YY434" s="56"/>
      <c r="YZ434" s="56"/>
      <c r="ZA434" s="56"/>
      <c r="ZB434" s="56"/>
      <c r="ZC434" s="56"/>
      <c r="ZD434" s="56"/>
      <c r="ZE434" s="56"/>
      <c r="ZF434" s="56"/>
      <c r="ZG434" s="56"/>
      <c r="ZH434" s="56"/>
      <c r="ZI434" s="56"/>
      <c r="ZJ434" s="56"/>
      <c r="ZK434" s="56"/>
      <c r="ZL434" s="56"/>
      <c r="ZM434" s="56"/>
      <c r="ZN434" s="56"/>
      <c r="ZO434" s="56"/>
      <c r="ZP434" s="56"/>
      <c r="ZQ434" s="56"/>
      <c r="ZR434" s="56"/>
      <c r="ZS434" s="56"/>
      <c r="ZT434" s="56"/>
      <c r="ZU434" s="56"/>
      <c r="ZV434" s="56"/>
      <c r="ZW434" s="56"/>
      <c r="ZX434" s="56"/>
      <c r="ZY434" s="56"/>
      <c r="ZZ434" s="56"/>
      <c r="AAA434" s="56"/>
      <c r="AAB434" s="56"/>
      <c r="AAC434" s="56"/>
      <c r="AAD434" s="56"/>
      <c r="AAE434" s="56"/>
      <c r="AAF434" s="56"/>
      <c r="AAG434" s="56"/>
      <c r="AAH434" s="56"/>
      <c r="AAI434" s="56"/>
      <c r="AAJ434" s="56"/>
      <c r="AAK434" s="56"/>
      <c r="AAL434" s="56"/>
      <c r="AAM434" s="56"/>
      <c r="AAN434" s="56"/>
      <c r="AAO434" s="56"/>
      <c r="AAP434" s="56"/>
      <c r="AAQ434" s="56"/>
      <c r="AAR434" s="56"/>
      <c r="AAS434" s="56"/>
      <c r="AAT434" s="56"/>
      <c r="AAU434" s="56"/>
      <c r="AAV434" s="56"/>
      <c r="AAW434" s="56"/>
      <c r="AAX434" s="56"/>
      <c r="AAY434" s="56"/>
      <c r="AAZ434" s="56"/>
      <c r="ABA434" s="56"/>
      <c r="ABB434" s="56"/>
      <c r="ABC434" s="56"/>
      <c r="ABD434" s="56"/>
      <c r="ABE434" s="56"/>
      <c r="ABF434" s="56"/>
      <c r="ABG434" s="56"/>
      <c r="ABH434" s="56"/>
      <c r="ABI434" s="56"/>
      <c r="ABJ434" s="56"/>
      <c r="ABK434" s="56"/>
      <c r="ABL434" s="56"/>
      <c r="ABM434" s="56"/>
      <c r="ABN434" s="56"/>
      <c r="ABO434" s="56"/>
      <c r="ABP434" s="56"/>
      <c r="ABQ434" s="56"/>
      <c r="ABR434" s="56"/>
      <c r="ABS434" s="56"/>
      <c r="ABT434" s="56"/>
      <c r="ABU434" s="56"/>
      <c r="ABV434" s="56"/>
      <c r="ABW434" s="56"/>
      <c r="ABX434" s="56"/>
      <c r="ABY434" s="56"/>
      <c r="ABZ434" s="56"/>
      <c r="ACA434" s="56"/>
      <c r="ACB434" s="56"/>
      <c r="ACC434" s="56"/>
      <c r="ACD434" s="56"/>
      <c r="ACE434" s="56"/>
      <c r="ACF434" s="56"/>
      <c r="ACG434" s="56"/>
      <c r="ACH434" s="56"/>
      <c r="ACI434" s="56"/>
      <c r="ACJ434" s="56"/>
      <c r="ACK434" s="56"/>
      <c r="ACL434" s="56"/>
      <c r="ACM434" s="56"/>
      <c r="ACN434" s="56"/>
      <c r="ACO434" s="56"/>
      <c r="ACP434" s="56"/>
      <c r="ACQ434" s="56"/>
      <c r="ACR434" s="56"/>
      <c r="ACS434" s="56"/>
      <c r="ACT434" s="56"/>
      <c r="ACU434" s="56"/>
      <c r="ACV434" s="56"/>
      <c r="ACW434" s="56"/>
      <c r="ACX434" s="56"/>
      <c r="ACY434" s="56"/>
      <c r="ACZ434" s="56"/>
      <c r="ADA434" s="56"/>
      <c r="ADB434" s="56"/>
      <c r="ADC434" s="56"/>
      <c r="ADD434" s="56"/>
      <c r="ADE434" s="56"/>
      <c r="ADF434" s="56"/>
      <c r="ADG434" s="56"/>
      <c r="ADH434" s="56"/>
      <c r="ADI434" s="56"/>
      <c r="ADJ434" s="56"/>
      <c r="ADK434" s="56"/>
      <c r="ADL434" s="56"/>
      <c r="ADM434" s="56"/>
      <c r="ADN434" s="56"/>
      <c r="ADO434" s="56"/>
      <c r="ADP434" s="56"/>
      <c r="ADQ434" s="56"/>
      <c r="ADR434" s="56"/>
      <c r="ADS434" s="56"/>
      <c r="ADT434" s="56"/>
      <c r="ADU434" s="56"/>
      <c r="ADV434" s="56"/>
      <c r="ADW434" s="56"/>
      <c r="ADX434" s="56"/>
      <c r="ADY434" s="56"/>
      <c r="ADZ434" s="56"/>
      <c r="AEA434" s="56"/>
      <c r="AEB434" s="56"/>
      <c r="AEC434" s="56"/>
      <c r="AED434" s="56"/>
      <c r="AEE434" s="56"/>
      <c r="AEF434" s="56"/>
      <c r="AEG434" s="56"/>
      <c r="AEH434" s="56"/>
      <c r="AEI434" s="56"/>
      <c r="AEJ434" s="56"/>
      <c r="AEK434" s="56"/>
      <c r="AEL434" s="56"/>
      <c r="AEM434" s="56"/>
      <c r="AEN434" s="56"/>
      <c r="AEO434" s="56"/>
      <c r="AEP434" s="56"/>
      <c r="AEQ434" s="56"/>
      <c r="AER434" s="56"/>
      <c r="AES434" s="56"/>
      <c r="AET434" s="56"/>
      <c r="AEU434" s="56"/>
      <c r="AEV434" s="56"/>
      <c r="AEW434" s="56"/>
      <c r="AEX434" s="56"/>
      <c r="AEY434" s="56"/>
      <c r="AEZ434" s="56"/>
      <c r="AFA434" s="56"/>
      <c r="AFB434" s="56"/>
      <c r="AFC434" s="56"/>
      <c r="AFD434" s="56"/>
      <c r="AFE434" s="56"/>
      <c r="AFF434" s="56"/>
      <c r="AFG434" s="56"/>
      <c r="AFH434" s="56"/>
      <c r="AFI434" s="56"/>
      <c r="AFJ434" s="56"/>
      <c r="AFK434" s="56"/>
      <c r="AFL434" s="56"/>
      <c r="AFM434" s="56"/>
      <c r="AFN434" s="56"/>
      <c r="AFO434" s="56"/>
      <c r="AFP434" s="56"/>
      <c r="AFQ434" s="56"/>
      <c r="AFR434" s="56"/>
      <c r="AFS434" s="56"/>
      <c r="AFT434" s="56"/>
      <c r="AFU434" s="56"/>
      <c r="AFV434" s="56"/>
      <c r="AFW434" s="56"/>
      <c r="AFX434" s="56"/>
      <c r="AFY434" s="56"/>
      <c r="AFZ434" s="56"/>
      <c r="AGA434" s="56"/>
      <c r="AGB434" s="56"/>
      <c r="AGC434" s="56"/>
      <c r="AGD434" s="56"/>
      <c r="AGE434" s="56"/>
      <c r="AGF434" s="56"/>
      <c r="AGG434" s="56"/>
      <c r="AGH434" s="56"/>
      <c r="AGI434" s="56"/>
      <c r="AGJ434" s="56"/>
      <c r="AGK434" s="56"/>
      <c r="AGL434" s="56"/>
      <c r="AGM434" s="56"/>
      <c r="AGN434" s="56"/>
      <c r="AGO434" s="56"/>
      <c r="AGP434" s="56"/>
      <c r="AGQ434" s="56"/>
      <c r="AGR434" s="56"/>
      <c r="AGS434" s="56"/>
      <c r="AGT434" s="56"/>
      <c r="AGU434" s="56"/>
      <c r="AGV434" s="56"/>
      <c r="AGW434" s="56"/>
      <c r="AGX434" s="56"/>
      <c r="AGY434" s="56"/>
      <c r="AGZ434" s="56"/>
      <c r="AHA434" s="56"/>
      <c r="AHB434" s="56"/>
      <c r="AHC434" s="56"/>
      <c r="AHD434" s="56"/>
      <c r="AHE434" s="56"/>
      <c r="AHF434" s="56"/>
      <c r="AHG434" s="56"/>
      <c r="AHH434" s="56"/>
      <c r="AHI434" s="56"/>
      <c r="AHJ434" s="56"/>
      <c r="AHK434" s="56"/>
      <c r="AHL434" s="56"/>
      <c r="AHM434" s="56"/>
      <c r="AHN434" s="56"/>
      <c r="AHO434" s="56"/>
      <c r="AHP434" s="56"/>
      <c r="AHQ434" s="56"/>
      <c r="AHR434" s="56"/>
      <c r="AHS434" s="56"/>
      <c r="AHT434" s="56"/>
      <c r="AHU434" s="56"/>
      <c r="AHV434" s="56"/>
      <c r="AHW434" s="56"/>
      <c r="AHX434" s="56"/>
      <c r="AHY434" s="56"/>
      <c r="AHZ434" s="56"/>
      <c r="AIA434" s="56"/>
      <c r="AIB434" s="56"/>
      <c r="AIC434" s="56"/>
      <c r="AID434" s="56"/>
      <c r="AIE434" s="56"/>
      <c r="AIF434" s="56"/>
      <c r="AIG434" s="56"/>
      <c r="AIH434" s="56"/>
      <c r="AII434" s="56"/>
      <c r="AIJ434" s="56"/>
      <c r="AIK434" s="56"/>
      <c r="AIL434" s="56"/>
      <c r="AIM434" s="56"/>
      <c r="AIN434" s="56"/>
      <c r="AIO434" s="56"/>
      <c r="AIP434" s="56"/>
      <c r="AIQ434" s="56"/>
      <c r="AIR434" s="56"/>
      <c r="AIS434" s="56"/>
      <c r="AIT434" s="56"/>
      <c r="AIU434" s="56"/>
      <c r="AIV434" s="56"/>
      <c r="AIW434" s="56"/>
      <c r="AIX434" s="56"/>
      <c r="AIY434" s="56"/>
      <c r="AIZ434" s="56"/>
      <c r="AJA434" s="56"/>
      <c r="AJB434" s="56"/>
      <c r="AJC434" s="56"/>
      <c r="AJD434" s="56"/>
      <c r="AJE434" s="56"/>
      <c r="AJF434" s="56"/>
      <c r="AJG434" s="56"/>
      <c r="AJH434" s="56"/>
      <c r="AJI434" s="56"/>
      <c r="AJJ434" s="56"/>
      <c r="AJK434" s="56"/>
      <c r="AJL434" s="56"/>
      <c r="AJM434" s="56"/>
      <c r="AJN434" s="56"/>
      <c r="AJO434" s="56"/>
      <c r="AJP434" s="56"/>
      <c r="AJQ434" s="56"/>
      <c r="AJR434" s="56"/>
      <c r="AJS434" s="56"/>
      <c r="AJT434" s="56"/>
      <c r="AJU434" s="56"/>
      <c r="AJV434" s="56"/>
      <c r="AJW434" s="56"/>
      <c r="AJX434" s="56"/>
      <c r="AJY434" s="56"/>
      <c r="AJZ434" s="56"/>
      <c r="AKA434" s="56"/>
      <c r="AKB434" s="56"/>
      <c r="AKC434" s="56"/>
      <c r="AKD434" s="56"/>
      <c r="AKE434" s="56"/>
      <c r="AKF434" s="56"/>
      <c r="AKG434" s="56"/>
      <c r="AKH434" s="56"/>
      <c r="AKI434" s="56"/>
      <c r="AKJ434" s="56"/>
      <c r="AKK434" s="56"/>
      <c r="AKL434" s="56"/>
      <c r="AKM434" s="56"/>
      <c r="AKN434" s="56"/>
      <c r="AKO434" s="56"/>
      <c r="AKP434" s="56"/>
      <c r="AKQ434" s="56"/>
      <c r="AKR434" s="56"/>
      <c r="AKS434" s="56"/>
      <c r="AKT434" s="56"/>
      <c r="AKU434" s="56"/>
      <c r="AKV434" s="56"/>
      <c r="AKW434" s="56"/>
      <c r="AKX434" s="56"/>
      <c r="AKY434" s="56"/>
      <c r="AKZ434" s="56"/>
      <c r="ALA434" s="56"/>
      <c r="ALB434" s="56"/>
      <c r="ALC434" s="56"/>
      <c r="ALD434" s="56"/>
      <c r="ALE434" s="56"/>
      <c r="ALF434" s="56"/>
      <c r="ALG434" s="56"/>
      <c r="ALH434" s="56"/>
      <c r="ALI434" s="56"/>
      <c r="ALJ434" s="56"/>
      <c r="ALK434" s="56"/>
      <c r="ALL434" s="56"/>
      <c r="ALM434" s="56"/>
      <c r="ALN434" s="56"/>
      <c r="ALO434" s="56"/>
      <c r="ALP434" s="56"/>
      <c r="ALQ434" s="56"/>
      <c r="ALR434" s="56"/>
      <c r="ALS434" s="56"/>
      <c r="ALT434" s="56"/>
      <c r="ALU434" s="56"/>
      <c r="ALV434" s="56"/>
      <c r="ALW434" s="56"/>
      <c r="ALX434" s="56"/>
      <c r="ALY434" s="56"/>
      <c r="ALZ434" s="56"/>
      <c r="AMA434" s="56"/>
      <c r="AMB434" s="56"/>
      <c r="AMC434" s="56"/>
      <c r="AMD434" s="56"/>
      <c r="AME434" s="56"/>
      <c r="AMF434" s="56"/>
      <c r="AMG434" s="56"/>
      <c r="AMH434" s="56"/>
      <c r="AMI434" s="56"/>
      <c r="AMJ434" s="56"/>
      <c r="AMK434" s="56"/>
      <c r="AML434" s="56"/>
      <c r="AMM434" s="56"/>
      <c r="AMN434" s="56"/>
      <c r="AMO434" s="56"/>
      <c r="AMP434" s="56"/>
      <c r="AMQ434" s="56"/>
      <c r="AMR434" s="56"/>
      <c r="AMS434" s="56"/>
      <c r="AMT434" s="56"/>
      <c r="AMU434" s="56"/>
      <c r="AMV434" s="56"/>
      <c r="AMW434" s="56"/>
      <c r="AMX434" s="56"/>
      <c r="AMY434" s="56"/>
      <c r="AMZ434" s="56"/>
      <c r="ANA434" s="56"/>
      <c r="ANB434" s="56"/>
      <c r="ANC434" s="56"/>
      <c r="AND434" s="56"/>
      <c r="ANE434" s="56"/>
      <c r="ANF434" s="56"/>
      <c r="ANG434" s="56"/>
      <c r="ANH434" s="56"/>
      <c r="ANI434" s="56"/>
      <c r="ANJ434" s="56"/>
      <c r="ANK434" s="56"/>
      <c r="ANL434" s="56"/>
      <c r="ANM434" s="56"/>
      <c r="ANN434" s="56"/>
      <c r="ANO434" s="56"/>
      <c r="ANP434" s="56"/>
      <c r="ANQ434" s="56"/>
      <c r="ANR434" s="56"/>
      <c r="ANS434" s="56"/>
      <c r="ANT434" s="56"/>
      <c r="ANU434" s="56"/>
      <c r="ANV434" s="56"/>
      <c r="ANW434" s="56"/>
      <c r="ANX434" s="56"/>
      <c r="ANY434" s="56"/>
      <c r="ANZ434" s="56"/>
      <c r="AOA434" s="56"/>
      <c r="AOB434" s="56"/>
      <c r="AOC434" s="56"/>
      <c r="AOD434" s="56"/>
      <c r="AOE434" s="56"/>
      <c r="AOF434" s="56"/>
      <c r="AOG434" s="56"/>
      <c r="AOH434" s="56"/>
      <c r="AOI434" s="56"/>
      <c r="AOJ434" s="56"/>
      <c r="AOK434" s="56"/>
      <c r="AOL434" s="56"/>
      <c r="AOM434" s="56"/>
      <c r="AON434" s="56"/>
      <c r="AOO434" s="56"/>
      <c r="AOP434" s="56"/>
      <c r="AOQ434" s="56"/>
      <c r="AOR434" s="56"/>
      <c r="AOS434" s="56"/>
      <c r="AOT434" s="56"/>
      <c r="AOU434" s="56"/>
      <c r="AOV434" s="56"/>
      <c r="AOW434" s="56"/>
      <c r="AOX434" s="56"/>
      <c r="AOY434" s="56"/>
      <c r="AOZ434" s="56"/>
      <c r="APA434" s="56"/>
      <c r="APB434" s="56"/>
      <c r="APC434" s="56"/>
      <c r="APD434" s="56"/>
      <c r="APE434" s="56"/>
      <c r="APF434" s="56"/>
      <c r="APG434" s="56"/>
      <c r="APH434" s="56"/>
      <c r="API434" s="56"/>
      <c r="APJ434" s="56"/>
      <c r="APK434" s="56"/>
      <c r="APL434" s="56"/>
      <c r="APM434" s="56"/>
      <c r="APN434" s="56"/>
      <c r="APO434" s="56"/>
      <c r="APP434" s="56"/>
      <c r="APQ434" s="56"/>
      <c r="APR434" s="56"/>
      <c r="APS434" s="56"/>
      <c r="APT434" s="56"/>
      <c r="APU434" s="56"/>
      <c r="APV434" s="56"/>
      <c r="APW434" s="56"/>
      <c r="APX434" s="56"/>
      <c r="APY434" s="56"/>
      <c r="APZ434" s="56"/>
      <c r="AQA434" s="56"/>
      <c r="AQB434" s="56"/>
      <c r="AQC434" s="56"/>
      <c r="AQD434" s="56"/>
      <c r="AQE434" s="56"/>
      <c r="AQF434" s="56"/>
      <c r="AQG434" s="56"/>
      <c r="AQH434" s="56"/>
      <c r="AQI434" s="56"/>
      <c r="AQJ434" s="56"/>
      <c r="AQK434" s="56"/>
      <c r="AQL434" s="56"/>
      <c r="AQM434" s="56"/>
      <c r="AQN434" s="56"/>
      <c r="AQO434" s="56"/>
      <c r="AQP434" s="56"/>
      <c r="AQQ434" s="56"/>
      <c r="AQR434" s="56"/>
      <c r="AQS434" s="56"/>
      <c r="AQT434" s="56"/>
      <c r="AQU434" s="56"/>
      <c r="AQV434" s="56"/>
      <c r="AQW434" s="56"/>
      <c r="AQX434" s="56"/>
      <c r="AQY434" s="56"/>
      <c r="AQZ434" s="56"/>
      <c r="ARA434" s="56"/>
      <c r="ARB434" s="56"/>
      <c r="ARC434" s="56"/>
      <c r="ARD434" s="56"/>
      <c r="ARE434" s="56"/>
      <c r="ARF434" s="56"/>
      <c r="ARG434" s="56"/>
      <c r="ARH434" s="56"/>
      <c r="ARI434" s="56"/>
      <c r="ARJ434" s="56"/>
      <c r="ARK434" s="56"/>
      <c r="ARL434" s="56"/>
      <c r="ARM434" s="56"/>
      <c r="ARN434" s="56"/>
      <c r="ARO434" s="56"/>
      <c r="ARP434" s="56"/>
      <c r="ARQ434" s="56"/>
      <c r="ARR434" s="56"/>
      <c r="ARS434" s="56"/>
      <c r="ART434" s="56"/>
      <c r="ARU434" s="56"/>
      <c r="ARV434" s="56"/>
      <c r="ARW434" s="56"/>
      <c r="ARX434" s="56"/>
      <c r="ARY434" s="56"/>
      <c r="ARZ434" s="56"/>
      <c r="ASA434" s="56"/>
      <c r="ASB434" s="56"/>
      <c r="ASC434" s="56"/>
      <c r="ASD434" s="56"/>
      <c r="ASE434" s="56"/>
      <c r="ASF434" s="56"/>
      <c r="ASG434" s="56"/>
      <c r="ASH434" s="56"/>
      <c r="ASI434" s="56"/>
      <c r="ASJ434" s="56"/>
      <c r="ASK434" s="56"/>
      <c r="ASL434" s="56"/>
      <c r="ASM434" s="56"/>
      <c r="ASN434" s="56"/>
      <c r="ASO434" s="56"/>
      <c r="ASP434" s="56"/>
      <c r="ASQ434" s="56"/>
      <c r="ASR434" s="56"/>
      <c r="ASS434" s="56"/>
      <c r="AST434" s="56"/>
      <c r="ASU434" s="56"/>
      <c r="ASV434" s="56"/>
      <c r="ASW434" s="56"/>
      <c r="ASX434" s="56"/>
      <c r="ASY434" s="56"/>
      <c r="ASZ434" s="56"/>
      <c r="ATA434" s="56"/>
      <c r="ATB434" s="56"/>
      <c r="ATC434" s="56"/>
      <c r="ATD434" s="56"/>
      <c r="ATE434" s="56"/>
      <c r="ATF434" s="56"/>
      <c r="ATG434" s="56"/>
      <c r="ATH434" s="56"/>
      <c r="ATI434" s="56"/>
      <c r="ATJ434" s="56"/>
      <c r="ATK434" s="56"/>
      <c r="ATL434" s="56"/>
      <c r="ATM434" s="56"/>
      <c r="ATN434" s="56"/>
      <c r="ATO434" s="56"/>
      <c r="ATP434" s="56"/>
      <c r="ATQ434" s="56"/>
      <c r="ATR434" s="56"/>
      <c r="ATS434" s="56"/>
      <c r="ATT434" s="56"/>
      <c r="ATU434" s="56"/>
      <c r="ATV434" s="56"/>
      <c r="ATW434" s="56"/>
      <c r="ATX434" s="56"/>
      <c r="ATY434" s="56"/>
      <c r="ATZ434" s="56"/>
      <c r="AUA434" s="56"/>
      <c r="AUB434" s="56"/>
      <c r="AUC434" s="56"/>
      <c r="AUD434" s="56"/>
      <c r="AUE434" s="56"/>
      <c r="AUF434" s="56"/>
      <c r="AUG434" s="56"/>
      <c r="AUH434" s="56"/>
      <c r="AUI434" s="56"/>
      <c r="AUJ434" s="56"/>
      <c r="AUK434" s="56"/>
      <c r="AUL434" s="56"/>
      <c r="AUM434" s="56"/>
      <c r="AUN434" s="56"/>
      <c r="AUO434" s="56"/>
      <c r="AUP434" s="56"/>
      <c r="AUQ434" s="56"/>
      <c r="AUR434" s="56"/>
      <c r="AUS434" s="56"/>
      <c r="AUT434" s="56"/>
      <c r="AUU434" s="56"/>
      <c r="AUV434" s="56"/>
      <c r="AUW434" s="56"/>
      <c r="AUX434" s="56"/>
      <c r="AUY434" s="56"/>
      <c r="AUZ434" s="56"/>
      <c r="AVA434" s="56"/>
      <c r="AVB434" s="56"/>
      <c r="AVC434" s="56"/>
      <c r="AVD434" s="56"/>
      <c r="AVE434" s="56"/>
      <c r="AVF434" s="56"/>
      <c r="AVG434" s="56"/>
      <c r="AVH434" s="56"/>
      <c r="AVI434" s="56"/>
      <c r="AVJ434" s="56"/>
      <c r="AVK434" s="56"/>
      <c r="AVL434" s="56"/>
      <c r="AVM434" s="56"/>
      <c r="AVN434" s="56"/>
      <c r="AVO434" s="56"/>
      <c r="AVP434" s="56"/>
      <c r="AVQ434" s="56"/>
      <c r="AVR434" s="56"/>
      <c r="AVS434" s="56"/>
      <c r="AVT434" s="56"/>
      <c r="AVU434" s="56"/>
      <c r="AVV434" s="56"/>
      <c r="AVW434" s="56"/>
      <c r="AVX434" s="56"/>
      <c r="AVY434" s="56"/>
      <c r="AVZ434" s="56"/>
      <c r="AWA434" s="56"/>
      <c r="AWB434" s="56"/>
      <c r="AWC434" s="56"/>
      <c r="AWD434" s="56"/>
      <c r="AWE434" s="56"/>
      <c r="AWF434" s="56"/>
      <c r="AWG434" s="56"/>
      <c r="AWH434" s="56"/>
      <c r="AWI434" s="56"/>
      <c r="AWJ434" s="56"/>
      <c r="AWK434" s="56"/>
      <c r="AWL434" s="56"/>
      <c r="AWM434" s="56"/>
      <c r="AWN434" s="56"/>
      <c r="AWO434" s="56"/>
      <c r="AWP434" s="56"/>
      <c r="AWQ434" s="56"/>
      <c r="AWR434" s="56"/>
      <c r="AWS434" s="56"/>
      <c r="AWT434" s="56"/>
      <c r="AWU434" s="56"/>
      <c r="AWV434" s="56"/>
      <c r="AWW434" s="56"/>
      <c r="AWX434" s="56"/>
      <c r="AWY434" s="56"/>
      <c r="AWZ434" s="56"/>
      <c r="AXA434" s="56"/>
      <c r="AXB434" s="56"/>
      <c r="AXC434" s="56"/>
      <c r="AXD434" s="56"/>
      <c r="AXE434" s="56"/>
      <c r="AXF434" s="56"/>
      <c r="AXG434" s="56"/>
      <c r="AXH434" s="56"/>
      <c r="AXI434" s="56"/>
      <c r="AXJ434" s="56"/>
      <c r="AXK434" s="56"/>
      <c r="AXL434" s="56"/>
      <c r="AXM434" s="56"/>
      <c r="AXN434" s="56"/>
      <c r="AXO434" s="56"/>
      <c r="AXP434" s="56"/>
      <c r="AXQ434" s="56"/>
      <c r="AXR434" s="56"/>
      <c r="AXS434" s="56"/>
      <c r="AXT434" s="56"/>
      <c r="AXU434" s="56"/>
      <c r="AXV434" s="56"/>
      <c r="AXW434" s="56"/>
      <c r="AXX434" s="56"/>
      <c r="AXY434" s="56"/>
      <c r="AXZ434" s="56"/>
      <c r="AYA434" s="56"/>
      <c r="AYB434" s="56"/>
      <c r="AYC434" s="56"/>
      <c r="AYD434" s="56"/>
      <c r="AYE434" s="56"/>
      <c r="AYF434" s="56"/>
      <c r="AYG434" s="56"/>
      <c r="AYH434" s="56"/>
      <c r="AYI434" s="56"/>
      <c r="AYJ434" s="56"/>
      <c r="AYK434" s="56"/>
      <c r="AYL434" s="56"/>
      <c r="AYM434" s="56"/>
      <c r="AYN434" s="56"/>
      <c r="AYO434" s="56"/>
      <c r="AYP434" s="56"/>
      <c r="AYQ434" s="56"/>
      <c r="AYR434" s="56"/>
      <c r="AYS434" s="56"/>
      <c r="AYT434" s="56"/>
      <c r="AYU434" s="56"/>
      <c r="AYV434" s="56"/>
      <c r="AYW434" s="56"/>
      <c r="AYX434" s="56"/>
      <c r="AYY434" s="56"/>
      <c r="AYZ434" s="56"/>
      <c r="AZA434" s="56"/>
      <c r="AZB434" s="56"/>
      <c r="AZC434" s="56"/>
      <c r="AZD434" s="56"/>
      <c r="AZE434" s="56"/>
      <c r="AZF434" s="56"/>
      <c r="AZG434" s="56"/>
      <c r="AZH434" s="56"/>
      <c r="AZI434" s="56"/>
      <c r="AZJ434" s="56"/>
      <c r="AZK434" s="56"/>
      <c r="AZL434" s="56"/>
      <c r="AZM434" s="56"/>
      <c r="AZN434" s="56"/>
      <c r="AZO434" s="56"/>
      <c r="AZP434" s="56"/>
      <c r="AZQ434" s="56"/>
      <c r="AZR434" s="56"/>
      <c r="AZS434" s="56"/>
      <c r="AZT434" s="56"/>
      <c r="AZU434" s="56"/>
      <c r="AZV434" s="56"/>
      <c r="AZW434" s="56"/>
      <c r="AZX434" s="56"/>
      <c r="AZY434" s="56"/>
      <c r="AZZ434" s="56"/>
      <c r="BAA434" s="56"/>
      <c r="BAB434" s="56"/>
      <c r="BAC434" s="56"/>
      <c r="BAD434" s="56"/>
      <c r="BAE434" s="56"/>
      <c r="BAF434" s="56"/>
      <c r="BAG434" s="56"/>
      <c r="BAH434" s="56"/>
      <c r="BAI434" s="56"/>
      <c r="BAJ434" s="56"/>
      <c r="BAK434" s="56"/>
      <c r="BAL434" s="56"/>
      <c r="BAM434" s="56"/>
      <c r="BAN434" s="56"/>
      <c r="BAO434" s="56"/>
      <c r="BAP434" s="56"/>
      <c r="BAQ434" s="56"/>
      <c r="BAR434" s="56"/>
      <c r="BAS434" s="56"/>
      <c r="BAT434" s="56"/>
      <c r="BAU434" s="56"/>
      <c r="BAV434" s="56"/>
      <c r="BAW434" s="56"/>
      <c r="BAX434" s="56"/>
      <c r="BAY434" s="56"/>
      <c r="BAZ434" s="56"/>
      <c r="BBA434" s="56"/>
      <c r="BBB434" s="56"/>
      <c r="BBC434" s="56"/>
      <c r="BBD434" s="56"/>
      <c r="BBE434" s="56"/>
      <c r="BBF434" s="56"/>
      <c r="BBG434" s="56"/>
      <c r="BBH434" s="56"/>
      <c r="BBI434" s="56"/>
      <c r="BBJ434" s="56"/>
      <c r="BBK434" s="56"/>
      <c r="BBL434" s="56"/>
      <c r="BBM434" s="56"/>
      <c r="BBN434" s="56"/>
      <c r="BBO434" s="56"/>
      <c r="BBP434" s="56"/>
      <c r="BBQ434" s="56"/>
      <c r="BBR434" s="56"/>
      <c r="BBS434" s="56"/>
      <c r="BBT434" s="56"/>
      <c r="BBU434" s="56"/>
      <c r="BBV434" s="56"/>
      <c r="BBW434" s="56"/>
      <c r="BBX434" s="56"/>
      <c r="BBY434" s="56"/>
      <c r="BBZ434" s="56"/>
      <c r="BCA434" s="56"/>
      <c r="BCB434" s="56"/>
      <c r="BCC434" s="56"/>
      <c r="BCD434" s="56"/>
      <c r="BCE434" s="56"/>
      <c r="BCF434" s="56"/>
      <c r="BCG434" s="56"/>
      <c r="BCH434" s="56"/>
      <c r="BCI434" s="56"/>
      <c r="BCJ434" s="56"/>
      <c r="BCK434" s="56"/>
      <c r="BCL434" s="56"/>
      <c r="BCM434" s="56"/>
      <c r="BCN434" s="56"/>
      <c r="BCO434" s="56"/>
      <c r="BCP434" s="56"/>
      <c r="BCQ434" s="56"/>
      <c r="BCR434" s="56"/>
      <c r="BCS434" s="56"/>
      <c r="BCT434" s="56"/>
      <c r="BCU434" s="56"/>
      <c r="BCV434" s="56"/>
      <c r="BCW434" s="56"/>
      <c r="BCX434" s="56"/>
      <c r="BCY434" s="56"/>
      <c r="BCZ434" s="56"/>
      <c r="BDA434" s="56"/>
      <c r="BDB434" s="56"/>
      <c r="BDC434" s="56"/>
      <c r="BDD434" s="56"/>
      <c r="BDE434" s="56"/>
      <c r="BDF434" s="56"/>
      <c r="BDG434" s="56"/>
      <c r="BDH434" s="56"/>
      <c r="BDI434" s="56"/>
      <c r="BDJ434" s="56"/>
      <c r="BDK434" s="56"/>
      <c r="BDL434" s="56"/>
      <c r="BDM434" s="56"/>
      <c r="BDN434" s="56"/>
      <c r="BDO434" s="56"/>
      <c r="BDP434" s="56"/>
      <c r="BDQ434" s="56"/>
      <c r="BDR434" s="56"/>
      <c r="BDS434" s="56"/>
      <c r="BDT434" s="56"/>
      <c r="BDU434" s="56"/>
      <c r="BDV434" s="56"/>
      <c r="BDW434" s="56"/>
      <c r="BDX434" s="56"/>
      <c r="BDY434" s="56"/>
      <c r="BDZ434" s="56"/>
      <c r="BEA434" s="56"/>
      <c r="BEB434" s="56"/>
      <c r="BEC434" s="56"/>
      <c r="BED434" s="56"/>
      <c r="BEE434" s="56"/>
      <c r="BEF434" s="56"/>
      <c r="BEG434" s="56"/>
      <c r="BEH434" s="56"/>
      <c r="BEI434" s="56"/>
      <c r="BEJ434" s="56"/>
      <c r="BEK434" s="56"/>
      <c r="BEL434" s="56"/>
      <c r="BEM434" s="56"/>
      <c r="BEN434" s="56"/>
      <c r="BEO434" s="56"/>
      <c r="BEP434" s="56"/>
      <c r="BEQ434" s="56"/>
      <c r="BER434" s="56"/>
      <c r="BES434" s="56"/>
      <c r="BET434" s="56"/>
      <c r="BEU434" s="56"/>
      <c r="BEV434" s="56"/>
      <c r="BEW434" s="56"/>
      <c r="BEX434" s="56"/>
      <c r="BEY434" s="56"/>
      <c r="BEZ434" s="56"/>
      <c r="BFA434" s="56"/>
      <c r="BFB434" s="56"/>
      <c r="BFC434" s="56"/>
      <c r="BFD434" s="56"/>
      <c r="BFE434" s="56"/>
      <c r="BFF434" s="56"/>
      <c r="BFG434" s="56"/>
      <c r="BFH434" s="56"/>
      <c r="BFI434" s="56"/>
      <c r="BFJ434" s="56"/>
      <c r="BFK434" s="56"/>
      <c r="BFL434" s="56"/>
      <c r="BFM434" s="56"/>
      <c r="BFN434" s="56"/>
      <c r="BFO434" s="56"/>
      <c r="BFP434" s="56"/>
      <c r="BFQ434" s="56"/>
      <c r="BFR434" s="56"/>
      <c r="BFS434" s="56"/>
      <c r="BFT434" s="56"/>
      <c r="BFU434" s="56"/>
      <c r="BFV434" s="56"/>
      <c r="BFW434" s="56"/>
      <c r="BFX434" s="56"/>
      <c r="BFY434" s="56"/>
      <c r="BFZ434" s="56"/>
      <c r="BGA434" s="56"/>
      <c r="BGB434" s="56"/>
      <c r="BGC434" s="56"/>
      <c r="BGD434" s="56"/>
      <c r="BGE434" s="56"/>
      <c r="BGF434" s="56"/>
      <c r="BGG434" s="56"/>
      <c r="BGH434" s="56"/>
      <c r="BGI434" s="56"/>
      <c r="BGJ434" s="56"/>
      <c r="BGK434" s="56"/>
      <c r="BGL434" s="56"/>
      <c r="BGM434" s="56"/>
      <c r="BGN434" s="56"/>
      <c r="BGO434" s="56"/>
      <c r="BGP434" s="56"/>
      <c r="BGQ434" s="56"/>
      <c r="BGR434" s="56"/>
      <c r="BGS434" s="56"/>
      <c r="BGT434" s="56"/>
      <c r="BGU434" s="56"/>
      <c r="BGV434" s="56"/>
      <c r="BGW434" s="56"/>
      <c r="BGX434" s="56"/>
      <c r="BGY434" s="56"/>
      <c r="BGZ434" s="56"/>
      <c r="BHA434" s="56"/>
      <c r="BHB434" s="56"/>
      <c r="BHC434" s="56"/>
      <c r="BHD434" s="56"/>
      <c r="BHE434" s="56"/>
      <c r="BHF434" s="56"/>
      <c r="BHG434" s="56"/>
      <c r="BHH434" s="56"/>
      <c r="BHI434" s="56"/>
      <c r="BHJ434" s="56"/>
      <c r="BHK434" s="56"/>
      <c r="BHL434" s="56"/>
      <c r="BHM434" s="56"/>
      <c r="BHN434" s="56"/>
      <c r="BHO434" s="56"/>
      <c r="BHP434" s="56"/>
      <c r="BHQ434" s="56"/>
      <c r="BHR434" s="56"/>
      <c r="BHS434" s="56"/>
      <c r="BHT434" s="56"/>
      <c r="BHU434" s="56"/>
      <c r="BHV434" s="56"/>
      <c r="BHW434" s="56"/>
      <c r="BHX434" s="56"/>
      <c r="BHY434" s="56"/>
      <c r="BHZ434" s="56"/>
      <c r="BIA434" s="56"/>
      <c r="BIB434" s="56"/>
      <c r="BIC434" s="56"/>
      <c r="BID434" s="56"/>
      <c r="BIE434" s="56"/>
      <c r="BIF434" s="56"/>
      <c r="BIG434" s="56"/>
      <c r="BIH434" s="56"/>
      <c r="BII434" s="56"/>
      <c r="BIJ434" s="56"/>
      <c r="BIK434" s="56"/>
      <c r="BIL434" s="56"/>
      <c r="BIM434" s="56"/>
      <c r="BIN434" s="56"/>
      <c r="BIO434" s="56"/>
      <c r="BIP434" s="56"/>
      <c r="BIQ434" s="56"/>
      <c r="BIR434" s="56"/>
      <c r="BIS434" s="56"/>
      <c r="BIT434" s="56"/>
      <c r="BIU434" s="56"/>
      <c r="BIV434" s="56"/>
      <c r="BIW434" s="56"/>
      <c r="BIX434" s="56"/>
      <c r="BIY434" s="56"/>
      <c r="BIZ434" s="56"/>
      <c r="BJA434" s="56"/>
      <c r="BJB434" s="56"/>
      <c r="BJC434" s="56"/>
      <c r="BJD434" s="56"/>
      <c r="BJE434" s="56"/>
      <c r="BJF434" s="56"/>
      <c r="BJG434" s="56"/>
      <c r="BJH434" s="56"/>
      <c r="BJI434" s="56"/>
      <c r="BJJ434" s="56"/>
      <c r="BJK434" s="56"/>
      <c r="BJL434" s="56"/>
      <c r="BJM434" s="56"/>
      <c r="BJN434" s="56"/>
      <c r="BJO434" s="56"/>
      <c r="BJP434" s="56"/>
      <c r="BJQ434" s="56"/>
      <c r="BJR434" s="56"/>
      <c r="BJS434" s="56"/>
      <c r="BJT434" s="56"/>
      <c r="BJU434" s="56"/>
      <c r="BJV434" s="56"/>
      <c r="BJW434" s="56"/>
      <c r="BJX434" s="56"/>
      <c r="BJY434" s="56"/>
      <c r="BJZ434" s="56"/>
      <c r="BKA434" s="56"/>
      <c r="BKB434" s="56"/>
      <c r="BKC434" s="56"/>
      <c r="BKD434" s="56"/>
      <c r="BKE434" s="56"/>
      <c r="BKF434" s="56"/>
      <c r="BKG434" s="56"/>
      <c r="BKH434" s="56"/>
      <c r="BKI434" s="56"/>
      <c r="BKJ434" s="56"/>
      <c r="BKK434" s="56"/>
      <c r="BKL434" s="56"/>
      <c r="BKM434" s="56"/>
      <c r="BKN434" s="56"/>
      <c r="BKO434" s="56"/>
      <c r="BKP434" s="56"/>
      <c r="BKQ434" s="56"/>
      <c r="BKR434" s="56"/>
      <c r="BKS434" s="56"/>
      <c r="BKT434" s="56"/>
      <c r="BKU434" s="56"/>
      <c r="BKV434" s="56"/>
      <c r="BKW434" s="56"/>
      <c r="BKX434" s="56"/>
      <c r="BKY434" s="56"/>
      <c r="BKZ434" s="56"/>
      <c r="BLA434" s="56"/>
      <c r="BLB434" s="56"/>
      <c r="BLC434" s="56"/>
      <c r="BLD434" s="56"/>
      <c r="BLE434" s="56"/>
      <c r="BLF434" s="56"/>
      <c r="BLG434" s="56"/>
      <c r="BLH434" s="56"/>
      <c r="BLI434" s="56"/>
      <c r="BLJ434" s="56"/>
      <c r="BLK434" s="56"/>
      <c r="BLL434" s="56"/>
      <c r="BLM434" s="56"/>
      <c r="BLN434" s="56"/>
      <c r="BLO434" s="56"/>
      <c r="BLP434" s="56"/>
      <c r="BLQ434" s="56"/>
      <c r="BLR434" s="56"/>
      <c r="BLS434" s="56"/>
      <c r="BLT434" s="56"/>
      <c r="BLU434" s="56"/>
      <c r="BLV434" s="56"/>
      <c r="BLW434" s="56"/>
      <c r="BLX434" s="56"/>
      <c r="BLY434" s="56"/>
      <c r="BLZ434" s="56"/>
      <c r="BMA434" s="56"/>
      <c r="BMB434" s="56"/>
      <c r="BMC434" s="56"/>
      <c r="BMD434" s="56"/>
      <c r="BME434" s="56"/>
      <c r="BMF434" s="56"/>
      <c r="BMG434" s="56"/>
      <c r="BMH434" s="56"/>
      <c r="BMI434" s="56"/>
      <c r="BMJ434" s="56"/>
      <c r="BMK434" s="56"/>
      <c r="BML434" s="56"/>
      <c r="BMM434" s="56"/>
      <c r="BMN434" s="56"/>
      <c r="BMO434" s="56"/>
      <c r="BMP434" s="56"/>
      <c r="BMQ434" s="56"/>
      <c r="BMR434" s="56"/>
      <c r="BMS434" s="56"/>
      <c r="BMT434" s="56"/>
      <c r="BMU434" s="56"/>
      <c r="BMV434" s="56"/>
      <c r="BMW434" s="56"/>
      <c r="BMX434" s="56"/>
      <c r="BMY434" s="56"/>
      <c r="BMZ434" s="56"/>
      <c r="BNA434" s="56"/>
      <c r="BNB434" s="56"/>
      <c r="BNC434" s="56"/>
      <c r="BND434" s="56"/>
      <c r="BNE434" s="56"/>
      <c r="BNF434" s="56"/>
      <c r="BNG434" s="56"/>
      <c r="BNH434" s="56"/>
      <c r="BNI434" s="56"/>
      <c r="BNJ434" s="56"/>
      <c r="BNK434" s="56"/>
      <c r="BNL434" s="56"/>
      <c r="BNM434" s="56"/>
      <c r="BNN434" s="56"/>
      <c r="BNO434" s="56"/>
      <c r="BNP434" s="56"/>
      <c r="BNQ434" s="56"/>
      <c r="BNR434" s="56"/>
      <c r="BNS434" s="56"/>
      <c r="BNT434" s="56"/>
      <c r="BNU434" s="56"/>
      <c r="BNV434" s="56"/>
      <c r="BNW434" s="56"/>
      <c r="BNX434" s="56"/>
      <c r="BNY434" s="56"/>
      <c r="BNZ434" s="56"/>
      <c r="BOA434" s="56"/>
      <c r="BOB434" s="56"/>
      <c r="BOC434" s="56"/>
      <c r="BOD434" s="56"/>
      <c r="BOE434" s="56"/>
      <c r="BOF434" s="56"/>
      <c r="BOG434" s="56"/>
      <c r="BOH434" s="56"/>
      <c r="BOI434" s="56"/>
      <c r="BOJ434" s="56"/>
      <c r="BOK434" s="56"/>
      <c r="BOL434" s="56"/>
      <c r="BOM434" s="56"/>
      <c r="BON434" s="56"/>
      <c r="BOO434" s="56"/>
      <c r="BOP434" s="56"/>
      <c r="BOQ434" s="56"/>
      <c r="BOR434" s="56"/>
      <c r="BOS434" s="56"/>
      <c r="BOT434" s="56"/>
      <c r="BOU434" s="56"/>
      <c r="BOV434" s="56"/>
      <c r="BOW434" s="56"/>
      <c r="BOX434" s="56"/>
      <c r="BOY434" s="56"/>
      <c r="BOZ434" s="56"/>
      <c r="BPA434" s="56"/>
      <c r="BPB434" s="56"/>
      <c r="BPC434" s="56"/>
      <c r="BPD434" s="56"/>
      <c r="BPE434" s="56"/>
      <c r="BPF434" s="56"/>
      <c r="BPG434" s="56"/>
      <c r="BPH434" s="56"/>
      <c r="BPI434" s="56"/>
      <c r="BPJ434" s="56"/>
      <c r="BPK434" s="56"/>
      <c r="BPL434" s="56"/>
      <c r="BPM434" s="56"/>
      <c r="BPN434" s="56"/>
      <c r="BPO434" s="56"/>
      <c r="BPP434" s="56"/>
      <c r="BPQ434" s="56"/>
      <c r="BPR434" s="56"/>
      <c r="BPS434" s="56"/>
      <c r="BPT434" s="56"/>
      <c r="BPU434" s="56"/>
      <c r="BPV434" s="56"/>
      <c r="BPW434" s="56"/>
      <c r="BPX434" s="56"/>
      <c r="BPY434" s="56"/>
      <c r="BPZ434" s="56"/>
      <c r="BQA434" s="56"/>
      <c r="BQB434" s="56"/>
      <c r="BQC434" s="56"/>
      <c r="BQD434" s="56"/>
      <c r="BQE434" s="56"/>
      <c r="BQF434" s="56"/>
      <c r="BQG434" s="56"/>
      <c r="BQH434" s="56"/>
      <c r="BQI434" s="56"/>
      <c r="BQJ434" s="56"/>
      <c r="BQK434" s="56"/>
      <c r="BQL434" s="56"/>
      <c r="BQM434" s="56"/>
      <c r="BQN434" s="56"/>
      <c r="BQO434" s="56"/>
      <c r="BQP434" s="56"/>
      <c r="BQQ434" s="56"/>
      <c r="BQR434" s="56"/>
      <c r="BQS434" s="56"/>
      <c r="BQT434" s="56"/>
      <c r="BQU434" s="56"/>
      <c r="BQV434" s="56"/>
      <c r="BQW434" s="56"/>
      <c r="BQX434" s="56"/>
      <c r="BQY434" s="56"/>
      <c r="BQZ434" s="56"/>
      <c r="BRA434" s="56"/>
      <c r="BRB434" s="56"/>
      <c r="BRC434" s="56"/>
      <c r="BRD434" s="56"/>
      <c r="BRE434" s="56"/>
      <c r="BRF434" s="56"/>
      <c r="BRG434" s="56"/>
      <c r="BRH434" s="56"/>
      <c r="BRI434" s="56"/>
      <c r="BRJ434" s="56"/>
      <c r="BRK434" s="56"/>
      <c r="BRL434" s="56"/>
      <c r="BRM434" s="56"/>
      <c r="BRN434" s="56"/>
      <c r="BRO434" s="56"/>
      <c r="BRP434" s="56"/>
      <c r="BRQ434" s="56"/>
      <c r="BRR434" s="56"/>
      <c r="BRS434" s="56"/>
      <c r="BRT434" s="56"/>
      <c r="BRU434" s="56"/>
      <c r="BRV434" s="56"/>
      <c r="BRW434" s="56"/>
      <c r="BRX434" s="56"/>
      <c r="BRY434" s="56"/>
      <c r="BRZ434" s="56"/>
      <c r="BSA434" s="56"/>
      <c r="BSB434" s="56"/>
      <c r="BSC434" s="56"/>
      <c r="BSD434" s="56"/>
      <c r="BSE434" s="56"/>
      <c r="BSF434" s="56"/>
      <c r="BSG434" s="56"/>
      <c r="BSH434" s="56"/>
      <c r="BSI434" s="56"/>
      <c r="BSJ434" s="56"/>
      <c r="BSK434" s="56"/>
      <c r="BSL434" s="56"/>
      <c r="BSM434" s="56"/>
      <c r="BSN434" s="56"/>
      <c r="BSO434" s="56"/>
      <c r="BSP434" s="56"/>
      <c r="BSQ434" s="56"/>
      <c r="BSR434" s="56"/>
      <c r="BSS434" s="56"/>
      <c r="BST434" s="56"/>
      <c r="BSU434" s="56"/>
      <c r="BSV434" s="56"/>
      <c r="BSW434" s="56"/>
      <c r="BSX434" s="56"/>
      <c r="BSY434" s="56"/>
      <c r="BSZ434" s="56"/>
      <c r="BTA434" s="56"/>
      <c r="BTB434" s="56"/>
      <c r="BTC434" s="56"/>
      <c r="BTD434" s="56"/>
      <c r="BTE434" s="56"/>
      <c r="BTF434" s="56"/>
      <c r="BTG434" s="56"/>
      <c r="BTH434" s="56"/>
      <c r="BTI434" s="56"/>
      <c r="BTJ434" s="56"/>
      <c r="BTK434" s="56"/>
      <c r="BTL434" s="56"/>
      <c r="BTM434" s="56"/>
      <c r="BTN434" s="56"/>
      <c r="BTO434" s="56"/>
      <c r="BTP434" s="56"/>
      <c r="BTQ434" s="56"/>
      <c r="BTR434" s="56"/>
      <c r="BTS434" s="56"/>
      <c r="BTT434" s="56"/>
      <c r="BTU434" s="56"/>
      <c r="BTV434" s="56"/>
      <c r="BTW434" s="56"/>
      <c r="BTX434" s="56"/>
      <c r="BTY434" s="56"/>
      <c r="BTZ434" s="56"/>
      <c r="BUA434" s="56"/>
      <c r="BUB434" s="56"/>
      <c r="BUC434" s="56"/>
      <c r="BUD434" s="56"/>
      <c r="BUE434" s="56"/>
      <c r="BUF434" s="56"/>
      <c r="BUG434" s="56"/>
      <c r="BUH434" s="56"/>
      <c r="BUI434" s="56"/>
      <c r="BUJ434" s="56"/>
      <c r="BUK434" s="56"/>
      <c r="BUL434" s="56"/>
      <c r="BUM434" s="56"/>
      <c r="BUN434" s="56"/>
      <c r="BUO434" s="56"/>
      <c r="BUP434" s="56"/>
      <c r="BUQ434" s="56"/>
      <c r="BUR434" s="56"/>
      <c r="BUS434" s="56"/>
      <c r="BUT434" s="56"/>
      <c r="BUU434" s="56"/>
      <c r="BUV434" s="56"/>
      <c r="BUW434" s="56"/>
      <c r="BUX434" s="56"/>
      <c r="BUY434" s="56"/>
      <c r="BUZ434" s="56"/>
      <c r="BVA434" s="56"/>
      <c r="BVB434" s="56"/>
      <c r="BVC434" s="56"/>
      <c r="BVD434" s="56"/>
      <c r="BVE434" s="56"/>
      <c r="BVF434" s="56"/>
      <c r="BVG434" s="56"/>
      <c r="BVH434" s="56"/>
      <c r="BVI434" s="56"/>
      <c r="BVJ434" s="56"/>
      <c r="BVK434" s="56"/>
      <c r="BVL434" s="56"/>
      <c r="BVM434" s="56"/>
      <c r="BVN434" s="56"/>
      <c r="BVO434" s="56"/>
      <c r="BVP434" s="56"/>
      <c r="BVQ434" s="56"/>
      <c r="BVR434" s="56"/>
      <c r="BVS434" s="56"/>
      <c r="BVT434" s="56"/>
      <c r="BVU434" s="56"/>
      <c r="BVV434" s="56"/>
      <c r="BVW434" s="56"/>
      <c r="BVX434" s="56"/>
      <c r="BVY434" s="56"/>
      <c r="BVZ434" s="56"/>
      <c r="BWA434" s="56"/>
      <c r="BWB434" s="56"/>
      <c r="BWC434" s="56"/>
      <c r="BWD434" s="56"/>
      <c r="BWE434" s="56"/>
      <c r="BWF434" s="56"/>
      <c r="BWG434" s="56"/>
      <c r="BWH434" s="56"/>
      <c r="BWI434" s="56"/>
      <c r="BWJ434" s="56"/>
      <c r="BWK434" s="56"/>
      <c r="BWL434" s="56"/>
      <c r="BWM434" s="56"/>
      <c r="BWN434" s="56"/>
      <c r="BWO434" s="56"/>
      <c r="BWP434" s="56"/>
      <c r="BWQ434" s="56"/>
      <c r="BWR434" s="56"/>
      <c r="BWS434" s="56"/>
      <c r="BWT434" s="56"/>
      <c r="BWU434" s="56"/>
      <c r="BWV434" s="56"/>
      <c r="BWW434" s="56"/>
      <c r="BWX434" s="56"/>
      <c r="BWY434" s="56"/>
      <c r="BWZ434" s="56"/>
      <c r="BXA434" s="56"/>
      <c r="BXB434" s="56"/>
      <c r="BXC434" s="56"/>
      <c r="BXD434" s="56"/>
      <c r="BXE434" s="56"/>
      <c r="BXF434" s="56"/>
      <c r="BXG434" s="56"/>
      <c r="BXH434" s="56"/>
      <c r="BXI434" s="56"/>
      <c r="BXJ434" s="56"/>
      <c r="BXK434" s="56"/>
      <c r="BXL434" s="56"/>
      <c r="BXM434" s="56"/>
      <c r="BXN434" s="56"/>
      <c r="BXO434" s="56"/>
      <c r="BXP434" s="56"/>
      <c r="BXQ434" s="56"/>
      <c r="BXR434" s="56"/>
      <c r="BXS434" s="56"/>
      <c r="BXT434" s="56"/>
      <c r="BXU434" s="56"/>
      <c r="BXV434" s="56"/>
      <c r="BXW434" s="56"/>
      <c r="BXX434" s="56"/>
      <c r="BXY434" s="56"/>
      <c r="BXZ434" s="56"/>
      <c r="BYA434" s="56"/>
      <c r="BYB434" s="56"/>
      <c r="BYC434" s="56"/>
      <c r="BYD434" s="56"/>
      <c r="BYE434" s="56"/>
      <c r="BYF434" s="56"/>
      <c r="BYG434" s="56"/>
      <c r="BYH434" s="56"/>
      <c r="BYI434" s="56"/>
      <c r="BYJ434" s="56"/>
      <c r="BYK434" s="56"/>
      <c r="BYL434" s="56"/>
      <c r="BYM434" s="56"/>
      <c r="BYN434" s="56"/>
      <c r="BYO434" s="56"/>
      <c r="BYP434" s="56"/>
      <c r="BYQ434" s="56"/>
      <c r="BYR434" s="56"/>
      <c r="BYS434" s="56"/>
      <c r="BYT434" s="56"/>
      <c r="BYU434" s="56"/>
      <c r="BYV434" s="56"/>
      <c r="BYW434" s="56"/>
      <c r="BYX434" s="56"/>
      <c r="BYY434" s="56"/>
      <c r="BYZ434" s="56"/>
      <c r="BZA434" s="56"/>
      <c r="BZB434" s="56"/>
      <c r="BZC434" s="56"/>
      <c r="BZD434" s="56"/>
      <c r="BZE434" s="56"/>
      <c r="BZF434" s="56"/>
      <c r="BZG434" s="56"/>
      <c r="BZH434" s="56"/>
      <c r="BZI434" s="56"/>
      <c r="BZJ434" s="56"/>
      <c r="BZK434" s="56"/>
      <c r="BZL434" s="56"/>
      <c r="BZM434" s="56"/>
      <c r="BZN434" s="56"/>
      <c r="BZO434" s="56"/>
      <c r="BZP434" s="56"/>
      <c r="BZQ434" s="56"/>
      <c r="BZR434" s="56"/>
      <c r="BZS434" s="56"/>
      <c r="BZT434" s="56"/>
      <c r="BZU434" s="56"/>
      <c r="BZV434" s="56"/>
      <c r="BZW434" s="56"/>
      <c r="BZX434" s="56"/>
      <c r="BZY434" s="56"/>
      <c r="BZZ434" s="56"/>
      <c r="CAA434" s="56"/>
      <c r="CAB434" s="56"/>
      <c r="CAC434" s="56"/>
      <c r="CAD434" s="56"/>
      <c r="CAE434" s="56"/>
      <c r="CAF434" s="56"/>
      <c r="CAG434" s="56"/>
      <c r="CAH434" s="56"/>
      <c r="CAI434" s="56"/>
      <c r="CAJ434" s="56"/>
      <c r="CAK434" s="56"/>
      <c r="CAL434" s="56"/>
      <c r="CAM434" s="56"/>
      <c r="CAN434" s="56"/>
      <c r="CAO434" s="56"/>
      <c r="CAP434" s="56"/>
      <c r="CAQ434" s="56"/>
      <c r="CAR434" s="56"/>
      <c r="CAS434" s="56"/>
      <c r="CAT434" s="56"/>
      <c r="CAU434" s="56"/>
      <c r="CAV434" s="56"/>
      <c r="CAW434" s="56"/>
      <c r="CAX434" s="56"/>
      <c r="CAY434" s="56"/>
      <c r="CAZ434" s="56"/>
      <c r="CBA434" s="56"/>
      <c r="CBB434" s="56"/>
      <c r="CBC434" s="56"/>
      <c r="CBD434" s="56"/>
      <c r="CBE434" s="56"/>
      <c r="CBF434" s="56"/>
      <c r="CBG434" s="56"/>
      <c r="CBH434" s="56"/>
      <c r="CBI434" s="56"/>
      <c r="CBJ434" s="56"/>
      <c r="CBK434" s="56"/>
      <c r="CBL434" s="56"/>
      <c r="CBM434" s="56"/>
      <c r="CBN434" s="56"/>
      <c r="CBO434" s="56"/>
      <c r="CBP434" s="56"/>
      <c r="CBQ434" s="56"/>
      <c r="CBR434" s="56"/>
      <c r="CBS434" s="56"/>
      <c r="CBT434" s="56"/>
      <c r="CBU434" s="56"/>
      <c r="CBV434" s="56"/>
      <c r="CBW434" s="56"/>
      <c r="CBX434" s="56"/>
      <c r="CBY434" s="56"/>
      <c r="CBZ434" s="56"/>
      <c r="CCA434" s="56"/>
      <c r="CCB434" s="56"/>
      <c r="CCC434" s="56"/>
      <c r="CCD434" s="56"/>
      <c r="CCE434" s="56"/>
      <c r="CCF434" s="56"/>
      <c r="CCG434" s="56"/>
      <c r="CCH434" s="56"/>
      <c r="CCI434" s="56"/>
      <c r="CCJ434" s="56"/>
      <c r="CCK434" s="56"/>
      <c r="CCL434" s="56"/>
      <c r="CCM434" s="56"/>
      <c r="CCN434" s="56"/>
      <c r="CCO434" s="56"/>
      <c r="CCP434" s="56"/>
      <c r="CCQ434" s="56"/>
      <c r="CCR434" s="56"/>
      <c r="CCS434" s="56"/>
      <c r="CCT434" s="56"/>
      <c r="CCU434" s="56"/>
      <c r="CCV434" s="56"/>
      <c r="CCW434" s="56"/>
      <c r="CCX434" s="56"/>
      <c r="CCY434" s="56"/>
      <c r="CCZ434" s="56"/>
      <c r="CDA434" s="56"/>
      <c r="CDB434" s="56"/>
      <c r="CDC434" s="56"/>
      <c r="CDD434" s="56"/>
      <c r="CDE434" s="56"/>
      <c r="CDF434" s="56"/>
      <c r="CDG434" s="56"/>
      <c r="CDH434" s="56"/>
      <c r="CDI434" s="56"/>
      <c r="CDJ434" s="56"/>
      <c r="CDK434" s="56"/>
      <c r="CDL434" s="56"/>
      <c r="CDM434" s="56"/>
      <c r="CDN434" s="56"/>
      <c r="CDO434" s="56"/>
      <c r="CDP434" s="56"/>
      <c r="CDQ434" s="56"/>
      <c r="CDR434" s="56"/>
      <c r="CDS434" s="56"/>
      <c r="CDT434" s="56"/>
      <c r="CDU434" s="56"/>
      <c r="CDV434" s="56"/>
      <c r="CDW434" s="56"/>
      <c r="CDX434" s="56"/>
      <c r="CDY434" s="56"/>
      <c r="CDZ434" s="56"/>
      <c r="CEA434" s="56"/>
      <c r="CEB434" s="56"/>
      <c r="CEC434" s="56"/>
      <c r="CED434" s="56"/>
      <c r="CEE434" s="56"/>
      <c r="CEF434" s="56"/>
      <c r="CEG434" s="56"/>
      <c r="CEH434" s="56"/>
      <c r="CEI434" s="56"/>
      <c r="CEJ434" s="56"/>
      <c r="CEK434" s="56"/>
      <c r="CEL434" s="56"/>
      <c r="CEM434" s="56"/>
      <c r="CEN434" s="56"/>
      <c r="CEO434" s="56"/>
      <c r="CEP434" s="56"/>
      <c r="CEQ434" s="56"/>
      <c r="CER434" s="56"/>
      <c r="CES434" s="56"/>
      <c r="CET434" s="56"/>
      <c r="CEU434" s="56"/>
      <c r="CEV434" s="56"/>
      <c r="CEW434" s="56"/>
      <c r="CEX434" s="56"/>
      <c r="CEY434" s="56"/>
      <c r="CEZ434" s="56"/>
      <c r="CFA434" s="56"/>
      <c r="CFB434" s="56"/>
      <c r="CFC434" s="56"/>
      <c r="CFD434" s="56"/>
      <c r="CFE434" s="56"/>
      <c r="CFF434" s="56"/>
      <c r="CFG434" s="56"/>
      <c r="CFH434" s="56"/>
      <c r="CFI434" s="56"/>
      <c r="CFJ434" s="56"/>
      <c r="CFK434" s="56"/>
      <c r="CFL434" s="56"/>
      <c r="CFM434" s="56"/>
      <c r="CFN434" s="56"/>
      <c r="CFO434" s="56"/>
      <c r="CFP434" s="56"/>
      <c r="CFQ434" s="56"/>
      <c r="CFR434" s="56"/>
      <c r="CFS434" s="56"/>
      <c r="CFT434" s="56"/>
      <c r="CFU434" s="56"/>
      <c r="CFV434" s="56"/>
      <c r="CFW434" s="56"/>
      <c r="CFX434" s="56"/>
      <c r="CFY434" s="56"/>
      <c r="CFZ434" s="56"/>
      <c r="CGA434" s="56"/>
      <c r="CGB434" s="56"/>
      <c r="CGC434" s="56"/>
      <c r="CGD434" s="56"/>
      <c r="CGE434" s="56"/>
      <c r="CGF434" s="56"/>
      <c r="CGG434" s="56"/>
      <c r="CGH434" s="56"/>
      <c r="CGI434" s="56"/>
      <c r="CGJ434" s="56"/>
      <c r="CGK434" s="56"/>
      <c r="CGL434" s="56"/>
      <c r="CGM434" s="56"/>
      <c r="CGN434" s="56"/>
      <c r="CGO434" s="56"/>
      <c r="CGP434" s="56"/>
      <c r="CGQ434" s="56"/>
      <c r="CGR434" s="56"/>
      <c r="CGS434" s="56"/>
      <c r="CGT434" s="56"/>
      <c r="CGU434" s="56"/>
      <c r="CGV434" s="56"/>
      <c r="CGW434" s="56"/>
      <c r="CGX434" s="56"/>
      <c r="CGY434" s="56"/>
      <c r="CGZ434" s="56"/>
      <c r="CHA434" s="56"/>
      <c r="CHB434" s="56"/>
      <c r="CHC434" s="56"/>
      <c r="CHD434" s="56"/>
      <c r="CHE434" s="56"/>
      <c r="CHF434" s="56"/>
      <c r="CHG434" s="56"/>
      <c r="CHH434" s="56"/>
      <c r="CHI434" s="56"/>
      <c r="CHJ434" s="56"/>
      <c r="CHK434" s="56"/>
      <c r="CHL434" s="56"/>
      <c r="CHM434" s="56"/>
      <c r="CHN434" s="56"/>
      <c r="CHO434" s="56"/>
      <c r="CHP434" s="56"/>
      <c r="CHQ434" s="56"/>
      <c r="CHR434" s="56"/>
      <c r="CHS434" s="56"/>
      <c r="CHT434" s="56"/>
      <c r="CHU434" s="56"/>
      <c r="CHV434" s="56"/>
      <c r="CHW434" s="56"/>
      <c r="CHX434" s="56"/>
      <c r="CHY434" s="56"/>
      <c r="CHZ434" s="56"/>
      <c r="CIA434" s="56"/>
      <c r="CIB434" s="56"/>
      <c r="CIC434" s="56"/>
      <c r="CID434" s="56"/>
      <c r="CIE434" s="56"/>
      <c r="CIF434" s="56"/>
      <c r="CIG434" s="56"/>
      <c r="CIH434" s="56"/>
      <c r="CII434" s="56"/>
      <c r="CIJ434" s="56"/>
      <c r="CIK434" s="56"/>
      <c r="CIL434" s="56"/>
      <c r="CIM434" s="56"/>
      <c r="CIN434" s="56"/>
      <c r="CIO434" s="56"/>
      <c r="CIP434" s="56"/>
      <c r="CIQ434" s="56"/>
      <c r="CIR434" s="56"/>
      <c r="CIS434" s="56"/>
      <c r="CIT434" s="56"/>
      <c r="CIU434" s="56"/>
      <c r="CIV434" s="56"/>
      <c r="CIW434" s="56"/>
      <c r="CIX434" s="56"/>
      <c r="CIY434" s="56"/>
      <c r="CIZ434" s="56"/>
      <c r="CJA434" s="56"/>
      <c r="CJB434" s="56"/>
      <c r="CJC434" s="56"/>
      <c r="CJD434" s="56"/>
      <c r="CJE434" s="56"/>
      <c r="CJF434" s="56"/>
      <c r="CJG434" s="56"/>
      <c r="CJH434" s="56"/>
      <c r="CJI434" s="56"/>
      <c r="CJJ434" s="56"/>
      <c r="CJK434" s="56"/>
      <c r="CJL434" s="56"/>
      <c r="CJM434" s="56"/>
      <c r="CJN434" s="56"/>
      <c r="CJO434" s="56"/>
      <c r="CJP434" s="56"/>
      <c r="CJQ434" s="56"/>
      <c r="CJR434" s="56"/>
      <c r="CJS434" s="56"/>
      <c r="CJT434" s="56"/>
      <c r="CJU434" s="56"/>
      <c r="CJV434" s="56"/>
      <c r="CJW434" s="56"/>
      <c r="CJX434" s="56"/>
      <c r="CJY434" s="56"/>
      <c r="CJZ434" s="56"/>
      <c r="CKA434" s="56"/>
      <c r="CKB434" s="56"/>
      <c r="CKC434" s="56"/>
      <c r="CKD434" s="56"/>
      <c r="CKE434" s="56"/>
      <c r="CKF434" s="56"/>
      <c r="CKG434" s="56"/>
      <c r="CKH434" s="56"/>
      <c r="CKI434" s="56"/>
      <c r="CKJ434" s="56"/>
      <c r="CKK434" s="56"/>
      <c r="CKL434" s="56"/>
      <c r="CKM434" s="56"/>
      <c r="CKN434" s="56"/>
      <c r="CKO434" s="56"/>
      <c r="CKP434" s="56"/>
      <c r="CKQ434" s="56"/>
      <c r="CKR434" s="56"/>
      <c r="CKS434" s="56"/>
      <c r="CKT434" s="56"/>
      <c r="CKU434" s="56"/>
      <c r="CKV434" s="56"/>
      <c r="CKW434" s="56"/>
      <c r="CKX434" s="56"/>
      <c r="CKY434" s="56"/>
      <c r="CKZ434" s="56"/>
      <c r="CLA434" s="56"/>
      <c r="CLB434" s="56"/>
      <c r="CLC434" s="56"/>
      <c r="CLD434" s="56"/>
      <c r="CLE434" s="56"/>
      <c r="CLF434" s="56"/>
      <c r="CLG434" s="56"/>
      <c r="CLH434" s="56"/>
      <c r="CLI434" s="56"/>
      <c r="CLJ434" s="56"/>
      <c r="CLK434" s="56"/>
      <c r="CLL434" s="56"/>
      <c r="CLM434" s="56"/>
      <c r="CLN434" s="56"/>
      <c r="CLO434" s="56"/>
      <c r="CLP434" s="56"/>
      <c r="CLQ434" s="56"/>
      <c r="CLR434" s="56"/>
      <c r="CLS434" s="56"/>
      <c r="CLT434" s="56"/>
      <c r="CLU434" s="56"/>
      <c r="CLV434" s="56"/>
      <c r="CLW434" s="56"/>
      <c r="CLX434" s="56"/>
      <c r="CLY434" s="56"/>
      <c r="CLZ434" s="56"/>
      <c r="CMA434" s="56"/>
      <c r="CMB434" s="56"/>
      <c r="CMC434" s="56"/>
      <c r="CMD434" s="56"/>
      <c r="CME434" s="56"/>
      <c r="CMF434" s="56"/>
      <c r="CMG434" s="56"/>
      <c r="CMH434" s="56"/>
      <c r="CMI434" s="56"/>
      <c r="CMJ434" s="56"/>
      <c r="CMK434" s="56"/>
      <c r="CML434" s="56"/>
      <c r="CMM434" s="56"/>
      <c r="CMN434" s="56"/>
      <c r="CMO434" s="56"/>
      <c r="CMP434" s="56"/>
      <c r="CMQ434" s="56"/>
      <c r="CMR434" s="56"/>
      <c r="CMS434" s="56"/>
      <c r="CMT434" s="56"/>
      <c r="CMU434" s="56"/>
      <c r="CMV434" s="56"/>
      <c r="CMW434" s="56"/>
      <c r="CMX434" s="56"/>
      <c r="CMY434" s="56"/>
      <c r="CMZ434" s="56"/>
      <c r="CNA434" s="56"/>
      <c r="CNB434" s="56"/>
      <c r="CNC434" s="56"/>
      <c r="CND434" s="56"/>
      <c r="CNE434" s="56"/>
      <c r="CNF434" s="56"/>
      <c r="CNG434" s="56"/>
      <c r="CNH434" s="56"/>
      <c r="CNI434" s="56"/>
      <c r="CNJ434" s="56"/>
      <c r="CNK434" s="56"/>
      <c r="CNL434" s="56"/>
      <c r="CNM434" s="56"/>
      <c r="CNN434" s="56"/>
      <c r="CNO434" s="56"/>
      <c r="CNP434" s="56"/>
      <c r="CNQ434" s="56"/>
      <c r="CNR434" s="56"/>
      <c r="CNS434" s="56"/>
      <c r="CNT434" s="56"/>
      <c r="CNU434" s="56"/>
      <c r="CNV434" s="56"/>
      <c r="CNW434" s="56"/>
      <c r="CNX434" s="56"/>
      <c r="CNY434" s="56"/>
      <c r="CNZ434" s="56"/>
      <c r="COA434" s="56"/>
      <c r="COB434" s="56"/>
      <c r="COC434" s="56"/>
      <c r="COD434" s="56"/>
      <c r="COE434" s="56"/>
      <c r="COF434" s="56"/>
      <c r="COG434" s="56"/>
      <c r="COH434" s="56"/>
      <c r="COI434" s="56"/>
      <c r="COJ434" s="56"/>
      <c r="COK434" s="56"/>
      <c r="COL434" s="56"/>
      <c r="COM434" s="56"/>
      <c r="CON434" s="56"/>
      <c r="COO434" s="56"/>
      <c r="COP434" s="56"/>
      <c r="COQ434" s="56"/>
      <c r="COR434" s="56"/>
      <c r="COS434" s="56"/>
      <c r="COT434" s="56"/>
      <c r="COU434" s="56"/>
      <c r="COV434" s="56"/>
      <c r="COW434" s="56"/>
      <c r="COX434" s="56"/>
      <c r="COY434" s="56"/>
      <c r="COZ434" s="56"/>
      <c r="CPA434" s="56"/>
      <c r="CPB434" s="56"/>
      <c r="CPC434" s="56"/>
      <c r="CPD434" s="56"/>
      <c r="CPE434" s="56"/>
      <c r="CPF434" s="56"/>
      <c r="CPG434" s="56"/>
      <c r="CPH434" s="56"/>
      <c r="CPI434" s="56"/>
      <c r="CPJ434" s="56"/>
      <c r="CPK434" s="56"/>
      <c r="CPL434" s="56"/>
      <c r="CPM434" s="56"/>
      <c r="CPN434" s="56"/>
      <c r="CPO434" s="56"/>
      <c r="CPP434" s="56"/>
      <c r="CPQ434" s="56"/>
      <c r="CPR434" s="56"/>
      <c r="CPS434" s="56"/>
      <c r="CPT434" s="56"/>
      <c r="CPU434" s="56"/>
      <c r="CPV434" s="56"/>
      <c r="CPW434" s="56"/>
      <c r="CPX434" s="56"/>
      <c r="CPY434" s="56"/>
      <c r="CPZ434" s="56"/>
      <c r="CQA434" s="56"/>
      <c r="CQB434" s="56"/>
      <c r="CQC434" s="56"/>
      <c r="CQD434" s="56"/>
      <c r="CQE434" s="56"/>
      <c r="CQF434" s="56"/>
      <c r="CQG434" s="56"/>
      <c r="CQH434" s="56"/>
      <c r="CQI434" s="56"/>
      <c r="CQJ434" s="56"/>
      <c r="CQK434" s="56"/>
      <c r="CQL434" s="56"/>
      <c r="CQM434" s="56"/>
      <c r="CQN434" s="56"/>
      <c r="CQO434" s="56"/>
      <c r="CQP434" s="56"/>
      <c r="CQQ434" s="56"/>
      <c r="CQR434" s="56"/>
      <c r="CQS434" s="56"/>
      <c r="CQT434" s="56"/>
      <c r="CQU434" s="56"/>
      <c r="CQV434" s="56"/>
      <c r="CQW434" s="56"/>
      <c r="CQX434" s="56"/>
      <c r="CQY434" s="56"/>
      <c r="CQZ434" s="56"/>
      <c r="CRA434" s="56"/>
      <c r="CRB434" s="56"/>
      <c r="CRC434" s="56"/>
      <c r="CRD434" s="56"/>
      <c r="CRE434" s="56"/>
      <c r="CRF434" s="56"/>
      <c r="CRG434" s="56"/>
      <c r="CRH434" s="56"/>
      <c r="CRI434" s="56"/>
      <c r="CRJ434" s="56"/>
      <c r="CRK434" s="56"/>
      <c r="CRL434" s="56"/>
      <c r="CRM434" s="56"/>
      <c r="CRN434" s="56"/>
      <c r="CRO434" s="56"/>
      <c r="CRP434" s="56"/>
      <c r="CRQ434" s="56"/>
      <c r="CRR434" s="56"/>
      <c r="CRS434" s="56"/>
      <c r="CRT434" s="56"/>
      <c r="CRU434" s="56"/>
      <c r="CRV434" s="56"/>
      <c r="CRW434" s="56"/>
      <c r="CRX434" s="56"/>
      <c r="CRY434" s="56"/>
      <c r="CRZ434" s="56"/>
      <c r="CSA434" s="56"/>
      <c r="CSB434" s="56"/>
      <c r="CSC434" s="56"/>
      <c r="CSD434" s="56"/>
      <c r="CSE434" s="56"/>
      <c r="CSF434" s="56"/>
      <c r="CSG434" s="56"/>
      <c r="CSH434" s="56"/>
      <c r="CSI434" s="56"/>
      <c r="CSJ434" s="56"/>
      <c r="CSK434" s="56"/>
      <c r="CSL434" s="56"/>
      <c r="CSM434" s="56"/>
      <c r="CSN434" s="56"/>
      <c r="CSO434" s="56"/>
      <c r="CSP434" s="56"/>
      <c r="CSQ434" s="56"/>
      <c r="CSR434" s="56"/>
      <c r="CSS434" s="56"/>
      <c r="CST434" s="56"/>
      <c r="CSU434" s="56"/>
      <c r="CSV434" s="56"/>
      <c r="CSW434" s="56"/>
      <c r="CSX434" s="56"/>
      <c r="CSY434" s="56"/>
      <c r="CSZ434" s="56"/>
      <c r="CTA434" s="56"/>
      <c r="CTB434" s="56"/>
      <c r="CTC434" s="56"/>
      <c r="CTD434" s="56"/>
      <c r="CTE434" s="56"/>
      <c r="CTF434" s="56"/>
      <c r="CTG434" s="56"/>
      <c r="CTH434" s="56"/>
      <c r="CTI434" s="56"/>
      <c r="CTJ434" s="56"/>
      <c r="CTK434" s="56"/>
      <c r="CTL434" s="56"/>
      <c r="CTM434" s="56"/>
      <c r="CTN434" s="56"/>
      <c r="CTO434" s="56"/>
      <c r="CTP434" s="56"/>
      <c r="CTQ434" s="56"/>
      <c r="CTR434" s="56"/>
      <c r="CTS434" s="56"/>
      <c r="CTT434" s="56"/>
      <c r="CTU434" s="56"/>
      <c r="CTV434" s="56"/>
      <c r="CTW434" s="56"/>
      <c r="CTX434" s="56"/>
      <c r="CTY434" s="56"/>
      <c r="CTZ434" s="56"/>
      <c r="CUA434" s="56"/>
      <c r="CUB434" s="56"/>
      <c r="CUC434" s="56"/>
      <c r="CUD434" s="56"/>
      <c r="CUE434" s="56"/>
      <c r="CUF434" s="56"/>
      <c r="CUG434" s="56"/>
      <c r="CUH434" s="56"/>
      <c r="CUI434" s="56"/>
      <c r="CUJ434" s="56"/>
      <c r="CUK434" s="56"/>
      <c r="CUL434" s="56"/>
      <c r="CUM434" s="56"/>
      <c r="CUN434" s="56"/>
      <c r="CUO434" s="56"/>
      <c r="CUP434" s="56"/>
      <c r="CUQ434" s="56"/>
      <c r="CUR434" s="56"/>
      <c r="CUS434" s="56"/>
      <c r="CUT434" s="56"/>
      <c r="CUU434" s="56"/>
      <c r="CUV434" s="56"/>
      <c r="CUW434" s="56"/>
      <c r="CUX434" s="56"/>
      <c r="CUY434" s="56"/>
      <c r="CUZ434" s="56"/>
      <c r="CVA434" s="56"/>
      <c r="CVB434" s="56"/>
      <c r="CVC434" s="56"/>
      <c r="CVD434" s="56"/>
      <c r="CVE434" s="56"/>
      <c r="CVF434" s="56"/>
      <c r="CVG434" s="56"/>
      <c r="CVH434" s="56"/>
      <c r="CVI434" s="56"/>
      <c r="CVJ434" s="56"/>
      <c r="CVK434" s="56"/>
      <c r="CVL434" s="56"/>
      <c r="CVM434" s="56"/>
      <c r="CVN434" s="56"/>
      <c r="CVO434" s="56"/>
      <c r="CVP434" s="56"/>
      <c r="CVQ434" s="56"/>
      <c r="CVR434" s="56"/>
      <c r="CVS434" s="56"/>
      <c r="CVT434" s="56"/>
      <c r="CVU434" s="56"/>
      <c r="CVV434" s="56"/>
      <c r="CVW434" s="56"/>
      <c r="CVX434" s="56"/>
      <c r="CVY434" s="56"/>
      <c r="CVZ434" s="56"/>
      <c r="CWA434" s="56"/>
      <c r="CWB434" s="56"/>
      <c r="CWC434" s="56"/>
      <c r="CWD434" s="56"/>
      <c r="CWE434" s="56"/>
      <c r="CWF434" s="56"/>
      <c r="CWG434" s="56"/>
      <c r="CWH434" s="56"/>
      <c r="CWI434" s="56"/>
      <c r="CWJ434" s="56"/>
      <c r="CWK434" s="56"/>
      <c r="CWL434" s="56"/>
      <c r="CWM434" s="56"/>
      <c r="CWN434" s="56"/>
      <c r="CWO434" s="56"/>
      <c r="CWP434" s="56"/>
      <c r="CWQ434" s="56"/>
      <c r="CWR434" s="56"/>
      <c r="CWS434" s="56"/>
      <c r="CWT434" s="56"/>
      <c r="CWU434" s="56"/>
      <c r="CWV434" s="56"/>
      <c r="CWW434" s="56"/>
      <c r="CWX434" s="56"/>
      <c r="CWY434" s="56"/>
      <c r="CWZ434" s="56"/>
      <c r="CXA434" s="56"/>
      <c r="CXB434" s="56"/>
      <c r="CXC434" s="56"/>
      <c r="CXD434" s="56"/>
      <c r="CXE434" s="56"/>
      <c r="CXF434" s="56"/>
      <c r="CXG434" s="56"/>
      <c r="CXH434" s="56"/>
      <c r="CXI434" s="56"/>
      <c r="CXJ434" s="56"/>
      <c r="CXK434" s="56"/>
      <c r="CXL434" s="56"/>
      <c r="CXM434" s="56"/>
      <c r="CXN434" s="56"/>
      <c r="CXO434" s="56"/>
      <c r="CXP434" s="56"/>
      <c r="CXQ434" s="56"/>
      <c r="CXR434" s="56"/>
      <c r="CXS434" s="56"/>
      <c r="CXT434" s="56"/>
      <c r="CXU434" s="56"/>
      <c r="CXV434" s="56"/>
      <c r="CXW434" s="56"/>
      <c r="CXX434" s="56"/>
      <c r="CXY434" s="56"/>
      <c r="CXZ434" s="56"/>
      <c r="CYA434" s="56"/>
      <c r="CYB434" s="56"/>
      <c r="CYC434" s="56"/>
      <c r="CYD434" s="56"/>
      <c r="CYE434" s="56"/>
      <c r="CYF434" s="56"/>
      <c r="CYG434" s="56"/>
      <c r="CYH434" s="56"/>
      <c r="CYI434" s="56"/>
      <c r="CYJ434" s="56"/>
      <c r="CYK434" s="56"/>
      <c r="CYL434" s="56"/>
      <c r="CYM434" s="56"/>
      <c r="CYN434" s="56"/>
      <c r="CYO434" s="56"/>
      <c r="CYP434" s="56"/>
      <c r="CYQ434" s="56"/>
      <c r="CYR434" s="56"/>
      <c r="CYS434" s="56"/>
      <c r="CYT434" s="56"/>
      <c r="CYU434" s="56"/>
      <c r="CYV434" s="56"/>
      <c r="CYW434" s="56"/>
      <c r="CYX434" s="56"/>
      <c r="CYY434" s="56"/>
      <c r="CYZ434" s="56"/>
      <c r="CZA434" s="56"/>
      <c r="CZB434" s="56"/>
      <c r="CZC434" s="56"/>
      <c r="CZD434" s="56"/>
      <c r="CZE434" s="56"/>
      <c r="CZF434" s="56"/>
      <c r="CZG434" s="56"/>
      <c r="CZH434" s="56"/>
      <c r="CZI434" s="56"/>
      <c r="CZJ434" s="56"/>
      <c r="CZK434" s="56"/>
      <c r="CZL434" s="56"/>
      <c r="CZM434" s="56"/>
      <c r="CZN434" s="56"/>
      <c r="CZO434" s="56"/>
      <c r="CZP434" s="56"/>
      <c r="CZQ434" s="56"/>
      <c r="CZR434" s="56"/>
      <c r="CZS434" s="56"/>
      <c r="CZT434" s="56"/>
      <c r="CZU434" s="56"/>
      <c r="CZV434" s="56"/>
      <c r="CZW434" s="56"/>
      <c r="CZX434" s="56"/>
      <c r="CZY434" s="56"/>
      <c r="CZZ434" s="56"/>
      <c r="DAA434" s="56"/>
      <c r="DAB434" s="56"/>
      <c r="DAC434" s="56"/>
      <c r="DAD434" s="56"/>
      <c r="DAE434" s="56"/>
      <c r="DAF434" s="56"/>
      <c r="DAG434" s="56"/>
      <c r="DAH434" s="56"/>
      <c r="DAI434" s="56"/>
      <c r="DAJ434" s="56"/>
      <c r="DAK434" s="56"/>
      <c r="DAL434" s="56"/>
      <c r="DAM434" s="56"/>
      <c r="DAN434" s="56"/>
      <c r="DAO434" s="56"/>
      <c r="DAP434" s="56"/>
      <c r="DAQ434" s="56"/>
      <c r="DAR434" s="56"/>
      <c r="DAS434" s="56"/>
      <c r="DAT434" s="56"/>
      <c r="DAU434" s="56"/>
      <c r="DAV434" s="56"/>
      <c r="DAW434" s="56"/>
      <c r="DAX434" s="56"/>
      <c r="DAY434" s="56"/>
      <c r="DAZ434" s="56"/>
      <c r="DBA434" s="56"/>
      <c r="DBB434" s="56"/>
      <c r="DBC434" s="56"/>
      <c r="DBD434" s="56"/>
      <c r="DBE434" s="56"/>
      <c r="DBF434" s="56"/>
      <c r="DBG434" s="56"/>
      <c r="DBH434" s="56"/>
      <c r="DBI434" s="56"/>
      <c r="DBJ434" s="56"/>
      <c r="DBK434" s="56"/>
      <c r="DBL434" s="56"/>
      <c r="DBM434" s="56"/>
      <c r="DBN434" s="56"/>
      <c r="DBO434" s="56"/>
      <c r="DBP434" s="56"/>
      <c r="DBQ434" s="56"/>
      <c r="DBR434" s="56"/>
      <c r="DBS434" s="56"/>
      <c r="DBT434" s="56"/>
      <c r="DBU434" s="56"/>
      <c r="DBV434" s="56"/>
      <c r="DBW434" s="56"/>
      <c r="DBX434" s="56"/>
      <c r="DBY434" s="56"/>
      <c r="DBZ434" s="56"/>
      <c r="DCA434" s="56"/>
      <c r="DCB434" s="56"/>
      <c r="DCC434" s="56"/>
      <c r="DCD434" s="56"/>
      <c r="DCE434" s="56"/>
      <c r="DCF434" s="56"/>
      <c r="DCG434" s="56"/>
      <c r="DCH434" s="56"/>
      <c r="DCI434" s="56"/>
      <c r="DCJ434" s="56"/>
      <c r="DCK434" s="56"/>
      <c r="DCL434" s="56"/>
      <c r="DCM434" s="56"/>
      <c r="DCN434" s="56"/>
      <c r="DCO434" s="56"/>
      <c r="DCP434" s="56"/>
      <c r="DCQ434" s="56"/>
      <c r="DCR434" s="56"/>
      <c r="DCS434" s="56"/>
      <c r="DCT434" s="56"/>
      <c r="DCU434" s="56"/>
      <c r="DCV434" s="56"/>
      <c r="DCW434" s="56"/>
      <c r="DCX434" s="56"/>
      <c r="DCY434" s="56"/>
      <c r="DCZ434" s="56"/>
      <c r="DDA434" s="56"/>
      <c r="DDB434" s="56"/>
      <c r="DDC434" s="56"/>
      <c r="DDD434" s="56"/>
      <c r="DDE434" s="56"/>
      <c r="DDF434" s="56"/>
      <c r="DDG434" s="56"/>
      <c r="DDH434" s="56"/>
      <c r="DDI434" s="56"/>
      <c r="DDJ434" s="56"/>
      <c r="DDK434" s="56"/>
      <c r="DDL434" s="56"/>
      <c r="DDM434" s="56"/>
      <c r="DDN434" s="56"/>
      <c r="DDO434" s="56"/>
      <c r="DDP434" s="56"/>
      <c r="DDQ434" s="56"/>
      <c r="DDR434" s="56"/>
      <c r="DDS434" s="56"/>
      <c r="DDT434" s="56"/>
      <c r="DDU434" s="56"/>
      <c r="DDV434" s="56"/>
      <c r="DDW434" s="56"/>
      <c r="DDX434" s="56"/>
      <c r="DDY434" s="56"/>
      <c r="DDZ434" s="56"/>
      <c r="DEA434" s="56"/>
      <c r="DEB434" s="56"/>
      <c r="DEC434" s="56"/>
      <c r="DED434" s="56"/>
      <c r="DEE434" s="56"/>
      <c r="DEF434" s="56"/>
      <c r="DEG434" s="56"/>
      <c r="DEH434" s="56"/>
      <c r="DEI434" s="56"/>
      <c r="DEJ434" s="56"/>
      <c r="DEK434" s="56"/>
      <c r="DEL434" s="56"/>
      <c r="DEM434" s="56"/>
      <c r="DEN434" s="56"/>
      <c r="DEO434" s="56"/>
      <c r="DEP434" s="56"/>
      <c r="DEQ434" s="56"/>
      <c r="DER434" s="56"/>
      <c r="DES434" s="56"/>
      <c r="DET434" s="56"/>
      <c r="DEU434" s="56"/>
      <c r="DEV434" s="56"/>
      <c r="DEW434" s="56"/>
      <c r="DEX434" s="56"/>
      <c r="DEY434" s="56"/>
      <c r="DEZ434" s="56"/>
      <c r="DFA434" s="56"/>
      <c r="DFB434" s="56"/>
      <c r="DFC434" s="56"/>
      <c r="DFD434" s="56"/>
      <c r="DFE434" s="56"/>
      <c r="DFF434" s="56"/>
      <c r="DFG434" s="56"/>
      <c r="DFH434" s="56"/>
      <c r="DFI434" s="56"/>
      <c r="DFJ434" s="56"/>
      <c r="DFK434" s="56"/>
      <c r="DFL434" s="56"/>
      <c r="DFM434" s="56"/>
      <c r="DFN434" s="56"/>
      <c r="DFO434" s="56"/>
      <c r="DFP434" s="56"/>
      <c r="DFQ434" s="56"/>
      <c r="DFR434" s="56"/>
      <c r="DFS434" s="56"/>
      <c r="DFT434" s="56"/>
      <c r="DFU434" s="56"/>
      <c r="DFV434" s="56"/>
      <c r="DFW434" s="56"/>
      <c r="DFX434" s="56"/>
      <c r="DFY434" s="56"/>
      <c r="DFZ434" s="56"/>
      <c r="DGA434" s="56"/>
      <c r="DGB434" s="56"/>
      <c r="DGC434" s="56"/>
      <c r="DGD434" s="56"/>
      <c r="DGE434" s="56"/>
      <c r="DGF434" s="56"/>
      <c r="DGG434" s="56"/>
      <c r="DGH434" s="56"/>
      <c r="DGI434" s="56"/>
      <c r="DGJ434" s="56"/>
      <c r="DGK434" s="56"/>
      <c r="DGL434" s="56"/>
      <c r="DGM434" s="56"/>
      <c r="DGN434" s="56"/>
      <c r="DGO434" s="56"/>
      <c r="DGP434" s="56"/>
      <c r="DGQ434" s="56"/>
      <c r="DGR434" s="56"/>
      <c r="DGS434" s="56"/>
      <c r="DGT434" s="56"/>
      <c r="DGU434" s="56"/>
      <c r="DGV434" s="56"/>
      <c r="DGW434" s="56"/>
      <c r="DGX434" s="56"/>
      <c r="DGY434" s="56"/>
      <c r="DGZ434" s="56"/>
      <c r="DHA434" s="56"/>
      <c r="DHB434" s="56"/>
      <c r="DHC434" s="56"/>
      <c r="DHD434" s="56"/>
      <c r="DHE434" s="56"/>
      <c r="DHF434" s="56"/>
      <c r="DHG434" s="56"/>
      <c r="DHH434" s="56"/>
      <c r="DHI434" s="56"/>
      <c r="DHJ434" s="56"/>
      <c r="DHK434" s="56"/>
      <c r="DHL434" s="56"/>
      <c r="DHM434" s="56"/>
      <c r="DHN434" s="56"/>
      <c r="DHO434" s="56"/>
      <c r="DHP434" s="56"/>
      <c r="DHQ434" s="56"/>
      <c r="DHR434" s="56"/>
      <c r="DHS434" s="56"/>
      <c r="DHT434" s="56"/>
      <c r="DHU434" s="56"/>
      <c r="DHV434" s="56"/>
      <c r="DHW434" s="56"/>
      <c r="DHX434" s="56"/>
      <c r="DHY434" s="56"/>
      <c r="DHZ434" s="56"/>
      <c r="DIA434" s="56"/>
      <c r="DIB434" s="56"/>
      <c r="DIC434" s="56"/>
      <c r="DID434" s="56"/>
      <c r="DIE434" s="56"/>
      <c r="DIF434" s="56"/>
      <c r="DIG434" s="56"/>
      <c r="DIH434" s="56"/>
      <c r="DII434" s="56"/>
      <c r="DIJ434" s="56"/>
      <c r="DIK434" s="56"/>
      <c r="DIL434" s="56"/>
      <c r="DIM434" s="56"/>
      <c r="DIN434" s="56"/>
      <c r="DIO434" s="56"/>
      <c r="DIP434" s="56"/>
      <c r="DIQ434" s="56"/>
      <c r="DIR434" s="56"/>
      <c r="DIS434" s="56"/>
      <c r="DIT434" s="56"/>
      <c r="DIU434" s="56"/>
      <c r="DIV434" s="56"/>
      <c r="DIW434" s="56"/>
      <c r="DIX434" s="56"/>
      <c r="DIY434" s="56"/>
      <c r="DIZ434" s="56"/>
      <c r="DJA434" s="56"/>
      <c r="DJB434" s="56"/>
      <c r="DJC434" s="56"/>
      <c r="DJD434" s="56"/>
      <c r="DJE434" s="56"/>
      <c r="DJF434" s="56"/>
      <c r="DJG434" s="56"/>
      <c r="DJH434" s="56"/>
      <c r="DJI434" s="56"/>
      <c r="DJJ434" s="56"/>
      <c r="DJK434" s="56"/>
      <c r="DJL434" s="56"/>
      <c r="DJM434" s="56"/>
      <c r="DJN434" s="56"/>
      <c r="DJO434" s="56"/>
      <c r="DJP434" s="56"/>
      <c r="DJQ434" s="56"/>
      <c r="DJR434" s="56"/>
      <c r="DJS434" s="56"/>
      <c r="DJT434" s="56"/>
      <c r="DJU434" s="56"/>
      <c r="DJV434" s="56"/>
      <c r="DJW434" s="56"/>
      <c r="DJX434" s="56"/>
      <c r="DJY434" s="56"/>
      <c r="DJZ434" s="56"/>
      <c r="DKA434" s="56"/>
      <c r="DKB434" s="56"/>
      <c r="DKC434" s="56"/>
      <c r="DKD434" s="56"/>
      <c r="DKE434" s="56"/>
      <c r="DKF434" s="56"/>
      <c r="DKG434" s="56"/>
      <c r="DKH434" s="56"/>
      <c r="DKI434" s="56"/>
      <c r="DKJ434" s="56"/>
      <c r="DKK434" s="56"/>
      <c r="DKL434" s="56"/>
      <c r="DKM434" s="56"/>
      <c r="DKN434" s="56"/>
      <c r="DKO434" s="56"/>
      <c r="DKP434" s="56"/>
      <c r="DKQ434" s="56"/>
      <c r="DKR434" s="56"/>
      <c r="DKS434" s="56"/>
      <c r="DKT434" s="56"/>
      <c r="DKU434" s="56"/>
      <c r="DKV434" s="56"/>
      <c r="DKW434" s="56"/>
      <c r="DKX434" s="56"/>
      <c r="DKY434" s="56"/>
      <c r="DKZ434" s="56"/>
      <c r="DLA434" s="56"/>
      <c r="DLB434" s="56"/>
      <c r="DLC434" s="56"/>
      <c r="DLD434" s="56"/>
      <c r="DLE434" s="56"/>
      <c r="DLF434" s="56"/>
      <c r="DLG434" s="56"/>
      <c r="DLH434" s="56"/>
      <c r="DLI434" s="56"/>
      <c r="DLJ434" s="56"/>
      <c r="DLK434" s="56"/>
      <c r="DLL434" s="56"/>
      <c r="DLM434" s="56"/>
      <c r="DLN434" s="56"/>
      <c r="DLO434" s="56"/>
      <c r="DLP434" s="56"/>
      <c r="DLQ434" s="56"/>
      <c r="DLR434" s="56"/>
      <c r="DLS434" s="56"/>
      <c r="DLT434" s="56"/>
      <c r="DLU434" s="56"/>
      <c r="DLV434" s="56"/>
      <c r="DLW434" s="56"/>
      <c r="DLX434" s="56"/>
      <c r="DLY434" s="56"/>
      <c r="DLZ434" s="56"/>
      <c r="DMA434" s="56"/>
      <c r="DMB434" s="56"/>
      <c r="DMC434" s="56"/>
      <c r="DMD434" s="56"/>
      <c r="DME434" s="56"/>
      <c r="DMF434" s="56"/>
      <c r="DMG434" s="56"/>
      <c r="DMH434" s="56"/>
      <c r="DMI434" s="56"/>
      <c r="DMJ434" s="56"/>
      <c r="DMK434" s="56"/>
      <c r="DML434" s="56"/>
      <c r="DMM434" s="56"/>
      <c r="DMN434" s="56"/>
      <c r="DMO434" s="56"/>
      <c r="DMP434" s="56"/>
      <c r="DMQ434" s="56"/>
      <c r="DMR434" s="56"/>
      <c r="DMS434" s="56"/>
      <c r="DMT434" s="56"/>
      <c r="DMU434" s="56"/>
      <c r="DMV434" s="56"/>
      <c r="DMW434" s="56"/>
      <c r="DMX434" s="56"/>
      <c r="DMY434" s="56"/>
      <c r="DMZ434" s="56"/>
      <c r="DNA434" s="56"/>
      <c r="DNB434" s="56"/>
      <c r="DNC434" s="56"/>
      <c r="DND434" s="56"/>
      <c r="DNE434" s="56"/>
      <c r="DNF434" s="56"/>
      <c r="DNG434" s="56"/>
      <c r="DNH434" s="56"/>
      <c r="DNI434" s="56"/>
      <c r="DNJ434" s="56"/>
      <c r="DNK434" s="56"/>
      <c r="DNL434" s="56"/>
      <c r="DNM434" s="56"/>
      <c r="DNN434" s="56"/>
      <c r="DNO434" s="56"/>
      <c r="DNP434" s="56"/>
      <c r="DNQ434" s="56"/>
      <c r="DNR434" s="56"/>
      <c r="DNS434" s="56"/>
      <c r="DNT434" s="56"/>
      <c r="DNU434" s="56"/>
      <c r="DNV434" s="56"/>
      <c r="DNW434" s="56"/>
      <c r="DNX434" s="56"/>
      <c r="DNY434" s="56"/>
      <c r="DNZ434" s="56"/>
      <c r="DOA434" s="56"/>
      <c r="DOB434" s="56"/>
      <c r="DOC434" s="56"/>
      <c r="DOD434" s="56"/>
      <c r="DOE434" s="56"/>
      <c r="DOF434" s="56"/>
      <c r="DOG434" s="56"/>
      <c r="DOH434" s="56"/>
      <c r="DOI434" s="56"/>
      <c r="DOJ434" s="56"/>
      <c r="DOK434" s="56"/>
      <c r="DOL434" s="56"/>
      <c r="DOM434" s="56"/>
      <c r="DON434" s="56"/>
      <c r="DOO434" s="56"/>
      <c r="DOP434" s="56"/>
      <c r="DOQ434" s="56"/>
      <c r="DOR434" s="56"/>
      <c r="DOS434" s="56"/>
      <c r="DOT434" s="56"/>
      <c r="DOU434" s="56"/>
      <c r="DOV434" s="56"/>
      <c r="DOW434" s="56"/>
      <c r="DOX434" s="56"/>
      <c r="DOY434" s="56"/>
      <c r="DOZ434" s="56"/>
      <c r="DPA434" s="56"/>
      <c r="DPB434" s="56"/>
      <c r="DPC434" s="56"/>
      <c r="DPD434" s="56"/>
      <c r="DPE434" s="56"/>
      <c r="DPF434" s="56"/>
      <c r="DPG434" s="56"/>
      <c r="DPH434" s="56"/>
      <c r="DPI434" s="56"/>
      <c r="DPJ434" s="56"/>
      <c r="DPK434" s="56"/>
      <c r="DPL434" s="56"/>
      <c r="DPM434" s="56"/>
      <c r="DPN434" s="56"/>
      <c r="DPO434" s="56"/>
      <c r="DPP434" s="56"/>
      <c r="DPQ434" s="56"/>
      <c r="DPR434" s="56"/>
      <c r="DPS434" s="56"/>
      <c r="DPT434" s="56"/>
      <c r="DPU434" s="56"/>
      <c r="DPV434" s="56"/>
      <c r="DPW434" s="56"/>
      <c r="DPX434" s="56"/>
      <c r="DPY434" s="56"/>
      <c r="DPZ434" s="56"/>
      <c r="DQA434" s="56"/>
      <c r="DQB434" s="56"/>
      <c r="DQC434" s="56"/>
      <c r="DQD434" s="56"/>
      <c r="DQE434" s="56"/>
      <c r="DQF434" s="56"/>
      <c r="DQG434" s="56"/>
      <c r="DQH434" s="56"/>
      <c r="DQI434" s="56"/>
      <c r="DQJ434" s="56"/>
      <c r="DQK434" s="56"/>
      <c r="DQL434" s="56"/>
      <c r="DQM434" s="56"/>
      <c r="DQN434" s="56"/>
      <c r="DQO434" s="56"/>
      <c r="DQP434" s="56"/>
      <c r="DQQ434" s="56"/>
      <c r="DQR434" s="56"/>
      <c r="DQS434" s="56"/>
      <c r="DQT434" s="56"/>
      <c r="DQU434" s="56"/>
      <c r="DQV434" s="56"/>
      <c r="DQW434" s="56"/>
      <c r="DQX434" s="56"/>
      <c r="DQY434" s="56"/>
      <c r="DQZ434" s="56"/>
      <c r="DRA434" s="56"/>
      <c r="DRB434" s="56"/>
      <c r="DRC434" s="56"/>
      <c r="DRD434" s="56"/>
      <c r="DRE434" s="56"/>
      <c r="DRF434" s="56"/>
      <c r="DRG434" s="56"/>
      <c r="DRH434" s="56"/>
      <c r="DRI434" s="56"/>
      <c r="DRJ434" s="56"/>
      <c r="DRK434" s="56"/>
      <c r="DRL434" s="56"/>
      <c r="DRM434" s="56"/>
      <c r="DRN434" s="56"/>
      <c r="DRO434" s="56"/>
      <c r="DRP434" s="56"/>
      <c r="DRQ434" s="56"/>
      <c r="DRR434" s="56"/>
      <c r="DRS434" s="56"/>
      <c r="DRT434" s="56"/>
      <c r="DRU434" s="56"/>
      <c r="DRV434" s="56"/>
      <c r="DRW434" s="56"/>
      <c r="DRX434" s="56"/>
      <c r="DRY434" s="56"/>
      <c r="DRZ434" s="56"/>
      <c r="DSA434" s="56"/>
      <c r="DSB434" s="56"/>
      <c r="DSC434" s="56"/>
      <c r="DSD434" s="56"/>
      <c r="DSE434" s="56"/>
      <c r="DSF434" s="56"/>
      <c r="DSG434" s="56"/>
      <c r="DSH434" s="56"/>
      <c r="DSI434" s="56"/>
      <c r="DSJ434" s="56"/>
      <c r="DSK434" s="56"/>
      <c r="DSL434" s="56"/>
      <c r="DSM434" s="56"/>
      <c r="DSN434" s="56"/>
      <c r="DSO434" s="56"/>
      <c r="DSP434" s="56"/>
      <c r="DSQ434" s="56"/>
      <c r="DSR434" s="56"/>
      <c r="DSS434" s="56"/>
      <c r="DST434" s="56"/>
      <c r="DSU434" s="56"/>
      <c r="DSV434" s="56"/>
      <c r="DSW434" s="56"/>
      <c r="DSX434" s="56"/>
      <c r="DSY434" s="56"/>
      <c r="DSZ434" s="56"/>
      <c r="DTA434" s="56"/>
      <c r="DTB434" s="56"/>
      <c r="DTC434" s="56"/>
      <c r="DTD434" s="56"/>
      <c r="DTE434" s="56"/>
      <c r="DTF434" s="56"/>
      <c r="DTG434" s="56"/>
      <c r="DTH434" s="56"/>
      <c r="DTI434" s="56"/>
      <c r="DTJ434" s="56"/>
      <c r="DTK434" s="56"/>
      <c r="DTL434" s="56"/>
      <c r="DTM434" s="56"/>
      <c r="DTN434" s="56"/>
      <c r="DTO434" s="56"/>
      <c r="DTP434" s="56"/>
      <c r="DTQ434" s="56"/>
      <c r="DTR434" s="56"/>
      <c r="DTS434" s="56"/>
      <c r="DTT434" s="56"/>
      <c r="DTU434" s="56"/>
      <c r="DTV434" s="56"/>
      <c r="DTW434" s="56"/>
      <c r="DTX434" s="56"/>
      <c r="DTY434" s="56"/>
      <c r="DTZ434" s="56"/>
      <c r="DUA434" s="56"/>
      <c r="DUB434" s="56"/>
      <c r="DUC434" s="56"/>
      <c r="DUD434" s="56"/>
      <c r="DUE434" s="56"/>
      <c r="DUF434" s="56"/>
      <c r="DUG434" s="56"/>
      <c r="DUH434" s="56"/>
      <c r="DUI434" s="56"/>
      <c r="DUJ434" s="56"/>
      <c r="DUK434" s="56"/>
      <c r="DUL434" s="56"/>
      <c r="DUM434" s="56"/>
      <c r="DUN434" s="56"/>
      <c r="DUO434" s="56"/>
      <c r="DUP434" s="56"/>
      <c r="DUQ434" s="56"/>
      <c r="DUR434" s="56"/>
      <c r="DUS434" s="56"/>
      <c r="DUT434" s="56"/>
      <c r="DUU434" s="56"/>
      <c r="DUV434" s="56"/>
      <c r="DUW434" s="56"/>
      <c r="DUX434" s="56"/>
      <c r="DUY434" s="56"/>
      <c r="DUZ434" s="56"/>
      <c r="DVA434" s="56"/>
      <c r="DVB434" s="56"/>
      <c r="DVC434" s="56"/>
      <c r="DVD434" s="56"/>
      <c r="DVE434" s="56"/>
      <c r="DVF434" s="56"/>
      <c r="DVG434" s="56"/>
      <c r="DVH434" s="56"/>
      <c r="DVI434" s="56"/>
      <c r="DVJ434" s="56"/>
      <c r="DVK434" s="56"/>
      <c r="DVL434" s="56"/>
      <c r="DVM434" s="56"/>
      <c r="DVN434" s="56"/>
      <c r="DVO434" s="56"/>
      <c r="DVP434" s="56"/>
      <c r="DVQ434" s="56"/>
      <c r="DVR434" s="56"/>
      <c r="DVS434" s="56"/>
      <c r="DVT434" s="56"/>
      <c r="DVU434" s="56"/>
      <c r="DVV434" s="56"/>
      <c r="DVW434" s="56"/>
      <c r="DVX434" s="56"/>
      <c r="DVY434" s="56"/>
      <c r="DVZ434" s="56"/>
      <c r="DWA434" s="56"/>
      <c r="DWB434" s="56"/>
      <c r="DWC434" s="56"/>
      <c r="DWD434" s="56"/>
      <c r="DWE434" s="56"/>
      <c r="DWF434" s="56"/>
      <c r="DWG434" s="56"/>
      <c r="DWH434" s="56"/>
      <c r="DWI434" s="56"/>
      <c r="DWJ434" s="56"/>
      <c r="DWK434" s="56"/>
      <c r="DWL434" s="56"/>
      <c r="DWM434" s="56"/>
      <c r="DWN434" s="56"/>
      <c r="DWO434" s="56"/>
      <c r="DWP434" s="56"/>
      <c r="DWQ434" s="56"/>
      <c r="DWR434" s="56"/>
      <c r="DWS434" s="56"/>
      <c r="DWT434" s="56"/>
      <c r="DWU434" s="56"/>
      <c r="DWV434" s="56"/>
      <c r="DWW434" s="56"/>
      <c r="DWX434" s="56"/>
      <c r="DWY434" s="56"/>
      <c r="DWZ434" s="56"/>
      <c r="DXA434" s="56"/>
      <c r="DXB434" s="56"/>
      <c r="DXC434" s="56"/>
      <c r="DXD434" s="56"/>
      <c r="DXE434" s="56"/>
      <c r="DXF434" s="56"/>
      <c r="DXG434" s="56"/>
      <c r="DXH434" s="56"/>
      <c r="DXI434" s="56"/>
      <c r="DXJ434" s="56"/>
      <c r="DXK434" s="56"/>
      <c r="DXL434" s="56"/>
      <c r="DXM434" s="56"/>
      <c r="DXN434" s="56"/>
      <c r="DXO434" s="56"/>
      <c r="DXP434" s="56"/>
      <c r="DXQ434" s="56"/>
      <c r="DXR434" s="56"/>
      <c r="DXS434" s="56"/>
      <c r="DXT434" s="56"/>
      <c r="DXU434" s="56"/>
      <c r="DXV434" s="56"/>
      <c r="DXW434" s="56"/>
      <c r="DXX434" s="56"/>
      <c r="DXY434" s="56"/>
      <c r="DXZ434" s="56"/>
      <c r="DYA434" s="56"/>
      <c r="DYB434" s="56"/>
      <c r="DYC434" s="56"/>
      <c r="DYD434" s="56"/>
      <c r="DYE434" s="56"/>
      <c r="DYF434" s="56"/>
      <c r="DYG434" s="56"/>
      <c r="DYH434" s="56"/>
      <c r="DYI434" s="56"/>
      <c r="DYJ434" s="56"/>
      <c r="DYK434" s="56"/>
      <c r="DYL434" s="56"/>
      <c r="DYM434" s="56"/>
      <c r="DYN434" s="56"/>
      <c r="DYO434" s="56"/>
      <c r="DYP434" s="56"/>
      <c r="DYQ434" s="56"/>
      <c r="DYR434" s="56"/>
      <c r="DYS434" s="56"/>
      <c r="DYT434" s="56"/>
      <c r="DYU434" s="56"/>
      <c r="DYV434" s="56"/>
      <c r="DYW434" s="56"/>
      <c r="DYX434" s="56"/>
      <c r="DYY434" s="56"/>
      <c r="DYZ434" s="56"/>
      <c r="DZA434" s="56"/>
      <c r="DZB434" s="56"/>
      <c r="DZC434" s="56"/>
      <c r="DZD434" s="56"/>
      <c r="DZE434" s="56"/>
      <c r="DZF434" s="56"/>
      <c r="DZG434" s="56"/>
      <c r="DZH434" s="56"/>
      <c r="DZI434" s="56"/>
      <c r="DZJ434" s="56"/>
      <c r="DZK434" s="56"/>
      <c r="DZL434" s="56"/>
      <c r="DZM434" s="56"/>
      <c r="DZN434" s="56"/>
      <c r="DZO434" s="56"/>
      <c r="DZP434" s="56"/>
      <c r="DZQ434" s="56"/>
      <c r="DZR434" s="56"/>
      <c r="DZS434" s="56"/>
      <c r="DZT434" s="56"/>
      <c r="DZU434" s="56"/>
      <c r="DZV434" s="56"/>
      <c r="DZW434" s="56"/>
      <c r="DZX434" s="56"/>
      <c r="DZY434" s="56"/>
      <c r="DZZ434" s="56"/>
      <c r="EAA434" s="56"/>
      <c r="EAB434" s="56"/>
      <c r="EAC434" s="56"/>
      <c r="EAD434" s="56"/>
      <c r="EAE434" s="56"/>
      <c r="EAF434" s="56"/>
      <c r="EAG434" s="56"/>
      <c r="EAH434" s="56"/>
      <c r="EAI434" s="56"/>
      <c r="EAJ434" s="56"/>
      <c r="EAK434" s="56"/>
      <c r="EAL434" s="56"/>
      <c r="EAM434" s="56"/>
      <c r="EAN434" s="56"/>
      <c r="EAO434" s="56"/>
      <c r="EAP434" s="56"/>
      <c r="EAQ434" s="56"/>
      <c r="EAR434" s="56"/>
      <c r="EAS434" s="56"/>
      <c r="EAT434" s="56"/>
      <c r="EAU434" s="56"/>
      <c r="EAV434" s="56"/>
      <c r="EAW434" s="56"/>
      <c r="EAX434" s="56"/>
      <c r="EAY434" s="56"/>
      <c r="EAZ434" s="56"/>
      <c r="EBA434" s="56"/>
      <c r="EBB434" s="56"/>
      <c r="EBC434" s="56"/>
      <c r="EBD434" s="56"/>
      <c r="EBE434" s="56"/>
      <c r="EBF434" s="56"/>
      <c r="EBG434" s="56"/>
      <c r="EBH434" s="56"/>
      <c r="EBI434" s="56"/>
      <c r="EBJ434" s="56"/>
      <c r="EBK434" s="56"/>
      <c r="EBL434" s="56"/>
      <c r="EBM434" s="56"/>
      <c r="EBN434" s="56"/>
      <c r="EBO434" s="56"/>
      <c r="EBP434" s="56"/>
      <c r="EBQ434" s="56"/>
      <c r="EBR434" s="56"/>
      <c r="EBS434" s="56"/>
      <c r="EBT434" s="56"/>
      <c r="EBU434" s="56"/>
      <c r="EBV434" s="56"/>
      <c r="EBW434" s="56"/>
      <c r="EBX434" s="56"/>
      <c r="EBY434" s="56"/>
      <c r="EBZ434" s="56"/>
      <c r="ECA434" s="56"/>
      <c r="ECB434" s="56"/>
      <c r="ECC434" s="56"/>
      <c r="ECD434" s="56"/>
      <c r="ECE434" s="56"/>
      <c r="ECF434" s="56"/>
      <c r="ECG434" s="56"/>
      <c r="ECH434" s="56"/>
      <c r="ECI434" s="56"/>
      <c r="ECJ434" s="56"/>
      <c r="ECK434" s="56"/>
      <c r="ECL434" s="56"/>
      <c r="ECM434" s="56"/>
      <c r="ECN434" s="56"/>
      <c r="ECO434" s="56"/>
      <c r="ECP434" s="56"/>
      <c r="ECQ434" s="56"/>
      <c r="ECR434" s="56"/>
      <c r="ECS434" s="56"/>
      <c r="ECT434" s="56"/>
      <c r="ECU434" s="56"/>
      <c r="ECV434" s="56"/>
      <c r="ECW434" s="56"/>
      <c r="ECX434" s="56"/>
      <c r="ECY434" s="56"/>
      <c r="ECZ434" s="56"/>
      <c r="EDA434" s="56"/>
      <c r="EDB434" s="56"/>
      <c r="EDC434" s="56"/>
      <c r="EDD434" s="56"/>
      <c r="EDE434" s="56"/>
      <c r="EDF434" s="56"/>
      <c r="EDG434" s="56"/>
      <c r="EDH434" s="56"/>
      <c r="EDI434" s="56"/>
      <c r="EDJ434" s="56"/>
      <c r="EDK434" s="56"/>
      <c r="EDL434" s="56"/>
      <c r="EDM434" s="56"/>
      <c r="EDN434" s="56"/>
      <c r="EDO434" s="56"/>
      <c r="EDP434" s="56"/>
      <c r="EDQ434" s="56"/>
      <c r="EDR434" s="56"/>
      <c r="EDS434" s="56"/>
      <c r="EDT434" s="56"/>
      <c r="EDU434" s="56"/>
      <c r="EDV434" s="56"/>
      <c r="EDW434" s="56"/>
      <c r="EDX434" s="56"/>
      <c r="EDY434" s="56"/>
      <c r="EDZ434" s="56"/>
      <c r="EEA434" s="56"/>
      <c r="EEB434" s="56"/>
      <c r="EEC434" s="56"/>
      <c r="EED434" s="56"/>
      <c r="EEE434" s="56"/>
      <c r="EEF434" s="56"/>
      <c r="EEG434" s="56"/>
      <c r="EEH434" s="56"/>
      <c r="EEI434" s="56"/>
      <c r="EEJ434" s="56"/>
      <c r="EEK434" s="56"/>
      <c r="EEL434" s="56"/>
      <c r="EEM434" s="56"/>
      <c r="EEN434" s="56"/>
      <c r="EEO434" s="56"/>
      <c r="EEP434" s="56"/>
      <c r="EEQ434" s="56"/>
      <c r="EER434" s="56"/>
      <c r="EES434" s="56"/>
      <c r="EET434" s="56"/>
      <c r="EEU434" s="56"/>
      <c r="EEV434" s="56"/>
      <c r="EEW434" s="56"/>
      <c r="EEX434" s="56"/>
      <c r="EEY434" s="56"/>
      <c r="EEZ434" s="56"/>
      <c r="EFA434" s="56"/>
      <c r="EFB434" s="56"/>
      <c r="EFC434" s="56"/>
      <c r="EFD434" s="56"/>
      <c r="EFE434" s="56"/>
      <c r="EFF434" s="56"/>
      <c r="EFG434" s="56"/>
      <c r="EFH434" s="56"/>
      <c r="EFI434" s="56"/>
      <c r="EFJ434" s="56"/>
      <c r="EFK434" s="56"/>
      <c r="EFL434" s="56"/>
      <c r="EFM434" s="56"/>
      <c r="EFN434" s="56"/>
      <c r="EFO434" s="56"/>
      <c r="EFP434" s="56"/>
      <c r="EFQ434" s="56"/>
      <c r="EFR434" s="56"/>
      <c r="EFS434" s="56"/>
      <c r="EFT434" s="56"/>
      <c r="EFU434" s="56"/>
      <c r="EFV434" s="56"/>
      <c r="EFW434" s="56"/>
      <c r="EFX434" s="56"/>
      <c r="EFY434" s="56"/>
      <c r="EFZ434" s="56"/>
      <c r="EGA434" s="56"/>
      <c r="EGB434" s="56"/>
      <c r="EGC434" s="56"/>
      <c r="EGD434" s="56"/>
      <c r="EGE434" s="56"/>
      <c r="EGF434" s="56"/>
      <c r="EGG434" s="56"/>
      <c r="EGH434" s="56"/>
      <c r="EGI434" s="56"/>
      <c r="EGJ434" s="56"/>
      <c r="EGK434" s="56"/>
      <c r="EGL434" s="56"/>
      <c r="EGM434" s="56"/>
      <c r="EGN434" s="56"/>
      <c r="EGO434" s="56"/>
      <c r="EGP434" s="56"/>
      <c r="EGQ434" s="56"/>
      <c r="EGR434" s="56"/>
      <c r="EGS434" s="56"/>
      <c r="EGT434" s="56"/>
      <c r="EGU434" s="56"/>
      <c r="EGV434" s="56"/>
      <c r="EGW434" s="56"/>
      <c r="EGX434" s="56"/>
      <c r="EGY434" s="56"/>
      <c r="EGZ434" s="56"/>
      <c r="EHA434" s="56"/>
      <c r="EHB434" s="56"/>
      <c r="EHC434" s="56"/>
      <c r="EHD434" s="56"/>
      <c r="EHE434" s="56"/>
      <c r="EHF434" s="56"/>
      <c r="EHG434" s="56"/>
      <c r="EHH434" s="56"/>
      <c r="EHI434" s="56"/>
      <c r="EHJ434" s="56"/>
      <c r="EHK434" s="56"/>
      <c r="EHL434" s="56"/>
      <c r="EHM434" s="56"/>
      <c r="EHN434" s="56"/>
      <c r="EHO434" s="56"/>
      <c r="EHP434" s="56"/>
      <c r="EHQ434" s="56"/>
      <c r="EHR434" s="56"/>
      <c r="EHS434" s="56"/>
      <c r="EHT434" s="56"/>
      <c r="EHU434" s="56"/>
      <c r="EHV434" s="56"/>
      <c r="EHW434" s="56"/>
      <c r="EHX434" s="56"/>
      <c r="EHY434" s="56"/>
      <c r="EHZ434" s="56"/>
      <c r="EIA434" s="56"/>
      <c r="EIB434" s="56"/>
      <c r="EIC434" s="56"/>
      <c r="EID434" s="56"/>
      <c r="EIE434" s="56"/>
      <c r="EIF434" s="56"/>
      <c r="EIG434" s="56"/>
      <c r="EIH434" s="56"/>
      <c r="EII434" s="56"/>
      <c r="EIJ434" s="56"/>
      <c r="EIK434" s="56"/>
      <c r="EIL434" s="56"/>
      <c r="EIM434" s="56"/>
      <c r="EIN434" s="56"/>
      <c r="EIO434" s="56"/>
      <c r="EIP434" s="56"/>
      <c r="EIQ434" s="56"/>
      <c r="EIR434" s="56"/>
      <c r="EIS434" s="56"/>
      <c r="EIT434" s="56"/>
      <c r="EIU434" s="56"/>
      <c r="EIV434" s="56"/>
      <c r="EIW434" s="56"/>
      <c r="EIX434" s="56"/>
      <c r="EIY434" s="56"/>
      <c r="EIZ434" s="56"/>
      <c r="EJA434" s="56"/>
      <c r="EJB434" s="56"/>
      <c r="EJC434" s="56"/>
      <c r="EJD434" s="56"/>
      <c r="EJE434" s="56"/>
      <c r="EJF434" s="56"/>
      <c r="EJG434" s="56"/>
      <c r="EJH434" s="56"/>
      <c r="EJI434" s="56"/>
      <c r="EJJ434" s="56"/>
      <c r="EJK434" s="56"/>
      <c r="EJL434" s="56"/>
      <c r="EJM434" s="56"/>
      <c r="EJN434" s="56"/>
      <c r="EJO434" s="56"/>
      <c r="EJP434" s="56"/>
      <c r="EJQ434" s="56"/>
      <c r="EJR434" s="56"/>
      <c r="EJS434" s="56"/>
      <c r="EJT434" s="56"/>
      <c r="EJU434" s="56"/>
      <c r="EJV434" s="56"/>
      <c r="EJW434" s="56"/>
      <c r="EJX434" s="56"/>
      <c r="EJY434" s="56"/>
      <c r="EJZ434" s="56"/>
      <c r="EKA434" s="56"/>
      <c r="EKB434" s="56"/>
      <c r="EKC434" s="56"/>
      <c r="EKD434" s="56"/>
      <c r="EKE434" s="56"/>
      <c r="EKF434" s="56"/>
      <c r="EKG434" s="56"/>
      <c r="EKH434" s="56"/>
      <c r="EKI434" s="56"/>
      <c r="EKJ434" s="56"/>
      <c r="EKK434" s="56"/>
      <c r="EKL434" s="56"/>
      <c r="EKM434" s="56"/>
      <c r="EKN434" s="56"/>
      <c r="EKO434" s="56"/>
      <c r="EKP434" s="56"/>
      <c r="EKQ434" s="56"/>
      <c r="EKR434" s="56"/>
      <c r="EKS434" s="56"/>
      <c r="EKT434" s="56"/>
      <c r="EKU434" s="56"/>
      <c r="EKV434" s="56"/>
      <c r="EKW434" s="56"/>
      <c r="EKX434" s="56"/>
      <c r="EKY434" s="56"/>
      <c r="EKZ434" s="56"/>
      <c r="ELA434" s="56"/>
      <c r="ELB434" s="56"/>
      <c r="ELC434" s="56"/>
      <c r="ELD434" s="56"/>
      <c r="ELE434" s="56"/>
      <c r="ELF434" s="56"/>
      <c r="ELG434" s="56"/>
      <c r="ELH434" s="56"/>
      <c r="ELI434" s="56"/>
      <c r="ELJ434" s="56"/>
      <c r="ELK434" s="56"/>
      <c r="ELL434" s="56"/>
      <c r="ELM434" s="56"/>
      <c r="ELN434" s="56"/>
      <c r="ELO434" s="56"/>
      <c r="ELP434" s="56"/>
      <c r="ELQ434" s="56"/>
      <c r="ELR434" s="56"/>
      <c r="ELS434" s="56"/>
      <c r="ELT434" s="56"/>
      <c r="ELU434" s="56"/>
      <c r="ELV434" s="56"/>
      <c r="ELW434" s="56"/>
      <c r="ELX434" s="56"/>
      <c r="ELY434" s="56"/>
      <c r="ELZ434" s="56"/>
      <c r="EMA434" s="56"/>
      <c r="EMB434" s="56"/>
      <c r="EMC434" s="56"/>
      <c r="EMD434" s="56"/>
      <c r="EME434" s="56"/>
      <c r="EMF434" s="56"/>
      <c r="EMG434" s="56"/>
      <c r="EMH434" s="56"/>
      <c r="EMI434" s="56"/>
      <c r="EMJ434" s="56"/>
      <c r="EMK434" s="56"/>
      <c r="EML434" s="56"/>
      <c r="EMM434" s="56"/>
      <c r="EMN434" s="56"/>
      <c r="EMO434" s="56"/>
      <c r="EMP434" s="56"/>
      <c r="EMQ434" s="56"/>
      <c r="EMR434" s="56"/>
      <c r="EMS434" s="56"/>
      <c r="EMT434" s="56"/>
      <c r="EMU434" s="56"/>
      <c r="EMV434" s="56"/>
      <c r="EMW434" s="56"/>
      <c r="EMX434" s="56"/>
      <c r="EMY434" s="56"/>
      <c r="EMZ434" s="56"/>
      <c r="ENA434" s="56"/>
      <c r="ENB434" s="56"/>
      <c r="ENC434" s="56"/>
      <c r="END434" s="56"/>
      <c r="ENE434" s="56"/>
      <c r="ENF434" s="56"/>
      <c r="ENG434" s="56"/>
      <c r="ENH434" s="56"/>
      <c r="ENI434" s="56"/>
      <c r="ENJ434" s="56"/>
      <c r="ENK434" s="56"/>
      <c r="ENL434" s="56"/>
      <c r="ENM434" s="56"/>
      <c r="ENN434" s="56"/>
      <c r="ENO434" s="56"/>
      <c r="ENP434" s="56"/>
      <c r="ENQ434" s="56"/>
      <c r="ENR434" s="56"/>
      <c r="ENS434" s="56"/>
      <c r="ENT434" s="56"/>
      <c r="ENU434" s="56"/>
      <c r="ENV434" s="56"/>
      <c r="ENW434" s="56"/>
      <c r="ENX434" s="56"/>
      <c r="ENY434" s="56"/>
      <c r="ENZ434" s="56"/>
      <c r="EOA434" s="56"/>
      <c r="EOB434" s="56"/>
      <c r="EOC434" s="56"/>
      <c r="EOD434" s="56"/>
      <c r="EOE434" s="56"/>
      <c r="EOF434" s="56"/>
      <c r="EOG434" s="56"/>
      <c r="EOH434" s="56"/>
      <c r="EOI434" s="56"/>
      <c r="EOJ434" s="56"/>
      <c r="EOK434" s="56"/>
      <c r="EOL434" s="56"/>
      <c r="EOM434" s="56"/>
      <c r="EON434" s="56"/>
      <c r="EOO434" s="56"/>
      <c r="EOP434" s="56"/>
      <c r="EOQ434" s="56"/>
      <c r="EOR434" s="56"/>
      <c r="EOS434" s="56"/>
      <c r="EOT434" s="56"/>
      <c r="EOU434" s="56"/>
      <c r="EOV434" s="56"/>
      <c r="EOW434" s="56"/>
      <c r="EOX434" s="56"/>
      <c r="EOY434" s="56"/>
      <c r="EOZ434" s="56"/>
      <c r="EPA434" s="56"/>
      <c r="EPB434" s="56"/>
      <c r="EPC434" s="56"/>
      <c r="EPD434" s="56"/>
      <c r="EPE434" s="56"/>
      <c r="EPF434" s="56"/>
      <c r="EPG434" s="56"/>
      <c r="EPH434" s="56"/>
      <c r="EPI434" s="56"/>
      <c r="EPJ434" s="56"/>
      <c r="EPK434" s="56"/>
      <c r="EPL434" s="56"/>
      <c r="EPM434" s="56"/>
      <c r="EPN434" s="56"/>
      <c r="EPO434" s="56"/>
      <c r="EPP434" s="56"/>
      <c r="EPQ434" s="56"/>
      <c r="EPR434" s="56"/>
      <c r="EPS434" s="56"/>
      <c r="EPT434" s="56"/>
      <c r="EPU434" s="56"/>
      <c r="EPV434" s="56"/>
      <c r="EPW434" s="56"/>
      <c r="EPX434" s="56"/>
      <c r="EPY434" s="56"/>
      <c r="EPZ434" s="56"/>
      <c r="EQA434" s="56"/>
      <c r="EQB434" s="56"/>
      <c r="EQC434" s="56"/>
      <c r="EQD434" s="56"/>
      <c r="EQE434" s="56"/>
      <c r="EQF434" s="56"/>
      <c r="EQG434" s="56"/>
      <c r="EQH434" s="56"/>
      <c r="EQI434" s="56"/>
      <c r="EQJ434" s="56"/>
      <c r="EQK434" s="56"/>
      <c r="EQL434" s="56"/>
      <c r="EQM434" s="56"/>
      <c r="EQN434" s="56"/>
      <c r="EQO434" s="56"/>
      <c r="EQP434" s="56"/>
      <c r="EQQ434" s="56"/>
      <c r="EQR434" s="56"/>
      <c r="EQS434" s="56"/>
      <c r="EQT434" s="56"/>
      <c r="EQU434" s="56"/>
      <c r="EQV434" s="56"/>
      <c r="EQW434" s="56"/>
      <c r="EQX434" s="56"/>
      <c r="EQY434" s="56"/>
      <c r="EQZ434" s="56"/>
      <c r="ERA434" s="56"/>
      <c r="ERB434" s="56"/>
      <c r="ERC434" s="56"/>
      <c r="ERD434" s="56"/>
      <c r="ERE434" s="56"/>
      <c r="ERF434" s="56"/>
      <c r="ERG434" s="56"/>
      <c r="ERH434" s="56"/>
      <c r="ERI434" s="56"/>
      <c r="ERJ434" s="56"/>
      <c r="ERK434" s="56"/>
      <c r="ERL434" s="56"/>
      <c r="ERM434" s="56"/>
      <c r="ERN434" s="56"/>
      <c r="ERO434" s="56"/>
      <c r="ERP434" s="56"/>
      <c r="ERQ434" s="56"/>
      <c r="ERR434" s="56"/>
      <c r="ERS434" s="56"/>
      <c r="ERT434" s="56"/>
      <c r="ERU434" s="56"/>
      <c r="ERV434" s="56"/>
      <c r="ERW434" s="56"/>
      <c r="ERX434" s="56"/>
      <c r="ERY434" s="56"/>
      <c r="ERZ434" s="56"/>
      <c r="ESA434" s="56"/>
      <c r="ESB434" s="56"/>
      <c r="ESC434" s="56"/>
      <c r="ESD434" s="56"/>
      <c r="ESE434" s="56"/>
      <c r="ESF434" s="56"/>
      <c r="ESG434" s="56"/>
      <c r="ESH434" s="56"/>
      <c r="ESI434" s="56"/>
      <c r="ESJ434" s="56"/>
      <c r="ESK434" s="56"/>
      <c r="ESL434" s="56"/>
      <c r="ESM434" s="56"/>
      <c r="ESN434" s="56"/>
      <c r="ESO434" s="56"/>
      <c r="ESP434" s="56"/>
      <c r="ESQ434" s="56"/>
      <c r="ESR434" s="56"/>
      <c r="ESS434" s="56"/>
      <c r="EST434" s="56"/>
      <c r="ESU434" s="56"/>
      <c r="ESV434" s="56"/>
      <c r="ESW434" s="56"/>
      <c r="ESX434" s="56"/>
      <c r="ESY434" s="56"/>
      <c r="ESZ434" s="56"/>
      <c r="ETA434" s="56"/>
      <c r="ETB434" s="56"/>
      <c r="ETC434" s="56"/>
      <c r="ETD434" s="56"/>
      <c r="ETE434" s="56"/>
      <c r="ETF434" s="56"/>
      <c r="ETG434" s="56"/>
      <c r="ETH434" s="56"/>
      <c r="ETI434" s="56"/>
      <c r="ETJ434" s="56"/>
      <c r="ETK434" s="56"/>
      <c r="ETL434" s="56"/>
      <c r="ETM434" s="56"/>
      <c r="ETN434" s="56"/>
      <c r="ETO434" s="56"/>
      <c r="ETP434" s="56"/>
      <c r="ETQ434" s="56"/>
      <c r="ETR434" s="56"/>
      <c r="ETS434" s="56"/>
      <c r="ETT434" s="56"/>
      <c r="ETU434" s="56"/>
      <c r="ETV434" s="56"/>
      <c r="ETW434" s="56"/>
      <c r="ETX434" s="56"/>
      <c r="ETY434" s="56"/>
      <c r="ETZ434" s="56"/>
      <c r="EUA434" s="56"/>
      <c r="EUB434" s="56"/>
      <c r="EUC434" s="56"/>
      <c r="EUD434" s="56"/>
      <c r="EUE434" s="56"/>
      <c r="EUF434" s="56"/>
      <c r="EUG434" s="56"/>
      <c r="EUH434" s="56"/>
      <c r="EUI434" s="56"/>
      <c r="EUJ434" s="56"/>
      <c r="EUK434" s="56"/>
      <c r="EUL434" s="56"/>
      <c r="EUM434" s="56"/>
      <c r="EUN434" s="56"/>
      <c r="EUO434" s="56"/>
      <c r="EUP434" s="56"/>
      <c r="EUQ434" s="56"/>
      <c r="EUR434" s="56"/>
      <c r="EUS434" s="56"/>
      <c r="EUT434" s="56"/>
      <c r="EUU434" s="56"/>
      <c r="EUV434" s="56"/>
      <c r="EUW434" s="56"/>
      <c r="EUX434" s="56"/>
      <c r="EUY434" s="56"/>
      <c r="EUZ434" s="56"/>
      <c r="EVA434" s="56"/>
      <c r="EVB434" s="56"/>
      <c r="EVC434" s="56"/>
      <c r="EVD434" s="56"/>
      <c r="EVE434" s="56"/>
      <c r="EVF434" s="56"/>
      <c r="EVG434" s="56"/>
      <c r="EVH434" s="56"/>
      <c r="EVI434" s="56"/>
      <c r="EVJ434" s="56"/>
      <c r="EVK434" s="56"/>
      <c r="EVL434" s="56"/>
      <c r="EVM434" s="56"/>
      <c r="EVN434" s="56"/>
      <c r="EVO434" s="56"/>
      <c r="EVP434" s="56"/>
      <c r="EVQ434" s="56"/>
      <c r="EVR434" s="56"/>
      <c r="EVS434" s="56"/>
      <c r="EVT434" s="56"/>
      <c r="EVU434" s="56"/>
      <c r="EVV434" s="56"/>
      <c r="EVW434" s="56"/>
      <c r="EVX434" s="56"/>
      <c r="EVY434" s="56"/>
      <c r="EVZ434" s="56"/>
      <c r="EWA434" s="56"/>
      <c r="EWB434" s="56"/>
      <c r="EWC434" s="56"/>
      <c r="EWD434" s="56"/>
      <c r="EWE434" s="56"/>
      <c r="EWF434" s="56"/>
      <c r="EWG434" s="56"/>
      <c r="EWH434" s="56"/>
      <c r="EWI434" s="56"/>
      <c r="EWJ434" s="56"/>
      <c r="EWK434" s="56"/>
      <c r="EWL434" s="56"/>
      <c r="EWM434" s="56"/>
      <c r="EWN434" s="56"/>
      <c r="EWO434" s="56"/>
      <c r="EWP434" s="56"/>
      <c r="EWQ434" s="56"/>
      <c r="EWR434" s="56"/>
      <c r="EWS434" s="56"/>
      <c r="EWT434" s="56"/>
      <c r="EWU434" s="56"/>
      <c r="EWV434" s="56"/>
      <c r="EWW434" s="56"/>
      <c r="EWX434" s="56"/>
      <c r="EWY434" s="56"/>
      <c r="EWZ434" s="56"/>
      <c r="EXA434" s="56"/>
      <c r="EXB434" s="56"/>
      <c r="EXC434" s="56"/>
      <c r="EXD434" s="56"/>
      <c r="EXE434" s="56"/>
      <c r="EXF434" s="56"/>
      <c r="EXG434" s="56"/>
      <c r="EXH434" s="56"/>
      <c r="EXI434" s="56"/>
      <c r="EXJ434" s="56"/>
      <c r="EXK434" s="56"/>
      <c r="EXL434" s="56"/>
      <c r="EXM434" s="56"/>
      <c r="EXN434" s="56"/>
      <c r="EXO434" s="56"/>
      <c r="EXP434" s="56"/>
      <c r="EXQ434" s="56"/>
      <c r="EXR434" s="56"/>
      <c r="EXS434" s="56"/>
      <c r="EXT434" s="56"/>
      <c r="EXU434" s="56"/>
      <c r="EXV434" s="56"/>
      <c r="EXW434" s="56"/>
      <c r="EXX434" s="56"/>
      <c r="EXY434" s="56"/>
      <c r="EXZ434" s="56"/>
      <c r="EYA434" s="56"/>
      <c r="EYB434" s="56"/>
      <c r="EYC434" s="56"/>
      <c r="EYD434" s="56"/>
      <c r="EYE434" s="56"/>
      <c r="EYF434" s="56"/>
      <c r="EYG434" s="56"/>
      <c r="EYH434" s="56"/>
      <c r="EYI434" s="56"/>
      <c r="EYJ434" s="56"/>
      <c r="EYK434" s="56"/>
      <c r="EYL434" s="56"/>
      <c r="EYM434" s="56"/>
      <c r="EYN434" s="56"/>
      <c r="EYO434" s="56"/>
      <c r="EYP434" s="56"/>
      <c r="EYQ434" s="56"/>
      <c r="EYR434" s="56"/>
      <c r="EYS434" s="56"/>
      <c r="EYT434" s="56"/>
      <c r="EYU434" s="56"/>
      <c r="EYV434" s="56"/>
      <c r="EYW434" s="56"/>
      <c r="EYX434" s="56"/>
      <c r="EYY434" s="56"/>
      <c r="EYZ434" s="56"/>
      <c r="EZA434" s="56"/>
      <c r="EZB434" s="56"/>
      <c r="EZC434" s="56"/>
      <c r="EZD434" s="56"/>
      <c r="EZE434" s="56"/>
      <c r="EZF434" s="56"/>
      <c r="EZG434" s="56"/>
      <c r="EZH434" s="56"/>
      <c r="EZI434" s="56"/>
      <c r="EZJ434" s="56"/>
      <c r="EZK434" s="56"/>
      <c r="EZL434" s="56"/>
      <c r="EZM434" s="56"/>
      <c r="EZN434" s="56"/>
      <c r="EZO434" s="56"/>
      <c r="EZP434" s="56"/>
      <c r="EZQ434" s="56"/>
      <c r="EZR434" s="56"/>
      <c r="EZS434" s="56"/>
      <c r="EZT434" s="56"/>
      <c r="EZU434" s="56"/>
      <c r="EZV434" s="56"/>
      <c r="EZW434" s="56"/>
      <c r="EZX434" s="56"/>
      <c r="EZY434" s="56"/>
      <c r="EZZ434" s="56"/>
      <c r="FAA434" s="56"/>
      <c r="FAB434" s="56"/>
      <c r="FAC434" s="56"/>
      <c r="FAD434" s="56"/>
      <c r="FAE434" s="56"/>
      <c r="FAF434" s="56"/>
      <c r="FAG434" s="56"/>
      <c r="FAH434" s="56"/>
      <c r="FAI434" s="56"/>
      <c r="FAJ434" s="56"/>
      <c r="FAK434" s="56"/>
      <c r="FAL434" s="56"/>
      <c r="FAM434" s="56"/>
      <c r="FAN434" s="56"/>
      <c r="FAO434" s="56"/>
      <c r="FAP434" s="56"/>
      <c r="FAQ434" s="56"/>
      <c r="FAR434" s="56"/>
      <c r="FAS434" s="56"/>
      <c r="FAT434" s="56"/>
      <c r="FAU434" s="56"/>
      <c r="FAV434" s="56"/>
      <c r="FAW434" s="56"/>
      <c r="FAX434" s="56"/>
      <c r="FAY434" s="56"/>
      <c r="FAZ434" s="56"/>
      <c r="FBA434" s="56"/>
      <c r="FBB434" s="56"/>
      <c r="FBC434" s="56"/>
      <c r="FBD434" s="56"/>
      <c r="FBE434" s="56"/>
      <c r="FBF434" s="56"/>
      <c r="FBG434" s="56"/>
      <c r="FBH434" s="56"/>
      <c r="FBI434" s="56"/>
      <c r="FBJ434" s="56"/>
      <c r="FBK434" s="56"/>
      <c r="FBL434" s="56"/>
      <c r="FBM434" s="56"/>
      <c r="FBN434" s="56"/>
      <c r="FBO434" s="56"/>
      <c r="FBP434" s="56"/>
      <c r="FBQ434" s="56"/>
      <c r="FBR434" s="56"/>
      <c r="FBS434" s="56"/>
      <c r="FBT434" s="56"/>
      <c r="FBU434" s="56"/>
      <c r="FBV434" s="56"/>
      <c r="FBW434" s="56"/>
      <c r="FBX434" s="56"/>
      <c r="FBY434" s="56"/>
      <c r="FBZ434" s="56"/>
      <c r="FCA434" s="56"/>
      <c r="FCB434" s="56"/>
      <c r="FCC434" s="56"/>
      <c r="FCD434" s="56"/>
      <c r="FCE434" s="56"/>
      <c r="FCF434" s="56"/>
      <c r="FCG434" s="56"/>
      <c r="FCH434" s="56"/>
      <c r="FCI434" s="56"/>
      <c r="FCJ434" s="56"/>
      <c r="FCK434" s="56"/>
      <c r="FCL434" s="56"/>
      <c r="FCM434" s="56"/>
      <c r="FCN434" s="56"/>
      <c r="FCO434" s="56"/>
      <c r="FCP434" s="56"/>
      <c r="FCQ434" s="56"/>
      <c r="FCR434" s="56"/>
      <c r="FCS434" s="56"/>
      <c r="FCT434" s="56"/>
      <c r="FCU434" s="56"/>
      <c r="FCV434" s="56"/>
      <c r="FCW434" s="56"/>
      <c r="FCX434" s="56"/>
      <c r="FCY434" s="56"/>
      <c r="FCZ434" s="56"/>
      <c r="FDA434" s="56"/>
      <c r="FDB434" s="56"/>
      <c r="FDC434" s="56"/>
      <c r="FDD434" s="56"/>
      <c r="FDE434" s="56"/>
      <c r="FDF434" s="56"/>
      <c r="FDG434" s="56"/>
      <c r="FDH434" s="56"/>
      <c r="FDI434" s="56"/>
      <c r="FDJ434" s="56"/>
      <c r="FDK434" s="56"/>
      <c r="FDL434" s="56"/>
      <c r="FDM434" s="56"/>
      <c r="FDN434" s="56"/>
      <c r="FDO434" s="56"/>
      <c r="FDP434" s="56"/>
      <c r="FDQ434" s="56"/>
      <c r="FDR434" s="56"/>
      <c r="FDS434" s="56"/>
      <c r="FDT434" s="56"/>
      <c r="FDU434" s="56"/>
      <c r="FDV434" s="56"/>
      <c r="FDW434" s="56"/>
      <c r="FDX434" s="56"/>
      <c r="FDY434" s="56"/>
      <c r="FDZ434" s="56"/>
      <c r="FEA434" s="56"/>
      <c r="FEB434" s="56"/>
      <c r="FEC434" s="56"/>
      <c r="FED434" s="56"/>
      <c r="FEE434" s="56"/>
      <c r="FEF434" s="56"/>
      <c r="FEG434" s="56"/>
      <c r="FEH434" s="56"/>
      <c r="FEI434" s="56"/>
      <c r="FEJ434" s="56"/>
      <c r="FEK434" s="56"/>
      <c r="FEL434" s="56"/>
      <c r="FEM434" s="56"/>
      <c r="FEN434" s="56"/>
      <c r="FEO434" s="56"/>
      <c r="FEP434" s="56"/>
      <c r="FEQ434" s="56"/>
      <c r="FER434" s="56"/>
      <c r="FES434" s="56"/>
      <c r="FET434" s="56"/>
      <c r="FEU434" s="56"/>
      <c r="FEV434" s="56"/>
      <c r="FEW434" s="56"/>
      <c r="FEX434" s="56"/>
      <c r="FEY434" s="56"/>
      <c r="FEZ434" s="56"/>
      <c r="FFA434" s="56"/>
      <c r="FFB434" s="56"/>
      <c r="FFC434" s="56"/>
      <c r="FFD434" s="56"/>
      <c r="FFE434" s="56"/>
      <c r="FFF434" s="56"/>
      <c r="FFG434" s="56"/>
      <c r="FFH434" s="56"/>
      <c r="FFI434" s="56"/>
      <c r="FFJ434" s="56"/>
      <c r="FFK434" s="56"/>
      <c r="FFL434" s="56"/>
      <c r="FFM434" s="56"/>
      <c r="FFN434" s="56"/>
      <c r="FFO434" s="56"/>
      <c r="FFP434" s="56"/>
      <c r="FFQ434" s="56"/>
      <c r="FFR434" s="56"/>
      <c r="FFS434" s="56"/>
      <c r="FFT434" s="56"/>
      <c r="FFU434" s="56"/>
      <c r="FFV434" s="56"/>
      <c r="FFW434" s="56"/>
      <c r="FFX434" s="56"/>
      <c r="FFY434" s="56"/>
      <c r="FFZ434" s="56"/>
      <c r="FGA434" s="56"/>
      <c r="FGB434" s="56"/>
      <c r="FGC434" s="56"/>
      <c r="FGD434" s="56"/>
      <c r="FGE434" s="56"/>
      <c r="FGF434" s="56"/>
      <c r="FGG434" s="56"/>
      <c r="FGH434" s="56"/>
      <c r="FGI434" s="56"/>
      <c r="FGJ434" s="56"/>
      <c r="FGK434" s="56"/>
      <c r="FGL434" s="56"/>
      <c r="FGM434" s="56"/>
      <c r="FGN434" s="56"/>
      <c r="FGO434" s="56"/>
      <c r="FGP434" s="56"/>
      <c r="FGQ434" s="56"/>
      <c r="FGR434" s="56"/>
      <c r="FGS434" s="56"/>
      <c r="FGT434" s="56"/>
      <c r="FGU434" s="56"/>
      <c r="FGV434" s="56"/>
      <c r="FGW434" s="56"/>
      <c r="FGX434" s="56"/>
      <c r="FGY434" s="56"/>
      <c r="FGZ434" s="56"/>
      <c r="FHA434" s="56"/>
      <c r="FHB434" s="56"/>
      <c r="FHC434" s="56"/>
      <c r="FHD434" s="56"/>
      <c r="FHE434" s="56"/>
      <c r="FHF434" s="56"/>
      <c r="FHG434" s="56"/>
      <c r="FHH434" s="56"/>
      <c r="FHI434" s="56"/>
      <c r="FHJ434" s="56"/>
      <c r="FHK434" s="56"/>
      <c r="FHL434" s="56"/>
      <c r="FHM434" s="56"/>
      <c r="FHN434" s="56"/>
      <c r="FHO434" s="56"/>
      <c r="FHP434" s="56"/>
      <c r="FHQ434" s="56"/>
      <c r="FHR434" s="56"/>
      <c r="FHS434" s="56"/>
      <c r="FHT434" s="56"/>
      <c r="FHU434" s="56"/>
      <c r="FHV434" s="56"/>
      <c r="FHW434" s="56"/>
      <c r="FHX434" s="56"/>
      <c r="FHY434" s="56"/>
      <c r="FHZ434" s="56"/>
      <c r="FIA434" s="56"/>
      <c r="FIB434" s="56"/>
      <c r="FIC434" s="56"/>
      <c r="FID434" s="56"/>
      <c r="FIE434" s="56"/>
      <c r="FIF434" s="56"/>
      <c r="FIG434" s="56"/>
      <c r="FIH434" s="56"/>
      <c r="FII434" s="56"/>
      <c r="FIJ434" s="56"/>
      <c r="FIK434" s="56"/>
      <c r="FIL434" s="56"/>
      <c r="FIM434" s="56"/>
      <c r="FIN434" s="56"/>
      <c r="FIO434" s="56"/>
      <c r="FIP434" s="56"/>
      <c r="FIQ434" s="56"/>
      <c r="FIR434" s="56"/>
      <c r="FIS434" s="56"/>
      <c r="FIT434" s="56"/>
      <c r="FIU434" s="56"/>
      <c r="FIV434" s="56"/>
      <c r="FIW434" s="56"/>
      <c r="FIX434" s="56"/>
      <c r="FIY434" s="56"/>
      <c r="FIZ434" s="56"/>
      <c r="FJA434" s="56"/>
      <c r="FJB434" s="56"/>
      <c r="FJC434" s="56"/>
      <c r="FJD434" s="56"/>
      <c r="FJE434" s="56"/>
      <c r="FJF434" s="56"/>
      <c r="FJG434" s="56"/>
      <c r="FJH434" s="56"/>
      <c r="FJI434" s="56"/>
      <c r="FJJ434" s="56"/>
      <c r="FJK434" s="56"/>
      <c r="FJL434" s="56"/>
      <c r="FJM434" s="56"/>
      <c r="FJN434" s="56"/>
      <c r="FJO434" s="56"/>
      <c r="FJP434" s="56"/>
      <c r="FJQ434" s="56"/>
      <c r="FJR434" s="56"/>
      <c r="FJS434" s="56"/>
      <c r="FJT434" s="56"/>
      <c r="FJU434" s="56"/>
      <c r="FJV434" s="56"/>
      <c r="FJW434" s="56"/>
      <c r="FJX434" s="56"/>
      <c r="FJY434" s="56"/>
      <c r="FJZ434" s="56"/>
      <c r="FKA434" s="56"/>
      <c r="FKB434" s="56"/>
      <c r="FKC434" s="56"/>
      <c r="FKD434" s="56"/>
      <c r="FKE434" s="56"/>
      <c r="FKF434" s="56"/>
      <c r="FKG434" s="56"/>
      <c r="FKH434" s="56"/>
      <c r="FKI434" s="56"/>
      <c r="FKJ434" s="56"/>
      <c r="FKK434" s="56"/>
      <c r="FKL434" s="56"/>
      <c r="FKM434" s="56"/>
      <c r="FKN434" s="56"/>
      <c r="FKO434" s="56"/>
      <c r="FKP434" s="56"/>
      <c r="FKQ434" s="56"/>
      <c r="FKR434" s="56"/>
      <c r="FKS434" s="56"/>
      <c r="FKT434" s="56"/>
      <c r="FKU434" s="56"/>
      <c r="FKV434" s="56"/>
      <c r="FKW434" s="56"/>
      <c r="FKX434" s="56"/>
      <c r="FKY434" s="56"/>
      <c r="FKZ434" s="56"/>
      <c r="FLA434" s="56"/>
      <c r="FLB434" s="56"/>
      <c r="FLC434" s="56"/>
      <c r="FLD434" s="56"/>
      <c r="FLE434" s="56"/>
      <c r="FLF434" s="56"/>
      <c r="FLG434" s="56"/>
      <c r="FLH434" s="56"/>
      <c r="FLI434" s="56"/>
      <c r="FLJ434" s="56"/>
      <c r="FLK434" s="56"/>
      <c r="FLL434" s="56"/>
      <c r="FLM434" s="56"/>
      <c r="FLN434" s="56"/>
      <c r="FLO434" s="56"/>
      <c r="FLP434" s="56"/>
      <c r="FLQ434" s="56"/>
      <c r="FLR434" s="56"/>
      <c r="FLS434" s="56"/>
      <c r="FLT434" s="56"/>
      <c r="FLU434" s="56"/>
      <c r="FLV434" s="56"/>
      <c r="FLW434" s="56"/>
      <c r="FLX434" s="56"/>
      <c r="FLY434" s="56"/>
      <c r="FLZ434" s="56"/>
      <c r="FMA434" s="56"/>
      <c r="FMB434" s="56"/>
      <c r="FMC434" s="56"/>
      <c r="FMD434" s="56"/>
      <c r="FME434" s="56"/>
      <c r="FMF434" s="56"/>
      <c r="FMG434" s="56"/>
      <c r="FMH434" s="56"/>
      <c r="FMI434" s="56"/>
      <c r="FMJ434" s="56"/>
      <c r="FMK434" s="56"/>
      <c r="FML434" s="56"/>
      <c r="FMM434" s="56"/>
      <c r="FMN434" s="56"/>
      <c r="FMO434" s="56"/>
      <c r="FMP434" s="56"/>
      <c r="FMQ434" s="56"/>
      <c r="FMR434" s="56"/>
      <c r="FMS434" s="56"/>
      <c r="FMT434" s="56"/>
      <c r="FMU434" s="56"/>
      <c r="FMV434" s="56"/>
      <c r="FMW434" s="56"/>
      <c r="FMX434" s="56"/>
      <c r="FMY434" s="56"/>
      <c r="FMZ434" s="56"/>
      <c r="FNA434" s="56"/>
      <c r="FNB434" s="56"/>
      <c r="FNC434" s="56"/>
      <c r="FND434" s="56"/>
      <c r="FNE434" s="56"/>
      <c r="FNF434" s="56"/>
      <c r="FNG434" s="56"/>
      <c r="FNH434" s="56"/>
      <c r="FNI434" s="56"/>
      <c r="FNJ434" s="56"/>
      <c r="FNK434" s="56"/>
      <c r="FNL434" s="56"/>
      <c r="FNM434" s="56"/>
      <c r="FNN434" s="56"/>
      <c r="FNO434" s="56"/>
      <c r="FNP434" s="56"/>
      <c r="FNQ434" s="56"/>
      <c r="FNR434" s="56"/>
      <c r="FNS434" s="56"/>
      <c r="FNT434" s="56"/>
      <c r="FNU434" s="56"/>
      <c r="FNV434" s="56"/>
      <c r="FNW434" s="56"/>
      <c r="FNX434" s="56"/>
      <c r="FNY434" s="56"/>
      <c r="FNZ434" s="56"/>
      <c r="FOA434" s="56"/>
      <c r="FOB434" s="56"/>
      <c r="FOC434" s="56"/>
      <c r="FOD434" s="56"/>
      <c r="FOE434" s="56"/>
      <c r="FOF434" s="56"/>
      <c r="FOG434" s="56"/>
      <c r="FOH434" s="56"/>
      <c r="FOI434" s="56"/>
      <c r="FOJ434" s="56"/>
      <c r="FOK434" s="56"/>
      <c r="FOL434" s="56"/>
      <c r="FOM434" s="56"/>
      <c r="FON434" s="56"/>
      <c r="FOO434" s="56"/>
      <c r="FOP434" s="56"/>
      <c r="FOQ434" s="56"/>
      <c r="FOR434" s="56"/>
      <c r="FOS434" s="56"/>
      <c r="FOT434" s="56"/>
      <c r="FOU434" s="56"/>
      <c r="FOV434" s="56"/>
      <c r="FOW434" s="56"/>
      <c r="FOX434" s="56"/>
      <c r="FOY434" s="56"/>
      <c r="FOZ434" s="56"/>
      <c r="FPA434" s="56"/>
      <c r="FPB434" s="56"/>
      <c r="FPC434" s="56"/>
      <c r="FPD434" s="56"/>
      <c r="FPE434" s="56"/>
      <c r="FPF434" s="56"/>
      <c r="FPG434" s="56"/>
      <c r="FPH434" s="56"/>
      <c r="FPI434" s="56"/>
      <c r="FPJ434" s="56"/>
      <c r="FPK434" s="56"/>
      <c r="FPL434" s="56"/>
      <c r="FPM434" s="56"/>
      <c r="FPN434" s="56"/>
      <c r="FPO434" s="56"/>
      <c r="FPP434" s="56"/>
      <c r="FPQ434" s="56"/>
      <c r="FPR434" s="56"/>
      <c r="FPS434" s="56"/>
      <c r="FPT434" s="56"/>
      <c r="FPU434" s="56"/>
      <c r="FPV434" s="56"/>
      <c r="FPW434" s="56"/>
      <c r="FPX434" s="56"/>
      <c r="FPY434" s="56"/>
      <c r="FPZ434" s="56"/>
      <c r="FQA434" s="56"/>
      <c r="FQB434" s="56"/>
      <c r="FQC434" s="56"/>
      <c r="FQD434" s="56"/>
      <c r="FQE434" s="56"/>
      <c r="FQF434" s="56"/>
      <c r="FQG434" s="56"/>
      <c r="FQH434" s="56"/>
      <c r="FQI434" s="56"/>
      <c r="FQJ434" s="56"/>
      <c r="FQK434" s="56"/>
      <c r="FQL434" s="56"/>
      <c r="FQM434" s="56"/>
      <c r="FQN434" s="56"/>
      <c r="FQO434" s="56"/>
      <c r="FQP434" s="56"/>
      <c r="FQQ434" s="56"/>
      <c r="FQR434" s="56"/>
      <c r="FQS434" s="56"/>
      <c r="FQT434" s="56"/>
      <c r="FQU434" s="56"/>
      <c r="FQV434" s="56"/>
      <c r="FQW434" s="56"/>
      <c r="FQX434" s="56"/>
      <c r="FQY434" s="56"/>
      <c r="FQZ434" s="56"/>
      <c r="FRA434" s="56"/>
      <c r="FRB434" s="56"/>
      <c r="FRC434" s="56"/>
      <c r="FRD434" s="56"/>
      <c r="FRE434" s="56"/>
      <c r="FRF434" s="56"/>
      <c r="FRG434" s="56"/>
      <c r="FRH434" s="56"/>
      <c r="FRI434" s="56"/>
      <c r="FRJ434" s="56"/>
      <c r="FRK434" s="56"/>
      <c r="FRL434" s="56"/>
      <c r="FRM434" s="56"/>
      <c r="FRN434" s="56"/>
      <c r="FRO434" s="56"/>
      <c r="FRP434" s="56"/>
      <c r="FRQ434" s="56"/>
      <c r="FRR434" s="56"/>
      <c r="FRS434" s="56"/>
      <c r="FRT434" s="56"/>
      <c r="FRU434" s="56"/>
      <c r="FRV434" s="56"/>
      <c r="FRW434" s="56"/>
      <c r="FRX434" s="56"/>
      <c r="FRY434" s="56"/>
      <c r="FRZ434" s="56"/>
      <c r="FSA434" s="56"/>
      <c r="FSB434" s="56"/>
      <c r="FSC434" s="56"/>
      <c r="FSD434" s="56"/>
      <c r="FSE434" s="56"/>
      <c r="FSF434" s="56"/>
      <c r="FSG434" s="56"/>
      <c r="FSH434" s="56"/>
      <c r="FSI434" s="56"/>
      <c r="FSJ434" s="56"/>
      <c r="FSK434" s="56"/>
      <c r="FSL434" s="56"/>
      <c r="FSM434" s="56"/>
      <c r="FSN434" s="56"/>
      <c r="FSO434" s="56"/>
      <c r="FSP434" s="56"/>
      <c r="FSQ434" s="56"/>
      <c r="FSR434" s="56"/>
      <c r="FSS434" s="56"/>
      <c r="FST434" s="56"/>
      <c r="FSU434" s="56"/>
      <c r="FSV434" s="56"/>
      <c r="FSW434" s="56"/>
      <c r="FSX434" s="56"/>
      <c r="FSY434" s="56"/>
      <c r="FSZ434" s="56"/>
      <c r="FTA434" s="56"/>
      <c r="FTB434" s="56"/>
      <c r="FTC434" s="56"/>
      <c r="FTD434" s="56"/>
      <c r="FTE434" s="56"/>
      <c r="FTF434" s="56"/>
      <c r="FTG434" s="56"/>
      <c r="FTH434" s="56"/>
      <c r="FTI434" s="56"/>
      <c r="FTJ434" s="56"/>
      <c r="FTK434" s="56"/>
      <c r="FTL434" s="56"/>
      <c r="FTM434" s="56"/>
      <c r="FTN434" s="56"/>
      <c r="FTO434" s="56"/>
      <c r="FTP434" s="56"/>
      <c r="FTQ434" s="56"/>
      <c r="FTR434" s="56"/>
      <c r="FTS434" s="56"/>
      <c r="FTT434" s="56"/>
      <c r="FTU434" s="56"/>
      <c r="FTV434" s="56"/>
      <c r="FTW434" s="56"/>
      <c r="FTX434" s="56"/>
      <c r="FTY434" s="56"/>
      <c r="FTZ434" s="56"/>
      <c r="FUA434" s="56"/>
      <c r="FUB434" s="56"/>
      <c r="FUC434" s="56"/>
      <c r="FUD434" s="56"/>
      <c r="FUE434" s="56"/>
      <c r="FUF434" s="56"/>
      <c r="FUG434" s="56"/>
      <c r="FUH434" s="56"/>
      <c r="FUI434" s="56"/>
      <c r="FUJ434" s="56"/>
      <c r="FUK434" s="56"/>
      <c r="FUL434" s="56"/>
      <c r="FUM434" s="56"/>
      <c r="FUN434" s="56"/>
      <c r="FUO434" s="56"/>
      <c r="FUP434" s="56"/>
      <c r="FUQ434" s="56"/>
      <c r="FUR434" s="56"/>
      <c r="FUS434" s="56"/>
      <c r="FUT434" s="56"/>
      <c r="FUU434" s="56"/>
      <c r="FUV434" s="56"/>
      <c r="FUW434" s="56"/>
      <c r="FUX434" s="56"/>
      <c r="FUY434" s="56"/>
      <c r="FUZ434" s="56"/>
      <c r="FVA434" s="56"/>
      <c r="FVB434" s="56"/>
      <c r="FVC434" s="56"/>
      <c r="FVD434" s="56"/>
      <c r="FVE434" s="56"/>
      <c r="FVF434" s="56"/>
      <c r="FVG434" s="56"/>
      <c r="FVH434" s="56"/>
      <c r="FVI434" s="56"/>
      <c r="FVJ434" s="56"/>
      <c r="FVK434" s="56"/>
      <c r="FVL434" s="56"/>
      <c r="FVM434" s="56"/>
      <c r="FVN434" s="56"/>
      <c r="FVO434" s="56"/>
      <c r="FVP434" s="56"/>
      <c r="FVQ434" s="56"/>
      <c r="FVR434" s="56"/>
      <c r="FVS434" s="56"/>
      <c r="FVT434" s="56"/>
      <c r="FVU434" s="56"/>
      <c r="FVV434" s="56"/>
      <c r="FVW434" s="56"/>
      <c r="FVX434" s="56"/>
      <c r="FVY434" s="56"/>
      <c r="FVZ434" s="56"/>
      <c r="FWA434" s="56"/>
      <c r="FWB434" s="56"/>
      <c r="FWC434" s="56"/>
      <c r="FWD434" s="56"/>
      <c r="FWE434" s="56"/>
      <c r="FWF434" s="56"/>
      <c r="FWG434" s="56"/>
      <c r="FWH434" s="56"/>
      <c r="FWI434" s="56"/>
      <c r="FWJ434" s="56"/>
      <c r="FWK434" s="56"/>
      <c r="FWL434" s="56"/>
      <c r="FWM434" s="56"/>
      <c r="FWN434" s="56"/>
      <c r="FWO434" s="56"/>
      <c r="FWP434" s="56"/>
      <c r="FWQ434" s="56"/>
      <c r="FWR434" s="56"/>
      <c r="FWS434" s="56"/>
      <c r="FWT434" s="56"/>
      <c r="FWU434" s="56"/>
      <c r="FWV434" s="56"/>
      <c r="FWW434" s="56"/>
      <c r="FWX434" s="56"/>
      <c r="FWY434" s="56"/>
      <c r="FWZ434" s="56"/>
      <c r="FXA434" s="56"/>
      <c r="FXB434" s="56"/>
      <c r="FXC434" s="56"/>
      <c r="FXD434" s="56"/>
      <c r="FXE434" s="56"/>
      <c r="FXF434" s="56"/>
      <c r="FXG434" s="56"/>
      <c r="FXH434" s="56"/>
      <c r="FXI434" s="56"/>
      <c r="FXJ434" s="56"/>
      <c r="FXK434" s="56"/>
      <c r="FXL434" s="56"/>
      <c r="FXM434" s="56"/>
      <c r="FXN434" s="56"/>
      <c r="FXO434" s="56"/>
      <c r="FXP434" s="56"/>
      <c r="FXQ434" s="56"/>
      <c r="FXR434" s="56"/>
      <c r="FXS434" s="56"/>
      <c r="FXT434" s="56"/>
      <c r="FXU434" s="56"/>
      <c r="FXV434" s="56"/>
      <c r="FXW434" s="56"/>
      <c r="FXX434" s="56"/>
      <c r="FXY434" s="56"/>
      <c r="FXZ434" s="56"/>
      <c r="FYA434" s="56"/>
      <c r="FYB434" s="56"/>
      <c r="FYC434" s="56"/>
      <c r="FYD434" s="56"/>
      <c r="FYE434" s="56"/>
      <c r="FYF434" s="56"/>
      <c r="FYG434" s="56"/>
      <c r="FYH434" s="56"/>
      <c r="FYI434" s="56"/>
      <c r="FYJ434" s="56"/>
      <c r="FYK434" s="56"/>
      <c r="FYL434" s="56"/>
      <c r="FYM434" s="56"/>
      <c r="FYN434" s="56"/>
      <c r="FYO434" s="56"/>
      <c r="FYP434" s="56"/>
      <c r="FYQ434" s="56"/>
      <c r="FYR434" s="56"/>
      <c r="FYS434" s="56"/>
      <c r="FYT434" s="56"/>
      <c r="FYU434" s="56"/>
      <c r="FYV434" s="56"/>
      <c r="FYW434" s="56"/>
      <c r="FYX434" s="56"/>
      <c r="FYY434" s="56"/>
      <c r="FYZ434" s="56"/>
      <c r="FZA434" s="56"/>
      <c r="FZB434" s="56"/>
      <c r="FZC434" s="56"/>
      <c r="FZD434" s="56"/>
      <c r="FZE434" s="56"/>
      <c r="FZF434" s="56"/>
      <c r="FZG434" s="56"/>
      <c r="FZH434" s="56"/>
      <c r="FZI434" s="56"/>
      <c r="FZJ434" s="56"/>
      <c r="FZK434" s="56"/>
      <c r="FZL434" s="56"/>
      <c r="FZM434" s="56"/>
      <c r="FZN434" s="56"/>
      <c r="FZO434" s="56"/>
      <c r="FZP434" s="56"/>
      <c r="FZQ434" s="56"/>
      <c r="FZR434" s="56"/>
      <c r="FZS434" s="56"/>
      <c r="FZT434" s="56"/>
      <c r="FZU434" s="56"/>
      <c r="FZV434" s="56"/>
      <c r="FZW434" s="56"/>
      <c r="FZX434" s="56"/>
      <c r="FZY434" s="56"/>
      <c r="FZZ434" s="56"/>
      <c r="GAA434" s="56"/>
      <c r="GAB434" s="56"/>
      <c r="GAC434" s="56"/>
      <c r="GAD434" s="56"/>
      <c r="GAE434" s="56"/>
      <c r="GAF434" s="56"/>
      <c r="GAG434" s="56"/>
      <c r="GAH434" s="56"/>
      <c r="GAI434" s="56"/>
      <c r="GAJ434" s="56"/>
      <c r="GAK434" s="56"/>
      <c r="GAL434" s="56"/>
      <c r="GAM434" s="56"/>
      <c r="GAN434" s="56"/>
      <c r="GAO434" s="56"/>
      <c r="GAP434" s="56"/>
      <c r="GAQ434" s="56"/>
      <c r="GAR434" s="56"/>
      <c r="GAS434" s="56"/>
      <c r="GAT434" s="56"/>
      <c r="GAU434" s="56"/>
      <c r="GAV434" s="56"/>
      <c r="GAW434" s="56"/>
      <c r="GAX434" s="56"/>
      <c r="GAY434" s="56"/>
      <c r="GAZ434" s="56"/>
      <c r="GBA434" s="56"/>
      <c r="GBB434" s="56"/>
      <c r="GBC434" s="56"/>
      <c r="GBD434" s="56"/>
      <c r="GBE434" s="56"/>
      <c r="GBF434" s="56"/>
      <c r="GBG434" s="56"/>
      <c r="GBH434" s="56"/>
      <c r="GBI434" s="56"/>
      <c r="GBJ434" s="56"/>
      <c r="GBK434" s="56"/>
      <c r="GBL434" s="56"/>
      <c r="GBM434" s="56"/>
      <c r="GBN434" s="56"/>
      <c r="GBO434" s="56"/>
      <c r="GBP434" s="56"/>
      <c r="GBQ434" s="56"/>
      <c r="GBR434" s="56"/>
      <c r="GBS434" s="56"/>
      <c r="GBT434" s="56"/>
      <c r="GBU434" s="56"/>
      <c r="GBV434" s="56"/>
      <c r="GBW434" s="56"/>
      <c r="GBX434" s="56"/>
      <c r="GBY434" s="56"/>
      <c r="GBZ434" s="56"/>
      <c r="GCA434" s="56"/>
      <c r="GCB434" s="56"/>
      <c r="GCC434" s="56"/>
      <c r="GCD434" s="56"/>
      <c r="GCE434" s="56"/>
      <c r="GCF434" s="56"/>
      <c r="GCG434" s="56"/>
      <c r="GCH434" s="56"/>
      <c r="GCI434" s="56"/>
      <c r="GCJ434" s="56"/>
      <c r="GCK434" s="56"/>
      <c r="GCL434" s="56"/>
      <c r="GCM434" s="56"/>
      <c r="GCN434" s="56"/>
      <c r="GCO434" s="56"/>
      <c r="GCP434" s="56"/>
      <c r="GCQ434" s="56"/>
      <c r="GCR434" s="56"/>
      <c r="GCS434" s="56"/>
      <c r="GCT434" s="56"/>
      <c r="GCU434" s="56"/>
      <c r="GCV434" s="56"/>
      <c r="GCW434" s="56"/>
      <c r="GCX434" s="56"/>
      <c r="GCY434" s="56"/>
      <c r="GCZ434" s="56"/>
      <c r="GDA434" s="56"/>
      <c r="GDB434" s="56"/>
      <c r="GDC434" s="56"/>
      <c r="GDD434" s="56"/>
      <c r="GDE434" s="56"/>
      <c r="GDF434" s="56"/>
      <c r="GDG434" s="56"/>
      <c r="GDH434" s="56"/>
      <c r="GDI434" s="56"/>
      <c r="GDJ434" s="56"/>
      <c r="GDK434" s="56"/>
      <c r="GDL434" s="56"/>
      <c r="GDM434" s="56"/>
      <c r="GDN434" s="56"/>
      <c r="GDO434" s="56"/>
      <c r="GDP434" s="56"/>
      <c r="GDQ434" s="56"/>
      <c r="GDR434" s="56"/>
      <c r="GDS434" s="56"/>
      <c r="GDT434" s="56"/>
      <c r="GDU434" s="56"/>
      <c r="GDV434" s="56"/>
      <c r="GDW434" s="56"/>
      <c r="GDX434" s="56"/>
      <c r="GDY434" s="56"/>
      <c r="GDZ434" s="56"/>
      <c r="GEA434" s="56"/>
      <c r="GEB434" s="56"/>
      <c r="GEC434" s="56"/>
      <c r="GED434" s="56"/>
      <c r="GEE434" s="56"/>
      <c r="GEF434" s="56"/>
      <c r="GEG434" s="56"/>
      <c r="GEH434" s="56"/>
      <c r="GEI434" s="56"/>
      <c r="GEJ434" s="56"/>
      <c r="GEK434" s="56"/>
      <c r="GEL434" s="56"/>
      <c r="GEM434" s="56"/>
      <c r="GEN434" s="56"/>
      <c r="GEO434" s="56"/>
      <c r="GEP434" s="56"/>
      <c r="GEQ434" s="56"/>
      <c r="GER434" s="56"/>
      <c r="GES434" s="56"/>
      <c r="GET434" s="56"/>
      <c r="GEU434" s="56"/>
      <c r="GEV434" s="56"/>
      <c r="GEW434" s="56"/>
      <c r="GEX434" s="56"/>
      <c r="GEY434" s="56"/>
      <c r="GEZ434" s="56"/>
      <c r="GFA434" s="56"/>
      <c r="GFB434" s="56"/>
      <c r="GFC434" s="56"/>
      <c r="GFD434" s="56"/>
      <c r="GFE434" s="56"/>
      <c r="GFF434" s="56"/>
      <c r="GFG434" s="56"/>
      <c r="GFH434" s="56"/>
      <c r="GFI434" s="56"/>
      <c r="GFJ434" s="56"/>
      <c r="GFK434" s="56"/>
      <c r="GFL434" s="56"/>
      <c r="GFM434" s="56"/>
      <c r="GFN434" s="56"/>
      <c r="GFO434" s="56"/>
      <c r="GFP434" s="56"/>
      <c r="GFQ434" s="56"/>
      <c r="GFR434" s="56"/>
      <c r="GFS434" s="56"/>
      <c r="GFT434" s="56"/>
      <c r="GFU434" s="56"/>
      <c r="GFV434" s="56"/>
      <c r="GFW434" s="56"/>
      <c r="GFX434" s="56"/>
      <c r="GFY434" s="56"/>
      <c r="GFZ434" s="56"/>
      <c r="GGA434" s="56"/>
      <c r="GGB434" s="56"/>
      <c r="GGC434" s="56"/>
      <c r="GGD434" s="56"/>
      <c r="GGE434" s="56"/>
      <c r="GGF434" s="56"/>
      <c r="GGG434" s="56"/>
      <c r="GGH434" s="56"/>
      <c r="GGI434" s="56"/>
      <c r="GGJ434" s="56"/>
      <c r="GGK434" s="56"/>
      <c r="GGL434" s="56"/>
      <c r="GGM434" s="56"/>
      <c r="GGN434" s="56"/>
      <c r="GGO434" s="56"/>
      <c r="GGP434" s="56"/>
      <c r="GGQ434" s="56"/>
      <c r="GGR434" s="56"/>
      <c r="GGS434" s="56"/>
      <c r="GGT434" s="56"/>
      <c r="GGU434" s="56"/>
      <c r="GGV434" s="56"/>
      <c r="GGW434" s="56"/>
      <c r="GGX434" s="56"/>
      <c r="GGY434" s="56"/>
      <c r="GGZ434" s="56"/>
      <c r="GHA434" s="56"/>
      <c r="GHB434" s="56"/>
      <c r="GHC434" s="56"/>
      <c r="GHD434" s="56"/>
      <c r="GHE434" s="56"/>
      <c r="GHF434" s="56"/>
      <c r="GHG434" s="56"/>
      <c r="GHH434" s="56"/>
      <c r="GHI434" s="56"/>
      <c r="GHJ434" s="56"/>
      <c r="GHK434" s="56"/>
      <c r="GHL434" s="56"/>
      <c r="GHM434" s="56"/>
      <c r="GHN434" s="56"/>
      <c r="GHO434" s="56"/>
      <c r="GHP434" s="56"/>
      <c r="GHQ434" s="56"/>
      <c r="GHR434" s="56"/>
      <c r="GHS434" s="56"/>
      <c r="GHT434" s="56"/>
      <c r="GHU434" s="56"/>
      <c r="GHV434" s="56"/>
      <c r="GHW434" s="56"/>
      <c r="GHX434" s="56"/>
      <c r="GHY434" s="56"/>
      <c r="GHZ434" s="56"/>
      <c r="GIA434" s="56"/>
      <c r="GIB434" s="56"/>
      <c r="GIC434" s="56"/>
      <c r="GID434" s="56"/>
      <c r="GIE434" s="56"/>
      <c r="GIF434" s="56"/>
      <c r="GIG434" s="56"/>
      <c r="GIH434" s="56"/>
      <c r="GII434" s="56"/>
      <c r="GIJ434" s="56"/>
      <c r="GIK434" s="56"/>
      <c r="GIL434" s="56"/>
      <c r="GIM434" s="56"/>
      <c r="GIN434" s="56"/>
      <c r="GIO434" s="56"/>
      <c r="GIP434" s="56"/>
      <c r="GIQ434" s="56"/>
      <c r="GIR434" s="56"/>
      <c r="GIS434" s="56"/>
      <c r="GIT434" s="56"/>
      <c r="GIU434" s="56"/>
      <c r="GIV434" s="56"/>
      <c r="GIW434" s="56"/>
      <c r="GIX434" s="56"/>
      <c r="GIY434" s="56"/>
      <c r="GIZ434" s="56"/>
      <c r="GJA434" s="56"/>
      <c r="GJB434" s="56"/>
      <c r="GJC434" s="56"/>
      <c r="GJD434" s="56"/>
      <c r="GJE434" s="56"/>
      <c r="GJF434" s="56"/>
      <c r="GJG434" s="56"/>
      <c r="GJH434" s="56"/>
      <c r="GJI434" s="56"/>
      <c r="GJJ434" s="56"/>
      <c r="GJK434" s="56"/>
      <c r="GJL434" s="56"/>
      <c r="GJM434" s="56"/>
      <c r="GJN434" s="56"/>
      <c r="GJO434" s="56"/>
      <c r="GJP434" s="56"/>
      <c r="GJQ434" s="56"/>
      <c r="GJR434" s="56"/>
      <c r="GJS434" s="56"/>
      <c r="GJT434" s="56"/>
      <c r="GJU434" s="56"/>
      <c r="GJV434" s="56"/>
      <c r="GJW434" s="56"/>
      <c r="GJX434" s="56"/>
      <c r="GJY434" s="56"/>
      <c r="GJZ434" s="56"/>
      <c r="GKA434" s="56"/>
      <c r="GKB434" s="56"/>
      <c r="GKC434" s="56"/>
      <c r="GKD434" s="56"/>
      <c r="GKE434" s="56"/>
      <c r="GKF434" s="56"/>
      <c r="GKG434" s="56"/>
      <c r="GKH434" s="56"/>
      <c r="GKI434" s="56"/>
      <c r="GKJ434" s="56"/>
      <c r="GKK434" s="56"/>
      <c r="GKL434" s="56"/>
      <c r="GKM434" s="56"/>
      <c r="GKN434" s="56"/>
      <c r="GKO434" s="56"/>
      <c r="GKP434" s="56"/>
      <c r="GKQ434" s="56"/>
      <c r="GKR434" s="56"/>
      <c r="GKS434" s="56"/>
      <c r="GKT434" s="56"/>
      <c r="GKU434" s="56"/>
      <c r="GKV434" s="56"/>
      <c r="GKW434" s="56"/>
      <c r="GKX434" s="56"/>
      <c r="GKY434" s="56"/>
      <c r="GKZ434" s="56"/>
      <c r="GLA434" s="56"/>
      <c r="GLB434" s="56"/>
      <c r="GLC434" s="56"/>
      <c r="GLD434" s="56"/>
      <c r="GLE434" s="56"/>
      <c r="GLF434" s="56"/>
      <c r="GLG434" s="56"/>
      <c r="GLH434" s="56"/>
      <c r="GLI434" s="56"/>
      <c r="GLJ434" s="56"/>
      <c r="GLK434" s="56"/>
      <c r="GLL434" s="56"/>
      <c r="GLM434" s="56"/>
      <c r="GLN434" s="56"/>
      <c r="GLO434" s="56"/>
      <c r="GLP434" s="56"/>
      <c r="GLQ434" s="56"/>
      <c r="GLR434" s="56"/>
      <c r="GLS434" s="56"/>
      <c r="GLT434" s="56"/>
      <c r="GLU434" s="56"/>
      <c r="GLV434" s="56"/>
      <c r="GLW434" s="56"/>
      <c r="GLX434" s="56"/>
      <c r="GLY434" s="56"/>
      <c r="GLZ434" s="56"/>
      <c r="GMA434" s="56"/>
      <c r="GMB434" s="56"/>
      <c r="GMC434" s="56"/>
      <c r="GMD434" s="56"/>
      <c r="GME434" s="56"/>
      <c r="GMF434" s="56"/>
      <c r="GMG434" s="56"/>
      <c r="GMH434" s="56"/>
      <c r="GMI434" s="56"/>
      <c r="GMJ434" s="56"/>
      <c r="GMK434" s="56"/>
      <c r="GML434" s="56"/>
      <c r="GMM434" s="56"/>
      <c r="GMN434" s="56"/>
      <c r="GMO434" s="56"/>
      <c r="GMP434" s="56"/>
      <c r="GMQ434" s="56"/>
      <c r="GMR434" s="56"/>
      <c r="GMS434" s="56"/>
      <c r="GMT434" s="56"/>
      <c r="GMU434" s="56"/>
      <c r="GMV434" s="56"/>
      <c r="GMW434" s="56"/>
      <c r="GMX434" s="56"/>
      <c r="GMY434" s="56"/>
      <c r="GMZ434" s="56"/>
      <c r="GNA434" s="56"/>
      <c r="GNB434" s="56"/>
      <c r="GNC434" s="56"/>
      <c r="GND434" s="56"/>
      <c r="GNE434" s="56"/>
      <c r="GNF434" s="56"/>
      <c r="GNG434" s="56"/>
      <c r="GNH434" s="56"/>
      <c r="GNI434" s="56"/>
      <c r="GNJ434" s="56"/>
      <c r="GNK434" s="56"/>
      <c r="GNL434" s="56"/>
      <c r="GNM434" s="56"/>
      <c r="GNN434" s="56"/>
      <c r="GNO434" s="56"/>
      <c r="GNP434" s="56"/>
      <c r="GNQ434" s="56"/>
      <c r="GNR434" s="56"/>
      <c r="GNS434" s="56"/>
      <c r="GNT434" s="56"/>
      <c r="GNU434" s="56"/>
      <c r="GNV434" s="56"/>
      <c r="GNW434" s="56"/>
      <c r="GNX434" s="56"/>
      <c r="GNY434" s="56"/>
      <c r="GNZ434" s="56"/>
      <c r="GOA434" s="56"/>
      <c r="GOB434" s="56"/>
      <c r="GOC434" s="56"/>
      <c r="GOD434" s="56"/>
      <c r="GOE434" s="56"/>
      <c r="GOF434" s="56"/>
      <c r="GOG434" s="56"/>
      <c r="GOH434" s="56"/>
      <c r="GOI434" s="56"/>
      <c r="GOJ434" s="56"/>
      <c r="GOK434" s="56"/>
      <c r="GOL434" s="56"/>
      <c r="GOM434" s="56"/>
      <c r="GON434" s="56"/>
      <c r="GOO434" s="56"/>
      <c r="GOP434" s="56"/>
      <c r="GOQ434" s="56"/>
      <c r="GOR434" s="56"/>
      <c r="GOS434" s="56"/>
      <c r="GOT434" s="56"/>
      <c r="GOU434" s="56"/>
      <c r="GOV434" s="56"/>
      <c r="GOW434" s="56"/>
      <c r="GOX434" s="56"/>
      <c r="GOY434" s="56"/>
      <c r="GOZ434" s="56"/>
      <c r="GPA434" s="56"/>
      <c r="GPB434" s="56"/>
      <c r="GPC434" s="56"/>
      <c r="GPD434" s="56"/>
      <c r="GPE434" s="56"/>
      <c r="GPF434" s="56"/>
      <c r="GPG434" s="56"/>
      <c r="GPH434" s="56"/>
      <c r="GPI434" s="56"/>
      <c r="GPJ434" s="56"/>
      <c r="GPK434" s="56"/>
      <c r="GPL434" s="56"/>
      <c r="GPM434" s="56"/>
      <c r="GPN434" s="56"/>
      <c r="GPO434" s="56"/>
      <c r="GPP434" s="56"/>
      <c r="GPQ434" s="56"/>
      <c r="GPR434" s="56"/>
      <c r="GPS434" s="56"/>
      <c r="GPT434" s="56"/>
      <c r="GPU434" s="56"/>
      <c r="GPV434" s="56"/>
      <c r="GPW434" s="56"/>
      <c r="GPX434" s="56"/>
      <c r="GPY434" s="56"/>
      <c r="GPZ434" s="56"/>
      <c r="GQA434" s="56"/>
      <c r="GQB434" s="56"/>
      <c r="GQC434" s="56"/>
      <c r="GQD434" s="56"/>
      <c r="GQE434" s="56"/>
      <c r="GQF434" s="56"/>
      <c r="GQG434" s="56"/>
      <c r="GQH434" s="56"/>
      <c r="GQI434" s="56"/>
      <c r="GQJ434" s="56"/>
      <c r="GQK434" s="56"/>
      <c r="GQL434" s="56"/>
      <c r="GQM434" s="56"/>
      <c r="GQN434" s="56"/>
      <c r="GQO434" s="56"/>
      <c r="GQP434" s="56"/>
      <c r="GQQ434" s="56"/>
      <c r="GQR434" s="56"/>
      <c r="GQS434" s="56"/>
      <c r="GQT434" s="56"/>
      <c r="GQU434" s="56"/>
      <c r="GQV434" s="56"/>
      <c r="GQW434" s="56"/>
      <c r="GQX434" s="56"/>
      <c r="GQY434" s="56"/>
      <c r="GQZ434" s="56"/>
      <c r="GRA434" s="56"/>
      <c r="GRB434" s="56"/>
      <c r="GRC434" s="56"/>
      <c r="GRD434" s="56"/>
      <c r="GRE434" s="56"/>
      <c r="GRF434" s="56"/>
      <c r="GRG434" s="56"/>
      <c r="GRH434" s="56"/>
      <c r="GRI434" s="56"/>
      <c r="GRJ434" s="56"/>
      <c r="GRK434" s="56"/>
      <c r="GRL434" s="56"/>
      <c r="GRM434" s="56"/>
      <c r="GRN434" s="56"/>
      <c r="GRO434" s="56"/>
      <c r="GRP434" s="56"/>
      <c r="GRQ434" s="56"/>
      <c r="GRR434" s="56"/>
      <c r="GRS434" s="56"/>
      <c r="GRT434" s="56"/>
      <c r="GRU434" s="56"/>
      <c r="GRV434" s="56"/>
      <c r="GRW434" s="56"/>
      <c r="GRX434" s="56"/>
      <c r="GRY434" s="56"/>
      <c r="GRZ434" s="56"/>
      <c r="GSA434" s="56"/>
      <c r="GSB434" s="56"/>
      <c r="GSC434" s="56"/>
      <c r="GSD434" s="56"/>
      <c r="GSE434" s="56"/>
      <c r="GSF434" s="56"/>
      <c r="GSG434" s="56"/>
      <c r="GSH434" s="56"/>
      <c r="GSI434" s="56"/>
      <c r="GSJ434" s="56"/>
      <c r="GSK434" s="56"/>
      <c r="GSL434" s="56"/>
      <c r="GSM434" s="56"/>
      <c r="GSN434" s="56"/>
      <c r="GSO434" s="56"/>
      <c r="GSP434" s="56"/>
      <c r="GSQ434" s="56"/>
      <c r="GSR434" s="56"/>
      <c r="GSS434" s="56"/>
      <c r="GST434" s="56"/>
      <c r="GSU434" s="56"/>
      <c r="GSV434" s="56"/>
      <c r="GSW434" s="56"/>
      <c r="GSX434" s="56"/>
      <c r="GSY434" s="56"/>
      <c r="GSZ434" s="56"/>
      <c r="GTA434" s="56"/>
      <c r="GTB434" s="56"/>
      <c r="GTC434" s="56"/>
      <c r="GTD434" s="56"/>
      <c r="GTE434" s="56"/>
      <c r="GTF434" s="56"/>
      <c r="GTG434" s="56"/>
      <c r="GTH434" s="56"/>
      <c r="GTI434" s="56"/>
      <c r="GTJ434" s="56"/>
      <c r="GTK434" s="56"/>
      <c r="GTL434" s="56"/>
      <c r="GTM434" s="56"/>
      <c r="GTN434" s="56"/>
      <c r="GTO434" s="56"/>
      <c r="GTP434" s="56"/>
      <c r="GTQ434" s="56"/>
      <c r="GTR434" s="56"/>
      <c r="GTS434" s="56"/>
      <c r="GTT434" s="56"/>
      <c r="GTU434" s="56"/>
      <c r="GTV434" s="56"/>
      <c r="GTW434" s="56"/>
      <c r="GTX434" s="56"/>
      <c r="GTY434" s="56"/>
      <c r="GTZ434" s="56"/>
      <c r="GUA434" s="56"/>
      <c r="GUB434" s="56"/>
      <c r="GUC434" s="56"/>
      <c r="GUD434" s="56"/>
      <c r="GUE434" s="56"/>
      <c r="GUF434" s="56"/>
      <c r="GUG434" s="56"/>
      <c r="GUH434" s="56"/>
      <c r="GUI434" s="56"/>
      <c r="GUJ434" s="56"/>
      <c r="GUK434" s="56"/>
      <c r="GUL434" s="56"/>
      <c r="GUM434" s="56"/>
      <c r="GUN434" s="56"/>
      <c r="GUO434" s="56"/>
      <c r="GUP434" s="56"/>
      <c r="GUQ434" s="56"/>
      <c r="GUR434" s="56"/>
      <c r="GUS434" s="56"/>
      <c r="GUT434" s="56"/>
      <c r="GUU434" s="56"/>
      <c r="GUV434" s="56"/>
      <c r="GUW434" s="56"/>
      <c r="GUX434" s="56"/>
      <c r="GUY434" s="56"/>
      <c r="GUZ434" s="56"/>
      <c r="GVA434" s="56"/>
      <c r="GVB434" s="56"/>
      <c r="GVC434" s="56"/>
      <c r="GVD434" s="56"/>
      <c r="GVE434" s="56"/>
      <c r="GVF434" s="56"/>
      <c r="GVG434" s="56"/>
      <c r="GVH434" s="56"/>
      <c r="GVI434" s="56"/>
      <c r="GVJ434" s="56"/>
      <c r="GVK434" s="56"/>
      <c r="GVL434" s="56"/>
      <c r="GVM434" s="56"/>
      <c r="GVN434" s="56"/>
      <c r="GVO434" s="56"/>
      <c r="GVP434" s="56"/>
      <c r="GVQ434" s="56"/>
      <c r="GVR434" s="56"/>
      <c r="GVS434" s="56"/>
      <c r="GVT434" s="56"/>
      <c r="GVU434" s="56"/>
      <c r="GVV434" s="56"/>
      <c r="GVW434" s="56"/>
      <c r="GVX434" s="56"/>
      <c r="GVY434" s="56"/>
      <c r="GVZ434" s="56"/>
      <c r="GWA434" s="56"/>
      <c r="GWB434" s="56"/>
      <c r="GWC434" s="56"/>
      <c r="GWD434" s="56"/>
      <c r="GWE434" s="56"/>
      <c r="GWF434" s="56"/>
      <c r="GWG434" s="56"/>
      <c r="GWH434" s="56"/>
      <c r="GWI434" s="56"/>
      <c r="GWJ434" s="56"/>
      <c r="GWK434" s="56"/>
      <c r="GWL434" s="56"/>
      <c r="GWM434" s="56"/>
      <c r="GWN434" s="56"/>
      <c r="GWO434" s="56"/>
      <c r="GWP434" s="56"/>
      <c r="GWQ434" s="56"/>
      <c r="GWR434" s="56"/>
      <c r="GWS434" s="56"/>
      <c r="GWT434" s="56"/>
      <c r="GWU434" s="56"/>
      <c r="GWV434" s="56"/>
      <c r="GWW434" s="56"/>
      <c r="GWX434" s="56"/>
      <c r="GWY434" s="56"/>
      <c r="GWZ434" s="56"/>
      <c r="GXA434" s="56"/>
      <c r="GXB434" s="56"/>
      <c r="GXC434" s="56"/>
      <c r="GXD434" s="56"/>
      <c r="GXE434" s="56"/>
      <c r="GXF434" s="56"/>
      <c r="GXG434" s="56"/>
      <c r="GXH434" s="56"/>
      <c r="GXI434" s="56"/>
      <c r="GXJ434" s="56"/>
      <c r="GXK434" s="56"/>
      <c r="GXL434" s="56"/>
      <c r="GXM434" s="56"/>
      <c r="GXN434" s="56"/>
      <c r="GXO434" s="56"/>
      <c r="GXP434" s="56"/>
      <c r="GXQ434" s="56"/>
      <c r="GXR434" s="56"/>
      <c r="GXS434" s="56"/>
      <c r="GXT434" s="56"/>
      <c r="GXU434" s="56"/>
      <c r="GXV434" s="56"/>
      <c r="GXW434" s="56"/>
      <c r="GXX434" s="56"/>
      <c r="GXY434" s="56"/>
      <c r="GXZ434" s="56"/>
      <c r="GYA434" s="56"/>
      <c r="GYB434" s="56"/>
      <c r="GYC434" s="56"/>
      <c r="GYD434" s="56"/>
      <c r="GYE434" s="56"/>
      <c r="GYF434" s="56"/>
      <c r="GYG434" s="56"/>
      <c r="GYH434" s="56"/>
      <c r="GYI434" s="56"/>
      <c r="GYJ434" s="56"/>
      <c r="GYK434" s="56"/>
      <c r="GYL434" s="56"/>
      <c r="GYM434" s="56"/>
      <c r="GYN434" s="56"/>
      <c r="GYO434" s="56"/>
      <c r="GYP434" s="56"/>
      <c r="GYQ434" s="56"/>
      <c r="GYR434" s="56"/>
      <c r="GYS434" s="56"/>
      <c r="GYT434" s="56"/>
      <c r="GYU434" s="56"/>
      <c r="GYV434" s="56"/>
      <c r="GYW434" s="56"/>
      <c r="GYX434" s="56"/>
      <c r="GYY434" s="56"/>
      <c r="GYZ434" s="56"/>
      <c r="GZA434" s="56"/>
      <c r="GZB434" s="56"/>
      <c r="GZC434" s="56"/>
      <c r="GZD434" s="56"/>
      <c r="GZE434" s="56"/>
      <c r="GZF434" s="56"/>
      <c r="GZG434" s="56"/>
      <c r="GZH434" s="56"/>
      <c r="GZI434" s="56"/>
      <c r="GZJ434" s="56"/>
      <c r="GZK434" s="56"/>
      <c r="GZL434" s="56"/>
      <c r="GZM434" s="56"/>
      <c r="GZN434" s="56"/>
      <c r="GZO434" s="56"/>
      <c r="GZP434" s="56"/>
      <c r="GZQ434" s="56"/>
      <c r="GZR434" s="56"/>
      <c r="GZS434" s="56"/>
      <c r="GZT434" s="56"/>
      <c r="GZU434" s="56"/>
      <c r="GZV434" s="56"/>
      <c r="GZW434" s="56"/>
      <c r="GZX434" s="56"/>
      <c r="GZY434" s="56"/>
      <c r="GZZ434" s="56"/>
      <c r="HAA434" s="56"/>
      <c r="HAB434" s="56"/>
      <c r="HAC434" s="56"/>
      <c r="HAD434" s="56"/>
      <c r="HAE434" s="56"/>
      <c r="HAF434" s="56"/>
      <c r="HAG434" s="56"/>
      <c r="HAH434" s="56"/>
      <c r="HAI434" s="56"/>
      <c r="HAJ434" s="56"/>
      <c r="HAK434" s="56"/>
      <c r="HAL434" s="56"/>
      <c r="HAM434" s="56"/>
      <c r="HAN434" s="56"/>
      <c r="HAO434" s="56"/>
      <c r="HAP434" s="56"/>
      <c r="HAQ434" s="56"/>
      <c r="HAR434" s="56"/>
      <c r="HAS434" s="56"/>
      <c r="HAT434" s="56"/>
      <c r="HAU434" s="56"/>
      <c r="HAV434" s="56"/>
      <c r="HAW434" s="56"/>
      <c r="HAX434" s="56"/>
      <c r="HAY434" s="56"/>
      <c r="HAZ434" s="56"/>
      <c r="HBA434" s="56"/>
      <c r="HBB434" s="56"/>
      <c r="HBC434" s="56"/>
      <c r="HBD434" s="56"/>
      <c r="HBE434" s="56"/>
      <c r="HBF434" s="56"/>
      <c r="HBG434" s="56"/>
      <c r="HBH434" s="56"/>
      <c r="HBI434" s="56"/>
      <c r="HBJ434" s="56"/>
      <c r="HBK434" s="56"/>
      <c r="HBL434" s="56"/>
      <c r="HBM434" s="56"/>
      <c r="HBN434" s="56"/>
      <c r="HBO434" s="56"/>
      <c r="HBP434" s="56"/>
      <c r="HBQ434" s="56"/>
      <c r="HBR434" s="56"/>
      <c r="HBS434" s="56"/>
      <c r="HBT434" s="56"/>
      <c r="HBU434" s="56"/>
      <c r="HBV434" s="56"/>
      <c r="HBW434" s="56"/>
      <c r="HBX434" s="56"/>
      <c r="HBY434" s="56"/>
      <c r="HBZ434" s="56"/>
      <c r="HCA434" s="56"/>
      <c r="HCB434" s="56"/>
      <c r="HCC434" s="56"/>
      <c r="HCD434" s="56"/>
      <c r="HCE434" s="56"/>
      <c r="HCF434" s="56"/>
      <c r="HCG434" s="56"/>
      <c r="HCH434" s="56"/>
      <c r="HCI434" s="56"/>
      <c r="HCJ434" s="56"/>
      <c r="HCK434" s="56"/>
      <c r="HCL434" s="56"/>
      <c r="HCM434" s="56"/>
      <c r="HCN434" s="56"/>
      <c r="HCO434" s="56"/>
      <c r="HCP434" s="56"/>
      <c r="HCQ434" s="56"/>
      <c r="HCR434" s="56"/>
      <c r="HCS434" s="56"/>
      <c r="HCT434" s="56"/>
      <c r="HCU434" s="56"/>
      <c r="HCV434" s="56"/>
      <c r="HCW434" s="56"/>
      <c r="HCX434" s="56"/>
      <c r="HCY434" s="56"/>
      <c r="HCZ434" s="56"/>
      <c r="HDA434" s="56"/>
      <c r="HDB434" s="56"/>
      <c r="HDC434" s="56"/>
      <c r="HDD434" s="56"/>
      <c r="HDE434" s="56"/>
      <c r="HDF434" s="56"/>
      <c r="HDG434" s="56"/>
      <c r="HDH434" s="56"/>
      <c r="HDI434" s="56"/>
      <c r="HDJ434" s="56"/>
      <c r="HDK434" s="56"/>
      <c r="HDL434" s="56"/>
      <c r="HDM434" s="56"/>
      <c r="HDN434" s="56"/>
      <c r="HDO434" s="56"/>
      <c r="HDP434" s="56"/>
      <c r="HDQ434" s="56"/>
      <c r="HDR434" s="56"/>
      <c r="HDS434" s="56"/>
      <c r="HDT434" s="56"/>
      <c r="HDU434" s="56"/>
      <c r="HDV434" s="56"/>
      <c r="HDW434" s="56"/>
      <c r="HDX434" s="56"/>
      <c r="HDY434" s="56"/>
      <c r="HDZ434" s="56"/>
      <c r="HEA434" s="56"/>
      <c r="HEB434" s="56"/>
      <c r="HEC434" s="56"/>
      <c r="HED434" s="56"/>
      <c r="HEE434" s="56"/>
      <c r="HEF434" s="56"/>
      <c r="HEG434" s="56"/>
      <c r="HEH434" s="56"/>
      <c r="HEI434" s="56"/>
      <c r="HEJ434" s="56"/>
      <c r="HEK434" s="56"/>
      <c r="HEL434" s="56"/>
      <c r="HEM434" s="56"/>
      <c r="HEN434" s="56"/>
      <c r="HEO434" s="56"/>
      <c r="HEP434" s="56"/>
      <c r="HEQ434" s="56"/>
      <c r="HER434" s="56"/>
      <c r="HES434" s="56"/>
      <c r="HET434" s="56"/>
      <c r="HEU434" s="56"/>
      <c r="HEV434" s="56"/>
      <c r="HEW434" s="56"/>
      <c r="HEX434" s="56"/>
      <c r="HEY434" s="56"/>
      <c r="HEZ434" s="56"/>
      <c r="HFA434" s="56"/>
      <c r="HFB434" s="56"/>
      <c r="HFC434" s="56"/>
      <c r="HFD434" s="56"/>
      <c r="HFE434" s="56"/>
      <c r="HFF434" s="56"/>
      <c r="HFG434" s="56"/>
      <c r="HFH434" s="56"/>
      <c r="HFI434" s="56"/>
      <c r="HFJ434" s="56"/>
      <c r="HFK434" s="56"/>
      <c r="HFL434" s="56"/>
      <c r="HFM434" s="56"/>
      <c r="HFN434" s="56"/>
      <c r="HFO434" s="56"/>
      <c r="HFP434" s="56"/>
      <c r="HFQ434" s="56"/>
      <c r="HFR434" s="56"/>
      <c r="HFS434" s="56"/>
      <c r="HFT434" s="56"/>
      <c r="HFU434" s="56"/>
      <c r="HFV434" s="56"/>
      <c r="HFW434" s="56"/>
      <c r="HFX434" s="56"/>
      <c r="HFY434" s="56"/>
      <c r="HFZ434" s="56"/>
      <c r="HGA434" s="56"/>
      <c r="HGB434" s="56"/>
      <c r="HGC434" s="56"/>
      <c r="HGD434" s="56"/>
      <c r="HGE434" s="56"/>
      <c r="HGF434" s="56"/>
      <c r="HGG434" s="56"/>
      <c r="HGH434" s="56"/>
      <c r="HGI434" s="56"/>
      <c r="HGJ434" s="56"/>
      <c r="HGK434" s="56"/>
      <c r="HGL434" s="56"/>
      <c r="HGM434" s="56"/>
      <c r="HGN434" s="56"/>
      <c r="HGO434" s="56"/>
      <c r="HGP434" s="56"/>
      <c r="HGQ434" s="56"/>
      <c r="HGR434" s="56"/>
      <c r="HGS434" s="56"/>
      <c r="HGT434" s="56"/>
      <c r="HGU434" s="56"/>
      <c r="HGV434" s="56"/>
      <c r="HGW434" s="56"/>
      <c r="HGX434" s="56"/>
      <c r="HGY434" s="56"/>
      <c r="HGZ434" s="56"/>
      <c r="HHA434" s="56"/>
      <c r="HHB434" s="56"/>
      <c r="HHC434" s="56"/>
      <c r="HHD434" s="56"/>
      <c r="HHE434" s="56"/>
      <c r="HHF434" s="56"/>
      <c r="HHG434" s="56"/>
      <c r="HHH434" s="56"/>
      <c r="HHI434" s="56"/>
      <c r="HHJ434" s="56"/>
      <c r="HHK434" s="56"/>
      <c r="HHL434" s="56"/>
      <c r="HHM434" s="56"/>
      <c r="HHN434" s="56"/>
      <c r="HHO434" s="56"/>
      <c r="HHP434" s="56"/>
      <c r="HHQ434" s="56"/>
      <c r="HHR434" s="56"/>
      <c r="HHS434" s="56"/>
      <c r="HHT434" s="56"/>
      <c r="HHU434" s="56"/>
      <c r="HHV434" s="56"/>
      <c r="HHW434" s="56"/>
      <c r="HHX434" s="56"/>
      <c r="HHY434" s="56"/>
      <c r="HHZ434" s="56"/>
      <c r="HIA434" s="56"/>
      <c r="HIB434" s="56"/>
      <c r="HIC434" s="56"/>
      <c r="HID434" s="56"/>
      <c r="HIE434" s="56"/>
      <c r="HIF434" s="56"/>
      <c r="HIG434" s="56"/>
      <c r="HIH434" s="56"/>
      <c r="HII434" s="56"/>
      <c r="HIJ434" s="56"/>
      <c r="HIK434" s="56"/>
      <c r="HIL434" s="56"/>
      <c r="HIM434" s="56"/>
      <c r="HIN434" s="56"/>
      <c r="HIO434" s="56"/>
      <c r="HIP434" s="56"/>
      <c r="HIQ434" s="56"/>
      <c r="HIR434" s="56"/>
      <c r="HIS434" s="56"/>
      <c r="HIT434" s="56"/>
      <c r="HIU434" s="56"/>
      <c r="HIV434" s="56"/>
      <c r="HIW434" s="56"/>
      <c r="HIX434" s="56"/>
      <c r="HIY434" s="56"/>
      <c r="HIZ434" s="56"/>
      <c r="HJA434" s="56"/>
      <c r="HJB434" s="56"/>
      <c r="HJC434" s="56"/>
      <c r="HJD434" s="56"/>
      <c r="HJE434" s="56"/>
      <c r="HJF434" s="56"/>
      <c r="HJG434" s="56"/>
      <c r="HJH434" s="56"/>
      <c r="HJI434" s="56"/>
      <c r="HJJ434" s="56"/>
      <c r="HJK434" s="56"/>
      <c r="HJL434" s="56"/>
      <c r="HJM434" s="56"/>
      <c r="HJN434" s="56"/>
      <c r="HJO434" s="56"/>
      <c r="HJP434" s="56"/>
      <c r="HJQ434" s="56"/>
      <c r="HJR434" s="56"/>
      <c r="HJS434" s="56"/>
      <c r="HJT434" s="56"/>
      <c r="HJU434" s="56"/>
      <c r="HJV434" s="56"/>
      <c r="HJW434" s="56"/>
      <c r="HJX434" s="56"/>
      <c r="HJY434" s="56"/>
      <c r="HJZ434" s="56"/>
      <c r="HKA434" s="56"/>
      <c r="HKB434" s="56"/>
      <c r="HKC434" s="56"/>
      <c r="HKD434" s="56"/>
      <c r="HKE434" s="56"/>
      <c r="HKF434" s="56"/>
      <c r="HKG434" s="56"/>
      <c r="HKH434" s="56"/>
      <c r="HKI434" s="56"/>
      <c r="HKJ434" s="56"/>
      <c r="HKK434" s="56"/>
      <c r="HKL434" s="56"/>
      <c r="HKM434" s="56"/>
      <c r="HKN434" s="56"/>
      <c r="HKO434" s="56"/>
      <c r="HKP434" s="56"/>
      <c r="HKQ434" s="56"/>
      <c r="HKR434" s="56"/>
      <c r="HKS434" s="56"/>
      <c r="HKT434" s="56"/>
      <c r="HKU434" s="56"/>
      <c r="HKV434" s="56"/>
      <c r="HKW434" s="56"/>
      <c r="HKX434" s="56"/>
      <c r="HKY434" s="56"/>
      <c r="HKZ434" s="56"/>
      <c r="HLA434" s="56"/>
      <c r="HLB434" s="56"/>
      <c r="HLC434" s="56"/>
      <c r="HLD434" s="56"/>
      <c r="HLE434" s="56"/>
      <c r="HLF434" s="56"/>
      <c r="HLG434" s="56"/>
      <c r="HLH434" s="56"/>
      <c r="HLI434" s="56"/>
      <c r="HLJ434" s="56"/>
      <c r="HLK434" s="56"/>
      <c r="HLL434" s="56"/>
      <c r="HLM434" s="56"/>
      <c r="HLN434" s="56"/>
      <c r="HLO434" s="56"/>
      <c r="HLP434" s="56"/>
      <c r="HLQ434" s="56"/>
      <c r="HLR434" s="56"/>
      <c r="HLS434" s="56"/>
      <c r="HLT434" s="56"/>
      <c r="HLU434" s="56"/>
      <c r="HLV434" s="56"/>
      <c r="HLW434" s="56"/>
      <c r="HLX434" s="56"/>
      <c r="HLY434" s="56"/>
      <c r="HLZ434" s="56"/>
      <c r="HMA434" s="56"/>
      <c r="HMB434" s="56"/>
      <c r="HMC434" s="56"/>
      <c r="HMD434" s="56"/>
      <c r="HME434" s="56"/>
      <c r="HMF434" s="56"/>
      <c r="HMG434" s="56"/>
      <c r="HMH434" s="56"/>
      <c r="HMI434" s="56"/>
      <c r="HMJ434" s="56"/>
      <c r="HMK434" s="56"/>
      <c r="HML434" s="56"/>
      <c r="HMM434" s="56"/>
      <c r="HMN434" s="56"/>
      <c r="HMO434" s="56"/>
      <c r="HMP434" s="56"/>
      <c r="HMQ434" s="56"/>
      <c r="HMR434" s="56"/>
      <c r="HMS434" s="56"/>
      <c r="HMT434" s="56"/>
      <c r="HMU434" s="56"/>
      <c r="HMV434" s="56"/>
      <c r="HMW434" s="56"/>
      <c r="HMX434" s="56"/>
      <c r="HMY434" s="56"/>
      <c r="HMZ434" s="56"/>
      <c r="HNA434" s="56"/>
      <c r="HNB434" s="56"/>
      <c r="HNC434" s="56"/>
      <c r="HND434" s="56"/>
      <c r="HNE434" s="56"/>
      <c r="HNF434" s="56"/>
      <c r="HNG434" s="56"/>
      <c r="HNH434" s="56"/>
      <c r="HNI434" s="56"/>
      <c r="HNJ434" s="56"/>
      <c r="HNK434" s="56"/>
      <c r="HNL434" s="56"/>
      <c r="HNM434" s="56"/>
      <c r="HNN434" s="56"/>
      <c r="HNO434" s="56"/>
      <c r="HNP434" s="56"/>
      <c r="HNQ434" s="56"/>
      <c r="HNR434" s="56"/>
      <c r="HNS434" s="56"/>
      <c r="HNT434" s="56"/>
      <c r="HNU434" s="56"/>
      <c r="HNV434" s="56"/>
      <c r="HNW434" s="56"/>
      <c r="HNX434" s="56"/>
      <c r="HNY434" s="56"/>
      <c r="HNZ434" s="56"/>
      <c r="HOA434" s="56"/>
      <c r="HOB434" s="56"/>
      <c r="HOC434" s="56"/>
      <c r="HOD434" s="56"/>
      <c r="HOE434" s="56"/>
      <c r="HOF434" s="56"/>
      <c r="HOG434" s="56"/>
      <c r="HOH434" s="56"/>
      <c r="HOI434" s="56"/>
      <c r="HOJ434" s="56"/>
      <c r="HOK434" s="56"/>
      <c r="HOL434" s="56"/>
      <c r="HOM434" s="56"/>
      <c r="HON434" s="56"/>
      <c r="HOO434" s="56"/>
      <c r="HOP434" s="56"/>
      <c r="HOQ434" s="56"/>
      <c r="HOR434" s="56"/>
      <c r="HOS434" s="56"/>
      <c r="HOT434" s="56"/>
      <c r="HOU434" s="56"/>
      <c r="HOV434" s="56"/>
      <c r="HOW434" s="56"/>
      <c r="HOX434" s="56"/>
      <c r="HOY434" s="56"/>
      <c r="HOZ434" s="56"/>
      <c r="HPA434" s="56"/>
      <c r="HPB434" s="56"/>
      <c r="HPC434" s="56"/>
      <c r="HPD434" s="56"/>
      <c r="HPE434" s="56"/>
      <c r="HPF434" s="56"/>
      <c r="HPG434" s="56"/>
      <c r="HPH434" s="56"/>
      <c r="HPI434" s="56"/>
      <c r="HPJ434" s="56"/>
      <c r="HPK434" s="56"/>
      <c r="HPL434" s="56"/>
      <c r="HPM434" s="56"/>
      <c r="HPN434" s="56"/>
      <c r="HPO434" s="56"/>
      <c r="HPP434" s="56"/>
      <c r="HPQ434" s="56"/>
      <c r="HPR434" s="56"/>
      <c r="HPS434" s="56"/>
      <c r="HPT434" s="56"/>
      <c r="HPU434" s="56"/>
      <c r="HPV434" s="56"/>
      <c r="HPW434" s="56"/>
      <c r="HPX434" s="56"/>
      <c r="HPY434" s="56"/>
      <c r="HPZ434" s="56"/>
      <c r="HQA434" s="56"/>
      <c r="HQB434" s="56"/>
      <c r="HQC434" s="56"/>
      <c r="HQD434" s="56"/>
      <c r="HQE434" s="56"/>
      <c r="HQF434" s="56"/>
      <c r="HQG434" s="56"/>
      <c r="HQH434" s="56"/>
      <c r="HQI434" s="56"/>
      <c r="HQJ434" s="56"/>
      <c r="HQK434" s="56"/>
      <c r="HQL434" s="56"/>
      <c r="HQM434" s="56"/>
      <c r="HQN434" s="56"/>
      <c r="HQO434" s="56"/>
      <c r="HQP434" s="56"/>
      <c r="HQQ434" s="56"/>
      <c r="HQR434" s="56"/>
      <c r="HQS434" s="56"/>
      <c r="HQT434" s="56"/>
      <c r="HQU434" s="56"/>
      <c r="HQV434" s="56"/>
      <c r="HQW434" s="56"/>
      <c r="HQX434" s="56"/>
      <c r="HQY434" s="56"/>
      <c r="HQZ434" s="56"/>
      <c r="HRA434" s="56"/>
      <c r="HRB434" s="56"/>
      <c r="HRC434" s="56"/>
      <c r="HRD434" s="56"/>
      <c r="HRE434" s="56"/>
      <c r="HRF434" s="56"/>
      <c r="HRG434" s="56"/>
      <c r="HRH434" s="56"/>
      <c r="HRI434" s="56"/>
      <c r="HRJ434" s="56"/>
      <c r="HRK434" s="56"/>
      <c r="HRL434" s="56"/>
      <c r="HRM434" s="56"/>
      <c r="HRN434" s="56"/>
      <c r="HRO434" s="56"/>
      <c r="HRP434" s="56"/>
      <c r="HRQ434" s="56"/>
      <c r="HRR434" s="56"/>
      <c r="HRS434" s="56"/>
      <c r="HRT434" s="56"/>
      <c r="HRU434" s="56"/>
      <c r="HRV434" s="56"/>
      <c r="HRW434" s="56"/>
      <c r="HRX434" s="56"/>
      <c r="HRY434" s="56"/>
      <c r="HRZ434" s="56"/>
      <c r="HSA434" s="56"/>
      <c r="HSB434" s="56"/>
      <c r="HSC434" s="56"/>
      <c r="HSD434" s="56"/>
      <c r="HSE434" s="56"/>
      <c r="HSF434" s="56"/>
      <c r="HSG434" s="56"/>
      <c r="HSH434" s="56"/>
      <c r="HSI434" s="56"/>
      <c r="HSJ434" s="56"/>
      <c r="HSK434" s="56"/>
      <c r="HSL434" s="56"/>
      <c r="HSM434" s="56"/>
      <c r="HSN434" s="56"/>
      <c r="HSO434" s="56"/>
      <c r="HSP434" s="56"/>
      <c r="HSQ434" s="56"/>
      <c r="HSR434" s="56"/>
      <c r="HSS434" s="56"/>
      <c r="HST434" s="56"/>
      <c r="HSU434" s="56"/>
      <c r="HSV434" s="56"/>
      <c r="HSW434" s="56"/>
      <c r="HSX434" s="56"/>
      <c r="HSY434" s="56"/>
      <c r="HSZ434" s="56"/>
      <c r="HTA434" s="56"/>
      <c r="HTB434" s="56"/>
      <c r="HTC434" s="56"/>
      <c r="HTD434" s="56"/>
      <c r="HTE434" s="56"/>
      <c r="HTF434" s="56"/>
      <c r="HTG434" s="56"/>
      <c r="HTH434" s="56"/>
      <c r="HTI434" s="56"/>
      <c r="HTJ434" s="56"/>
      <c r="HTK434" s="56"/>
      <c r="HTL434" s="56"/>
      <c r="HTM434" s="56"/>
      <c r="HTN434" s="56"/>
      <c r="HTO434" s="56"/>
      <c r="HTP434" s="56"/>
      <c r="HTQ434" s="56"/>
      <c r="HTR434" s="56"/>
      <c r="HTS434" s="56"/>
      <c r="HTT434" s="56"/>
      <c r="HTU434" s="56"/>
      <c r="HTV434" s="56"/>
      <c r="HTW434" s="56"/>
      <c r="HTX434" s="56"/>
      <c r="HTY434" s="56"/>
      <c r="HTZ434" s="56"/>
      <c r="HUA434" s="56"/>
      <c r="HUB434" s="56"/>
      <c r="HUC434" s="56"/>
      <c r="HUD434" s="56"/>
      <c r="HUE434" s="56"/>
      <c r="HUF434" s="56"/>
      <c r="HUG434" s="56"/>
      <c r="HUH434" s="56"/>
      <c r="HUI434" s="56"/>
      <c r="HUJ434" s="56"/>
      <c r="HUK434" s="56"/>
      <c r="HUL434" s="56"/>
      <c r="HUM434" s="56"/>
      <c r="HUN434" s="56"/>
      <c r="HUO434" s="56"/>
      <c r="HUP434" s="56"/>
      <c r="HUQ434" s="56"/>
      <c r="HUR434" s="56"/>
      <c r="HUS434" s="56"/>
      <c r="HUT434" s="56"/>
      <c r="HUU434" s="56"/>
      <c r="HUV434" s="56"/>
      <c r="HUW434" s="56"/>
      <c r="HUX434" s="56"/>
      <c r="HUY434" s="56"/>
      <c r="HUZ434" s="56"/>
      <c r="HVA434" s="56"/>
      <c r="HVB434" s="56"/>
      <c r="HVC434" s="56"/>
      <c r="HVD434" s="56"/>
      <c r="HVE434" s="56"/>
      <c r="HVF434" s="56"/>
      <c r="HVG434" s="56"/>
      <c r="HVH434" s="56"/>
      <c r="HVI434" s="56"/>
      <c r="HVJ434" s="56"/>
      <c r="HVK434" s="56"/>
      <c r="HVL434" s="56"/>
      <c r="HVM434" s="56"/>
      <c r="HVN434" s="56"/>
      <c r="HVO434" s="56"/>
      <c r="HVP434" s="56"/>
      <c r="HVQ434" s="56"/>
      <c r="HVR434" s="56"/>
      <c r="HVS434" s="56"/>
      <c r="HVT434" s="56"/>
      <c r="HVU434" s="56"/>
      <c r="HVV434" s="56"/>
      <c r="HVW434" s="56"/>
      <c r="HVX434" s="56"/>
      <c r="HVY434" s="56"/>
      <c r="HVZ434" s="56"/>
      <c r="HWA434" s="56"/>
      <c r="HWB434" s="56"/>
      <c r="HWC434" s="56"/>
      <c r="HWD434" s="56"/>
      <c r="HWE434" s="56"/>
      <c r="HWF434" s="56"/>
      <c r="HWG434" s="56"/>
      <c r="HWH434" s="56"/>
      <c r="HWI434" s="56"/>
      <c r="HWJ434" s="56"/>
      <c r="HWK434" s="56"/>
      <c r="HWL434" s="56"/>
      <c r="HWM434" s="56"/>
      <c r="HWN434" s="56"/>
      <c r="HWO434" s="56"/>
      <c r="HWP434" s="56"/>
      <c r="HWQ434" s="56"/>
      <c r="HWR434" s="56"/>
      <c r="HWS434" s="56"/>
      <c r="HWT434" s="56"/>
      <c r="HWU434" s="56"/>
      <c r="HWV434" s="56"/>
      <c r="HWW434" s="56"/>
      <c r="HWX434" s="56"/>
      <c r="HWY434" s="56"/>
      <c r="HWZ434" s="56"/>
      <c r="HXA434" s="56"/>
      <c r="HXB434" s="56"/>
      <c r="HXC434" s="56"/>
      <c r="HXD434" s="56"/>
      <c r="HXE434" s="56"/>
      <c r="HXF434" s="56"/>
      <c r="HXG434" s="56"/>
      <c r="HXH434" s="56"/>
      <c r="HXI434" s="56"/>
      <c r="HXJ434" s="56"/>
      <c r="HXK434" s="56"/>
      <c r="HXL434" s="56"/>
      <c r="HXM434" s="56"/>
      <c r="HXN434" s="56"/>
      <c r="HXO434" s="56"/>
      <c r="HXP434" s="56"/>
      <c r="HXQ434" s="56"/>
      <c r="HXR434" s="56"/>
      <c r="HXS434" s="56"/>
      <c r="HXT434" s="56"/>
      <c r="HXU434" s="56"/>
      <c r="HXV434" s="56"/>
      <c r="HXW434" s="56"/>
      <c r="HXX434" s="56"/>
      <c r="HXY434" s="56"/>
      <c r="HXZ434" s="56"/>
      <c r="HYA434" s="56"/>
      <c r="HYB434" s="56"/>
      <c r="HYC434" s="56"/>
      <c r="HYD434" s="56"/>
      <c r="HYE434" s="56"/>
      <c r="HYF434" s="56"/>
      <c r="HYG434" s="56"/>
      <c r="HYH434" s="56"/>
      <c r="HYI434" s="56"/>
      <c r="HYJ434" s="56"/>
      <c r="HYK434" s="56"/>
      <c r="HYL434" s="56"/>
      <c r="HYM434" s="56"/>
      <c r="HYN434" s="56"/>
      <c r="HYO434" s="56"/>
      <c r="HYP434" s="56"/>
      <c r="HYQ434" s="56"/>
      <c r="HYR434" s="56"/>
      <c r="HYS434" s="56"/>
      <c r="HYT434" s="56"/>
      <c r="HYU434" s="56"/>
      <c r="HYV434" s="56"/>
      <c r="HYW434" s="56"/>
      <c r="HYX434" s="56"/>
      <c r="HYY434" s="56"/>
      <c r="HYZ434" s="56"/>
      <c r="HZA434" s="56"/>
      <c r="HZB434" s="56"/>
      <c r="HZC434" s="56"/>
      <c r="HZD434" s="56"/>
      <c r="HZE434" s="56"/>
      <c r="HZF434" s="56"/>
      <c r="HZG434" s="56"/>
      <c r="HZH434" s="56"/>
      <c r="HZI434" s="56"/>
      <c r="HZJ434" s="56"/>
      <c r="HZK434" s="56"/>
      <c r="HZL434" s="56"/>
      <c r="HZM434" s="56"/>
      <c r="HZN434" s="56"/>
      <c r="HZO434" s="56"/>
      <c r="HZP434" s="56"/>
      <c r="HZQ434" s="56"/>
      <c r="HZR434" s="56"/>
      <c r="HZS434" s="56"/>
      <c r="HZT434" s="56"/>
      <c r="HZU434" s="56"/>
      <c r="HZV434" s="56"/>
      <c r="HZW434" s="56"/>
      <c r="HZX434" s="56"/>
      <c r="HZY434" s="56"/>
      <c r="HZZ434" s="56"/>
      <c r="IAA434" s="56"/>
      <c r="IAB434" s="56"/>
      <c r="IAC434" s="56"/>
      <c r="IAD434" s="56"/>
      <c r="IAE434" s="56"/>
      <c r="IAF434" s="56"/>
      <c r="IAG434" s="56"/>
      <c r="IAH434" s="56"/>
      <c r="IAI434" s="56"/>
      <c r="IAJ434" s="56"/>
      <c r="IAK434" s="56"/>
      <c r="IAL434" s="56"/>
      <c r="IAM434" s="56"/>
      <c r="IAN434" s="56"/>
      <c r="IAO434" s="56"/>
      <c r="IAP434" s="56"/>
      <c r="IAQ434" s="56"/>
      <c r="IAR434" s="56"/>
      <c r="IAS434" s="56"/>
      <c r="IAT434" s="56"/>
      <c r="IAU434" s="56"/>
      <c r="IAV434" s="56"/>
      <c r="IAW434" s="56"/>
      <c r="IAX434" s="56"/>
      <c r="IAY434" s="56"/>
      <c r="IAZ434" s="56"/>
      <c r="IBA434" s="56"/>
      <c r="IBB434" s="56"/>
      <c r="IBC434" s="56"/>
      <c r="IBD434" s="56"/>
      <c r="IBE434" s="56"/>
      <c r="IBF434" s="56"/>
      <c r="IBG434" s="56"/>
      <c r="IBH434" s="56"/>
      <c r="IBI434" s="56"/>
      <c r="IBJ434" s="56"/>
      <c r="IBK434" s="56"/>
      <c r="IBL434" s="56"/>
      <c r="IBM434" s="56"/>
      <c r="IBN434" s="56"/>
      <c r="IBO434" s="56"/>
      <c r="IBP434" s="56"/>
      <c r="IBQ434" s="56"/>
      <c r="IBR434" s="56"/>
      <c r="IBS434" s="56"/>
      <c r="IBT434" s="56"/>
      <c r="IBU434" s="56"/>
      <c r="IBV434" s="56"/>
      <c r="IBW434" s="56"/>
      <c r="IBX434" s="56"/>
      <c r="IBY434" s="56"/>
      <c r="IBZ434" s="56"/>
      <c r="ICA434" s="56"/>
      <c r="ICB434" s="56"/>
      <c r="ICC434" s="56"/>
      <c r="ICD434" s="56"/>
      <c r="ICE434" s="56"/>
      <c r="ICF434" s="56"/>
      <c r="ICG434" s="56"/>
      <c r="ICH434" s="56"/>
      <c r="ICI434" s="56"/>
      <c r="ICJ434" s="56"/>
      <c r="ICK434" s="56"/>
      <c r="ICL434" s="56"/>
      <c r="ICM434" s="56"/>
      <c r="ICN434" s="56"/>
      <c r="ICO434" s="56"/>
      <c r="ICP434" s="56"/>
      <c r="ICQ434" s="56"/>
      <c r="ICR434" s="56"/>
      <c r="ICS434" s="56"/>
      <c r="ICT434" s="56"/>
      <c r="ICU434" s="56"/>
      <c r="ICV434" s="56"/>
      <c r="ICW434" s="56"/>
      <c r="ICX434" s="56"/>
      <c r="ICY434" s="56"/>
      <c r="ICZ434" s="56"/>
      <c r="IDA434" s="56"/>
      <c r="IDB434" s="56"/>
      <c r="IDC434" s="56"/>
      <c r="IDD434" s="56"/>
      <c r="IDE434" s="56"/>
      <c r="IDF434" s="56"/>
      <c r="IDG434" s="56"/>
      <c r="IDH434" s="56"/>
      <c r="IDI434" s="56"/>
      <c r="IDJ434" s="56"/>
      <c r="IDK434" s="56"/>
      <c r="IDL434" s="56"/>
      <c r="IDM434" s="56"/>
      <c r="IDN434" s="56"/>
      <c r="IDO434" s="56"/>
      <c r="IDP434" s="56"/>
      <c r="IDQ434" s="56"/>
      <c r="IDR434" s="56"/>
      <c r="IDS434" s="56"/>
      <c r="IDT434" s="56"/>
      <c r="IDU434" s="56"/>
      <c r="IDV434" s="56"/>
      <c r="IDW434" s="56"/>
      <c r="IDX434" s="56"/>
      <c r="IDY434" s="56"/>
      <c r="IDZ434" s="56"/>
      <c r="IEA434" s="56"/>
      <c r="IEB434" s="56"/>
      <c r="IEC434" s="56"/>
      <c r="IED434" s="56"/>
      <c r="IEE434" s="56"/>
      <c r="IEF434" s="56"/>
      <c r="IEG434" s="56"/>
      <c r="IEH434" s="56"/>
      <c r="IEI434" s="56"/>
      <c r="IEJ434" s="56"/>
      <c r="IEK434" s="56"/>
      <c r="IEL434" s="56"/>
      <c r="IEM434" s="56"/>
      <c r="IEN434" s="56"/>
      <c r="IEO434" s="56"/>
      <c r="IEP434" s="56"/>
      <c r="IEQ434" s="56"/>
      <c r="IER434" s="56"/>
      <c r="IES434" s="56"/>
      <c r="IET434" s="56"/>
      <c r="IEU434" s="56"/>
      <c r="IEV434" s="56"/>
      <c r="IEW434" s="56"/>
      <c r="IEX434" s="56"/>
      <c r="IEY434" s="56"/>
      <c r="IEZ434" s="56"/>
      <c r="IFA434" s="56"/>
      <c r="IFB434" s="56"/>
      <c r="IFC434" s="56"/>
      <c r="IFD434" s="56"/>
      <c r="IFE434" s="56"/>
      <c r="IFF434" s="56"/>
      <c r="IFG434" s="56"/>
      <c r="IFH434" s="56"/>
      <c r="IFI434" s="56"/>
      <c r="IFJ434" s="56"/>
      <c r="IFK434" s="56"/>
      <c r="IFL434" s="56"/>
      <c r="IFM434" s="56"/>
      <c r="IFN434" s="56"/>
      <c r="IFO434" s="56"/>
      <c r="IFP434" s="56"/>
      <c r="IFQ434" s="56"/>
      <c r="IFR434" s="56"/>
      <c r="IFS434" s="56"/>
      <c r="IFT434" s="56"/>
      <c r="IFU434" s="56"/>
      <c r="IFV434" s="56"/>
      <c r="IFW434" s="56"/>
      <c r="IFX434" s="56"/>
      <c r="IFY434" s="56"/>
      <c r="IFZ434" s="56"/>
      <c r="IGA434" s="56"/>
      <c r="IGB434" s="56"/>
      <c r="IGC434" s="56"/>
      <c r="IGD434" s="56"/>
      <c r="IGE434" s="56"/>
      <c r="IGF434" s="56"/>
      <c r="IGG434" s="56"/>
      <c r="IGH434" s="56"/>
      <c r="IGI434" s="56"/>
      <c r="IGJ434" s="56"/>
      <c r="IGK434" s="56"/>
      <c r="IGL434" s="56"/>
      <c r="IGM434" s="56"/>
      <c r="IGN434" s="56"/>
      <c r="IGO434" s="56"/>
      <c r="IGP434" s="56"/>
      <c r="IGQ434" s="56"/>
      <c r="IGR434" s="56"/>
      <c r="IGS434" s="56"/>
      <c r="IGT434" s="56"/>
      <c r="IGU434" s="56"/>
      <c r="IGV434" s="56"/>
      <c r="IGW434" s="56"/>
      <c r="IGX434" s="56"/>
      <c r="IGY434" s="56"/>
      <c r="IGZ434" s="56"/>
      <c r="IHA434" s="56"/>
      <c r="IHB434" s="56"/>
      <c r="IHC434" s="56"/>
      <c r="IHD434" s="56"/>
      <c r="IHE434" s="56"/>
      <c r="IHF434" s="56"/>
      <c r="IHG434" s="56"/>
      <c r="IHH434" s="56"/>
      <c r="IHI434" s="56"/>
      <c r="IHJ434" s="56"/>
      <c r="IHK434" s="56"/>
      <c r="IHL434" s="56"/>
      <c r="IHM434" s="56"/>
      <c r="IHN434" s="56"/>
      <c r="IHO434" s="56"/>
      <c r="IHP434" s="56"/>
      <c r="IHQ434" s="56"/>
      <c r="IHR434" s="56"/>
      <c r="IHS434" s="56"/>
      <c r="IHT434" s="56"/>
      <c r="IHU434" s="56"/>
      <c r="IHV434" s="56"/>
      <c r="IHW434" s="56"/>
      <c r="IHX434" s="56"/>
      <c r="IHY434" s="56"/>
      <c r="IHZ434" s="56"/>
      <c r="IIA434" s="56"/>
      <c r="IIB434" s="56"/>
      <c r="IIC434" s="56"/>
      <c r="IID434" s="56"/>
      <c r="IIE434" s="56"/>
      <c r="IIF434" s="56"/>
      <c r="IIG434" s="56"/>
      <c r="IIH434" s="56"/>
      <c r="III434" s="56"/>
      <c r="IIJ434" s="56"/>
      <c r="IIK434" s="56"/>
      <c r="IIL434" s="56"/>
      <c r="IIM434" s="56"/>
      <c r="IIN434" s="56"/>
      <c r="IIO434" s="56"/>
      <c r="IIP434" s="56"/>
      <c r="IIQ434" s="56"/>
      <c r="IIR434" s="56"/>
      <c r="IIS434" s="56"/>
      <c r="IIT434" s="56"/>
      <c r="IIU434" s="56"/>
      <c r="IIV434" s="56"/>
      <c r="IIW434" s="56"/>
      <c r="IIX434" s="56"/>
      <c r="IIY434" s="56"/>
      <c r="IIZ434" s="56"/>
      <c r="IJA434" s="56"/>
      <c r="IJB434" s="56"/>
      <c r="IJC434" s="56"/>
      <c r="IJD434" s="56"/>
      <c r="IJE434" s="56"/>
      <c r="IJF434" s="56"/>
      <c r="IJG434" s="56"/>
      <c r="IJH434" s="56"/>
      <c r="IJI434" s="56"/>
      <c r="IJJ434" s="56"/>
      <c r="IJK434" s="56"/>
      <c r="IJL434" s="56"/>
      <c r="IJM434" s="56"/>
      <c r="IJN434" s="56"/>
      <c r="IJO434" s="56"/>
      <c r="IJP434" s="56"/>
      <c r="IJQ434" s="56"/>
      <c r="IJR434" s="56"/>
      <c r="IJS434" s="56"/>
      <c r="IJT434" s="56"/>
      <c r="IJU434" s="56"/>
      <c r="IJV434" s="56"/>
      <c r="IJW434" s="56"/>
      <c r="IJX434" s="56"/>
      <c r="IJY434" s="56"/>
      <c r="IJZ434" s="56"/>
      <c r="IKA434" s="56"/>
      <c r="IKB434" s="56"/>
      <c r="IKC434" s="56"/>
      <c r="IKD434" s="56"/>
      <c r="IKE434" s="56"/>
      <c r="IKF434" s="56"/>
      <c r="IKG434" s="56"/>
      <c r="IKH434" s="56"/>
      <c r="IKI434" s="56"/>
      <c r="IKJ434" s="56"/>
      <c r="IKK434" s="56"/>
      <c r="IKL434" s="56"/>
      <c r="IKM434" s="56"/>
      <c r="IKN434" s="56"/>
      <c r="IKO434" s="56"/>
      <c r="IKP434" s="56"/>
      <c r="IKQ434" s="56"/>
      <c r="IKR434" s="56"/>
      <c r="IKS434" s="56"/>
      <c r="IKT434" s="56"/>
      <c r="IKU434" s="56"/>
      <c r="IKV434" s="56"/>
      <c r="IKW434" s="56"/>
      <c r="IKX434" s="56"/>
      <c r="IKY434" s="56"/>
      <c r="IKZ434" s="56"/>
      <c r="ILA434" s="56"/>
      <c r="ILB434" s="56"/>
      <c r="ILC434" s="56"/>
      <c r="ILD434" s="56"/>
      <c r="ILE434" s="56"/>
      <c r="ILF434" s="56"/>
      <c r="ILG434" s="56"/>
      <c r="ILH434" s="56"/>
      <c r="ILI434" s="56"/>
      <c r="ILJ434" s="56"/>
      <c r="ILK434" s="56"/>
      <c r="ILL434" s="56"/>
      <c r="ILM434" s="56"/>
      <c r="ILN434" s="56"/>
      <c r="ILO434" s="56"/>
      <c r="ILP434" s="56"/>
      <c r="ILQ434" s="56"/>
      <c r="ILR434" s="56"/>
      <c r="ILS434" s="56"/>
      <c r="ILT434" s="56"/>
      <c r="ILU434" s="56"/>
      <c r="ILV434" s="56"/>
      <c r="ILW434" s="56"/>
      <c r="ILX434" s="56"/>
      <c r="ILY434" s="56"/>
      <c r="ILZ434" s="56"/>
      <c r="IMA434" s="56"/>
      <c r="IMB434" s="56"/>
      <c r="IMC434" s="56"/>
      <c r="IMD434" s="56"/>
      <c r="IME434" s="56"/>
      <c r="IMF434" s="56"/>
      <c r="IMG434" s="56"/>
      <c r="IMH434" s="56"/>
      <c r="IMI434" s="56"/>
      <c r="IMJ434" s="56"/>
      <c r="IMK434" s="56"/>
      <c r="IML434" s="56"/>
      <c r="IMM434" s="56"/>
      <c r="IMN434" s="56"/>
      <c r="IMO434" s="56"/>
      <c r="IMP434" s="56"/>
      <c r="IMQ434" s="56"/>
      <c r="IMR434" s="56"/>
      <c r="IMS434" s="56"/>
      <c r="IMT434" s="56"/>
      <c r="IMU434" s="56"/>
      <c r="IMV434" s="56"/>
      <c r="IMW434" s="56"/>
      <c r="IMX434" s="56"/>
      <c r="IMY434" s="56"/>
      <c r="IMZ434" s="56"/>
      <c r="INA434" s="56"/>
      <c r="INB434" s="56"/>
      <c r="INC434" s="56"/>
      <c r="IND434" s="56"/>
      <c r="INE434" s="56"/>
      <c r="INF434" s="56"/>
      <c r="ING434" s="56"/>
      <c r="INH434" s="56"/>
      <c r="INI434" s="56"/>
      <c r="INJ434" s="56"/>
      <c r="INK434" s="56"/>
      <c r="INL434" s="56"/>
      <c r="INM434" s="56"/>
      <c r="INN434" s="56"/>
      <c r="INO434" s="56"/>
      <c r="INP434" s="56"/>
      <c r="INQ434" s="56"/>
      <c r="INR434" s="56"/>
      <c r="INS434" s="56"/>
      <c r="INT434" s="56"/>
      <c r="INU434" s="56"/>
      <c r="INV434" s="56"/>
      <c r="INW434" s="56"/>
      <c r="INX434" s="56"/>
      <c r="INY434" s="56"/>
      <c r="INZ434" s="56"/>
      <c r="IOA434" s="56"/>
      <c r="IOB434" s="56"/>
      <c r="IOC434" s="56"/>
      <c r="IOD434" s="56"/>
      <c r="IOE434" s="56"/>
      <c r="IOF434" s="56"/>
      <c r="IOG434" s="56"/>
      <c r="IOH434" s="56"/>
      <c r="IOI434" s="56"/>
      <c r="IOJ434" s="56"/>
      <c r="IOK434" s="56"/>
      <c r="IOL434" s="56"/>
      <c r="IOM434" s="56"/>
      <c r="ION434" s="56"/>
      <c r="IOO434" s="56"/>
      <c r="IOP434" s="56"/>
      <c r="IOQ434" s="56"/>
      <c r="IOR434" s="56"/>
      <c r="IOS434" s="56"/>
      <c r="IOT434" s="56"/>
      <c r="IOU434" s="56"/>
      <c r="IOV434" s="56"/>
      <c r="IOW434" s="56"/>
      <c r="IOX434" s="56"/>
      <c r="IOY434" s="56"/>
      <c r="IOZ434" s="56"/>
      <c r="IPA434" s="56"/>
      <c r="IPB434" s="56"/>
      <c r="IPC434" s="56"/>
      <c r="IPD434" s="56"/>
      <c r="IPE434" s="56"/>
      <c r="IPF434" s="56"/>
      <c r="IPG434" s="56"/>
      <c r="IPH434" s="56"/>
      <c r="IPI434" s="56"/>
      <c r="IPJ434" s="56"/>
      <c r="IPK434" s="56"/>
      <c r="IPL434" s="56"/>
      <c r="IPM434" s="56"/>
      <c r="IPN434" s="56"/>
      <c r="IPO434" s="56"/>
      <c r="IPP434" s="56"/>
      <c r="IPQ434" s="56"/>
      <c r="IPR434" s="56"/>
      <c r="IPS434" s="56"/>
      <c r="IPT434" s="56"/>
      <c r="IPU434" s="56"/>
      <c r="IPV434" s="56"/>
      <c r="IPW434" s="56"/>
      <c r="IPX434" s="56"/>
      <c r="IPY434" s="56"/>
      <c r="IPZ434" s="56"/>
      <c r="IQA434" s="56"/>
      <c r="IQB434" s="56"/>
      <c r="IQC434" s="56"/>
      <c r="IQD434" s="56"/>
      <c r="IQE434" s="56"/>
      <c r="IQF434" s="56"/>
      <c r="IQG434" s="56"/>
      <c r="IQH434" s="56"/>
      <c r="IQI434" s="56"/>
      <c r="IQJ434" s="56"/>
      <c r="IQK434" s="56"/>
      <c r="IQL434" s="56"/>
      <c r="IQM434" s="56"/>
      <c r="IQN434" s="56"/>
      <c r="IQO434" s="56"/>
      <c r="IQP434" s="56"/>
      <c r="IQQ434" s="56"/>
      <c r="IQR434" s="56"/>
      <c r="IQS434" s="56"/>
      <c r="IQT434" s="56"/>
      <c r="IQU434" s="56"/>
      <c r="IQV434" s="56"/>
      <c r="IQW434" s="56"/>
      <c r="IQX434" s="56"/>
      <c r="IQY434" s="56"/>
      <c r="IQZ434" s="56"/>
      <c r="IRA434" s="56"/>
      <c r="IRB434" s="56"/>
      <c r="IRC434" s="56"/>
      <c r="IRD434" s="56"/>
      <c r="IRE434" s="56"/>
      <c r="IRF434" s="56"/>
      <c r="IRG434" s="56"/>
      <c r="IRH434" s="56"/>
      <c r="IRI434" s="56"/>
      <c r="IRJ434" s="56"/>
      <c r="IRK434" s="56"/>
      <c r="IRL434" s="56"/>
      <c r="IRM434" s="56"/>
      <c r="IRN434" s="56"/>
      <c r="IRO434" s="56"/>
      <c r="IRP434" s="56"/>
      <c r="IRQ434" s="56"/>
      <c r="IRR434" s="56"/>
      <c r="IRS434" s="56"/>
      <c r="IRT434" s="56"/>
      <c r="IRU434" s="56"/>
      <c r="IRV434" s="56"/>
      <c r="IRW434" s="56"/>
      <c r="IRX434" s="56"/>
      <c r="IRY434" s="56"/>
      <c r="IRZ434" s="56"/>
      <c r="ISA434" s="56"/>
      <c r="ISB434" s="56"/>
      <c r="ISC434" s="56"/>
      <c r="ISD434" s="56"/>
      <c r="ISE434" s="56"/>
      <c r="ISF434" s="56"/>
      <c r="ISG434" s="56"/>
      <c r="ISH434" s="56"/>
      <c r="ISI434" s="56"/>
      <c r="ISJ434" s="56"/>
      <c r="ISK434" s="56"/>
      <c r="ISL434" s="56"/>
      <c r="ISM434" s="56"/>
      <c r="ISN434" s="56"/>
      <c r="ISO434" s="56"/>
      <c r="ISP434" s="56"/>
      <c r="ISQ434" s="56"/>
      <c r="ISR434" s="56"/>
      <c r="ISS434" s="56"/>
      <c r="IST434" s="56"/>
      <c r="ISU434" s="56"/>
      <c r="ISV434" s="56"/>
      <c r="ISW434" s="56"/>
      <c r="ISX434" s="56"/>
      <c r="ISY434" s="56"/>
      <c r="ISZ434" s="56"/>
      <c r="ITA434" s="56"/>
      <c r="ITB434" s="56"/>
      <c r="ITC434" s="56"/>
      <c r="ITD434" s="56"/>
      <c r="ITE434" s="56"/>
      <c r="ITF434" s="56"/>
      <c r="ITG434" s="56"/>
      <c r="ITH434" s="56"/>
      <c r="ITI434" s="56"/>
      <c r="ITJ434" s="56"/>
      <c r="ITK434" s="56"/>
      <c r="ITL434" s="56"/>
      <c r="ITM434" s="56"/>
      <c r="ITN434" s="56"/>
      <c r="ITO434" s="56"/>
      <c r="ITP434" s="56"/>
      <c r="ITQ434" s="56"/>
      <c r="ITR434" s="56"/>
      <c r="ITS434" s="56"/>
      <c r="ITT434" s="56"/>
      <c r="ITU434" s="56"/>
      <c r="ITV434" s="56"/>
      <c r="ITW434" s="56"/>
      <c r="ITX434" s="56"/>
      <c r="ITY434" s="56"/>
      <c r="ITZ434" s="56"/>
      <c r="IUA434" s="56"/>
      <c r="IUB434" s="56"/>
      <c r="IUC434" s="56"/>
      <c r="IUD434" s="56"/>
      <c r="IUE434" s="56"/>
      <c r="IUF434" s="56"/>
      <c r="IUG434" s="56"/>
      <c r="IUH434" s="56"/>
      <c r="IUI434" s="56"/>
      <c r="IUJ434" s="56"/>
      <c r="IUK434" s="56"/>
      <c r="IUL434" s="56"/>
      <c r="IUM434" s="56"/>
      <c r="IUN434" s="56"/>
      <c r="IUO434" s="56"/>
      <c r="IUP434" s="56"/>
      <c r="IUQ434" s="56"/>
      <c r="IUR434" s="56"/>
      <c r="IUS434" s="56"/>
      <c r="IUT434" s="56"/>
      <c r="IUU434" s="56"/>
      <c r="IUV434" s="56"/>
      <c r="IUW434" s="56"/>
      <c r="IUX434" s="56"/>
      <c r="IUY434" s="56"/>
      <c r="IUZ434" s="56"/>
      <c r="IVA434" s="56"/>
      <c r="IVB434" s="56"/>
      <c r="IVC434" s="56"/>
      <c r="IVD434" s="56"/>
      <c r="IVE434" s="56"/>
      <c r="IVF434" s="56"/>
      <c r="IVG434" s="56"/>
      <c r="IVH434" s="56"/>
      <c r="IVI434" s="56"/>
      <c r="IVJ434" s="56"/>
      <c r="IVK434" s="56"/>
      <c r="IVL434" s="56"/>
      <c r="IVM434" s="56"/>
      <c r="IVN434" s="56"/>
      <c r="IVO434" s="56"/>
      <c r="IVP434" s="56"/>
      <c r="IVQ434" s="56"/>
      <c r="IVR434" s="56"/>
      <c r="IVS434" s="56"/>
      <c r="IVT434" s="56"/>
      <c r="IVU434" s="56"/>
      <c r="IVV434" s="56"/>
      <c r="IVW434" s="56"/>
      <c r="IVX434" s="56"/>
      <c r="IVY434" s="56"/>
      <c r="IVZ434" s="56"/>
      <c r="IWA434" s="56"/>
      <c r="IWB434" s="56"/>
      <c r="IWC434" s="56"/>
      <c r="IWD434" s="56"/>
      <c r="IWE434" s="56"/>
      <c r="IWF434" s="56"/>
      <c r="IWG434" s="56"/>
      <c r="IWH434" s="56"/>
      <c r="IWI434" s="56"/>
      <c r="IWJ434" s="56"/>
      <c r="IWK434" s="56"/>
      <c r="IWL434" s="56"/>
      <c r="IWM434" s="56"/>
      <c r="IWN434" s="56"/>
      <c r="IWO434" s="56"/>
      <c r="IWP434" s="56"/>
      <c r="IWQ434" s="56"/>
      <c r="IWR434" s="56"/>
      <c r="IWS434" s="56"/>
      <c r="IWT434" s="56"/>
      <c r="IWU434" s="56"/>
      <c r="IWV434" s="56"/>
      <c r="IWW434" s="56"/>
      <c r="IWX434" s="56"/>
      <c r="IWY434" s="56"/>
      <c r="IWZ434" s="56"/>
      <c r="IXA434" s="56"/>
      <c r="IXB434" s="56"/>
      <c r="IXC434" s="56"/>
      <c r="IXD434" s="56"/>
      <c r="IXE434" s="56"/>
      <c r="IXF434" s="56"/>
      <c r="IXG434" s="56"/>
      <c r="IXH434" s="56"/>
      <c r="IXI434" s="56"/>
      <c r="IXJ434" s="56"/>
      <c r="IXK434" s="56"/>
      <c r="IXL434" s="56"/>
      <c r="IXM434" s="56"/>
      <c r="IXN434" s="56"/>
      <c r="IXO434" s="56"/>
      <c r="IXP434" s="56"/>
      <c r="IXQ434" s="56"/>
      <c r="IXR434" s="56"/>
      <c r="IXS434" s="56"/>
      <c r="IXT434" s="56"/>
      <c r="IXU434" s="56"/>
      <c r="IXV434" s="56"/>
      <c r="IXW434" s="56"/>
      <c r="IXX434" s="56"/>
      <c r="IXY434" s="56"/>
      <c r="IXZ434" s="56"/>
      <c r="IYA434" s="56"/>
      <c r="IYB434" s="56"/>
      <c r="IYC434" s="56"/>
      <c r="IYD434" s="56"/>
      <c r="IYE434" s="56"/>
      <c r="IYF434" s="56"/>
      <c r="IYG434" s="56"/>
      <c r="IYH434" s="56"/>
      <c r="IYI434" s="56"/>
      <c r="IYJ434" s="56"/>
      <c r="IYK434" s="56"/>
      <c r="IYL434" s="56"/>
      <c r="IYM434" s="56"/>
      <c r="IYN434" s="56"/>
      <c r="IYO434" s="56"/>
      <c r="IYP434" s="56"/>
      <c r="IYQ434" s="56"/>
      <c r="IYR434" s="56"/>
      <c r="IYS434" s="56"/>
      <c r="IYT434" s="56"/>
      <c r="IYU434" s="56"/>
      <c r="IYV434" s="56"/>
      <c r="IYW434" s="56"/>
      <c r="IYX434" s="56"/>
      <c r="IYY434" s="56"/>
      <c r="IYZ434" s="56"/>
      <c r="IZA434" s="56"/>
      <c r="IZB434" s="56"/>
      <c r="IZC434" s="56"/>
      <c r="IZD434" s="56"/>
      <c r="IZE434" s="56"/>
      <c r="IZF434" s="56"/>
      <c r="IZG434" s="56"/>
      <c r="IZH434" s="56"/>
      <c r="IZI434" s="56"/>
      <c r="IZJ434" s="56"/>
      <c r="IZK434" s="56"/>
      <c r="IZL434" s="56"/>
      <c r="IZM434" s="56"/>
      <c r="IZN434" s="56"/>
      <c r="IZO434" s="56"/>
      <c r="IZP434" s="56"/>
      <c r="IZQ434" s="56"/>
      <c r="IZR434" s="56"/>
      <c r="IZS434" s="56"/>
      <c r="IZT434" s="56"/>
      <c r="IZU434" s="56"/>
      <c r="IZV434" s="56"/>
      <c r="IZW434" s="56"/>
      <c r="IZX434" s="56"/>
      <c r="IZY434" s="56"/>
      <c r="IZZ434" s="56"/>
      <c r="JAA434" s="56"/>
      <c r="JAB434" s="56"/>
      <c r="JAC434" s="56"/>
      <c r="JAD434" s="56"/>
      <c r="JAE434" s="56"/>
      <c r="JAF434" s="56"/>
      <c r="JAG434" s="56"/>
      <c r="JAH434" s="56"/>
      <c r="JAI434" s="56"/>
      <c r="JAJ434" s="56"/>
      <c r="JAK434" s="56"/>
      <c r="JAL434" s="56"/>
      <c r="JAM434" s="56"/>
      <c r="JAN434" s="56"/>
      <c r="JAO434" s="56"/>
      <c r="JAP434" s="56"/>
      <c r="JAQ434" s="56"/>
      <c r="JAR434" s="56"/>
      <c r="JAS434" s="56"/>
      <c r="JAT434" s="56"/>
      <c r="JAU434" s="56"/>
      <c r="JAV434" s="56"/>
      <c r="JAW434" s="56"/>
      <c r="JAX434" s="56"/>
      <c r="JAY434" s="56"/>
      <c r="JAZ434" s="56"/>
      <c r="JBA434" s="56"/>
      <c r="JBB434" s="56"/>
      <c r="JBC434" s="56"/>
      <c r="JBD434" s="56"/>
      <c r="JBE434" s="56"/>
      <c r="JBF434" s="56"/>
      <c r="JBG434" s="56"/>
      <c r="JBH434" s="56"/>
      <c r="JBI434" s="56"/>
      <c r="JBJ434" s="56"/>
      <c r="JBK434" s="56"/>
      <c r="JBL434" s="56"/>
      <c r="JBM434" s="56"/>
      <c r="JBN434" s="56"/>
      <c r="JBO434" s="56"/>
      <c r="JBP434" s="56"/>
      <c r="JBQ434" s="56"/>
      <c r="JBR434" s="56"/>
      <c r="JBS434" s="56"/>
      <c r="JBT434" s="56"/>
      <c r="JBU434" s="56"/>
      <c r="JBV434" s="56"/>
      <c r="JBW434" s="56"/>
      <c r="JBX434" s="56"/>
      <c r="JBY434" s="56"/>
      <c r="JBZ434" s="56"/>
      <c r="JCA434" s="56"/>
      <c r="JCB434" s="56"/>
      <c r="JCC434" s="56"/>
      <c r="JCD434" s="56"/>
      <c r="JCE434" s="56"/>
      <c r="JCF434" s="56"/>
      <c r="JCG434" s="56"/>
      <c r="JCH434" s="56"/>
      <c r="JCI434" s="56"/>
      <c r="JCJ434" s="56"/>
      <c r="JCK434" s="56"/>
      <c r="JCL434" s="56"/>
      <c r="JCM434" s="56"/>
      <c r="JCN434" s="56"/>
      <c r="JCO434" s="56"/>
      <c r="JCP434" s="56"/>
      <c r="JCQ434" s="56"/>
      <c r="JCR434" s="56"/>
      <c r="JCS434" s="56"/>
      <c r="JCT434" s="56"/>
      <c r="JCU434" s="56"/>
      <c r="JCV434" s="56"/>
      <c r="JCW434" s="56"/>
      <c r="JCX434" s="56"/>
      <c r="JCY434" s="56"/>
      <c r="JCZ434" s="56"/>
      <c r="JDA434" s="56"/>
      <c r="JDB434" s="56"/>
      <c r="JDC434" s="56"/>
      <c r="JDD434" s="56"/>
      <c r="JDE434" s="56"/>
      <c r="JDF434" s="56"/>
      <c r="JDG434" s="56"/>
      <c r="JDH434" s="56"/>
      <c r="JDI434" s="56"/>
      <c r="JDJ434" s="56"/>
      <c r="JDK434" s="56"/>
      <c r="JDL434" s="56"/>
      <c r="JDM434" s="56"/>
      <c r="JDN434" s="56"/>
      <c r="JDO434" s="56"/>
      <c r="JDP434" s="56"/>
      <c r="JDQ434" s="56"/>
      <c r="JDR434" s="56"/>
      <c r="JDS434" s="56"/>
      <c r="JDT434" s="56"/>
      <c r="JDU434" s="56"/>
      <c r="JDV434" s="56"/>
      <c r="JDW434" s="56"/>
      <c r="JDX434" s="56"/>
      <c r="JDY434" s="56"/>
      <c r="JDZ434" s="56"/>
      <c r="JEA434" s="56"/>
      <c r="JEB434" s="56"/>
      <c r="JEC434" s="56"/>
      <c r="JED434" s="56"/>
      <c r="JEE434" s="56"/>
      <c r="JEF434" s="56"/>
      <c r="JEG434" s="56"/>
      <c r="JEH434" s="56"/>
      <c r="JEI434" s="56"/>
      <c r="JEJ434" s="56"/>
      <c r="JEK434" s="56"/>
      <c r="JEL434" s="56"/>
      <c r="JEM434" s="56"/>
      <c r="JEN434" s="56"/>
      <c r="JEO434" s="56"/>
      <c r="JEP434" s="56"/>
      <c r="JEQ434" s="56"/>
      <c r="JER434" s="56"/>
      <c r="JES434" s="56"/>
      <c r="JET434" s="56"/>
      <c r="JEU434" s="56"/>
      <c r="JEV434" s="56"/>
      <c r="JEW434" s="56"/>
      <c r="JEX434" s="56"/>
      <c r="JEY434" s="56"/>
      <c r="JEZ434" s="56"/>
      <c r="JFA434" s="56"/>
      <c r="JFB434" s="56"/>
      <c r="JFC434" s="56"/>
      <c r="JFD434" s="56"/>
      <c r="JFE434" s="56"/>
      <c r="JFF434" s="56"/>
      <c r="JFG434" s="56"/>
      <c r="JFH434" s="56"/>
      <c r="JFI434" s="56"/>
      <c r="JFJ434" s="56"/>
      <c r="JFK434" s="56"/>
      <c r="JFL434" s="56"/>
      <c r="JFM434" s="56"/>
      <c r="JFN434" s="56"/>
      <c r="JFO434" s="56"/>
      <c r="JFP434" s="56"/>
      <c r="JFQ434" s="56"/>
      <c r="JFR434" s="56"/>
      <c r="JFS434" s="56"/>
      <c r="JFT434" s="56"/>
      <c r="JFU434" s="56"/>
      <c r="JFV434" s="56"/>
      <c r="JFW434" s="56"/>
      <c r="JFX434" s="56"/>
      <c r="JFY434" s="56"/>
      <c r="JFZ434" s="56"/>
      <c r="JGA434" s="56"/>
      <c r="JGB434" s="56"/>
      <c r="JGC434" s="56"/>
      <c r="JGD434" s="56"/>
      <c r="JGE434" s="56"/>
      <c r="JGF434" s="56"/>
      <c r="JGG434" s="56"/>
      <c r="JGH434" s="56"/>
      <c r="JGI434" s="56"/>
      <c r="JGJ434" s="56"/>
      <c r="JGK434" s="56"/>
      <c r="JGL434" s="56"/>
      <c r="JGM434" s="56"/>
      <c r="JGN434" s="56"/>
      <c r="JGO434" s="56"/>
      <c r="JGP434" s="56"/>
      <c r="JGQ434" s="56"/>
      <c r="JGR434" s="56"/>
      <c r="JGS434" s="56"/>
      <c r="JGT434" s="56"/>
      <c r="JGU434" s="56"/>
      <c r="JGV434" s="56"/>
      <c r="JGW434" s="56"/>
      <c r="JGX434" s="56"/>
      <c r="JGY434" s="56"/>
      <c r="JGZ434" s="56"/>
      <c r="JHA434" s="56"/>
      <c r="JHB434" s="56"/>
      <c r="JHC434" s="56"/>
      <c r="JHD434" s="56"/>
      <c r="JHE434" s="56"/>
      <c r="JHF434" s="56"/>
      <c r="JHG434" s="56"/>
      <c r="JHH434" s="56"/>
      <c r="JHI434" s="56"/>
      <c r="JHJ434" s="56"/>
      <c r="JHK434" s="56"/>
      <c r="JHL434" s="56"/>
      <c r="JHM434" s="56"/>
      <c r="JHN434" s="56"/>
      <c r="JHO434" s="56"/>
      <c r="JHP434" s="56"/>
      <c r="JHQ434" s="56"/>
      <c r="JHR434" s="56"/>
      <c r="JHS434" s="56"/>
      <c r="JHT434" s="56"/>
      <c r="JHU434" s="56"/>
      <c r="JHV434" s="56"/>
      <c r="JHW434" s="56"/>
      <c r="JHX434" s="56"/>
      <c r="JHY434" s="56"/>
      <c r="JHZ434" s="56"/>
      <c r="JIA434" s="56"/>
      <c r="JIB434" s="56"/>
      <c r="JIC434" s="56"/>
      <c r="JID434" s="56"/>
      <c r="JIE434" s="56"/>
      <c r="JIF434" s="56"/>
      <c r="JIG434" s="56"/>
      <c r="JIH434" s="56"/>
      <c r="JII434" s="56"/>
      <c r="JIJ434" s="56"/>
      <c r="JIK434" s="56"/>
      <c r="JIL434" s="56"/>
      <c r="JIM434" s="56"/>
      <c r="JIN434" s="56"/>
      <c r="JIO434" s="56"/>
      <c r="JIP434" s="56"/>
      <c r="JIQ434" s="56"/>
      <c r="JIR434" s="56"/>
      <c r="JIS434" s="56"/>
      <c r="JIT434" s="56"/>
      <c r="JIU434" s="56"/>
      <c r="JIV434" s="56"/>
      <c r="JIW434" s="56"/>
      <c r="JIX434" s="56"/>
      <c r="JIY434" s="56"/>
      <c r="JIZ434" s="56"/>
      <c r="JJA434" s="56"/>
      <c r="JJB434" s="56"/>
      <c r="JJC434" s="56"/>
      <c r="JJD434" s="56"/>
      <c r="JJE434" s="56"/>
      <c r="JJF434" s="56"/>
      <c r="JJG434" s="56"/>
      <c r="JJH434" s="56"/>
      <c r="JJI434" s="56"/>
      <c r="JJJ434" s="56"/>
      <c r="JJK434" s="56"/>
      <c r="JJL434" s="56"/>
      <c r="JJM434" s="56"/>
      <c r="JJN434" s="56"/>
      <c r="JJO434" s="56"/>
      <c r="JJP434" s="56"/>
      <c r="JJQ434" s="56"/>
      <c r="JJR434" s="56"/>
      <c r="JJS434" s="56"/>
      <c r="JJT434" s="56"/>
      <c r="JJU434" s="56"/>
      <c r="JJV434" s="56"/>
      <c r="JJW434" s="56"/>
      <c r="JJX434" s="56"/>
      <c r="JJY434" s="56"/>
      <c r="JJZ434" s="56"/>
      <c r="JKA434" s="56"/>
      <c r="JKB434" s="56"/>
      <c r="JKC434" s="56"/>
      <c r="JKD434" s="56"/>
      <c r="JKE434" s="56"/>
      <c r="JKF434" s="56"/>
      <c r="JKG434" s="56"/>
      <c r="JKH434" s="56"/>
      <c r="JKI434" s="56"/>
      <c r="JKJ434" s="56"/>
      <c r="JKK434" s="56"/>
      <c r="JKL434" s="56"/>
      <c r="JKM434" s="56"/>
      <c r="JKN434" s="56"/>
      <c r="JKO434" s="56"/>
      <c r="JKP434" s="56"/>
      <c r="JKQ434" s="56"/>
      <c r="JKR434" s="56"/>
      <c r="JKS434" s="56"/>
      <c r="JKT434" s="56"/>
      <c r="JKU434" s="56"/>
      <c r="JKV434" s="56"/>
      <c r="JKW434" s="56"/>
      <c r="JKX434" s="56"/>
      <c r="JKY434" s="56"/>
      <c r="JKZ434" s="56"/>
      <c r="JLA434" s="56"/>
      <c r="JLB434" s="56"/>
      <c r="JLC434" s="56"/>
      <c r="JLD434" s="56"/>
      <c r="JLE434" s="56"/>
      <c r="JLF434" s="56"/>
      <c r="JLG434" s="56"/>
      <c r="JLH434" s="56"/>
      <c r="JLI434" s="56"/>
      <c r="JLJ434" s="56"/>
      <c r="JLK434" s="56"/>
      <c r="JLL434" s="56"/>
      <c r="JLM434" s="56"/>
      <c r="JLN434" s="56"/>
      <c r="JLO434" s="56"/>
      <c r="JLP434" s="56"/>
      <c r="JLQ434" s="56"/>
      <c r="JLR434" s="56"/>
      <c r="JLS434" s="56"/>
      <c r="JLT434" s="56"/>
      <c r="JLU434" s="56"/>
      <c r="JLV434" s="56"/>
      <c r="JLW434" s="56"/>
      <c r="JLX434" s="56"/>
      <c r="JLY434" s="56"/>
      <c r="JLZ434" s="56"/>
      <c r="JMA434" s="56"/>
      <c r="JMB434" s="56"/>
      <c r="JMC434" s="56"/>
      <c r="JMD434" s="56"/>
      <c r="JME434" s="56"/>
      <c r="JMF434" s="56"/>
      <c r="JMG434" s="56"/>
      <c r="JMH434" s="56"/>
      <c r="JMI434" s="56"/>
      <c r="JMJ434" s="56"/>
      <c r="JMK434" s="56"/>
      <c r="JML434" s="56"/>
      <c r="JMM434" s="56"/>
      <c r="JMN434" s="56"/>
      <c r="JMO434" s="56"/>
      <c r="JMP434" s="56"/>
      <c r="JMQ434" s="56"/>
      <c r="JMR434" s="56"/>
      <c r="JMS434" s="56"/>
      <c r="JMT434" s="56"/>
      <c r="JMU434" s="56"/>
      <c r="JMV434" s="56"/>
      <c r="JMW434" s="56"/>
      <c r="JMX434" s="56"/>
      <c r="JMY434" s="56"/>
      <c r="JMZ434" s="56"/>
      <c r="JNA434" s="56"/>
      <c r="JNB434" s="56"/>
      <c r="JNC434" s="56"/>
      <c r="JND434" s="56"/>
      <c r="JNE434" s="56"/>
      <c r="JNF434" s="56"/>
      <c r="JNG434" s="56"/>
      <c r="JNH434" s="56"/>
      <c r="JNI434" s="56"/>
      <c r="JNJ434" s="56"/>
      <c r="JNK434" s="56"/>
      <c r="JNL434" s="56"/>
      <c r="JNM434" s="56"/>
      <c r="JNN434" s="56"/>
      <c r="JNO434" s="56"/>
      <c r="JNP434" s="56"/>
      <c r="JNQ434" s="56"/>
      <c r="JNR434" s="56"/>
      <c r="JNS434" s="56"/>
      <c r="JNT434" s="56"/>
      <c r="JNU434" s="56"/>
      <c r="JNV434" s="56"/>
      <c r="JNW434" s="56"/>
      <c r="JNX434" s="56"/>
      <c r="JNY434" s="56"/>
      <c r="JNZ434" s="56"/>
      <c r="JOA434" s="56"/>
      <c r="JOB434" s="56"/>
      <c r="JOC434" s="56"/>
      <c r="JOD434" s="56"/>
      <c r="JOE434" s="56"/>
      <c r="JOF434" s="56"/>
      <c r="JOG434" s="56"/>
      <c r="JOH434" s="56"/>
      <c r="JOI434" s="56"/>
      <c r="JOJ434" s="56"/>
      <c r="JOK434" s="56"/>
      <c r="JOL434" s="56"/>
      <c r="JOM434" s="56"/>
      <c r="JON434" s="56"/>
      <c r="JOO434" s="56"/>
      <c r="JOP434" s="56"/>
      <c r="JOQ434" s="56"/>
      <c r="JOR434" s="56"/>
      <c r="JOS434" s="56"/>
      <c r="JOT434" s="56"/>
      <c r="JOU434" s="56"/>
      <c r="JOV434" s="56"/>
      <c r="JOW434" s="56"/>
      <c r="JOX434" s="56"/>
      <c r="JOY434" s="56"/>
      <c r="JOZ434" s="56"/>
      <c r="JPA434" s="56"/>
      <c r="JPB434" s="56"/>
      <c r="JPC434" s="56"/>
      <c r="JPD434" s="56"/>
      <c r="JPE434" s="56"/>
      <c r="JPF434" s="56"/>
      <c r="JPG434" s="56"/>
      <c r="JPH434" s="56"/>
      <c r="JPI434" s="56"/>
      <c r="JPJ434" s="56"/>
      <c r="JPK434" s="56"/>
      <c r="JPL434" s="56"/>
      <c r="JPM434" s="56"/>
      <c r="JPN434" s="56"/>
      <c r="JPO434" s="56"/>
      <c r="JPP434" s="56"/>
      <c r="JPQ434" s="56"/>
      <c r="JPR434" s="56"/>
      <c r="JPS434" s="56"/>
      <c r="JPT434" s="56"/>
      <c r="JPU434" s="56"/>
      <c r="JPV434" s="56"/>
      <c r="JPW434" s="56"/>
      <c r="JPX434" s="56"/>
      <c r="JPY434" s="56"/>
      <c r="JPZ434" s="56"/>
      <c r="JQA434" s="56"/>
      <c r="JQB434" s="56"/>
      <c r="JQC434" s="56"/>
      <c r="JQD434" s="56"/>
      <c r="JQE434" s="56"/>
      <c r="JQF434" s="56"/>
      <c r="JQG434" s="56"/>
      <c r="JQH434" s="56"/>
      <c r="JQI434" s="56"/>
      <c r="JQJ434" s="56"/>
      <c r="JQK434" s="56"/>
      <c r="JQL434" s="56"/>
      <c r="JQM434" s="56"/>
      <c r="JQN434" s="56"/>
      <c r="JQO434" s="56"/>
      <c r="JQP434" s="56"/>
      <c r="JQQ434" s="56"/>
      <c r="JQR434" s="56"/>
      <c r="JQS434" s="56"/>
      <c r="JQT434" s="56"/>
      <c r="JQU434" s="56"/>
      <c r="JQV434" s="56"/>
      <c r="JQW434" s="56"/>
      <c r="JQX434" s="56"/>
      <c r="JQY434" s="56"/>
      <c r="JQZ434" s="56"/>
      <c r="JRA434" s="56"/>
      <c r="JRB434" s="56"/>
      <c r="JRC434" s="56"/>
      <c r="JRD434" s="56"/>
      <c r="JRE434" s="56"/>
      <c r="JRF434" s="56"/>
      <c r="JRG434" s="56"/>
      <c r="JRH434" s="56"/>
      <c r="JRI434" s="56"/>
      <c r="JRJ434" s="56"/>
      <c r="JRK434" s="56"/>
      <c r="JRL434" s="56"/>
      <c r="JRM434" s="56"/>
      <c r="JRN434" s="56"/>
      <c r="JRO434" s="56"/>
      <c r="JRP434" s="56"/>
      <c r="JRQ434" s="56"/>
      <c r="JRR434" s="56"/>
      <c r="JRS434" s="56"/>
      <c r="JRT434" s="56"/>
      <c r="JRU434" s="56"/>
      <c r="JRV434" s="56"/>
      <c r="JRW434" s="56"/>
      <c r="JRX434" s="56"/>
      <c r="JRY434" s="56"/>
      <c r="JRZ434" s="56"/>
      <c r="JSA434" s="56"/>
      <c r="JSB434" s="56"/>
      <c r="JSC434" s="56"/>
      <c r="JSD434" s="56"/>
      <c r="JSE434" s="56"/>
      <c r="JSF434" s="56"/>
      <c r="JSG434" s="56"/>
      <c r="JSH434" s="56"/>
      <c r="JSI434" s="56"/>
      <c r="JSJ434" s="56"/>
      <c r="JSK434" s="56"/>
      <c r="JSL434" s="56"/>
      <c r="JSM434" s="56"/>
      <c r="JSN434" s="56"/>
      <c r="JSO434" s="56"/>
      <c r="JSP434" s="56"/>
      <c r="JSQ434" s="56"/>
      <c r="JSR434" s="56"/>
      <c r="JSS434" s="56"/>
      <c r="JST434" s="56"/>
      <c r="JSU434" s="56"/>
      <c r="JSV434" s="56"/>
      <c r="JSW434" s="56"/>
      <c r="JSX434" s="56"/>
      <c r="JSY434" s="56"/>
      <c r="JSZ434" s="56"/>
      <c r="JTA434" s="56"/>
      <c r="JTB434" s="56"/>
      <c r="JTC434" s="56"/>
      <c r="JTD434" s="56"/>
      <c r="JTE434" s="56"/>
      <c r="JTF434" s="56"/>
      <c r="JTG434" s="56"/>
      <c r="JTH434" s="56"/>
      <c r="JTI434" s="56"/>
      <c r="JTJ434" s="56"/>
      <c r="JTK434" s="56"/>
      <c r="JTL434" s="56"/>
      <c r="JTM434" s="56"/>
      <c r="JTN434" s="56"/>
      <c r="JTO434" s="56"/>
      <c r="JTP434" s="56"/>
      <c r="JTQ434" s="56"/>
      <c r="JTR434" s="56"/>
      <c r="JTS434" s="56"/>
      <c r="JTT434" s="56"/>
      <c r="JTU434" s="56"/>
      <c r="JTV434" s="56"/>
      <c r="JTW434" s="56"/>
      <c r="JTX434" s="56"/>
      <c r="JTY434" s="56"/>
      <c r="JTZ434" s="56"/>
      <c r="JUA434" s="56"/>
      <c r="JUB434" s="56"/>
      <c r="JUC434" s="56"/>
      <c r="JUD434" s="56"/>
      <c r="JUE434" s="56"/>
      <c r="JUF434" s="56"/>
      <c r="JUG434" s="56"/>
      <c r="JUH434" s="56"/>
      <c r="JUI434" s="56"/>
      <c r="JUJ434" s="56"/>
      <c r="JUK434" s="56"/>
      <c r="JUL434" s="56"/>
      <c r="JUM434" s="56"/>
      <c r="JUN434" s="56"/>
      <c r="JUO434" s="56"/>
      <c r="JUP434" s="56"/>
      <c r="JUQ434" s="56"/>
      <c r="JUR434" s="56"/>
      <c r="JUS434" s="56"/>
      <c r="JUT434" s="56"/>
      <c r="JUU434" s="56"/>
      <c r="JUV434" s="56"/>
      <c r="JUW434" s="56"/>
      <c r="JUX434" s="56"/>
      <c r="JUY434" s="56"/>
      <c r="JUZ434" s="56"/>
      <c r="JVA434" s="56"/>
      <c r="JVB434" s="56"/>
      <c r="JVC434" s="56"/>
      <c r="JVD434" s="56"/>
      <c r="JVE434" s="56"/>
      <c r="JVF434" s="56"/>
      <c r="JVG434" s="56"/>
      <c r="JVH434" s="56"/>
      <c r="JVI434" s="56"/>
      <c r="JVJ434" s="56"/>
      <c r="JVK434" s="56"/>
      <c r="JVL434" s="56"/>
      <c r="JVM434" s="56"/>
      <c r="JVN434" s="56"/>
      <c r="JVO434" s="56"/>
      <c r="JVP434" s="56"/>
      <c r="JVQ434" s="56"/>
      <c r="JVR434" s="56"/>
      <c r="JVS434" s="56"/>
      <c r="JVT434" s="56"/>
      <c r="JVU434" s="56"/>
      <c r="JVV434" s="56"/>
      <c r="JVW434" s="56"/>
      <c r="JVX434" s="56"/>
      <c r="JVY434" s="56"/>
      <c r="JVZ434" s="56"/>
      <c r="JWA434" s="56"/>
      <c r="JWB434" s="56"/>
      <c r="JWC434" s="56"/>
      <c r="JWD434" s="56"/>
      <c r="JWE434" s="56"/>
      <c r="JWF434" s="56"/>
      <c r="JWG434" s="56"/>
      <c r="JWH434" s="56"/>
      <c r="JWI434" s="56"/>
      <c r="JWJ434" s="56"/>
      <c r="JWK434" s="56"/>
      <c r="JWL434" s="56"/>
      <c r="JWM434" s="56"/>
      <c r="JWN434" s="56"/>
      <c r="JWO434" s="56"/>
      <c r="JWP434" s="56"/>
      <c r="JWQ434" s="56"/>
      <c r="JWR434" s="56"/>
      <c r="JWS434" s="56"/>
      <c r="JWT434" s="56"/>
      <c r="JWU434" s="56"/>
      <c r="JWV434" s="56"/>
      <c r="JWW434" s="56"/>
      <c r="JWX434" s="56"/>
      <c r="JWY434" s="56"/>
      <c r="JWZ434" s="56"/>
      <c r="JXA434" s="56"/>
      <c r="JXB434" s="56"/>
      <c r="JXC434" s="56"/>
      <c r="JXD434" s="56"/>
      <c r="JXE434" s="56"/>
      <c r="JXF434" s="56"/>
      <c r="JXG434" s="56"/>
      <c r="JXH434" s="56"/>
      <c r="JXI434" s="56"/>
      <c r="JXJ434" s="56"/>
      <c r="JXK434" s="56"/>
      <c r="JXL434" s="56"/>
      <c r="JXM434" s="56"/>
      <c r="JXN434" s="56"/>
      <c r="JXO434" s="56"/>
      <c r="JXP434" s="56"/>
      <c r="JXQ434" s="56"/>
      <c r="JXR434" s="56"/>
      <c r="JXS434" s="56"/>
      <c r="JXT434" s="56"/>
      <c r="JXU434" s="56"/>
      <c r="JXV434" s="56"/>
      <c r="JXW434" s="56"/>
      <c r="JXX434" s="56"/>
      <c r="JXY434" s="56"/>
      <c r="JXZ434" s="56"/>
      <c r="JYA434" s="56"/>
      <c r="JYB434" s="56"/>
      <c r="JYC434" s="56"/>
      <c r="JYD434" s="56"/>
      <c r="JYE434" s="56"/>
      <c r="JYF434" s="56"/>
      <c r="JYG434" s="56"/>
      <c r="JYH434" s="56"/>
      <c r="JYI434" s="56"/>
      <c r="JYJ434" s="56"/>
      <c r="JYK434" s="56"/>
      <c r="JYL434" s="56"/>
      <c r="JYM434" s="56"/>
      <c r="JYN434" s="56"/>
      <c r="JYO434" s="56"/>
      <c r="JYP434" s="56"/>
      <c r="JYQ434" s="56"/>
      <c r="JYR434" s="56"/>
      <c r="JYS434" s="56"/>
      <c r="JYT434" s="56"/>
      <c r="JYU434" s="56"/>
      <c r="JYV434" s="56"/>
      <c r="JYW434" s="56"/>
      <c r="JYX434" s="56"/>
      <c r="JYY434" s="56"/>
      <c r="JYZ434" s="56"/>
      <c r="JZA434" s="56"/>
      <c r="JZB434" s="56"/>
      <c r="JZC434" s="56"/>
      <c r="JZD434" s="56"/>
      <c r="JZE434" s="56"/>
      <c r="JZF434" s="56"/>
      <c r="JZG434" s="56"/>
      <c r="JZH434" s="56"/>
      <c r="JZI434" s="56"/>
      <c r="JZJ434" s="56"/>
      <c r="JZK434" s="56"/>
      <c r="JZL434" s="56"/>
      <c r="JZM434" s="56"/>
      <c r="JZN434" s="56"/>
      <c r="JZO434" s="56"/>
      <c r="JZP434" s="56"/>
      <c r="JZQ434" s="56"/>
      <c r="JZR434" s="56"/>
      <c r="JZS434" s="56"/>
      <c r="JZT434" s="56"/>
      <c r="JZU434" s="56"/>
      <c r="JZV434" s="56"/>
      <c r="JZW434" s="56"/>
      <c r="JZX434" s="56"/>
      <c r="JZY434" s="56"/>
      <c r="JZZ434" s="56"/>
      <c r="KAA434" s="56"/>
      <c r="KAB434" s="56"/>
      <c r="KAC434" s="56"/>
      <c r="KAD434" s="56"/>
      <c r="KAE434" s="56"/>
      <c r="KAF434" s="56"/>
      <c r="KAG434" s="56"/>
      <c r="KAH434" s="56"/>
      <c r="KAI434" s="56"/>
      <c r="KAJ434" s="56"/>
      <c r="KAK434" s="56"/>
      <c r="KAL434" s="56"/>
      <c r="KAM434" s="56"/>
      <c r="KAN434" s="56"/>
      <c r="KAO434" s="56"/>
      <c r="KAP434" s="56"/>
      <c r="KAQ434" s="56"/>
      <c r="KAR434" s="56"/>
      <c r="KAS434" s="56"/>
      <c r="KAT434" s="56"/>
      <c r="KAU434" s="56"/>
      <c r="KAV434" s="56"/>
      <c r="KAW434" s="56"/>
      <c r="KAX434" s="56"/>
      <c r="KAY434" s="56"/>
      <c r="KAZ434" s="56"/>
      <c r="KBA434" s="56"/>
      <c r="KBB434" s="56"/>
      <c r="KBC434" s="56"/>
      <c r="KBD434" s="56"/>
      <c r="KBE434" s="56"/>
      <c r="KBF434" s="56"/>
      <c r="KBG434" s="56"/>
      <c r="KBH434" s="56"/>
      <c r="KBI434" s="56"/>
      <c r="KBJ434" s="56"/>
      <c r="KBK434" s="56"/>
      <c r="KBL434" s="56"/>
      <c r="KBM434" s="56"/>
      <c r="KBN434" s="56"/>
      <c r="KBO434" s="56"/>
      <c r="KBP434" s="56"/>
      <c r="KBQ434" s="56"/>
      <c r="KBR434" s="56"/>
      <c r="KBS434" s="56"/>
      <c r="KBT434" s="56"/>
      <c r="KBU434" s="56"/>
      <c r="KBV434" s="56"/>
      <c r="KBW434" s="56"/>
      <c r="KBX434" s="56"/>
      <c r="KBY434" s="56"/>
      <c r="KBZ434" s="56"/>
      <c r="KCA434" s="56"/>
      <c r="KCB434" s="56"/>
      <c r="KCC434" s="56"/>
      <c r="KCD434" s="56"/>
      <c r="KCE434" s="56"/>
      <c r="KCF434" s="56"/>
      <c r="KCG434" s="56"/>
      <c r="KCH434" s="56"/>
      <c r="KCI434" s="56"/>
      <c r="KCJ434" s="56"/>
      <c r="KCK434" s="56"/>
      <c r="KCL434" s="56"/>
      <c r="KCM434" s="56"/>
      <c r="KCN434" s="56"/>
      <c r="KCO434" s="56"/>
      <c r="KCP434" s="56"/>
      <c r="KCQ434" s="56"/>
      <c r="KCR434" s="56"/>
      <c r="KCS434" s="56"/>
      <c r="KCT434" s="56"/>
      <c r="KCU434" s="56"/>
      <c r="KCV434" s="56"/>
      <c r="KCW434" s="56"/>
      <c r="KCX434" s="56"/>
      <c r="KCY434" s="56"/>
      <c r="KCZ434" s="56"/>
      <c r="KDA434" s="56"/>
      <c r="KDB434" s="56"/>
      <c r="KDC434" s="56"/>
      <c r="KDD434" s="56"/>
      <c r="KDE434" s="56"/>
      <c r="KDF434" s="56"/>
      <c r="KDG434" s="56"/>
      <c r="KDH434" s="56"/>
      <c r="KDI434" s="56"/>
      <c r="KDJ434" s="56"/>
      <c r="KDK434" s="56"/>
      <c r="KDL434" s="56"/>
      <c r="KDM434" s="56"/>
      <c r="KDN434" s="56"/>
      <c r="KDO434" s="56"/>
      <c r="KDP434" s="56"/>
      <c r="KDQ434" s="56"/>
      <c r="KDR434" s="56"/>
      <c r="KDS434" s="56"/>
      <c r="KDT434" s="56"/>
      <c r="KDU434" s="56"/>
      <c r="KDV434" s="56"/>
      <c r="KDW434" s="56"/>
      <c r="KDX434" s="56"/>
      <c r="KDY434" s="56"/>
      <c r="KDZ434" s="56"/>
      <c r="KEA434" s="56"/>
      <c r="KEB434" s="56"/>
      <c r="KEC434" s="56"/>
      <c r="KED434" s="56"/>
      <c r="KEE434" s="56"/>
      <c r="KEF434" s="56"/>
      <c r="KEG434" s="56"/>
      <c r="KEH434" s="56"/>
      <c r="KEI434" s="56"/>
      <c r="KEJ434" s="56"/>
      <c r="KEK434" s="56"/>
      <c r="KEL434" s="56"/>
      <c r="KEM434" s="56"/>
      <c r="KEN434" s="56"/>
      <c r="KEO434" s="56"/>
      <c r="KEP434" s="56"/>
      <c r="KEQ434" s="56"/>
      <c r="KER434" s="56"/>
      <c r="KES434" s="56"/>
      <c r="KET434" s="56"/>
      <c r="KEU434" s="56"/>
      <c r="KEV434" s="56"/>
      <c r="KEW434" s="56"/>
      <c r="KEX434" s="56"/>
      <c r="KEY434" s="56"/>
      <c r="KEZ434" s="56"/>
      <c r="KFA434" s="56"/>
      <c r="KFB434" s="56"/>
      <c r="KFC434" s="56"/>
      <c r="KFD434" s="56"/>
      <c r="KFE434" s="56"/>
      <c r="KFF434" s="56"/>
      <c r="KFG434" s="56"/>
      <c r="KFH434" s="56"/>
      <c r="KFI434" s="56"/>
      <c r="KFJ434" s="56"/>
      <c r="KFK434" s="56"/>
      <c r="KFL434" s="56"/>
      <c r="KFM434" s="56"/>
      <c r="KFN434" s="56"/>
      <c r="KFO434" s="56"/>
      <c r="KFP434" s="56"/>
      <c r="KFQ434" s="56"/>
      <c r="KFR434" s="56"/>
      <c r="KFS434" s="56"/>
      <c r="KFT434" s="56"/>
      <c r="KFU434" s="56"/>
      <c r="KFV434" s="56"/>
      <c r="KFW434" s="56"/>
      <c r="KFX434" s="56"/>
      <c r="KFY434" s="56"/>
      <c r="KFZ434" s="56"/>
      <c r="KGA434" s="56"/>
      <c r="KGB434" s="56"/>
      <c r="KGC434" s="56"/>
      <c r="KGD434" s="56"/>
      <c r="KGE434" s="56"/>
      <c r="KGF434" s="56"/>
      <c r="KGG434" s="56"/>
      <c r="KGH434" s="56"/>
      <c r="KGI434" s="56"/>
      <c r="KGJ434" s="56"/>
      <c r="KGK434" s="56"/>
      <c r="KGL434" s="56"/>
      <c r="KGM434" s="56"/>
      <c r="KGN434" s="56"/>
      <c r="KGO434" s="56"/>
      <c r="KGP434" s="56"/>
      <c r="KGQ434" s="56"/>
      <c r="KGR434" s="56"/>
      <c r="KGS434" s="56"/>
      <c r="KGT434" s="56"/>
      <c r="KGU434" s="56"/>
      <c r="KGV434" s="56"/>
      <c r="KGW434" s="56"/>
      <c r="KGX434" s="56"/>
      <c r="KGY434" s="56"/>
      <c r="KGZ434" s="56"/>
      <c r="KHA434" s="56"/>
      <c r="KHB434" s="56"/>
      <c r="KHC434" s="56"/>
      <c r="KHD434" s="56"/>
      <c r="KHE434" s="56"/>
      <c r="KHF434" s="56"/>
      <c r="KHG434" s="56"/>
      <c r="KHH434" s="56"/>
      <c r="KHI434" s="56"/>
      <c r="KHJ434" s="56"/>
      <c r="KHK434" s="56"/>
      <c r="KHL434" s="56"/>
      <c r="KHM434" s="56"/>
      <c r="KHN434" s="56"/>
      <c r="KHO434" s="56"/>
      <c r="KHP434" s="56"/>
      <c r="KHQ434" s="56"/>
      <c r="KHR434" s="56"/>
      <c r="KHS434" s="56"/>
      <c r="KHT434" s="56"/>
      <c r="KHU434" s="56"/>
      <c r="KHV434" s="56"/>
      <c r="KHW434" s="56"/>
      <c r="KHX434" s="56"/>
      <c r="KHY434" s="56"/>
      <c r="KHZ434" s="56"/>
      <c r="KIA434" s="56"/>
      <c r="KIB434" s="56"/>
      <c r="KIC434" s="56"/>
      <c r="KID434" s="56"/>
      <c r="KIE434" s="56"/>
      <c r="KIF434" s="56"/>
      <c r="KIG434" s="56"/>
      <c r="KIH434" s="56"/>
      <c r="KII434" s="56"/>
      <c r="KIJ434" s="56"/>
      <c r="KIK434" s="56"/>
      <c r="KIL434" s="56"/>
      <c r="KIM434" s="56"/>
      <c r="KIN434" s="56"/>
      <c r="KIO434" s="56"/>
      <c r="KIP434" s="56"/>
      <c r="KIQ434" s="56"/>
      <c r="KIR434" s="56"/>
      <c r="KIS434" s="56"/>
      <c r="KIT434" s="56"/>
      <c r="KIU434" s="56"/>
      <c r="KIV434" s="56"/>
      <c r="KIW434" s="56"/>
      <c r="KIX434" s="56"/>
      <c r="KIY434" s="56"/>
      <c r="KIZ434" s="56"/>
      <c r="KJA434" s="56"/>
      <c r="KJB434" s="56"/>
      <c r="KJC434" s="56"/>
      <c r="KJD434" s="56"/>
      <c r="KJE434" s="56"/>
      <c r="KJF434" s="56"/>
      <c r="KJG434" s="56"/>
      <c r="KJH434" s="56"/>
      <c r="KJI434" s="56"/>
      <c r="KJJ434" s="56"/>
      <c r="KJK434" s="56"/>
      <c r="KJL434" s="56"/>
      <c r="KJM434" s="56"/>
      <c r="KJN434" s="56"/>
      <c r="KJO434" s="56"/>
      <c r="KJP434" s="56"/>
      <c r="KJQ434" s="56"/>
      <c r="KJR434" s="56"/>
      <c r="KJS434" s="56"/>
      <c r="KJT434" s="56"/>
      <c r="KJU434" s="56"/>
      <c r="KJV434" s="56"/>
      <c r="KJW434" s="56"/>
      <c r="KJX434" s="56"/>
      <c r="KJY434" s="56"/>
      <c r="KJZ434" s="56"/>
      <c r="KKA434" s="56"/>
      <c r="KKB434" s="56"/>
      <c r="KKC434" s="56"/>
      <c r="KKD434" s="56"/>
      <c r="KKE434" s="56"/>
      <c r="KKF434" s="56"/>
      <c r="KKG434" s="56"/>
      <c r="KKH434" s="56"/>
      <c r="KKI434" s="56"/>
      <c r="KKJ434" s="56"/>
      <c r="KKK434" s="56"/>
      <c r="KKL434" s="56"/>
      <c r="KKM434" s="56"/>
      <c r="KKN434" s="56"/>
      <c r="KKO434" s="56"/>
      <c r="KKP434" s="56"/>
      <c r="KKQ434" s="56"/>
      <c r="KKR434" s="56"/>
      <c r="KKS434" s="56"/>
      <c r="KKT434" s="56"/>
      <c r="KKU434" s="56"/>
      <c r="KKV434" s="56"/>
      <c r="KKW434" s="56"/>
      <c r="KKX434" s="56"/>
      <c r="KKY434" s="56"/>
      <c r="KKZ434" s="56"/>
      <c r="KLA434" s="56"/>
      <c r="KLB434" s="56"/>
      <c r="KLC434" s="56"/>
      <c r="KLD434" s="56"/>
      <c r="KLE434" s="56"/>
      <c r="KLF434" s="56"/>
      <c r="KLG434" s="56"/>
      <c r="KLH434" s="56"/>
      <c r="KLI434" s="56"/>
      <c r="KLJ434" s="56"/>
      <c r="KLK434" s="56"/>
      <c r="KLL434" s="56"/>
      <c r="KLM434" s="56"/>
      <c r="KLN434" s="56"/>
      <c r="KLO434" s="56"/>
      <c r="KLP434" s="56"/>
      <c r="KLQ434" s="56"/>
      <c r="KLR434" s="56"/>
      <c r="KLS434" s="56"/>
      <c r="KLT434" s="56"/>
      <c r="KLU434" s="56"/>
      <c r="KLV434" s="56"/>
      <c r="KLW434" s="56"/>
      <c r="KLX434" s="56"/>
      <c r="KLY434" s="56"/>
      <c r="KLZ434" s="56"/>
      <c r="KMA434" s="56"/>
      <c r="KMB434" s="56"/>
      <c r="KMC434" s="56"/>
      <c r="KMD434" s="56"/>
      <c r="KME434" s="56"/>
      <c r="KMF434" s="56"/>
      <c r="KMG434" s="56"/>
      <c r="KMH434" s="56"/>
      <c r="KMI434" s="56"/>
      <c r="KMJ434" s="56"/>
      <c r="KMK434" s="56"/>
      <c r="KML434" s="56"/>
      <c r="KMM434" s="56"/>
      <c r="KMN434" s="56"/>
      <c r="KMO434" s="56"/>
      <c r="KMP434" s="56"/>
      <c r="KMQ434" s="56"/>
      <c r="KMR434" s="56"/>
      <c r="KMS434" s="56"/>
      <c r="KMT434" s="56"/>
      <c r="KMU434" s="56"/>
      <c r="KMV434" s="56"/>
      <c r="KMW434" s="56"/>
      <c r="KMX434" s="56"/>
      <c r="KMY434" s="56"/>
      <c r="KMZ434" s="56"/>
      <c r="KNA434" s="56"/>
      <c r="KNB434" s="56"/>
      <c r="KNC434" s="56"/>
      <c r="KND434" s="56"/>
      <c r="KNE434" s="56"/>
      <c r="KNF434" s="56"/>
      <c r="KNG434" s="56"/>
      <c r="KNH434" s="56"/>
      <c r="KNI434" s="56"/>
      <c r="KNJ434" s="56"/>
      <c r="KNK434" s="56"/>
      <c r="KNL434" s="56"/>
      <c r="KNM434" s="56"/>
      <c r="KNN434" s="56"/>
      <c r="KNO434" s="56"/>
      <c r="KNP434" s="56"/>
      <c r="KNQ434" s="56"/>
      <c r="KNR434" s="56"/>
      <c r="KNS434" s="56"/>
      <c r="KNT434" s="56"/>
      <c r="KNU434" s="56"/>
      <c r="KNV434" s="56"/>
      <c r="KNW434" s="56"/>
      <c r="KNX434" s="56"/>
      <c r="KNY434" s="56"/>
      <c r="KNZ434" s="56"/>
      <c r="KOA434" s="56"/>
      <c r="KOB434" s="56"/>
      <c r="KOC434" s="56"/>
      <c r="KOD434" s="56"/>
      <c r="KOE434" s="56"/>
      <c r="KOF434" s="56"/>
      <c r="KOG434" s="56"/>
      <c r="KOH434" s="56"/>
      <c r="KOI434" s="56"/>
      <c r="KOJ434" s="56"/>
      <c r="KOK434" s="56"/>
      <c r="KOL434" s="56"/>
      <c r="KOM434" s="56"/>
      <c r="KON434" s="56"/>
      <c r="KOO434" s="56"/>
      <c r="KOP434" s="56"/>
      <c r="KOQ434" s="56"/>
      <c r="KOR434" s="56"/>
      <c r="KOS434" s="56"/>
      <c r="KOT434" s="56"/>
      <c r="KOU434" s="56"/>
      <c r="KOV434" s="56"/>
      <c r="KOW434" s="56"/>
      <c r="KOX434" s="56"/>
      <c r="KOY434" s="56"/>
      <c r="KOZ434" s="56"/>
      <c r="KPA434" s="56"/>
      <c r="KPB434" s="56"/>
      <c r="KPC434" s="56"/>
      <c r="KPD434" s="56"/>
      <c r="KPE434" s="56"/>
      <c r="KPF434" s="56"/>
      <c r="KPG434" s="56"/>
      <c r="KPH434" s="56"/>
      <c r="KPI434" s="56"/>
      <c r="KPJ434" s="56"/>
      <c r="KPK434" s="56"/>
      <c r="KPL434" s="56"/>
      <c r="KPM434" s="56"/>
      <c r="KPN434" s="56"/>
      <c r="KPO434" s="56"/>
      <c r="KPP434" s="56"/>
      <c r="KPQ434" s="56"/>
      <c r="KPR434" s="56"/>
      <c r="KPS434" s="56"/>
      <c r="KPT434" s="56"/>
      <c r="KPU434" s="56"/>
      <c r="KPV434" s="56"/>
      <c r="KPW434" s="56"/>
      <c r="KPX434" s="56"/>
      <c r="KPY434" s="56"/>
      <c r="KPZ434" s="56"/>
      <c r="KQA434" s="56"/>
      <c r="KQB434" s="56"/>
      <c r="KQC434" s="56"/>
      <c r="KQD434" s="56"/>
      <c r="KQE434" s="56"/>
      <c r="KQF434" s="56"/>
      <c r="KQG434" s="56"/>
      <c r="KQH434" s="56"/>
      <c r="KQI434" s="56"/>
      <c r="KQJ434" s="56"/>
      <c r="KQK434" s="56"/>
      <c r="KQL434" s="56"/>
      <c r="KQM434" s="56"/>
      <c r="KQN434" s="56"/>
      <c r="KQO434" s="56"/>
      <c r="KQP434" s="56"/>
      <c r="KQQ434" s="56"/>
      <c r="KQR434" s="56"/>
      <c r="KQS434" s="56"/>
      <c r="KQT434" s="56"/>
      <c r="KQU434" s="56"/>
      <c r="KQV434" s="56"/>
      <c r="KQW434" s="56"/>
      <c r="KQX434" s="56"/>
      <c r="KQY434" s="56"/>
      <c r="KQZ434" s="56"/>
      <c r="KRA434" s="56"/>
      <c r="KRB434" s="56"/>
      <c r="KRC434" s="56"/>
      <c r="KRD434" s="56"/>
      <c r="KRE434" s="56"/>
      <c r="KRF434" s="56"/>
      <c r="KRG434" s="56"/>
      <c r="KRH434" s="56"/>
      <c r="KRI434" s="56"/>
      <c r="KRJ434" s="56"/>
      <c r="KRK434" s="56"/>
      <c r="KRL434" s="56"/>
      <c r="KRM434" s="56"/>
      <c r="KRN434" s="56"/>
      <c r="KRO434" s="56"/>
      <c r="KRP434" s="56"/>
      <c r="KRQ434" s="56"/>
      <c r="KRR434" s="56"/>
      <c r="KRS434" s="56"/>
      <c r="KRT434" s="56"/>
      <c r="KRU434" s="56"/>
      <c r="KRV434" s="56"/>
      <c r="KRW434" s="56"/>
      <c r="KRX434" s="56"/>
      <c r="KRY434" s="56"/>
      <c r="KRZ434" s="56"/>
      <c r="KSA434" s="56"/>
      <c r="KSB434" s="56"/>
      <c r="KSC434" s="56"/>
      <c r="KSD434" s="56"/>
      <c r="KSE434" s="56"/>
      <c r="KSF434" s="56"/>
      <c r="KSG434" s="56"/>
      <c r="KSH434" s="56"/>
      <c r="KSI434" s="56"/>
      <c r="KSJ434" s="56"/>
      <c r="KSK434" s="56"/>
      <c r="KSL434" s="56"/>
      <c r="KSM434" s="56"/>
      <c r="KSN434" s="56"/>
      <c r="KSO434" s="56"/>
      <c r="KSP434" s="56"/>
      <c r="KSQ434" s="56"/>
      <c r="KSR434" s="56"/>
      <c r="KSS434" s="56"/>
      <c r="KST434" s="56"/>
      <c r="KSU434" s="56"/>
      <c r="KSV434" s="56"/>
      <c r="KSW434" s="56"/>
      <c r="KSX434" s="56"/>
      <c r="KSY434" s="56"/>
      <c r="KSZ434" s="56"/>
      <c r="KTA434" s="56"/>
      <c r="KTB434" s="56"/>
      <c r="KTC434" s="56"/>
      <c r="KTD434" s="56"/>
      <c r="KTE434" s="56"/>
      <c r="KTF434" s="56"/>
      <c r="KTG434" s="56"/>
      <c r="KTH434" s="56"/>
      <c r="KTI434" s="56"/>
      <c r="KTJ434" s="56"/>
      <c r="KTK434" s="56"/>
      <c r="KTL434" s="56"/>
      <c r="KTM434" s="56"/>
      <c r="KTN434" s="56"/>
      <c r="KTO434" s="56"/>
      <c r="KTP434" s="56"/>
      <c r="KTQ434" s="56"/>
      <c r="KTR434" s="56"/>
      <c r="KTS434" s="56"/>
      <c r="KTT434" s="56"/>
      <c r="KTU434" s="56"/>
      <c r="KTV434" s="56"/>
      <c r="KTW434" s="56"/>
      <c r="KTX434" s="56"/>
      <c r="KTY434" s="56"/>
      <c r="KTZ434" s="56"/>
      <c r="KUA434" s="56"/>
      <c r="KUB434" s="56"/>
      <c r="KUC434" s="56"/>
      <c r="KUD434" s="56"/>
      <c r="KUE434" s="56"/>
      <c r="KUF434" s="56"/>
      <c r="KUG434" s="56"/>
      <c r="KUH434" s="56"/>
      <c r="KUI434" s="56"/>
      <c r="KUJ434" s="56"/>
      <c r="KUK434" s="56"/>
      <c r="KUL434" s="56"/>
      <c r="KUM434" s="56"/>
      <c r="KUN434" s="56"/>
      <c r="KUO434" s="56"/>
      <c r="KUP434" s="56"/>
      <c r="KUQ434" s="56"/>
      <c r="KUR434" s="56"/>
      <c r="KUS434" s="56"/>
      <c r="KUT434" s="56"/>
      <c r="KUU434" s="56"/>
      <c r="KUV434" s="56"/>
      <c r="KUW434" s="56"/>
      <c r="KUX434" s="56"/>
      <c r="KUY434" s="56"/>
      <c r="KUZ434" s="56"/>
      <c r="KVA434" s="56"/>
      <c r="KVB434" s="56"/>
      <c r="KVC434" s="56"/>
      <c r="KVD434" s="56"/>
      <c r="KVE434" s="56"/>
      <c r="KVF434" s="56"/>
      <c r="KVG434" s="56"/>
      <c r="KVH434" s="56"/>
      <c r="KVI434" s="56"/>
      <c r="KVJ434" s="56"/>
      <c r="KVK434" s="56"/>
      <c r="KVL434" s="56"/>
      <c r="KVM434" s="56"/>
      <c r="KVN434" s="56"/>
      <c r="KVO434" s="56"/>
      <c r="KVP434" s="56"/>
      <c r="KVQ434" s="56"/>
      <c r="KVR434" s="56"/>
      <c r="KVS434" s="56"/>
      <c r="KVT434" s="56"/>
      <c r="KVU434" s="56"/>
      <c r="KVV434" s="56"/>
      <c r="KVW434" s="56"/>
      <c r="KVX434" s="56"/>
      <c r="KVY434" s="56"/>
      <c r="KVZ434" s="56"/>
      <c r="KWA434" s="56"/>
      <c r="KWB434" s="56"/>
      <c r="KWC434" s="56"/>
      <c r="KWD434" s="56"/>
      <c r="KWE434" s="56"/>
      <c r="KWF434" s="56"/>
      <c r="KWG434" s="56"/>
      <c r="KWH434" s="56"/>
      <c r="KWI434" s="56"/>
      <c r="KWJ434" s="56"/>
      <c r="KWK434" s="56"/>
      <c r="KWL434" s="56"/>
      <c r="KWM434" s="56"/>
      <c r="KWN434" s="56"/>
      <c r="KWO434" s="56"/>
      <c r="KWP434" s="56"/>
      <c r="KWQ434" s="56"/>
      <c r="KWR434" s="56"/>
      <c r="KWS434" s="56"/>
      <c r="KWT434" s="56"/>
      <c r="KWU434" s="56"/>
      <c r="KWV434" s="56"/>
      <c r="KWW434" s="56"/>
      <c r="KWX434" s="56"/>
      <c r="KWY434" s="56"/>
      <c r="KWZ434" s="56"/>
      <c r="KXA434" s="56"/>
      <c r="KXB434" s="56"/>
      <c r="KXC434" s="56"/>
      <c r="KXD434" s="56"/>
      <c r="KXE434" s="56"/>
      <c r="KXF434" s="56"/>
      <c r="KXG434" s="56"/>
      <c r="KXH434" s="56"/>
      <c r="KXI434" s="56"/>
      <c r="KXJ434" s="56"/>
      <c r="KXK434" s="56"/>
      <c r="KXL434" s="56"/>
      <c r="KXM434" s="56"/>
      <c r="KXN434" s="56"/>
      <c r="KXO434" s="56"/>
      <c r="KXP434" s="56"/>
      <c r="KXQ434" s="56"/>
      <c r="KXR434" s="56"/>
      <c r="KXS434" s="56"/>
      <c r="KXT434" s="56"/>
      <c r="KXU434" s="56"/>
      <c r="KXV434" s="56"/>
      <c r="KXW434" s="56"/>
      <c r="KXX434" s="56"/>
      <c r="KXY434" s="56"/>
      <c r="KXZ434" s="56"/>
      <c r="KYA434" s="56"/>
      <c r="KYB434" s="56"/>
      <c r="KYC434" s="56"/>
      <c r="KYD434" s="56"/>
      <c r="KYE434" s="56"/>
      <c r="KYF434" s="56"/>
      <c r="KYG434" s="56"/>
      <c r="KYH434" s="56"/>
      <c r="KYI434" s="56"/>
      <c r="KYJ434" s="56"/>
      <c r="KYK434" s="56"/>
      <c r="KYL434" s="56"/>
      <c r="KYM434" s="56"/>
      <c r="KYN434" s="56"/>
      <c r="KYO434" s="56"/>
      <c r="KYP434" s="56"/>
      <c r="KYQ434" s="56"/>
      <c r="KYR434" s="56"/>
      <c r="KYS434" s="56"/>
      <c r="KYT434" s="56"/>
      <c r="KYU434" s="56"/>
      <c r="KYV434" s="56"/>
      <c r="KYW434" s="56"/>
      <c r="KYX434" s="56"/>
      <c r="KYY434" s="56"/>
      <c r="KYZ434" s="56"/>
      <c r="KZA434" s="56"/>
      <c r="KZB434" s="56"/>
      <c r="KZC434" s="56"/>
      <c r="KZD434" s="56"/>
      <c r="KZE434" s="56"/>
      <c r="KZF434" s="56"/>
      <c r="KZG434" s="56"/>
      <c r="KZH434" s="56"/>
      <c r="KZI434" s="56"/>
      <c r="KZJ434" s="56"/>
      <c r="KZK434" s="56"/>
      <c r="KZL434" s="56"/>
      <c r="KZM434" s="56"/>
      <c r="KZN434" s="56"/>
      <c r="KZO434" s="56"/>
      <c r="KZP434" s="56"/>
      <c r="KZQ434" s="56"/>
      <c r="KZR434" s="56"/>
      <c r="KZS434" s="56"/>
      <c r="KZT434" s="56"/>
      <c r="KZU434" s="56"/>
      <c r="KZV434" s="56"/>
      <c r="KZW434" s="56"/>
      <c r="KZX434" s="56"/>
      <c r="KZY434" s="56"/>
      <c r="KZZ434" s="56"/>
      <c r="LAA434" s="56"/>
      <c r="LAB434" s="56"/>
      <c r="LAC434" s="56"/>
      <c r="LAD434" s="56"/>
      <c r="LAE434" s="56"/>
      <c r="LAF434" s="56"/>
      <c r="LAG434" s="56"/>
      <c r="LAH434" s="56"/>
      <c r="LAI434" s="56"/>
      <c r="LAJ434" s="56"/>
      <c r="LAK434" s="56"/>
      <c r="LAL434" s="56"/>
      <c r="LAM434" s="56"/>
      <c r="LAN434" s="56"/>
      <c r="LAO434" s="56"/>
      <c r="LAP434" s="56"/>
      <c r="LAQ434" s="56"/>
      <c r="LAR434" s="56"/>
      <c r="LAS434" s="56"/>
      <c r="LAT434" s="56"/>
      <c r="LAU434" s="56"/>
      <c r="LAV434" s="56"/>
      <c r="LAW434" s="56"/>
      <c r="LAX434" s="56"/>
      <c r="LAY434" s="56"/>
      <c r="LAZ434" s="56"/>
      <c r="LBA434" s="56"/>
      <c r="LBB434" s="56"/>
      <c r="LBC434" s="56"/>
      <c r="LBD434" s="56"/>
      <c r="LBE434" s="56"/>
      <c r="LBF434" s="56"/>
      <c r="LBG434" s="56"/>
      <c r="LBH434" s="56"/>
      <c r="LBI434" s="56"/>
      <c r="LBJ434" s="56"/>
      <c r="LBK434" s="56"/>
      <c r="LBL434" s="56"/>
      <c r="LBM434" s="56"/>
      <c r="LBN434" s="56"/>
      <c r="LBO434" s="56"/>
      <c r="LBP434" s="56"/>
      <c r="LBQ434" s="56"/>
      <c r="LBR434" s="56"/>
      <c r="LBS434" s="56"/>
      <c r="LBT434" s="56"/>
      <c r="LBU434" s="56"/>
      <c r="LBV434" s="56"/>
      <c r="LBW434" s="56"/>
      <c r="LBX434" s="56"/>
      <c r="LBY434" s="56"/>
      <c r="LBZ434" s="56"/>
      <c r="LCA434" s="56"/>
      <c r="LCB434" s="56"/>
      <c r="LCC434" s="56"/>
      <c r="LCD434" s="56"/>
      <c r="LCE434" s="56"/>
      <c r="LCF434" s="56"/>
      <c r="LCG434" s="56"/>
      <c r="LCH434" s="56"/>
      <c r="LCI434" s="56"/>
      <c r="LCJ434" s="56"/>
      <c r="LCK434" s="56"/>
      <c r="LCL434" s="56"/>
      <c r="LCM434" s="56"/>
      <c r="LCN434" s="56"/>
      <c r="LCO434" s="56"/>
      <c r="LCP434" s="56"/>
      <c r="LCQ434" s="56"/>
      <c r="LCR434" s="56"/>
      <c r="LCS434" s="56"/>
      <c r="LCT434" s="56"/>
      <c r="LCU434" s="56"/>
      <c r="LCV434" s="56"/>
      <c r="LCW434" s="56"/>
      <c r="LCX434" s="56"/>
      <c r="LCY434" s="56"/>
      <c r="LCZ434" s="56"/>
      <c r="LDA434" s="56"/>
      <c r="LDB434" s="56"/>
      <c r="LDC434" s="56"/>
      <c r="LDD434" s="56"/>
      <c r="LDE434" s="56"/>
      <c r="LDF434" s="56"/>
      <c r="LDG434" s="56"/>
      <c r="LDH434" s="56"/>
      <c r="LDI434" s="56"/>
      <c r="LDJ434" s="56"/>
      <c r="LDK434" s="56"/>
      <c r="LDL434" s="56"/>
      <c r="LDM434" s="56"/>
      <c r="LDN434" s="56"/>
      <c r="LDO434" s="56"/>
      <c r="LDP434" s="56"/>
      <c r="LDQ434" s="56"/>
      <c r="LDR434" s="56"/>
      <c r="LDS434" s="56"/>
      <c r="LDT434" s="56"/>
      <c r="LDU434" s="56"/>
      <c r="LDV434" s="56"/>
      <c r="LDW434" s="56"/>
      <c r="LDX434" s="56"/>
      <c r="LDY434" s="56"/>
      <c r="LDZ434" s="56"/>
      <c r="LEA434" s="56"/>
      <c r="LEB434" s="56"/>
      <c r="LEC434" s="56"/>
      <c r="LED434" s="56"/>
      <c r="LEE434" s="56"/>
      <c r="LEF434" s="56"/>
      <c r="LEG434" s="56"/>
      <c r="LEH434" s="56"/>
      <c r="LEI434" s="56"/>
      <c r="LEJ434" s="56"/>
      <c r="LEK434" s="56"/>
      <c r="LEL434" s="56"/>
      <c r="LEM434" s="56"/>
      <c r="LEN434" s="56"/>
      <c r="LEO434" s="56"/>
      <c r="LEP434" s="56"/>
      <c r="LEQ434" s="56"/>
      <c r="LER434" s="56"/>
      <c r="LES434" s="56"/>
      <c r="LET434" s="56"/>
      <c r="LEU434" s="56"/>
      <c r="LEV434" s="56"/>
      <c r="LEW434" s="56"/>
      <c r="LEX434" s="56"/>
      <c r="LEY434" s="56"/>
      <c r="LEZ434" s="56"/>
      <c r="LFA434" s="56"/>
      <c r="LFB434" s="56"/>
      <c r="LFC434" s="56"/>
      <c r="LFD434" s="56"/>
      <c r="LFE434" s="56"/>
      <c r="LFF434" s="56"/>
      <c r="LFG434" s="56"/>
      <c r="LFH434" s="56"/>
      <c r="LFI434" s="56"/>
      <c r="LFJ434" s="56"/>
      <c r="LFK434" s="56"/>
      <c r="LFL434" s="56"/>
      <c r="LFM434" s="56"/>
      <c r="LFN434" s="56"/>
      <c r="LFO434" s="56"/>
      <c r="LFP434" s="56"/>
      <c r="LFQ434" s="56"/>
      <c r="LFR434" s="56"/>
      <c r="LFS434" s="56"/>
      <c r="LFT434" s="56"/>
      <c r="LFU434" s="56"/>
      <c r="LFV434" s="56"/>
      <c r="LFW434" s="56"/>
      <c r="LFX434" s="56"/>
      <c r="LFY434" s="56"/>
      <c r="LFZ434" s="56"/>
      <c r="LGA434" s="56"/>
      <c r="LGB434" s="56"/>
      <c r="LGC434" s="56"/>
      <c r="LGD434" s="56"/>
      <c r="LGE434" s="56"/>
      <c r="LGF434" s="56"/>
      <c r="LGG434" s="56"/>
      <c r="LGH434" s="56"/>
      <c r="LGI434" s="56"/>
      <c r="LGJ434" s="56"/>
      <c r="LGK434" s="56"/>
      <c r="LGL434" s="56"/>
      <c r="LGM434" s="56"/>
      <c r="LGN434" s="56"/>
      <c r="LGO434" s="56"/>
      <c r="LGP434" s="56"/>
      <c r="LGQ434" s="56"/>
      <c r="LGR434" s="56"/>
      <c r="LGS434" s="56"/>
      <c r="LGT434" s="56"/>
      <c r="LGU434" s="56"/>
      <c r="LGV434" s="56"/>
      <c r="LGW434" s="56"/>
      <c r="LGX434" s="56"/>
      <c r="LGY434" s="56"/>
      <c r="LGZ434" s="56"/>
      <c r="LHA434" s="56"/>
      <c r="LHB434" s="56"/>
      <c r="LHC434" s="56"/>
      <c r="LHD434" s="56"/>
      <c r="LHE434" s="56"/>
      <c r="LHF434" s="56"/>
      <c r="LHG434" s="56"/>
      <c r="LHH434" s="56"/>
      <c r="LHI434" s="56"/>
      <c r="LHJ434" s="56"/>
      <c r="LHK434" s="56"/>
      <c r="LHL434" s="56"/>
      <c r="LHM434" s="56"/>
      <c r="LHN434" s="56"/>
      <c r="LHO434" s="56"/>
      <c r="LHP434" s="56"/>
      <c r="LHQ434" s="56"/>
      <c r="LHR434" s="56"/>
      <c r="LHS434" s="56"/>
      <c r="LHT434" s="56"/>
      <c r="LHU434" s="56"/>
      <c r="LHV434" s="56"/>
      <c r="LHW434" s="56"/>
      <c r="LHX434" s="56"/>
      <c r="LHY434" s="56"/>
      <c r="LHZ434" s="56"/>
      <c r="LIA434" s="56"/>
      <c r="LIB434" s="56"/>
      <c r="LIC434" s="56"/>
      <c r="LID434" s="56"/>
      <c r="LIE434" s="56"/>
      <c r="LIF434" s="56"/>
      <c r="LIG434" s="56"/>
      <c r="LIH434" s="56"/>
      <c r="LII434" s="56"/>
      <c r="LIJ434" s="56"/>
      <c r="LIK434" s="56"/>
      <c r="LIL434" s="56"/>
      <c r="LIM434" s="56"/>
      <c r="LIN434" s="56"/>
      <c r="LIO434" s="56"/>
      <c r="LIP434" s="56"/>
      <c r="LIQ434" s="56"/>
      <c r="LIR434" s="56"/>
      <c r="LIS434" s="56"/>
      <c r="LIT434" s="56"/>
      <c r="LIU434" s="56"/>
      <c r="LIV434" s="56"/>
      <c r="LIW434" s="56"/>
      <c r="LIX434" s="56"/>
      <c r="LIY434" s="56"/>
      <c r="LIZ434" s="56"/>
      <c r="LJA434" s="56"/>
      <c r="LJB434" s="56"/>
      <c r="LJC434" s="56"/>
      <c r="LJD434" s="56"/>
      <c r="LJE434" s="56"/>
      <c r="LJF434" s="56"/>
      <c r="LJG434" s="56"/>
      <c r="LJH434" s="56"/>
      <c r="LJI434" s="56"/>
      <c r="LJJ434" s="56"/>
      <c r="LJK434" s="56"/>
      <c r="LJL434" s="56"/>
      <c r="LJM434" s="56"/>
      <c r="LJN434" s="56"/>
      <c r="LJO434" s="56"/>
      <c r="LJP434" s="56"/>
      <c r="LJQ434" s="56"/>
      <c r="LJR434" s="56"/>
      <c r="LJS434" s="56"/>
      <c r="LJT434" s="56"/>
      <c r="LJU434" s="56"/>
      <c r="LJV434" s="56"/>
      <c r="LJW434" s="56"/>
      <c r="LJX434" s="56"/>
      <c r="LJY434" s="56"/>
      <c r="LJZ434" s="56"/>
      <c r="LKA434" s="56"/>
      <c r="LKB434" s="56"/>
      <c r="LKC434" s="56"/>
      <c r="LKD434" s="56"/>
      <c r="LKE434" s="56"/>
      <c r="LKF434" s="56"/>
      <c r="LKG434" s="56"/>
      <c r="LKH434" s="56"/>
      <c r="LKI434" s="56"/>
      <c r="LKJ434" s="56"/>
      <c r="LKK434" s="56"/>
      <c r="LKL434" s="56"/>
      <c r="LKM434" s="56"/>
      <c r="LKN434" s="56"/>
      <c r="LKO434" s="56"/>
      <c r="LKP434" s="56"/>
      <c r="LKQ434" s="56"/>
      <c r="LKR434" s="56"/>
      <c r="LKS434" s="56"/>
      <c r="LKT434" s="56"/>
      <c r="LKU434" s="56"/>
      <c r="LKV434" s="56"/>
      <c r="LKW434" s="56"/>
      <c r="LKX434" s="56"/>
      <c r="LKY434" s="56"/>
      <c r="LKZ434" s="56"/>
      <c r="LLA434" s="56"/>
      <c r="LLB434" s="56"/>
      <c r="LLC434" s="56"/>
      <c r="LLD434" s="56"/>
      <c r="LLE434" s="56"/>
      <c r="LLF434" s="56"/>
      <c r="LLG434" s="56"/>
      <c r="LLH434" s="56"/>
      <c r="LLI434" s="56"/>
      <c r="LLJ434" s="56"/>
      <c r="LLK434" s="56"/>
      <c r="LLL434" s="56"/>
      <c r="LLM434" s="56"/>
      <c r="LLN434" s="56"/>
      <c r="LLO434" s="56"/>
      <c r="LLP434" s="56"/>
      <c r="LLQ434" s="56"/>
      <c r="LLR434" s="56"/>
      <c r="LLS434" s="56"/>
      <c r="LLT434" s="56"/>
      <c r="LLU434" s="56"/>
      <c r="LLV434" s="56"/>
      <c r="LLW434" s="56"/>
      <c r="LLX434" s="56"/>
      <c r="LLY434" s="56"/>
      <c r="LLZ434" s="56"/>
      <c r="LMA434" s="56"/>
      <c r="LMB434" s="56"/>
      <c r="LMC434" s="56"/>
      <c r="LMD434" s="56"/>
      <c r="LME434" s="56"/>
      <c r="LMF434" s="56"/>
      <c r="LMG434" s="56"/>
      <c r="LMH434" s="56"/>
      <c r="LMI434" s="56"/>
      <c r="LMJ434" s="56"/>
      <c r="LMK434" s="56"/>
      <c r="LML434" s="56"/>
      <c r="LMM434" s="56"/>
      <c r="LMN434" s="56"/>
      <c r="LMO434" s="56"/>
      <c r="LMP434" s="56"/>
      <c r="LMQ434" s="56"/>
      <c r="LMR434" s="56"/>
      <c r="LMS434" s="56"/>
      <c r="LMT434" s="56"/>
      <c r="LMU434" s="56"/>
      <c r="LMV434" s="56"/>
      <c r="LMW434" s="56"/>
      <c r="LMX434" s="56"/>
      <c r="LMY434" s="56"/>
      <c r="LMZ434" s="56"/>
      <c r="LNA434" s="56"/>
      <c r="LNB434" s="56"/>
      <c r="LNC434" s="56"/>
      <c r="LND434" s="56"/>
      <c r="LNE434" s="56"/>
      <c r="LNF434" s="56"/>
      <c r="LNG434" s="56"/>
      <c r="LNH434" s="56"/>
      <c r="LNI434" s="56"/>
      <c r="LNJ434" s="56"/>
      <c r="LNK434" s="56"/>
      <c r="LNL434" s="56"/>
      <c r="LNM434" s="56"/>
      <c r="LNN434" s="56"/>
      <c r="LNO434" s="56"/>
      <c r="LNP434" s="56"/>
      <c r="LNQ434" s="56"/>
      <c r="LNR434" s="56"/>
      <c r="LNS434" s="56"/>
      <c r="LNT434" s="56"/>
      <c r="LNU434" s="56"/>
      <c r="LNV434" s="56"/>
      <c r="LNW434" s="56"/>
      <c r="LNX434" s="56"/>
      <c r="LNY434" s="56"/>
      <c r="LNZ434" s="56"/>
      <c r="LOA434" s="56"/>
      <c r="LOB434" s="56"/>
      <c r="LOC434" s="56"/>
      <c r="LOD434" s="56"/>
      <c r="LOE434" s="56"/>
      <c r="LOF434" s="56"/>
      <c r="LOG434" s="56"/>
      <c r="LOH434" s="56"/>
      <c r="LOI434" s="56"/>
      <c r="LOJ434" s="56"/>
      <c r="LOK434" s="56"/>
      <c r="LOL434" s="56"/>
      <c r="LOM434" s="56"/>
      <c r="LON434" s="56"/>
      <c r="LOO434" s="56"/>
      <c r="LOP434" s="56"/>
      <c r="LOQ434" s="56"/>
      <c r="LOR434" s="56"/>
      <c r="LOS434" s="56"/>
      <c r="LOT434" s="56"/>
      <c r="LOU434" s="56"/>
      <c r="LOV434" s="56"/>
      <c r="LOW434" s="56"/>
      <c r="LOX434" s="56"/>
      <c r="LOY434" s="56"/>
      <c r="LOZ434" s="56"/>
      <c r="LPA434" s="56"/>
      <c r="LPB434" s="56"/>
      <c r="LPC434" s="56"/>
      <c r="LPD434" s="56"/>
      <c r="LPE434" s="56"/>
      <c r="LPF434" s="56"/>
      <c r="LPG434" s="56"/>
      <c r="LPH434" s="56"/>
      <c r="LPI434" s="56"/>
      <c r="LPJ434" s="56"/>
      <c r="LPK434" s="56"/>
      <c r="LPL434" s="56"/>
      <c r="LPM434" s="56"/>
      <c r="LPN434" s="56"/>
      <c r="LPO434" s="56"/>
      <c r="LPP434" s="56"/>
      <c r="LPQ434" s="56"/>
      <c r="LPR434" s="56"/>
      <c r="LPS434" s="56"/>
      <c r="LPT434" s="56"/>
      <c r="LPU434" s="56"/>
      <c r="LPV434" s="56"/>
      <c r="LPW434" s="56"/>
      <c r="LPX434" s="56"/>
      <c r="LPY434" s="56"/>
      <c r="LPZ434" s="56"/>
      <c r="LQA434" s="56"/>
      <c r="LQB434" s="56"/>
      <c r="LQC434" s="56"/>
      <c r="LQD434" s="56"/>
      <c r="LQE434" s="56"/>
      <c r="LQF434" s="56"/>
      <c r="LQG434" s="56"/>
      <c r="LQH434" s="56"/>
      <c r="LQI434" s="56"/>
      <c r="LQJ434" s="56"/>
      <c r="LQK434" s="56"/>
      <c r="LQL434" s="56"/>
      <c r="LQM434" s="56"/>
      <c r="LQN434" s="56"/>
      <c r="LQO434" s="56"/>
      <c r="LQP434" s="56"/>
      <c r="LQQ434" s="56"/>
      <c r="LQR434" s="56"/>
      <c r="LQS434" s="56"/>
      <c r="LQT434" s="56"/>
      <c r="LQU434" s="56"/>
      <c r="LQV434" s="56"/>
      <c r="LQW434" s="56"/>
      <c r="LQX434" s="56"/>
      <c r="LQY434" s="56"/>
      <c r="LQZ434" s="56"/>
      <c r="LRA434" s="56"/>
      <c r="LRB434" s="56"/>
      <c r="LRC434" s="56"/>
      <c r="LRD434" s="56"/>
      <c r="LRE434" s="56"/>
      <c r="LRF434" s="56"/>
      <c r="LRG434" s="56"/>
      <c r="LRH434" s="56"/>
      <c r="LRI434" s="56"/>
      <c r="LRJ434" s="56"/>
      <c r="LRK434" s="56"/>
      <c r="LRL434" s="56"/>
      <c r="LRM434" s="56"/>
      <c r="LRN434" s="56"/>
      <c r="LRO434" s="56"/>
      <c r="LRP434" s="56"/>
      <c r="LRQ434" s="56"/>
      <c r="LRR434" s="56"/>
      <c r="LRS434" s="56"/>
      <c r="LRT434" s="56"/>
      <c r="LRU434" s="56"/>
      <c r="LRV434" s="56"/>
      <c r="LRW434" s="56"/>
      <c r="LRX434" s="56"/>
      <c r="LRY434" s="56"/>
      <c r="LRZ434" s="56"/>
      <c r="LSA434" s="56"/>
      <c r="LSB434" s="56"/>
      <c r="LSC434" s="56"/>
      <c r="LSD434" s="56"/>
      <c r="LSE434" s="56"/>
      <c r="LSF434" s="56"/>
      <c r="LSG434" s="56"/>
      <c r="LSH434" s="56"/>
      <c r="LSI434" s="56"/>
      <c r="LSJ434" s="56"/>
      <c r="LSK434" s="56"/>
      <c r="LSL434" s="56"/>
      <c r="LSM434" s="56"/>
      <c r="LSN434" s="56"/>
      <c r="LSO434" s="56"/>
      <c r="LSP434" s="56"/>
      <c r="LSQ434" s="56"/>
      <c r="LSR434" s="56"/>
      <c r="LSS434" s="56"/>
      <c r="LST434" s="56"/>
      <c r="LSU434" s="56"/>
      <c r="LSV434" s="56"/>
      <c r="LSW434" s="56"/>
      <c r="LSX434" s="56"/>
      <c r="LSY434" s="56"/>
      <c r="LSZ434" s="56"/>
      <c r="LTA434" s="56"/>
      <c r="LTB434" s="56"/>
      <c r="LTC434" s="56"/>
      <c r="LTD434" s="56"/>
      <c r="LTE434" s="56"/>
      <c r="LTF434" s="56"/>
      <c r="LTG434" s="56"/>
      <c r="LTH434" s="56"/>
      <c r="LTI434" s="56"/>
      <c r="LTJ434" s="56"/>
      <c r="LTK434" s="56"/>
      <c r="LTL434" s="56"/>
      <c r="LTM434" s="56"/>
      <c r="LTN434" s="56"/>
      <c r="LTO434" s="56"/>
      <c r="LTP434" s="56"/>
      <c r="LTQ434" s="56"/>
      <c r="LTR434" s="56"/>
      <c r="LTS434" s="56"/>
      <c r="LTT434" s="56"/>
      <c r="LTU434" s="56"/>
      <c r="LTV434" s="56"/>
      <c r="LTW434" s="56"/>
      <c r="LTX434" s="56"/>
      <c r="LTY434" s="56"/>
      <c r="LTZ434" s="56"/>
      <c r="LUA434" s="56"/>
      <c r="LUB434" s="56"/>
      <c r="LUC434" s="56"/>
      <c r="LUD434" s="56"/>
      <c r="LUE434" s="56"/>
      <c r="LUF434" s="56"/>
      <c r="LUG434" s="56"/>
      <c r="LUH434" s="56"/>
      <c r="LUI434" s="56"/>
      <c r="LUJ434" s="56"/>
      <c r="LUK434" s="56"/>
      <c r="LUL434" s="56"/>
      <c r="LUM434" s="56"/>
      <c r="LUN434" s="56"/>
      <c r="LUO434" s="56"/>
      <c r="LUP434" s="56"/>
      <c r="LUQ434" s="56"/>
      <c r="LUR434" s="56"/>
      <c r="LUS434" s="56"/>
      <c r="LUT434" s="56"/>
      <c r="LUU434" s="56"/>
      <c r="LUV434" s="56"/>
      <c r="LUW434" s="56"/>
      <c r="LUX434" s="56"/>
      <c r="LUY434" s="56"/>
      <c r="LUZ434" s="56"/>
      <c r="LVA434" s="56"/>
      <c r="LVB434" s="56"/>
      <c r="LVC434" s="56"/>
      <c r="LVD434" s="56"/>
      <c r="LVE434" s="56"/>
      <c r="LVF434" s="56"/>
      <c r="LVG434" s="56"/>
      <c r="LVH434" s="56"/>
      <c r="LVI434" s="56"/>
      <c r="LVJ434" s="56"/>
      <c r="LVK434" s="56"/>
      <c r="LVL434" s="56"/>
      <c r="LVM434" s="56"/>
      <c r="LVN434" s="56"/>
      <c r="LVO434" s="56"/>
      <c r="LVP434" s="56"/>
      <c r="LVQ434" s="56"/>
      <c r="LVR434" s="56"/>
      <c r="LVS434" s="56"/>
      <c r="LVT434" s="56"/>
      <c r="LVU434" s="56"/>
      <c r="LVV434" s="56"/>
      <c r="LVW434" s="56"/>
      <c r="LVX434" s="56"/>
      <c r="LVY434" s="56"/>
      <c r="LVZ434" s="56"/>
      <c r="LWA434" s="56"/>
      <c r="LWB434" s="56"/>
      <c r="LWC434" s="56"/>
      <c r="LWD434" s="56"/>
      <c r="LWE434" s="56"/>
      <c r="LWF434" s="56"/>
      <c r="LWG434" s="56"/>
      <c r="LWH434" s="56"/>
      <c r="LWI434" s="56"/>
      <c r="LWJ434" s="56"/>
      <c r="LWK434" s="56"/>
      <c r="LWL434" s="56"/>
      <c r="LWM434" s="56"/>
      <c r="LWN434" s="56"/>
      <c r="LWO434" s="56"/>
      <c r="LWP434" s="56"/>
      <c r="LWQ434" s="56"/>
      <c r="LWR434" s="56"/>
      <c r="LWS434" s="56"/>
      <c r="LWT434" s="56"/>
      <c r="LWU434" s="56"/>
      <c r="LWV434" s="56"/>
      <c r="LWW434" s="56"/>
      <c r="LWX434" s="56"/>
      <c r="LWY434" s="56"/>
      <c r="LWZ434" s="56"/>
      <c r="LXA434" s="56"/>
      <c r="LXB434" s="56"/>
      <c r="LXC434" s="56"/>
      <c r="LXD434" s="56"/>
      <c r="LXE434" s="56"/>
      <c r="LXF434" s="56"/>
      <c r="LXG434" s="56"/>
      <c r="LXH434" s="56"/>
      <c r="LXI434" s="56"/>
      <c r="LXJ434" s="56"/>
      <c r="LXK434" s="56"/>
      <c r="LXL434" s="56"/>
      <c r="LXM434" s="56"/>
      <c r="LXN434" s="56"/>
      <c r="LXO434" s="56"/>
      <c r="LXP434" s="56"/>
      <c r="LXQ434" s="56"/>
      <c r="LXR434" s="56"/>
      <c r="LXS434" s="56"/>
      <c r="LXT434" s="56"/>
      <c r="LXU434" s="56"/>
      <c r="LXV434" s="56"/>
      <c r="LXW434" s="56"/>
      <c r="LXX434" s="56"/>
      <c r="LXY434" s="56"/>
      <c r="LXZ434" s="56"/>
      <c r="LYA434" s="56"/>
      <c r="LYB434" s="56"/>
      <c r="LYC434" s="56"/>
      <c r="LYD434" s="56"/>
      <c r="LYE434" s="56"/>
      <c r="LYF434" s="56"/>
      <c r="LYG434" s="56"/>
      <c r="LYH434" s="56"/>
      <c r="LYI434" s="56"/>
      <c r="LYJ434" s="56"/>
      <c r="LYK434" s="56"/>
      <c r="LYL434" s="56"/>
      <c r="LYM434" s="56"/>
      <c r="LYN434" s="56"/>
      <c r="LYO434" s="56"/>
      <c r="LYP434" s="56"/>
      <c r="LYQ434" s="56"/>
      <c r="LYR434" s="56"/>
      <c r="LYS434" s="56"/>
      <c r="LYT434" s="56"/>
      <c r="LYU434" s="56"/>
      <c r="LYV434" s="56"/>
      <c r="LYW434" s="56"/>
      <c r="LYX434" s="56"/>
      <c r="LYY434" s="56"/>
      <c r="LYZ434" s="56"/>
      <c r="LZA434" s="56"/>
      <c r="LZB434" s="56"/>
      <c r="LZC434" s="56"/>
      <c r="LZD434" s="56"/>
      <c r="LZE434" s="56"/>
      <c r="LZF434" s="56"/>
      <c r="LZG434" s="56"/>
      <c r="LZH434" s="56"/>
      <c r="LZI434" s="56"/>
      <c r="LZJ434" s="56"/>
      <c r="LZK434" s="56"/>
      <c r="LZL434" s="56"/>
      <c r="LZM434" s="56"/>
      <c r="LZN434" s="56"/>
      <c r="LZO434" s="56"/>
      <c r="LZP434" s="56"/>
      <c r="LZQ434" s="56"/>
      <c r="LZR434" s="56"/>
      <c r="LZS434" s="56"/>
      <c r="LZT434" s="56"/>
      <c r="LZU434" s="56"/>
      <c r="LZV434" s="56"/>
      <c r="LZW434" s="56"/>
      <c r="LZX434" s="56"/>
      <c r="LZY434" s="56"/>
      <c r="LZZ434" s="56"/>
      <c r="MAA434" s="56"/>
      <c r="MAB434" s="56"/>
      <c r="MAC434" s="56"/>
      <c r="MAD434" s="56"/>
      <c r="MAE434" s="56"/>
      <c r="MAF434" s="56"/>
      <c r="MAG434" s="56"/>
      <c r="MAH434" s="56"/>
      <c r="MAI434" s="56"/>
      <c r="MAJ434" s="56"/>
      <c r="MAK434" s="56"/>
      <c r="MAL434" s="56"/>
      <c r="MAM434" s="56"/>
      <c r="MAN434" s="56"/>
      <c r="MAO434" s="56"/>
      <c r="MAP434" s="56"/>
      <c r="MAQ434" s="56"/>
      <c r="MAR434" s="56"/>
      <c r="MAS434" s="56"/>
      <c r="MAT434" s="56"/>
      <c r="MAU434" s="56"/>
      <c r="MAV434" s="56"/>
      <c r="MAW434" s="56"/>
      <c r="MAX434" s="56"/>
      <c r="MAY434" s="56"/>
      <c r="MAZ434" s="56"/>
      <c r="MBA434" s="56"/>
      <c r="MBB434" s="56"/>
      <c r="MBC434" s="56"/>
      <c r="MBD434" s="56"/>
      <c r="MBE434" s="56"/>
      <c r="MBF434" s="56"/>
      <c r="MBG434" s="56"/>
      <c r="MBH434" s="56"/>
      <c r="MBI434" s="56"/>
      <c r="MBJ434" s="56"/>
      <c r="MBK434" s="56"/>
      <c r="MBL434" s="56"/>
      <c r="MBM434" s="56"/>
      <c r="MBN434" s="56"/>
      <c r="MBO434" s="56"/>
      <c r="MBP434" s="56"/>
      <c r="MBQ434" s="56"/>
      <c r="MBR434" s="56"/>
      <c r="MBS434" s="56"/>
      <c r="MBT434" s="56"/>
      <c r="MBU434" s="56"/>
      <c r="MBV434" s="56"/>
      <c r="MBW434" s="56"/>
      <c r="MBX434" s="56"/>
      <c r="MBY434" s="56"/>
      <c r="MBZ434" s="56"/>
      <c r="MCA434" s="56"/>
      <c r="MCB434" s="56"/>
      <c r="MCC434" s="56"/>
      <c r="MCD434" s="56"/>
      <c r="MCE434" s="56"/>
      <c r="MCF434" s="56"/>
      <c r="MCG434" s="56"/>
      <c r="MCH434" s="56"/>
      <c r="MCI434" s="56"/>
      <c r="MCJ434" s="56"/>
      <c r="MCK434" s="56"/>
      <c r="MCL434" s="56"/>
      <c r="MCM434" s="56"/>
      <c r="MCN434" s="56"/>
      <c r="MCO434" s="56"/>
      <c r="MCP434" s="56"/>
      <c r="MCQ434" s="56"/>
      <c r="MCR434" s="56"/>
      <c r="MCS434" s="56"/>
      <c r="MCT434" s="56"/>
      <c r="MCU434" s="56"/>
      <c r="MCV434" s="56"/>
      <c r="MCW434" s="56"/>
      <c r="MCX434" s="56"/>
      <c r="MCY434" s="56"/>
      <c r="MCZ434" s="56"/>
      <c r="MDA434" s="56"/>
      <c r="MDB434" s="56"/>
      <c r="MDC434" s="56"/>
      <c r="MDD434" s="56"/>
      <c r="MDE434" s="56"/>
      <c r="MDF434" s="56"/>
      <c r="MDG434" s="56"/>
      <c r="MDH434" s="56"/>
      <c r="MDI434" s="56"/>
      <c r="MDJ434" s="56"/>
      <c r="MDK434" s="56"/>
      <c r="MDL434" s="56"/>
      <c r="MDM434" s="56"/>
      <c r="MDN434" s="56"/>
      <c r="MDO434" s="56"/>
      <c r="MDP434" s="56"/>
      <c r="MDQ434" s="56"/>
      <c r="MDR434" s="56"/>
      <c r="MDS434" s="56"/>
      <c r="MDT434" s="56"/>
      <c r="MDU434" s="56"/>
      <c r="MDV434" s="56"/>
      <c r="MDW434" s="56"/>
      <c r="MDX434" s="56"/>
      <c r="MDY434" s="56"/>
      <c r="MDZ434" s="56"/>
      <c r="MEA434" s="56"/>
      <c r="MEB434" s="56"/>
      <c r="MEC434" s="56"/>
      <c r="MED434" s="56"/>
      <c r="MEE434" s="56"/>
      <c r="MEF434" s="56"/>
      <c r="MEG434" s="56"/>
      <c r="MEH434" s="56"/>
      <c r="MEI434" s="56"/>
      <c r="MEJ434" s="56"/>
      <c r="MEK434" s="56"/>
      <c r="MEL434" s="56"/>
      <c r="MEM434" s="56"/>
      <c r="MEN434" s="56"/>
      <c r="MEO434" s="56"/>
      <c r="MEP434" s="56"/>
      <c r="MEQ434" s="56"/>
      <c r="MER434" s="56"/>
      <c r="MES434" s="56"/>
      <c r="MET434" s="56"/>
      <c r="MEU434" s="56"/>
      <c r="MEV434" s="56"/>
      <c r="MEW434" s="56"/>
      <c r="MEX434" s="56"/>
      <c r="MEY434" s="56"/>
      <c r="MEZ434" s="56"/>
      <c r="MFA434" s="56"/>
      <c r="MFB434" s="56"/>
      <c r="MFC434" s="56"/>
      <c r="MFD434" s="56"/>
      <c r="MFE434" s="56"/>
      <c r="MFF434" s="56"/>
      <c r="MFG434" s="56"/>
      <c r="MFH434" s="56"/>
      <c r="MFI434" s="56"/>
      <c r="MFJ434" s="56"/>
      <c r="MFK434" s="56"/>
      <c r="MFL434" s="56"/>
      <c r="MFM434" s="56"/>
      <c r="MFN434" s="56"/>
      <c r="MFO434" s="56"/>
      <c r="MFP434" s="56"/>
      <c r="MFQ434" s="56"/>
      <c r="MFR434" s="56"/>
      <c r="MFS434" s="56"/>
      <c r="MFT434" s="56"/>
      <c r="MFU434" s="56"/>
      <c r="MFV434" s="56"/>
      <c r="MFW434" s="56"/>
      <c r="MFX434" s="56"/>
      <c r="MFY434" s="56"/>
      <c r="MFZ434" s="56"/>
      <c r="MGA434" s="56"/>
      <c r="MGB434" s="56"/>
      <c r="MGC434" s="56"/>
      <c r="MGD434" s="56"/>
      <c r="MGE434" s="56"/>
      <c r="MGF434" s="56"/>
      <c r="MGG434" s="56"/>
      <c r="MGH434" s="56"/>
      <c r="MGI434" s="56"/>
      <c r="MGJ434" s="56"/>
      <c r="MGK434" s="56"/>
      <c r="MGL434" s="56"/>
      <c r="MGM434" s="56"/>
      <c r="MGN434" s="56"/>
      <c r="MGO434" s="56"/>
      <c r="MGP434" s="56"/>
      <c r="MGQ434" s="56"/>
      <c r="MGR434" s="56"/>
      <c r="MGS434" s="56"/>
      <c r="MGT434" s="56"/>
      <c r="MGU434" s="56"/>
      <c r="MGV434" s="56"/>
      <c r="MGW434" s="56"/>
      <c r="MGX434" s="56"/>
      <c r="MGY434" s="56"/>
      <c r="MGZ434" s="56"/>
      <c r="MHA434" s="56"/>
      <c r="MHB434" s="56"/>
      <c r="MHC434" s="56"/>
      <c r="MHD434" s="56"/>
      <c r="MHE434" s="56"/>
      <c r="MHF434" s="56"/>
      <c r="MHG434" s="56"/>
      <c r="MHH434" s="56"/>
      <c r="MHI434" s="56"/>
      <c r="MHJ434" s="56"/>
      <c r="MHK434" s="56"/>
      <c r="MHL434" s="56"/>
      <c r="MHM434" s="56"/>
      <c r="MHN434" s="56"/>
      <c r="MHO434" s="56"/>
      <c r="MHP434" s="56"/>
      <c r="MHQ434" s="56"/>
      <c r="MHR434" s="56"/>
      <c r="MHS434" s="56"/>
      <c r="MHT434" s="56"/>
      <c r="MHU434" s="56"/>
      <c r="MHV434" s="56"/>
      <c r="MHW434" s="56"/>
      <c r="MHX434" s="56"/>
      <c r="MHY434" s="56"/>
      <c r="MHZ434" s="56"/>
      <c r="MIA434" s="56"/>
      <c r="MIB434" s="56"/>
      <c r="MIC434" s="56"/>
      <c r="MID434" s="56"/>
      <c r="MIE434" s="56"/>
      <c r="MIF434" s="56"/>
      <c r="MIG434" s="56"/>
      <c r="MIH434" s="56"/>
      <c r="MII434" s="56"/>
      <c r="MIJ434" s="56"/>
      <c r="MIK434" s="56"/>
      <c r="MIL434" s="56"/>
      <c r="MIM434" s="56"/>
      <c r="MIN434" s="56"/>
      <c r="MIO434" s="56"/>
      <c r="MIP434" s="56"/>
      <c r="MIQ434" s="56"/>
      <c r="MIR434" s="56"/>
      <c r="MIS434" s="56"/>
      <c r="MIT434" s="56"/>
      <c r="MIU434" s="56"/>
      <c r="MIV434" s="56"/>
      <c r="MIW434" s="56"/>
      <c r="MIX434" s="56"/>
      <c r="MIY434" s="56"/>
      <c r="MIZ434" s="56"/>
      <c r="MJA434" s="56"/>
      <c r="MJB434" s="56"/>
      <c r="MJC434" s="56"/>
      <c r="MJD434" s="56"/>
      <c r="MJE434" s="56"/>
      <c r="MJF434" s="56"/>
      <c r="MJG434" s="56"/>
      <c r="MJH434" s="56"/>
      <c r="MJI434" s="56"/>
      <c r="MJJ434" s="56"/>
      <c r="MJK434" s="56"/>
      <c r="MJL434" s="56"/>
      <c r="MJM434" s="56"/>
      <c r="MJN434" s="56"/>
      <c r="MJO434" s="56"/>
      <c r="MJP434" s="56"/>
      <c r="MJQ434" s="56"/>
      <c r="MJR434" s="56"/>
      <c r="MJS434" s="56"/>
      <c r="MJT434" s="56"/>
      <c r="MJU434" s="56"/>
      <c r="MJV434" s="56"/>
      <c r="MJW434" s="56"/>
      <c r="MJX434" s="56"/>
      <c r="MJY434" s="56"/>
      <c r="MJZ434" s="56"/>
      <c r="MKA434" s="56"/>
      <c r="MKB434" s="56"/>
      <c r="MKC434" s="56"/>
      <c r="MKD434" s="56"/>
      <c r="MKE434" s="56"/>
      <c r="MKF434" s="56"/>
      <c r="MKG434" s="56"/>
      <c r="MKH434" s="56"/>
      <c r="MKI434" s="56"/>
      <c r="MKJ434" s="56"/>
      <c r="MKK434" s="56"/>
      <c r="MKL434" s="56"/>
      <c r="MKM434" s="56"/>
      <c r="MKN434" s="56"/>
      <c r="MKO434" s="56"/>
      <c r="MKP434" s="56"/>
      <c r="MKQ434" s="56"/>
      <c r="MKR434" s="56"/>
      <c r="MKS434" s="56"/>
      <c r="MKT434" s="56"/>
      <c r="MKU434" s="56"/>
      <c r="MKV434" s="56"/>
      <c r="MKW434" s="56"/>
      <c r="MKX434" s="56"/>
      <c r="MKY434" s="56"/>
      <c r="MKZ434" s="56"/>
      <c r="MLA434" s="56"/>
      <c r="MLB434" s="56"/>
      <c r="MLC434" s="56"/>
      <c r="MLD434" s="56"/>
      <c r="MLE434" s="56"/>
      <c r="MLF434" s="56"/>
      <c r="MLG434" s="56"/>
      <c r="MLH434" s="56"/>
      <c r="MLI434" s="56"/>
      <c r="MLJ434" s="56"/>
      <c r="MLK434" s="56"/>
      <c r="MLL434" s="56"/>
      <c r="MLM434" s="56"/>
      <c r="MLN434" s="56"/>
      <c r="MLO434" s="56"/>
      <c r="MLP434" s="56"/>
      <c r="MLQ434" s="56"/>
      <c r="MLR434" s="56"/>
      <c r="MLS434" s="56"/>
      <c r="MLT434" s="56"/>
      <c r="MLU434" s="56"/>
      <c r="MLV434" s="56"/>
      <c r="MLW434" s="56"/>
      <c r="MLX434" s="56"/>
      <c r="MLY434" s="56"/>
      <c r="MLZ434" s="56"/>
      <c r="MMA434" s="56"/>
      <c r="MMB434" s="56"/>
      <c r="MMC434" s="56"/>
      <c r="MMD434" s="56"/>
      <c r="MME434" s="56"/>
      <c r="MMF434" s="56"/>
      <c r="MMG434" s="56"/>
      <c r="MMH434" s="56"/>
      <c r="MMI434" s="56"/>
      <c r="MMJ434" s="56"/>
      <c r="MMK434" s="56"/>
      <c r="MML434" s="56"/>
      <c r="MMM434" s="56"/>
      <c r="MMN434" s="56"/>
      <c r="MMO434" s="56"/>
      <c r="MMP434" s="56"/>
      <c r="MMQ434" s="56"/>
      <c r="MMR434" s="56"/>
      <c r="MMS434" s="56"/>
      <c r="MMT434" s="56"/>
      <c r="MMU434" s="56"/>
      <c r="MMV434" s="56"/>
      <c r="MMW434" s="56"/>
      <c r="MMX434" s="56"/>
      <c r="MMY434" s="56"/>
      <c r="MMZ434" s="56"/>
      <c r="MNA434" s="56"/>
      <c r="MNB434" s="56"/>
      <c r="MNC434" s="56"/>
      <c r="MND434" s="56"/>
      <c r="MNE434" s="56"/>
      <c r="MNF434" s="56"/>
      <c r="MNG434" s="56"/>
      <c r="MNH434" s="56"/>
      <c r="MNI434" s="56"/>
      <c r="MNJ434" s="56"/>
      <c r="MNK434" s="56"/>
      <c r="MNL434" s="56"/>
      <c r="MNM434" s="56"/>
      <c r="MNN434" s="56"/>
      <c r="MNO434" s="56"/>
      <c r="MNP434" s="56"/>
      <c r="MNQ434" s="56"/>
      <c r="MNR434" s="56"/>
      <c r="MNS434" s="56"/>
      <c r="MNT434" s="56"/>
      <c r="MNU434" s="56"/>
      <c r="MNV434" s="56"/>
      <c r="MNW434" s="56"/>
      <c r="MNX434" s="56"/>
      <c r="MNY434" s="56"/>
      <c r="MNZ434" s="56"/>
      <c r="MOA434" s="56"/>
      <c r="MOB434" s="56"/>
      <c r="MOC434" s="56"/>
      <c r="MOD434" s="56"/>
      <c r="MOE434" s="56"/>
      <c r="MOF434" s="56"/>
      <c r="MOG434" s="56"/>
      <c r="MOH434" s="56"/>
      <c r="MOI434" s="56"/>
      <c r="MOJ434" s="56"/>
      <c r="MOK434" s="56"/>
      <c r="MOL434" s="56"/>
      <c r="MOM434" s="56"/>
      <c r="MON434" s="56"/>
      <c r="MOO434" s="56"/>
      <c r="MOP434" s="56"/>
      <c r="MOQ434" s="56"/>
      <c r="MOR434" s="56"/>
      <c r="MOS434" s="56"/>
      <c r="MOT434" s="56"/>
      <c r="MOU434" s="56"/>
      <c r="MOV434" s="56"/>
      <c r="MOW434" s="56"/>
      <c r="MOX434" s="56"/>
      <c r="MOY434" s="56"/>
      <c r="MOZ434" s="56"/>
      <c r="MPA434" s="56"/>
      <c r="MPB434" s="56"/>
      <c r="MPC434" s="56"/>
      <c r="MPD434" s="56"/>
      <c r="MPE434" s="56"/>
      <c r="MPF434" s="56"/>
      <c r="MPG434" s="56"/>
      <c r="MPH434" s="56"/>
      <c r="MPI434" s="56"/>
      <c r="MPJ434" s="56"/>
      <c r="MPK434" s="56"/>
      <c r="MPL434" s="56"/>
      <c r="MPM434" s="56"/>
      <c r="MPN434" s="56"/>
      <c r="MPO434" s="56"/>
      <c r="MPP434" s="56"/>
      <c r="MPQ434" s="56"/>
      <c r="MPR434" s="56"/>
      <c r="MPS434" s="56"/>
      <c r="MPT434" s="56"/>
      <c r="MPU434" s="56"/>
      <c r="MPV434" s="56"/>
      <c r="MPW434" s="56"/>
      <c r="MPX434" s="56"/>
      <c r="MPY434" s="56"/>
      <c r="MPZ434" s="56"/>
      <c r="MQA434" s="56"/>
      <c r="MQB434" s="56"/>
      <c r="MQC434" s="56"/>
      <c r="MQD434" s="56"/>
      <c r="MQE434" s="56"/>
      <c r="MQF434" s="56"/>
      <c r="MQG434" s="56"/>
      <c r="MQH434" s="56"/>
      <c r="MQI434" s="56"/>
      <c r="MQJ434" s="56"/>
      <c r="MQK434" s="56"/>
      <c r="MQL434" s="56"/>
      <c r="MQM434" s="56"/>
      <c r="MQN434" s="56"/>
      <c r="MQO434" s="56"/>
      <c r="MQP434" s="56"/>
      <c r="MQQ434" s="56"/>
      <c r="MQR434" s="56"/>
      <c r="MQS434" s="56"/>
      <c r="MQT434" s="56"/>
      <c r="MQU434" s="56"/>
      <c r="MQV434" s="56"/>
      <c r="MQW434" s="56"/>
      <c r="MQX434" s="56"/>
      <c r="MQY434" s="56"/>
      <c r="MQZ434" s="56"/>
      <c r="MRA434" s="56"/>
      <c r="MRB434" s="56"/>
      <c r="MRC434" s="56"/>
      <c r="MRD434" s="56"/>
      <c r="MRE434" s="56"/>
      <c r="MRF434" s="56"/>
      <c r="MRG434" s="56"/>
      <c r="MRH434" s="56"/>
      <c r="MRI434" s="56"/>
      <c r="MRJ434" s="56"/>
      <c r="MRK434" s="56"/>
      <c r="MRL434" s="56"/>
      <c r="MRM434" s="56"/>
      <c r="MRN434" s="56"/>
      <c r="MRO434" s="56"/>
      <c r="MRP434" s="56"/>
      <c r="MRQ434" s="56"/>
      <c r="MRR434" s="56"/>
      <c r="MRS434" s="56"/>
      <c r="MRT434" s="56"/>
      <c r="MRU434" s="56"/>
      <c r="MRV434" s="56"/>
      <c r="MRW434" s="56"/>
      <c r="MRX434" s="56"/>
      <c r="MRY434" s="56"/>
      <c r="MRZ434" s="56"/>
      <c r="MSA434" s="56"/>
      <c r="MSB434" s="56"/>
      <c r="MSC434" s="56"/>
      <c r="MSD434" s="56"/>
      <c r="MSE434" s="56"/>
      <c r="MSF434" s="56"/>
      <c r="MSG434" s="56"/>
      <c r="MSH434" s="56"/>
      <c r="MSI434" s="56"/>
      <c r="MSJ434" s="56"/>
      <c r="MSK434" s="56"/>
      <c r="MSL434" s="56"/>
      <c r="MSM434" s="56"/>
      <c r="MSN434" s="56"/>
      <c r="MSO434" s="56"/>
      <c r="MSP434" s="56"/>
      <c r="MSQ434" s="56"/>
      <c r="MSR434" s="56"/>
      <c r="MSS434" s="56"/>
      <c r="MST434" s="56"/>
      <c r="MSU434" s="56"/>
      <c r="MSV434" s="56"/>
      <c r="MSW434" s="56"/>
      <c r="MSX434" s="56"/>
      <c r="MSY434" s="56"/>
      <c r="MSZ434" s="56"/>
      <c r="MTA434" s="56"/>
      <c r="MTB434" s="56"/>
      <c r="MTC434" s="56"/>
      <c r="MTD434" s="56"/>
      <c r="MTE434" s="56"/>
      <c r="MTF434" s="56"/>
      <c r="MTG434" s="56"/>
      <c r="MTH434" s="56"/>
      <c r="MTI434" s="56"/>
      <c r="MTJ434" s="56"/>
      <c r="MTK434" s="56"/>
      <c r="MTL434" s="56"/>
      <c r="MTM434" s="56"/>
      <c r="MTN434" s="56"/>
      <c r="MTO434" s="56"/>
      <c r="MTP434" s="56"/>
      <c r="MTQ434" s="56"/>
      <c r="MTR434" s="56"/>
      <c r="MTS434" s="56"/>
      <c r="MTT434" s="56"/>
      <c r="MTU434" s="56"/>
      <c r="MTV434" s="56"/>
      <c r="MTW434" s="56"/>
      <c r="MTX434" s="56"/>
      <c r="MTY434" s="56"/>
      <c r="MTZ434" s="56"/>
      <c r="MUA434" s="56"/>
      <c r="MUB434" s="56"/>
      <c r="MUC434" s="56"/>
      <c r="MUD434" s="56"/>
      <c r="MUE434" s="56"/>
      <c r="MUF434" s="56"/>
      <c r="MUG434" s="56"/>
      <c r="MUH434" s="56"/>
      <c r="MUI434" s="56"/>
      <c r="MUJ434" s="56"/>
      <c r="MUK434" s="56"/>
      <c r="MUL434" s="56"/>
      <c r="MUM434" s="56"/>
      <c r="MUN434" s="56"/>
      <c r="MUO434" s="56"/>
      <c r="MUP434" s="56"/>
      <c r="MUQ434" s="56"/>
      <c r="MUR434" s="56"/>
      <c r="MUS434" s="56"/>
      <c r="MUT434" s="56"/>
      <c r="MUU434" s="56"/>
      <c r="MUV434" s="56"/>
      <c r="MUW434" s="56"/>
      <c r="MUX434" s="56"/>
      <c r="MUY434" s="56"/>
      <c r="MUZ434" s="56"/>
      <c r="MVA434" s="56"/>
      <c r="MVB434" s="56"/>
      <c r="MVC434" s="56"/>
      <c r="MVD434" s="56"/>
      <c r="MVE434" s="56"/>
      <c r="MVF434" s="56"/>
      <c r="MVG434" s="56"/>
      <c r="MVH434" s="56"/>
      <c r="MVI434" s="56"/>
      <c r="MVJ434" s="56"/>
      <c r="MVK434" s="56"/>
      <c r="MVL434" s="56"/>
      <c r="MVM434" s="56"/>
      <c r="MVN434" s="56"/>
      <c r="MVO434" s="56"/>
      <c r="MVP434" s="56"/>
      <c r="MVQ434" s="56"/>
      <c r="MVR434" s="56"/>
      <c r="MVS434" s="56"/>
      <c r="MVT434" s="56"/>
      <c r="MVU434" s="56"/>
      <c r="MVV434" s="56"/>
      <c r="MVW434" s="56"/>
      <c r="MVX434" s="56"/>
      <c r="MVY434" s="56"/>
      <c r="MVZ434" s="56"/>
      <c r="MWA434" s="56"/>
      <c r="MWB434" s="56"/>
      <c r="MWC434" s="56"/>
      <c r="MWD434" s="56"/>
      <c r="MWE434" s="56"/>
      <c r="MWF434" s="56"/>
      <c r="MWG434" s="56"/>
      <c r="MWH434" s="56"/>
      <c r="MWI434" s="56"/>
      <c r="MWJ434" s="56"/>
      <c r="MWK434" s="56"/>
      <c r="MWL434" s="56"/>
      <c r="MWM434" s="56"/>
      <c r="MWN434" s="56"/>
      <c r="MWO434" s="56"/>
      <c r="MWP434" s="56"/>
      <c r="MWQ434" s="56"/>
      <c r="MWR434" s="56"/>
      <c r="MWS434" s="56"/>
      <c r="MWT434" s="56"/>
      <c r="MWU434" s="56"/>
      <c r="MWV434" s="56"/>
      <c r="MWW434" s="56"/>
      <c r="MWX434" s="56"/>
      <c r="MWY434" s="56"/>
      <c r="MWZ434" s="56"/>
      <c r="MXA434" s="56"/>
      <c r="MXB434" s="56"/>
      <c r="MXC434" s="56"/>
      <c r="MXD434" s="56"/>
      <c r="MXE434" s="56"/>
      <c r="MXF434" s="56"/>
      <c r="MXG434" s="56"/>
      <c r="MXH434" s="56"/>
      <c r="MXI434" s="56"/>
      <c r="MXJ434" s="56"/>
      <c r="MXK434" s="56"/>
      <c r="MXL434" s="56"/>
      <c r="MXM434" s="56"/>
      <c r="MXN434" s="56"/>
      <c r="MXO434" s="56"/>
      <c r="MXP434" s="56"/>
      <c r="MXQ434" s="56"/>
      <c r="MXR434" s="56"/>
      <c r="MXS434" s="56"/>
      <c r="MXT434" s="56"/>
      <c r="MXU434" s="56"/>
      <c r="MXV434" s="56"/>
      <c r="MXW434" s="56"/>
      <c r="MXX434" s="56"/>
      <c r="MXY434" s="56"/>
      <c r="MXZ434" s="56"/>
      <c r="MYA434" s="56"/>
      <c r="MYB434" s="56"/>
      <c r="MYC434" s="56"/>
      <c r="MYD434" s="56"/>
      <c r="MYE434" s="56"/>
      <c r="MYF434" s="56"/>
      <c r="MYG434" s="56"/>
      <c r="MYH434" s="56"/>
      <c r="MYI434" s="56"/>
      <c r="MYJ434" s="56"/>
      <c r="MYK434" s="56"/>
      <c r="MYL434" s="56"/>
      <c r="MYM434" s="56"/>
      <c r="MYN434" s="56"/>
      <c r="MYO434" s="56"/>
      <c r="MYP434" s="56"/>
      <c r="MYQ434" s="56"/>
      <c r="MYR434" s="56"/>
      <c r="MYS434" s="56"/>
      <c r="MYT434" s="56"/>
      <c r="MYU434" s="56"/>
      <c r="MYV434" s="56"/>
      <c r="MYW434" s="56"/>
      <c r="MYX434" s="56"/>
      <c r="MYY434" s="56"/>
      <c r="MYZ434" s="56"/>
      <c r="MZA434" s="56"/>
      <c r="MZB434" s="56"/>
      <c r="MZC434" s="56"/>
      <c r="MZD434" s="56"/>
      <c r="MZE434" s="56"/>
      <c r="MZF434" s="56"/>
      <c r="MZG434" s="56"/>
      <c r="MZH434" s="56"/>
      <c r="MZI434" s="56"/>
      <c r="MZJ434" s="56"/>
      <c r="MZK434" s="56"/>
      <c r="MZL434" s="56"/>
      <c r="MZM434" s="56"/>
      <c r="MZN434" s="56"/>
      <c r="MZO434" s="56"/>
      <c r="MZP434" s="56"/>
      <c r="MZQ434" s="56"/>
      <c r="MZR434" s="56"/>
      <c r="MZS434" s="56"/>
      <c r="MZT434" s="56"/>
      <c r="MZU434" s="56"/>
      <c r="MZV434" s="56"/>
      <c r="MZW434" s="56"/>
      <c r="MZX434" s="56"/>
      <c r="MZY434" s="56"/>
      <c r="MZZ434" s="56"/>
      <c r="NAA434" s="56"/>
      <c r="NAB434" s="56"/>
      <c r="NAC434" s="56"/>
      <c r="NAD434" s="56"/>
      <c r="NAE434" s="56"/>
      <c r="NAF434" s="56"/>
      <c r="NAG434" s="56"/>
      <c r="NAH434" s="56"/>
      <c r="NAI434" s="56"/>
      <c r="NAJ434" s="56"/>
      <c r="NAK434" s="56"/>
      <c r="NAL434" s="56"/>
      <c r="NAM434" s="56"/>
      <c r="NAN434" s="56"/>
      <c r="NAO434" s="56"/>
      <c r="NAP434" s="56"/>
      <c r="NAQ434" s="56"/>
      <c r="NAR434" s="56"/>
      <c r="NAS434" s="56"/>
      <c r="NAT434" s="56"/>
      <c r="NAU434" s="56"/>
      <c r="NAV434" s="56"/>
      <c r="NAW434" s="56"/>
      <c r="NAX434" s="56"/>
      <c r="NAY434" s="56"/>
      <c r="NAZ434" s="56"/>
      <c r="NBA434" s="56"/>
      <c r="NBB434" s="56"/>
      <c r="NBC434" s="56"/>
      <c r="NBD434" s="56"/>
      <c r="NBE434" s="56"/>
      <c r="NBF434" s="56"/>
      <c r="NBG434" s="56"/>
      <c r="NBH434" s="56"/>
      <c r="NBI434" s="56"/>
      <c r="NBJ434" s="56"/>
      <c r="NBK434" s="56"/>
      <c r="NBL434" s="56"/>
      <c r="NBM434" s="56"/>
      <c r="NBN434" s="56"/>
      <c r="NBO434" s="56"/>
      <c r="NBP434" s="56"/>
      <c r="NBQ434" s="56"/>
      <c r="NBR434" s="56"/>
      <c r="NBS434" s="56"/>
      <c r="NBT434" s="56"/>
      <c r="NBU434" s="56"/>
      <c r="NBV434" s="56"/>
      <c r="NBW434" s="56"/>
      <c r="NBX434" s="56"/>
      <c r="NBY434" s="56"/>
      <c r="NBZ434" s="56"/>
      <c r="NCA434" s="56"/>
      <c r="NCB434" s="56"/>
      <c r="NCC434" s="56"/>
      <c r="NCD434" s="56"/>
      <c r="NCE434" s="56"/>
      <c r="NCF434" s="56"/>
      <c r="NCG434" s="56"/>
      <c r="NCH434" s="56"/>
      <c r="NCI434" s="56"/>
      <c r="NCJ434" s="56"/>
      <c r="NCK434" s="56"/>
      <c r="NCL434" s="56"/>
      <c r="NCM434" s="56"/>
      <c r="NCN434" s="56"/>
      <c r="NCO434" s="56"/>
      <c r="NCP434" s="56"/>
      <c r="NCQ434" s="56"/>
      <c r="NCR434" s="56"/>
      <c r="NCS434" s="56"/>
      <c r="NCT434" s="56"/>
      <c r="NCU434" s="56"/>
      <c r="NCV434" s="56"/>
      <c r="NCW434" s="56"/>
      <c r="NCX434" s="56"/>
      <c r="NCY434" s="56"/>
      <c r="NCZ434" s="56"/>
      <c r="NDA434" s="56"/>
      <c r="NDB434" s="56"/>
      <c r="NDC434" s="56"/>
      <c r="NDD434" s="56"/>
      <c r="NDE434" s="56"/>
      <c r="NDF434" s="56"/>
      <c r="NDG434" s="56"/>
      <c r="NDH434" s="56"/>
      <c r="NDI434" s="56"/>
      <c r="NDJ434" s="56"/>
      <c r="NDK434" s="56"/>
      <c r="NDL434" s="56"/>
      <c r="NDM434" s="56"/>
      <c r="NDN434" s="56"/>
      <c r="NDO434" s="56"/>
      <c r="NDP434" s="56"/>
      <c r="NDQ434" s="56"/>
      <c r="NDR434" s="56"/>
      <c r="NDS434" s="56"/>
      <c r="NDT434" s="56"/>
      <c r="NDU434" s="56"/>
      <c r="NDV434" s="56"/>
      <c r="NDW434" s="56"/>
      <c r="NDX434" s="56"/>
      <c r="NDY434" s="56"/>
      <c r="NDZ434" s="56"/>
      <c r="NEA434" s="56"/>
      <c r="NEB434" s="56"/>
      <c r="NEC434" s="56"/>
      <c r="NED434" s="56"/>
      <c r="NEE434" s="56"/>
      <c r="NEF434" s="56"/>
      <c r="NEG434" s="56"/>
      <c r="NEH434" s="56"/>
      <c r="NEI434" s="56"/>
      <c r="NEJ434" s="56"/>
      <c r="NEK434" s="56"/>
      <c r="NEL434" s="56"/>
      <c r="NEM434" s="56"/>
      <c r="NEN434" s="56"/>
      <c r="NEO434" s="56"/>
      <c r="NEP434" s="56"/>
      <c r="NEQ434" s="56"/>
      <c r="NER434" s="56"/>
      <c r="NES434" s="56"/>
      <c r="NET434" s="56"/>
      <c r="NEU434" s="56"/>
      <c r="NEV434" s="56"/>
      <c r="NEW434" s="56"/>
      <c r="NEX434" s="56"/>
      <c r="NEY434" s="56"/>
      <c r="NEZ434" s="56"/>
      <c r="NFA434" s="56"/>
      <c r="NFB434" s="56"/>
      <c r="NFC434" s="56"/>
      <c r="NFD434" s="56"/>
      <c r="NFE434" s="56"/>
      <c r="NFF434" s="56"/>
      <c r="NFG434" s="56"/>
      <c r="NFH434" s="56"/>
      <c r="NFI434" s="56"/>
      <c r="NFJ434" s="56"/>
      <c r="NFK434" s="56"/>
      <c r="NFL434" s="56"/>
      <c r="NFM434" s="56"/>
      <c r="NFN434" s="56"/>
      <c r="NFO434" s="56"/>
      <c r="NFP434" s="56"/>
      <c r="NFQ434" s="56"/>
      <c r="NFR434" s="56"/>
      <c r="NFS434" s="56"/>
      <c r="NFT434" s="56"/>
      <c r="NFU434" s="56"/>
      <c r="NFV434" s="56"/>
      <c r="NFW434" s="56"/>
      <c r="NFX434" s="56"/>
      <c r="NFY434" s="56"/>
      <c r="NFZ434" s="56"/>
      <c r="NGA434" s="56"/>
      <c r="NGB434" s="56"/>
      <c r="NGC434" s="56"/>
      <c r="NGD434" s="56"/>
      <c r="NGE434" s="56"/>
      <c r="NGF434" s="56"/>
      <c r="NGG434" s="56"/>
      <c r="NGH434" s="56"/>
      <c r="NGI434" s="56"/>
      <c r="NGJ434" s="56"/>
      <c r="NGK434" s="56"/>
      <c r="NGL434" s="56"/>
      <c r="NGM434" s="56"/>
      <c r="NGN434" s="56"/>
      <c r="NGO434" s="56"/>
      <c r="NGP434" s="56"/>
      <c r="NGQ434" s="56"/>
      <c r="NGR434" s="56"/>
      <c r="NGS434" s="56"/>
      <c r="NGT434" s="56"/>
      <c r="NGU434" s="56"/>
      <c r="NGV434" s="56"/>
      <c r="NGW434" s="56"/>
      <c r="NGX434" s="56"/>
      <c r="NGY434" s="56"/>
      <c r="NGZ434" s="56"/>
      <c r="NHA434" s="56"/>
      <c r="NHB434" s="56"/>
      <c r="NHC434" s="56"/>
      <c r="NHD434" s="56"/>
      <c r="NHE434" s="56"/>
      <c r="NHF434" s="56"/>
      <c r="NHG434" s="56"/>
      <c r="NHH434" s="56"/>
      <c r="NHI434" s="56"/>
      <c r="NHJ434" s="56"/>
      <c r="NHK434" s="56"/>
      <c r="NHL434" s="56"/>
      <c r="NHM434" s="56"/>
      <c r="NHN434" s="56"/>
      <c r="NHO434" s="56"/>
      <c r="NHP434" s="56"/>
      <c r="NHQ434" s="56"/>
      <c r="NHR434" s="56"/>
      <c r="NHS434" s="56"/>
      <c r="NHT434" s="56"/>
      <c r="NHU434" s="56"/>
      <c r="NHV434" s="56"/>
      <c r="NHW434" s="56"/>
      <c r="NHX434" s="56"/>
      <c r="NHY434" s="56"/>
      <c r="NHZ434" s="56"/>
      <c r="NIA434" s="56"/>
      <c r="NIB434" s="56"/>
      <c r="NIC434" s="56"/>
      <c r="NID434" s="56"/>
      <c r="NIE434" s="56"/>
      <c r="NIF434" s="56"/>
      <c r="NIG434" s="56"/>
      <c r="NIH434" s="56"/>
      <c r="NII434" s="56"/>
      <c r="NIJ434" s="56"/>
      <c r="NIK434" s="56"/>
      <c r="NIL434" s="56"/>
      <c r="NIM434" s="56"/>
      <c r="NIN434" s="56"/>
      <c r="NIO434" s="56"/>
      <c r="NIP434" s="56"/>
      <c r="NIQ434" s="56"/>
      <c r="NIR434" s="56"/>
      <c r="NIS434" s="56"/>
      <c r="NIT434" s="56"/>
      <c r="NIU434" s="56"/>
      <c r="NIV434" s="56"/>
      <c r="NIW434" s="56"/>
      <c r="NIX434" s="56"/>
      <c r="NIY434" s="56"/>
      <c r="NIZ434" s="56"/>
      <c r="NJA434" s="56"/>
      <c r="NJB434" s="56"/>
      <c r="NJC434" s="56"/>
      <c r="NJD434" s="56"/>
      <c r="NJE434" s="56"/>
      <c r="NJF434" s="56"/>
      <c r="NJG434" s="56"/>
      <c r="NJH434" s="56"/>
      <c r="NJI434" s="56"/>
      <c r="NJJ434" s="56"/>
      <c r="NJK434" s="56"/>
      <c r="NJL434" s="56"/>
      <c r="NJM434" s="56"/>
      <c r="NJN434" s="56"/>
      <c r="NJO434" s="56"/>
      <c r="NJP434" s="56"/>
      <c r="NJQ434" s="56"/>
      <c r="NJR434" s="56"/>
      <c r="NJS434" s="56"/>
      <c r="NJT434" s="56"/>
      <c r="NJU434" s="56"/>
      <c r="NJV434" s="56"/>
      <c r="NJW434" s="56"/>
      <c r="NJX434" s="56"/>
      <c r="NJY434" s="56"/>
      <c r="NJZ434" s="56"/>
      <c r="NKA434" s="56"/>
      <c r="NKB434" s="56"/>
      <c r="NKC434" s="56"/>
      <c r="NKD434" s="56"/>
      <c r="NKE434" s="56"/>
      <c r="NKF434" s="56"/>
      <c r="NKG434" s="56"/>
      <c r="NKH434" s="56"/>
      <c r="NKI434" s="56"/>
      <c r="NKJ434" s="56"/>
      <c r="NKK434" s="56"/>
      <c r="NKL434" s="56"/>
      <c r="NKM434" s="56"/>
      <c r="NKN434" s="56"/>
      <c r="NKO434" s="56"/>
      <c r="NKP434" s="56"/>
      <c r="NKQ434" s="56"/>
      <c r="NKR434" s="56"/>
      <c r="NKS434" s="56"/>
      <c r="NKT434" s="56"/>
      <c r="NKU434" s="56"/>
      <c r="NKV434" s="56"/>
      <c r="NKW434" s="56"/>
      <c r="NKX434" s="56"/>
      <c r="NKY434" s="56"/>
      <c r="NKZ434" s="56"/>
      <c r="NLA434" s="56"/>
      <c r="NLB434" s="56"/>
      <c r="NLC434" s="56"/>
      <c r="NLD434" s="56"/>
      <c r="NLE434" s="56"/>
      <c r="NLF434" s="56"/>
      <c r="NLG434" s="56"/>
      <c r="NLH434" s="56"/>
      <c r="NLI434" s="56"/>
      <c r="NLJ434" s="56"/>
      <c r="NLK434" s="56"/>
      <c r="NLL434" s="56"/>
      <c r="NLM434" s="56"/>
      <c r="NLN434" s="56"/>
      <c r="NLO434" s="56"/>
      <c r="NLP434" s="56"/>
      <c r="NLQ434" s="56"/>
      <c r="NLR434" s="56"/>
      <c r="NLS434" s="56"/>
      <c r="NLT434" s="56"/>
      <c r="NLU434" s="56"/>
      <c r="NLV434" s="56"/>
      <c r="NLW434" s="56"/>
      <c r="NLX434" s="56"/>
      <c r="NLY434" s="56"/>
      <c r="NLZ434" s="56"/>
      <c r="NMA434" s="56"/>
      <c r="NMB434" s="56"/>
      <c r="NMC434" s="56"/>
      <c r="NMD434" s="56"/>
      <c r="NME434" s="56"/>
      <c r="NMF434" s="56"/>
      <c r="NMG434" s="56"/>
      <c r="NMH434" s="56"/>
      <c r="NMI434" s="56"/>
      <c r="NMJ434" s="56"/>
      <c r="NMK434" s="56"/>
      <c r="NML434" s="56"/>
      <c r="NMM434" s="56"/>
      <c r="NMN434" s="56"/>
      <c r="NMO434" s="56"/>
      <c r="NMP434" s="56"/>
      <c r="NMQ434" s="56"/>
      <c r="NMR434" s="56"/>
      <c r="NMS434" s="56"/>
      <c r="NMT434" s="56"/>
      <c r="NMU434" s="56"/>
      <c r="NMV434" s="56"/>
      <c r="NMW434" s="56"/>
      <c r="NMX434" s="56"/>
      <c r="NMY434" s="56"/>
      <c r="NMZ434" s="56"/>
      <c r="NNA434" s="56"/>
      <c r="NNB434" s="56"/>
      <c r="NNC434" s="56"/>
      <c r="NND434" s="56"/>
      <c r="NNE434" s="56"/>
      <c r="NNF434" s="56"/>
      <c r="NNG434" s="56"/>
      <c r="NNH434" s="56"/>
      <c r="NNI434" s="56"/>
      <c r="NNJ434" s="56"/>
      <c r="NNK434" s="56"/>
      <c r="NNL434" s="56"/>
      <c r="NNM434" s="56"/>
      <c r="NNN434" s="56"/>
      <c r="NNO434" s="56"/>
      <c r="NNP434" s="56"/>
      <c r="NNQ434" s="56"/>
      <c r="NNR434" s="56"/>
      <c r="NNS434" s="56"/>
      <c r="NNT434" s="56"/>
      <c r="NNU434" s="56"/>
      <c r="NNV434" s="56"/>
      <c r="NNW434" s="56"/>
      <c r="NNX434" s="56"/>
      <c r="NNY434" s="56"/>
      <c r="NNZ434" s="56"/>
      <c r="NOA434" s="56"/>
      <c r="NOB434" s="56"/>
      <c r="NOC434" s="56"/>
      <c r="NOD434" s="56"/>
      <c r="NOE434" s="56"/>
      <c r="NOF434" s="56"/>
      <c r="NOG434" s="56"/>
      <c r="NOH434" s="56"/>
      <c r="NOI434" s="56"/>
      <c r="NOJ434" s="56"/>
      <c r="NOK434" s="56"/>
      <c r="NOL434" s="56"/>
      <c r="NOM434" s="56"/>
      <c r="NON434" s="56"/>
      <c r="NOO434" s="56"/>
      <c r="NOP434" s="56"/>
      <c r="NOQ434" s="56"/>
      <c r="NOR434" s="56"/>
      <c r="NOS434" s="56"/>
      <c r="NOT434" s="56"/>
      <c r="NOU434" s="56"/>
      <c r="NOV434" s="56"/>
      <c r="NOW434" s="56"/>
      <c r="NOX434" s="56"/>
      <c r="NOY434" s="56"/>
      <c r="NOZ434" s="56"/>
      <c r="NPA434" s="56"/>
      <c r="NPB434" s="56"/>
      <c r="NPC434" s="56"/>
      <c r="NPD434" s="56"/>
      <c r="NPE434" s="56"/>
      <c r="NPF434" s="56"/>
      <c r="NPG434" s="56"/>
      <c r="NPH434" s="56"/>
      <c r="NPI434" s="56"/>
      <c r="NPJ434" s="56"/>
      <c r="NPK434" s="56"/>
      <c r="NPL434" s="56"/>
      <c r="NPM434" s="56"/>
      <c r="NPN434" s="56"/>
      <c r="NPO434" s="56"/>
      <c r="NPP434" s="56"/>
      <c r="NPQ434" s="56"/>
      <c r="NPR434" s="56"/>
      <c r="NPS434" s="56"/>
      <c r="NPT434" s="56"/>
      <c r="NPU434" s="56"/>
      <c r="NPV434" s="56"/>
      <c r="NPW434" s="56"/>
      <c r="NPX434" s="56"/>
      <c r="NPY434" s="56"/>
      <c r="NPZ434" s="56"/>
      <c r="NQA434" s="56"/>
      <c r="NQB434" s="56"/>
      <c r="NQC434" s="56"/>
      <c r="NQD434" s="56"/>
      <c r="NQE434" s="56"/>
      <c r="NQF434" s="56"/>
      <c r="NQG434" s="56"/>
      <c r="NQH434" s="56"/>
      <c r="NQI434" s="56"/>
      <c r="NQJ434" s="56"/>
      <c r="NQK434" s="56"/>
      <c r="NQL434" s="56"/>
      <c r="NQM434" s="56"/>
      <c r="NQN434" s="56"/>
      <c r="NQO434" s="56"/>
      <c r="NQP434" s="56"/>
      <c r="NQQ434" s="56"/>
      <c r="NQR434" s="56"/>
      <c r="NQS434" s="56"/>
      <c r="NQT434" s="56"/>
      <c r="NQU434" s="56"/>
      <c r="NQV434" s="56"/>
      <c r="NQW434" s="56"/>
      <c r="NQX434" s="56"/>
      <c r="NQY434" s="56"/>
      <c r="NQZ434" s="56"/>
      <c r="NRA434" s="56"/>
      <c r="NRB434" s="56"/>
      <c r="NRC434" s="56"/>
      <c r="NRD434" s="56"/>
      <c r="NRE434" s="56"/>
      <c r="NRF434" s="56"/>
      <c r="NRG434" s="56"/>
      <c r="NRH434" s="56"/>
      <c r="NRI434" s="56"/>
      <c r="NRJ434" s="56"/>
      <c r="NRK434" s="56"/>
      <c r="NRL434" s="56"/>
      <c r="NRM434" s="56"/>
      <c r="NRN434" s="56"/>
      <c r="NRO434" s="56"/>
      <c r="NRP434" s="56"/>
      <c r="NRQ434" s="56"/>
      <c r="NRR434" s="56"/>
      <c r="NRS434" s="56"/>
      <c r="NRT434" s="56"/>
      <c r="NRU434" s="56"/>
      <c r="NRV434" s="56"/>
      <c r="NRW434" s="56"/>
      <c r="NRX434" s="56"/>
      <c r="NRY434" s="56"/>
      <c r="NRZ434" s="56"/>
      <c r="NSA434" s="56"/>
      <c r="NSB434" s="56"/>
      <c r="NSC434" s="56"/>
      <c r="NSD434" s="56"/>
      <c r="NSE434" s="56"/>
      <c r="NSF434" s="56"/>
      <c r="NSG434" s="56"/>
      <c r="NSH434" s="56"/>
      <c r="NSI434" s="56"/>
      <c r="NSJ434" s="56"/>
      <c r="NSK434" s="56"/>
      <c r="NSL434" s="56"/>
      <c r="NSM434" s="56"/>
      <c r="NSN434" s="56"/>
      <c r="NSO434" s="56"/>
      <c r="NSP434" s="56"/>
      <c r="NSQ434" s="56"/>
      <c r="NSR434" s="56"/>
      <c r="NSS434" s="56"/>
      <c r="NST434" s="56"/>
      <c r="NSU434" s="56"/>
      <c r="NSV434" s="56"/>
      <c r="NSW434" s="56"/>
      <c r="NSX434" s="56"/>
      <c r="NSY434" s="56"/>
      <c r="NSZ434" s="56"/>
      <c r="NTA434" s="56"/>
      <c r="NTB434" s="56"/>
      <c r="NTC434" s="56"/>
      <c r="NTD434" s="56"/>
      <c r="NTE434" s="56"/>
      <c r="NTF434" s="56"/>
      <c r="NTG434" s="56"/>
      <c r="NTH434" s="56"/>
      <c r="NTI434" s="56"/>
      <c r="NTJ434" s="56"/>
      <c r="NTK434" s="56"/>
      <c r="NTL434" s="56"/>
      <c r="NTM434" s="56"/>
      <c r="NTN434" s="56"/>
      <c r="NTO434" s="56"/>
      <c r="NTP434" s="56"/>
      <c r="NTQ434" s="56"/>
      <c r="NTR434" s="56"/>
      <c r="NTS434" s="56"/>
      <c r="NTT434" s="56"/>
      <c r="NTU434" s="56"/>
      <c r="NTV434" s="56"/>
      <c r="NTW434" s="56"/>
      <c r="NTX434" s="56"/>
      <c r="NTY434" s="56"/>
      <c r="NTZ434" s="56"/>
      <c r="NUA434" s="56"/>
      <c r="NUB434" s="56"/>
      <c r="NUC434" s="56"/>
      <c r="NUD434" s="56"/>
      <c r="NUE434" s="56"/>
      <c r="NUF434" s="56"/>
      <c r="NUG434" s="56"/>
      <c r="NUH434" s="56"/>
      <c r="NUI434" s="56"/>
      <c r="NUJ434" s="56"/>
      <c r="NUK434" s="56"/>
      <c r="NUL434" s="56"/>
      <c r="NUM434" s="56"/>
      <c r="NUN434" s="56"/>
      <c r="NUO434" s="56"/>
      <c r="NUP434" s="56"/>
      <c r="NUQ434" s="56"/>
      <c r="NUR434" s="56"/>
      <c r="NUS434" s="56"/>
      <c r="NUT434" s="56"/>
      <c r="NUU434" s="56"/>
      <c r="NUV434" s="56"/>
      <c r="NUW434" s="56"/>
      <c r="NUX434" s="56"/>
      <c r="NUY434" s="56"/>
      <c r="NUZ434" s="56"/>
      <c r="NVA434" s="56"/>
      <c r="NVB434" s="56"/>
      <c r="NVC434" s="56"/>
      <c r="NVD434" s="56"/>
      <c r="NVE434" s="56"/>
      <c r="NVF434" s="56"/>
      <c r="NVG434" s="56"/>
      <c r="NVH434" s="56"/>
      <c r="NVI434" s="56"/>
      <c r="NVJ434" s="56"/>
      <c r="NVK434" s="56"/>
      <c r="NVL434" s="56"/>
      <c r="NVM434" s="56"/>
      <c r="NVN434" s="56"/>
      <c r="NVO434" s="56"/>
      <c r="NVP434" s="56"/>
      <c r="NVQ434" s="56"/>
      <c r="NVR434" s="56"/>
      <c r="NVS434" s="56"/>
      <c r="NVT434" s="56"/>
      <c r="NVU434" s="56"/>
      <c r="NVV434" s="56"/>
      <c r="NVW434" s="56"/>
      <c r="NVX434" s="56"/>
      <c r="NVY434" s="56"/>
      <c r="NVZ434" s="56"/>
      <c r="NWA434" s="56"/>
      <c r="NWB434" s="56"/>
      <c r="NWC434" s="56"/>
      <c r="NWD434" s="56"/>
      <c r="NWE434" s="56"/>
      <c r="NWF434" s="56"/>
      <c r="NWG434" s="56"/>
      <c r="NWH434" s="56"/>
      <c r="NWI434" s="56"/>
      <c r="NWJ434" s="56"/>
      <c r="NWK434" s="56"/>
      <c r="NWL434" s="56"/>
      <c r="NWM434" s="56"/>
      <c r="NWN434" s="56"/>
      <c r="NWO434" s="56"/>
      <c r="NWP434" s="56"/>
      <c r="NWQ434" s="56"/>
      <c r="NWR434" s="56"/>
      <c r="NWS434" s="56"/>
      <c r="NWT434" s="56"/>
      <c r="NWU434" s="56"/>
      <c r="NWV434" s="56"/>
      <c r="NWW434" s="56"/>
      <c r="NWX434" s="56"/>
      <c r="NWY434" s="56"/>
      <c r="NWZ434" s="56"/>
      <c r="NXA434" s="56"/>
      <c r="NXB434" s="56"/>
      <c r="NXC434" s="56"/>
      <c r="NXD434" s="56"/>
      <c r="NXE434" s="56"/>
      <c r="NXF434" s="56"/>
      <c r="NXG434" s="56"/>
      <c r="NXH434" s="56"/>
      <c r="NXI434" s="56"/>
      <c r="NXJ434" s="56"/>
      <c r="NXK434" s="56"/>
      <c r="NXL434" s="56"/>
      <c r="NXM434" s="56"/>
      <c r="NXN434" s="56"/>
      <c r="NXO434" s="56"/>
      <c r="NXP434" s="56"/>
      <c r="NXQ434" s="56"/>
      <c r="NXR434" s="56"/>
      <c r="NXS434" s="56"/>
      <c r="NXT434" s="56"/>
      <c r="NXU434" s="56"/>
      <c r="NXV434" s="56"/>
      <c r="NXW434" s="56"/>
      <c r="NXX434" s="56"/>
      <c r="NXY434" s="56"/>
      <c r="NXZ434" s="56"/>
      <c r="NYA434" s="56"/>
      <c r="NYB434" s="56"/>
      <c r="NYC434" s="56"/>
      <c r="NYD434" s="56"/>
      <c r="NYE434" s="56"/>
      <c r="NYF434" s="56"/>
      <c r="NYG434" s="56"/>
      <c r="NYH434" s="56"/>
      <c r="NYI434" s="56"/>
      <c r="NYJ434" s="56"/>
      <c r="NYK434" s="56"/>
      <c r="NYL434" s="56"/>
      <c r="NYM434" s="56"/>
      <c r="NYN434" s="56"/>
      <c r="NYO434" s="56"/>
      <c r="NYP434" s="56"/>
      <c r="NYQ434" s="56"/>
      <c r="NYR434" s="56"/>
      <c r="NYS434" s="56"/>
      <c r="NYT434" s="56"/>
      <c r="NYU434" s="56"/>
      <c r="NYV434" s="56"/>
      <c r="NYW434" s="56"/>
      <c r="NYX434" s="56"/>
      <c r="NYY434" s="56"/>
      <c r="NYZ434" s="56"/>
      <c r="NZA434" s="56"/>
      <c r="NZB434" s="56"/>
      <c r="NZC434" s="56"/>
      <c r="NZD434" s="56"/>
      <c r="NZE434" s="56"/>
      <c r="NZF434" s="56"/>
      <c r="NZG434" s="56"/>
      <c r="NZH434" s="56"/>
      <c r="NZI434" s="56"/>
      <c r="NZJ434" s="56"/>
      <c r="NZK434" s="56"/>
      <c r="NZL434" s="56"/>
      <c r="NZM434" s="56"/>
      <c r="NZN434" s="56"/>
      <c r="NZO434" s="56"/>
      <c r="NZP434" s="56"/>
      <c r="NZQ434" s="56"/>
      <c r="NZR434" s="56"/>
      <c r="NZS434" s="56"/>
      <c r="NZT434" s="56"/>
      <c r="NZU434" s="56"/>
      <c r="NZV434" s="56"/>
      <c r="NZW434" s="56"/>
      <c r="NZX434" s="56"/>
      <c r="NZY434" s="56"/>
      <c r="NZZ434" s="56"/>
      <c r="OAA434" s="56"/>
      <c r="OAB434" s="56"/>
      <c r="OAC434" s="56"/>
      <c r="OAD434" s="56"/>
      <c r="OAE434" s="56"/>
      <c r="OAF434" s="56"/>
      <c r="OAG434" s="56"/>
      <c r="OAH434" s="56"/>
      <c r="OAI434" s="56"/>
      <c r="OAJ434" s="56"/>
      <c r="OAK434" s="56"/>
      <c r="OAL434" s="56"/>
      <c r="OAM434" s="56"/>
      <c r="OAN434" s="56"/>
      <c r="OAO434" s="56"/>
      <c r="OAP434" s="56"/>
      <c r="OAQ434" s="56"/>
      <c r="OAR434" s="56"/>
      <c r="OAS434" s="56"/>
      <c r="OAT434" s="56"/>
      <c r="OAU434" s="56"/>
      <c r="OAV434" s="56"/>
      <c r="OAW434" s="56"/>
      <c r="OAX434" s="56"/>
      <c r="OAY434" s="56"/>
      <c r="OAZ434" s="56"/>
      <c r="OBA434" s="56"/>
      <c r="OBB434" s="56"/>
      <c r="OBC434" s="56"/>
      <c r="OBD434" s="56"/>
      <c r="OBE434" s="56"/>
      <c r="OBF434" s="56"/>
      <c r="OBG434" s="56"/>
      <c r="OBH434" s="56"/>
      <c r="OBI434" s="56"/>
      <c r="OBJ434" s="56"/>
      <c r="OBK434" s="56"/>
      <c r="OBL434" s="56"/>
      <c r="OBM434" s="56"/>
      <c r="OBN434" s="56"/>
      <c r="OBO434" s="56"/>
      <c r="OBP434" s="56"/>
      <c r="OBQ434" s="56"/>
      <c r="OBR434" s="56"/>
      <c r="OBS434" s="56"/>
      <c r="OBT434" s="56"/>
      <c r="OBU434" s="56"/>
      <c r="OBV434" s="56"/>
      <c r="OBW434" s="56"/>
      <c r="OBX434" s="56"/>
      <c r="OBY434" s="56"/>
      <c r="OBZ434" s="56"/>
      <c r="OCA434" s="56"/>
      <c r="OCB434" s="56"/>
      <c r="OCC434" s="56"/>
      <c r="OCD434" s="56"/>
      <c r="OCE434" s="56"/>
      <c r="OCF434" s="56"/>
      <c r="OCG434" s="56"/>
      <c r="OCH434" s="56"/>
      <c r="OCI434" s="56"/>
      <c r="OCJ434" s="56"/>
      <c r="OCK434" s="56"/>
      <c r="OCL434" s="56"/>
      <c r="OCM434" s="56"/>
      <c r="OCN434" s="56"/>
      <c r="OCO434" s="56"/>
      <c r="OCP434" s="56"/>
      <c r="OCQ434" s="56"/>
      <c r="OCR434" s="56"/>
      <c r="OCS434" s="56"/>
      <c r="OCT434" s="56"/>
      <c r="OCU434" s="56"/>
      <c r="OCV434" s="56"/>
      <c r="OCW434" s="56"/>
      <c r="OCX434" s="56"/>
      <c r="OCY434" s="56"/>
      <c r="OCZ434" s="56"/>
      <c r="ODA434" s="56"/>
      <c r="ODB434" s="56"/>
      <c r="ODC434" s="56"/>
      <c r="ODD434" s="56"/>
      <c r="ODE434" s="56"/>
      <c r="ODF434" s="56"/>
      <c r="ODG434" s="56"/>
      <c r="ODH434" s="56"/>
      <c r="ODI434" s="56"/>
      <c r="ODJ434" s="56"/>
      <c r="ODK434" s="56"/>
      <c r="ODL434" s="56"/>
      <c r="ODM434" s="56"/>
      <c r="ODN434" s="56"/>
      <c r="ODO434" s="56"/>
      <c r="ODP434" s="56"/>
      <c r="ODQ434" s="56"/>
      <c r="ODR434" s="56"/>
      <c r="ODS434" s="56"/>
      <c r="ODT434" s="56"/>
      <c r="ODU434" s="56"/>
      <c r="ODV434" s="56"/>
      <c r="ODW434" s="56"/>
      <c r="ODX434" s="56"/>
      <c r="ODY434" s="56"/>
      <c r="ODZ434" s="56"/>
      <c r="OEA434" s="56"/>
      <c r="OEB434" s="56"/>
      <c r="OEC434" s="56"/>
      <c r="OED434" s="56"/>
      <c r="OEE434" s="56"/>
      <c r="OEF434" s="56"/>
      <c r="OEG434" s="56"/>
      <c r="OEH434" s="56"/>
      <c r="OEI434" s="56"/>
      <c r="OEJ434" s="56"/>
      <c r="OEK434" s="56"/>
      <c r="OEL434" s="56"/>
      <c r="OEM434" s="56"/>
      <c r="OEN434" s="56"/>
      <c r="OEO434" s="56"/>
      <c r="OEP434" s="56"/>
      <c r="OEQ434" s="56"/>
      <c r="OER434" s="56"/>
      <c r="OES434" s="56"/>
      <c r="OET434" s="56"/>
      <c r="OEU434" s="56"/>
      <c r="OEV434" s="56"/>
      <c r="OEW434" s="56"/>
      <c r="OEX434" s="56"/>
      <c r="OEY434" s="56"/>
      <c r="OEZ434" s="56"/>
      <c r="OFA434" s="56"/>
      <c r="OFB434" s="56"/>
      <c r="OFC434" s="56"/>
      <c r="OFD434" s="56"/>
      <c r="OFE434" s="56"/>
      <c r="OFF434" s="56"/>
      <c r="OFG434" s="56"/>
      <c r="OFH434" s="56"/>
      <c r="OFI434" s="56"/>
      <c r="OFJ434" s="56"/>
      <c r="OFK434" s="56"/>
      <c r="OFL434" s="56"/>
      <c r="OFM434" s="56"/>
      <c r="OFN434" s="56"/>
      <c r="OFO434" s="56"/>
      <c r="OFP434" s="56"/>
      <c r="OFQ434" s="56"/>
      <c r="OFR434" s="56"/>
      <c r="OFS434" s="56"/>
      <c r="OFT434" s="56"/>
      <c r="OFU434" s="56"/>
      <c r="OFV434" s="56"/>
      <c r="OFW434" s="56"/>
      <c r="OFX434" s="56"/>
      <c r="OFY434" s="56"/>
      <c r="OFZ434" s="56"/>
      <c r="OGA434" s="56"/>
      <c r="OGB434" s="56"/>
      <c r="OGC434" s="56"/>
      <c r="OGD434" s="56"/>
      <c r="OGE434" s="56"/>
      <c r="OGF434" s="56"/>
      <c r="OGG434" s="56"/>
      <c r="OGH434" s="56"/>
      <c r="OGI434" s="56"/>
      <c r="OGJ434" s="56"/>
      <c r="OGK434" s="56"/>
      <c r="OGL434" s="56"/>
      <c r="OGM434" s="56"/>
      <c r="OGN434" s="56"/>
      <c r="OGO434" s="56"/>
      <c r="OGP434" s="56"/>
      <c r="OGQ434" s="56"/>
      <c r="OGR434" s="56"/>
      <c r="OGS434" s="56"/>
      <c r="OGT434" s="56"/>
      <c r="OGU434" s="56"/>
      <c r="OGV434" s="56"/>
      <c r="OGW434" s="56"/>
      <c r="OGX434" s="56"/>
      <c r="OGY434" s="56"/>
      <c r="OGZ434" s="56"/>
      <c r="OHA434" s="56"/>
      <c r="OHB434" s="56"/>
      <c r="OHC434" s="56"/>
      <c r="OHD434" s="56"/>
      <c r="OHE434" s="56"/>
      <c r="OHF434" s="56"/>
      <c r="OHG434" s="56"/>
      <c r="OHH434" s="56"/>
      <c r="OHI434" s="56"/>
      <c r="OHJ434" s="56"/>
      <c r="OHK434" s="56"/>
      <c r="OHL434" s="56"/>
      <c r="OHM434" s="56"/>
      <c r="OHN434" s="56"/>
      <c r="OHO434" s="56"/>
      <c r="OHP434" s="56"/>
      <c r="OHQ434" s="56"/>
      <c r="OHR434" s="56"/>
      <c r="OHS434" s="56"/>
      <c r="OHT434" s="56"/>
      <c r="OHU434" s="56"/>
      <c r="OHV434" s="56"/>
      <c r="OHW434" s="56"/>
      <c r="OHX434" s="56"/>
      <c r="OHY434" s="56"/>
      <c r="OHZ434" s="56"/>
      <c r="OIA434" s="56"/>
      <c r="OIB434" s="56"/>
      <c r="OIC434" s="56"/>
      <c r="OID434" s="56"/>
      <c r="OIE434" s="56"/>
      <c r="OIF434" s="56"/>
      <c r="OIG434" s="56"/>
      <c r="OIH434" s="56"/>
      <c r="OII434" s="56"/>
      <c r="OIJ434" s="56"/>
      <c r="OIK434" s="56"/>
      <c r="OIL434" s="56"/>
      <c r="OIM434" s="56"/>
      <c r="OIN434" s="56"/>
      <c r="OIO434" s="56"/>
      <c r="OIP434" s="56"/>
      <c r="OIQ434" s="56"/>
      <c r="OIR434" s="56"/>
      <c r="OIS434" s="56"/>
      <c r="OIT434" s="56"/>
      <c r="OIU434" s="56"/>
      <c r="OIV434" s="56"/>
      <c r="OIW434" s="56"/>
      <c r="OIX434" s="56"/>
      <c r="OIY434" s="56"/>
      <c r="OIZ434" s="56"/>
      <c r="OJA434" s="56"/>
      <c r="OJB434" s="56"/>
      <c r="OJC434" s="56"/>
      <c r="OJD434" s="56"/>
      <c r="OJE434" s="56"/>
      <c r="OJF434" s="56"/>
      <c r="OJG434" s="56"/>
      <c r="OJH434" s="56"/>
      <c r="OJI434" s="56"/>
      <c r="OJJ434" s="56"/>
      <c r="OJK434" s="56"/>
      <c r="OJL434" s="56"/>
      <c r="OJM434" s="56"/>
      <c r="OJN434" s="56"/>
      <c r="OJO434" s="56"/>
      <c r="OJP434" s="56"/>
      <c r="OJQ434" s="56"/>
      <c r="OJR434" s="56"/>
      <c r="OJS434" s="56"/>
      <c r="OJT434" s="56"/>
      <c r="OJU434" s="56"/>
      <c r="OJV434" s="56"/>
      <c r="OJW434" s="56"/>
      <c r="OJX434" s="56"/>
      <c r="OJY434" s="56"/>
      <c r="OJZ434" s="56"/>
      <c r="OKA434" s="56"/>
      <c r="OKB434" s="56"/>
      <c r="OKC434" s="56"/>
      <c r="OKD434" s="56"/>
      <c r="OKE434" s="56"/>
      <c r="OKF434" s="56"/>
      <c r="OKG434" s="56"/>
      <c r="OKH434" s="56"/>
      <c r="OKI434" s="56"/>
      <c r="OKJ434" s="56"/>
      <c r="OKK434" s="56"/>
      <c r="OKL434" s="56"/>
      <c r="OKM434" s="56"/>
      <c r="OKN434" s="56"/>
      <c r="OKO434" s="56"/>
      <c r="OKP434" s="56"/>
      <c r="OKQ434" s="56"/>
      <c r="OKR434" s="56"/>
      <c r="OKS434" s="56"/>
      <c r="OKT434" s="56"/>
      <c r="OKU434" s="56"/>
      <c r="OKV434" s="56"/>
      <c r="OKW434" s="56"/>
      <c r="OKX434" s="56"/>
      <c r="OKY434" s="56"/>
      <c r="OKZ434" s="56"/>
      <c r="OLA434" s="56"/>
      <c r="OLB434" s="56"/>
      <c r="OLC434" s="56"/>
      <c r="OLD434" s="56"/>
      <c r="OLE434" s="56"/>
      <c r="OLF434" s="56"/>
      <c r="OLG434" s="56"/>
      <c r="OLH434" s="56"/>
      <c r="OLI434" s="56"/>
      <c r="OLJ434" s="56"/>
      <c r="OLK434" s="56"/>
      <c r="OLL434" s="56"/>
      <c r="OLM434" s="56"/>
      <c r="OLN434" s="56"/>
      <c r="OLO434" s="56"/>
      <c r="OLP434" s="56"/>
      <c r="OLQ434" s="56"/>
      <c r="OLR434" s="56"/>
      <c r="OLS434" s="56"/>
      <c r="OLT434" s="56"/>
      <c r="OLU434" s="56"/>
      <c r="OLV434" s="56"/>
      <c r="OLW434" s="56"/>
      <c r="OLX434" s="56"/>
      <c r="OLY434" s="56"/>
      <c r="OLZ434" s="56"/>
      <c r="OMA434" s="56"/>
      <c r="OMB434" s="56"/>
      <c r="OMC434" s="56"/>
      <c r="OMD434" s="56"/>
      <c r="OME434" s="56"/>
      <c r="OMF434" s="56"/>
      <c r="OMG434" s="56"/>
      <c r="OMH434" s="56"/>
      <c r="OMI434" s="56"/>
      <c r="OMJ434" s="56"/>
      <c r="OMK434" s="56"/>
      <c r="OML434" s="56"/>
      <c r="OMM434" s="56"/>
      <c r="OMN434" s="56"/>
      <c r="OMO434" s="56"/>
      <c r="OMP434" s="56"/>
      <c r="OMQ434" s="56"/>
      <c r="OMR434" s="56"/>
      <c r="OMS434" s="56"/>
      <c r="OMT434" s="56"/>
      <c r="OMU434" s="56"/>
      <c r="OMV434" s="56"/>
      <c r="OMW434" s="56"/>
      <c r="OMX434" s="56"/>
      <c r="OMY434" s="56"/>
      <c r="OMZ434" s="56"/>
      <c r="ONA434" s="56"/>
      <c r="ONB434" s="56"/>
      <c r="ONC434" s="56"/>
      <c r="OND434" s="56"/>
      <c r="ONE434" s="56"/>
      <c r="ONF434" s="56"/>
      <c r="ONG434" s="56"/>
      <c r="ONH434" s="56"/>
      <c r="ONI434" s="56"/>
      <c r="ONJ434" s="56"/>
      <c r="ONK434" s="56"/>
      <c r="ONL434" s="56"/>
      <c r="ONM434" s="56"/>
      <c r="ONN434" s="56"/>
      <c r="ONO434" s="56"/>
      <c r="ONP434" s="56"/>
      <c r="ONQ434" s="56"/>
      <c r="ONR434" s="56"/>
      <c r="ONS434" s="56"/>
      <c r="ONT434" s="56"/>
      <c r="ONU434" s="56"/>
      <c r="ONV434" s="56"/>
      <c r="ONW434" s="56"/>
      <c r="ONX434" s="56"/>
      <c r="ONY434" s="56"/>
      <c r="ONZ434" s="56"/>
      <c r="OOA434" s="56"/>
      <c r="OOB434" s="56"/>
      <c r="OOC434" s="56"/>
      <c r="OOD434" s="56"/>
      <c r="OOE434" s="56"/>
      <c r="OOF434" s="56"/>
      <c r="OOG434" s="56"/>
      <c r="OOH434" s="56"/>
      <c r="OOI434" s="56"/>
      <c r="OOJ434" s="56"/>
      <c r="OOK434" s="56"/>
      <c r="OOL434" s="56"/>
      <c r="OOM434" s="56"/>
      <c r="OON434" s="56"/>
      <c r="OOO434" s="56"/>
      <c r="OOP434" s="56"/>
      <c r="OOQ434" s="56"/>
      <c r="OOR434" s="56"/>
      <c r="OOS434" s="56"/>
      <c r="OOT434" s="56"/>
      <c r="OOU434" s="56"/>
      <c r="OOV434" s="56"/>
      <c r="OOW434" s="56"/>
      <c r="OOX434" s="56"/>
      <c r="OOY434" s="56"/>
      <c r="OOZ434" s="56"/>
      <c r="OPA434" s="56"/>
      <c r="OPB434" s="56"/>
      <c r="OPC434" s="56"/>
      <c r="OPD434" s="56"/>
      <c r="OPE434" s="56"/>
      <c r="OPF434" s="56"/>
      <c r="OPG434" s="56"/>
      <c r="OPH434" s="56"/>
      <c r="OPI434" s="56"/>
      <c r="OPJ434" s="56"/>
      <c r="OPK434" s="56"/>
      <c r="OPL434" s="56"/>
      <c r="OPM434" s="56"/>
      <c r="OPN434" s="56"/>
      <c r="OPO434" s="56"/>
      <c r="OPP434" s="56"/>
      <c r="OPQ434" s="56"/>
      <c r="OPR434" s="56"/>
      <c r="OPS434" s="56"/>
      <c r="OPT434" s="56"/>
      <c r="OPU434" s="56"/>
      <c r="OPV434" s="56"/>
      <c r="OPW434" s="56"/>
      <c r="OPX434" s="56"/>
      <c r="OPY434" s="56"/>
      <c r="OPZ434" s="56"/>
      <c r="OQA434" s="56"/>
      <c r="OQB434" s="56"/>
      <c r="OQC434" s="56"/>
      <c r="OQD434" s="56"/>
      <c r="OQE434" s="56"/>
      <c r="OQF434" s="56"/>
      <c r="OQG434" s="56"/>
      <c r="OQH434" s="56"/>
      <c r="OQI434" s="56"/>
      <c r="OQJ434" s="56"/>
      <c r="OQK434" s="56"/>
      <c r="OQL434" s="56"/>
      <c r="OQM434" s="56"/>
      <c r="OQN434" s="56"/>
      <c r="OQO434" s="56"/>
      <c r="OQP434" s="56"/>
      <c r="OQQ434" s="56"/>
      <c r="OQR434" s="56"/>
      <c r="OQS434" s="56"/>
      <c r="OQT434" s="56"/>
      <c r="OQU434" s="56"/>
      <c r="OQV434" s="56"/>
      <c r="OQW434" s="56"/>
      <c r="OQX434" s="56"/>
      <c r="OQY434" s="56"/>
      <c r="OQZ434" s="56"/>
      <c r="ORA434" s="56"/>
      <c r="ORB434" s="56"/>
      <c r="ORC434" s="56"/>
      <c r="ORD434" s="56"/>
      <c r="ORE434" s="56"/>
      <c r="ORF434" s="56"/>
      <c r="ORG434" s="56"/>
      <c r="ORH434" s="56"/>
      <c r="ORI434" s="56"/>
      <c r="ORJ434" s="56"/>
      <c r="ORK434" s="56"/>
      <c r="ORL434" s="56"/>
      <c r="ORM434" s="56"/>
      <c r="ORN434" s="56"/>
      <c r="ORO434" s="56"/>
      <c r="ORP434" s="56"/>
      <c r="ORQ434" s="56"/>
      <c r="ORR434" s="56"/>
      <c r="ORS434" s="56"/>
      <c r="ORT434" s="56"/>
      <c r="ORU434" s="56"/>
      <c r="ORV434" s="56"/>
      <c r="ORW434" s="56"/>
      <c r="ORX434" s="56"/>
      <c r="ORY434" s="56"/>
      <c r="ORZ434" s="56"/>
      <c r="OSA434" s="56"/>
      <c r="OSB434" s="56"/>
      <c r="OSC434" s="56"/>
      <c r="OSD434" s="56"/>
      <c r="OSE434" s="56"/>
      <c r="OSF434" s="56"/>
      <c r="OSG434" s="56"/>
      <c r="OSH434" s="56"/>
      <c r="OSI434" s="56"/>
      <c r="OSJ434" s="56"/>
      <c r="OSK434" s="56"/>
      <c r="OSL434" s="56"/>
      <c r="OSM434" s="56"/>
      <c r="OSN434" s="56"/>
      <c r="OSO434" s="56"/>
      <c r="OSP434" s="56"/>
      <c r="OSQ434" s="56"/>
      <c r="OSR434" s="56"/>
      <c r="OSS434" s="56"/>
      <c r="OST434" s="56"/>
      <c r="OSU434" s="56"/>
      <c r="OSV434" s="56"/>
      <c r="OSW434" s="56"/>
      <c r="OSX434" s="56"/>
      <c r="OSY434" s="56"/>
      <c r="OSZ434" s="56"/>
      <c r="OTA434" s="56"/>
      <c r="OTB434" s="56"/>
      <c r="OTC434" s="56"/>
      <c r="OTD434" s="56"/>
      <c r="OTE434" s="56"/>
      <c r="OTF434" s="56"/>
      <c r="OTG434" s="56"/>
      <c r="OTH434" s="56"/>
      <c r="OTI434" s="56"/>
      <c r="OTJ434" s="56"/>
      <c r="OTK434" s="56"/>
      <c r="OTL434" s="56"/>
      <c r="OTM434" s="56"/>
      <c r="OTN434" s="56"/>
      <c r="OTO434" s="56"/>
      <c r="OTP434" s="56"/>
      <c r="OTQ434" s="56"/>
      <c r="OTR434" s="56"/>
      <c r="OTS434" s="56"/>
      <c r="OTT434" s="56"/>
      <c r="OTU434" s="56"/>
      <c r="OTV434" s="56"/>
      <c r="OTW434" s="56"/>
      <c r="OTX434" s="56"/>
      <c r="OTY434" s="56"/>
      <c r="OTZ434" s="56"/>
      <c r="OUA434" s="56"/>
      <c r="OUB434" s="56"/>
      <c r="OUC434" s="56"/>
      <c r="OUD434" s="56"/>
      <c r="OUE434" s="56"/>
      <c r="OUF434" s="56"/>
      <c r="OUG434" s="56"/>
      <c r="OUH434" s="56"/>
      <c r="OUI434" s="56"/>
      <c r="OUJ434" s="56"/>
      <c r="OUK434" s="56"/>
      <c r="OUL434" s="56"/>
      <c r="OUM434" s="56"/>
      <c r="OUN434" s="56"/>
      <c r="OUO434" s="56"/>
      <c r="OUP434" s="56"/>
      <c r="OUQ434" s="56"/>
      <c r="OUR434" s="56"/>
      <c r="OUS434" s="56"/>
      <c r="OUT434" s="56"/>
      <c r="OUU434" s="56"/>
      <c r="OUV434" s="56"/>
      <c r="OUW434" s="56"/>
      <c r="OUX434" s="56"/>
      <c r="OUY434" s="56"/>
      <c r="OUZ434" s="56"/>
      <c r="OVA434" s="56"/>
      <c r="OVB434" s="56"/>
      <c r="OVC434" s="56"/>
      <c r="OVD434" s="56"/>
      <c r="OVE434" s="56"/>
      <c r="OVF434" s="56"/>
      <c r="OVG434" s="56"/>
      <c r="OVH434" s="56"/>
      <c r="OVI434" s="56"/>
      <c r="OVJ434" s="56"/>
      <c r="OVK434" s="56"/>
      <c r="OVL434" s="56"/>
      <c r="OVM434" s="56"/>
      <c r="OVN434" s="56"/>
      <c r="OVO434" s="56"/>
      <c r="OVP434" s="56"/>
      <c r="OVQ434" s="56"/>
      <c r="OVR434" s="56"/>
      <c r="OVS434" s="56"/>
      <c r="OVT434" s="56"/>
      <c r="OVU434" s="56"/>
      <c r="OVV434" s="56"/>
      <c r="OVW434" s="56"/>
      <c r="OVX434" s="56"/>
      <c r="OVY434" s="56"/>
      <c r="OVZ434" s="56"/>
      <c r="OWA434" s="56"/>
      <c r="OWB434" s="56"/>
      <c r="OWC434" s="56"/>
      <c r="OWD434" s="56"/>
      <c r="OWE434" s="56"/>
      <c r="OWF434" s="56"/>
      <c r="OWG434" s="56"/>
      <c r="OWH434" s="56"/>
      <c r="OWI434" s="56"/>
      <c r="OWJ434" s="56"/>
      <c r="OWK434" s="56"/>
      <c r="OWL434" s="56"/>
      <c r="OWM434" s="56"/>
      <c r="OWN434" s="56"/>
      <c r="OWO434" s="56"/>
      <c r="OWP434" s="56"/>
      <c r="OWQ434" s="56"/>
      <c r="OWR434" s="56"/>
      <c r="OWS434" s="56"/>
      <c r="OWT434" s="56"/>
      <c r="OWU434" s="56"/>
      <c r="OWV434" s="56"/>
      <c r="OWW434" s="56"/>
      <c r="OWX434" s="56"/>
      <c r="OWY434" s="56"/>
      <c r="OWZ434" s="56"/>
      <c r="OXA434" s="56"/>
      <c r="OXB434" s="56"/>
      <c r="OXC434" s="56"/>
      <c r="OXD434" s="56"/>
      <c r="OXE434" s="56"/>
      <c r="OXF434" s="56"/>
      <c r="OXG434" s="56"/>
      <c r="OXH434" s="56"/>
      <c r="OXI434" s="56"/>
      <c r="OXJ434" s="56"/>
      <c r="OXK434" s="56"/>
      <c r="OXL434" s="56"/>
      <c r="OXM434" s="56"/>
      <c r="OXN434" s="56"/>
      <c r="OXO434" s="56"/>
      <c r="OXP434" s="56"/>
      <c r="OXQ434" s="56"/>
      <c r="OXR434" s="56"/>
      <c r="OXS434" s="56"/>
      <c r="OXT434" s="56"/>
      <c r="OXU434" s="56"/>
      <c r="OXV434" s="56"/>
      <c r="OXW434" s="56"/>
      <c r="OXX434" s="56"/>
      <c r="OXY434" s="56"/>
      <c r="OXZ434" s="56"/>
      <c r="OYA434" s="56"/>
      <c r="OYB434" s="56"/>
      <c r="OYC434" s="56"/>
      <c r="OYD434" s="56"/>
      <c r="OYE434" s="56"/>
      <c r="OYF434" s="56"/>
      <c r="OYG434" s="56"/>
      <c r="OYH434" s="56"/>
      <c r="OYI434" s="56"/>
      <c r="OYJ434" s="56"/>
      <c r="OYK434" s="56"/>
      <c r="OYL434" s="56"/>
      <c r="OYM434" s="56"/>
      <c r="OYN434" s="56"/>
      <c r="OYO434" s="56"/>
      <c r="OYP434" s="56"/>
      <c r="OYQ434" s="56"/>
      <c r="OYR434" s="56"/>
      <c r="OYS434" s="56"/>
      <c r="OYT434" s="56"/>
      <c r="OYU434" s="56"/>
      <c r="OYV434" s="56"/>
      <c r="OYW434" s="56"/>
      <c r="OYX434" s="56"/>
      <c r="OYY434" s="56"/>
      <c r="OYZ434" s="56"/>
      <c r="OZA434" s="56"/>
      <c r="OZB434" s="56"/>
      <c r="OZC434" s="56"/>
      <c r="OZD434" s="56"/>
      <c r="OZE434" s="56"/>
      <c r="OZF434" s="56"/>
      <c r="OZG434" s="56"/>
      <c r="OZH434" s="56"/>
      <c r="OZI434" s="56"/>
      <c r="OZJ434" s="56"/>
      <c r="OZK434" s="56"/>
      <c r="OZL434" s="56"/>
      <c r="OZM434" s="56"/>
      <c r="OZN434" s="56"/>
      <c r="OZO434" s="56"/>
      <c r="OZP434" s="56"/>
      <c r="OZQ434" s="56"/>
      <c r="OZR434" s="56"/>
      <c r="OZS434" s="56"/>
      <c r="OZT434" s="56"/>
      <c r="OZU434" s="56"/>
      <c r="OZV434" s="56"/>
      <c r="OZW434" s="56"/>
      <c r="OZX434" s="56"/>
      <c r="OZY434" s="56"/>
      <c r="OZZ434" s="56"/>
      <c r="PAA434" s="56"/>
      <c r="PAB434" s="56"/>
      <c r="PAC434" s="56"/>
      <c r="PAD434" s="56"/>
      <c r="PAE434" s="56"/>
      <c r="PAF434" s="56"/>
      <c r="PAG434" s="56"/>
      <c r="PAH434" s="56"/>
      <c r="PAI434" s="56"/>
      <c r="PAJ434" s="56"/>
      <c r="PAK434" s="56"/>
      <c r="PAL434" s="56"/>
      <c r="PAM434" s="56"/>
      <c r="PAN434" s="56"/>
      <c r="PAO434" s="56"/>
      <c r="PAP434" s="56"/>
      <c r="PAQ434" s="56"/>
      <c r="PAR434" s="56"/>
      <c r="PAS434" s="56"/>
      <c r="PAT434" s="56"/>
      <c r="PAU434" s="56"/>
      <c r="PAV434" s="56"/>
      <c r="PAW434" s="56"/>
      <c r="PAX434" s="56"/>
      <c r="PAY434" s="56"/>
      <c r="PAZ434" s="56"/>
      <c r="PBA434" s="56"/>
      <c r="PBB434" s="56"/>
      <c r="PBC434" s="56"/>
      <c r="PBD434" s="56"/>
      <c r="PBE434" s="56"/>
      <c r="PBF434" s="56"/>
      <c r="PBG434" s="56"/>
      <c r="PBH434" s="56"/>
      <c r="PBI434" s="56"/>
      <c r="PBJ434" s="56"/>
      <c r="PBK434" s="56"/>
      <c r="PBL434" s="56"/>
      <c r="PBM434" s="56"/>
      <c r="PBN434" s="56"/>
      <c r="PBO434" s="56"/>
      <c r="PBP434" s="56"/>
      <c r="PBQ434" s="56"/>
      <c r="PBR434" s="56"/>
      <c r="PBS434" s="56"/>
      <c r="PBT434" s="56"/>
      <c r="PBU434" s="56"/>
      <c r="PBV434" s="56"/>
      <c r="PBW434" s="56"/>
      <c r="PBX434" s="56"/>
      <c r="PBY434" s="56"/>
      <c r="PBZ434" s="56"/>
      <c r="PCA434" s="56"/>
      <c r="PCB434" s="56"/>
      <c r="PCC434" s="56"/>
      <c r="PCD434" s="56"/>
      <c r="PCE434" s="56"/>
      <c r="PCF434" s="56"/>
      <c r="PCG434" s="56"/>
      <c r="PCH434" s="56"/>
      <c r="PCI434" s="56"/>
      <c r="PCJ434" s="56"/>
      <c r="PCK434" s="56"/>
      <c r="PCL434" s="56"/>
      <c r="PCM434" s="56"/>
      <c r="PCN434" s="56"/>
      <c r="PCO434" s="56"/>
      <c r="PCP434" s="56"/>
      <c r="PCQ434" s="56"/>
      <c r="PCR434" s="56"/>
      <c r="PCS434" s="56"/>
      <c r="PCT434" s="56"/>
      <c r="PCU434" s="56"/>
      <c r="PCV434" s="56"/>
      <c r="PCW434" s="56"/>
      <c r="PCX434" s="56"/>
      <c r="PCY434" s="56"/>
      <c r="PCZ434" s="56"/>
      <c r="PDA434" s="56"/>
      <c r="PDB434" s="56"/>
      <c r="PDC434" s="56"/>
      <c r="PDD434" s="56"/>
      <c r="PDE434" s="56"/>
      <c r="PDF434" s="56"/>
      <c r="PDG434" s="56"/>
      <c r="PDH434" s="56"/>
      <c r="PDI434" s="56"/>
      <c r="PDJ434" s="56"/>
      <c r="PDK434" s="56"/>
      <c r="PDL434" s="56"/>
      <c r="PDM434" s="56"/>
      <c r="PDN434" s="56"/>
      <c r="PDO434" s="56"/>
      <c r="PDP434" s="56"/>
      <c r="PDQ434" s="56"/>
      <c r="PDR434" s="56"/>
      <c r="PDS434" s="56"/>
      <c r="PDT434" s="56"/>
      <c r="PDU434" s="56"/>
      <c r="PDV434" s="56"/>
      <c r="PDW434" s="56"/>
      <c r="PDX434" s="56"/>
      <c r="PDY434" s="56"/>
      <c r="PDZ434" s="56"/>
      <c r="PEA434" s="56"/>
      <c r="PEB434" s="56"/>
      <c r="PEC434" s="56"/>
      <c r="PED434" s="56"/>
      <c r="PEE434" s="56"/>
      <c r="PEF434" s="56"/>
      <c r="PEG434" s="56"/>
      <c r="PEH434" s="56"/>
      <c r="PEI434" s="56"/>
      <c r="PEJ434" s="56"/>
      <c r="PEK434" s="56"/>
      <c r="PEL434" s="56"/>
      <c r="PEM434" s="56"/>
      <c r="PEN434" s="56"/>
      <c r="PEO434" s="56"/>
      <c r="PEP434" s="56"/>
      <c r="PEQ434" s="56"/>
      <c r="PER434" s="56"/>
      <c r="PES434" s="56"/>
      <c r="PET434" s="56"/>
      <c r="PEU434" s="56"/>
      <c r="PEV434" s="56"/>
      <c r="PEW434" s="56"/>
      <c r="PEX434" s="56"/>
      <c r="PEY434" s="56"/>
      <c r="PEZ434" s="56"/>
      <c r="PFA434" s="56"/>
      <c r="PFB434" s="56"/>
      <c r="PFC434" s="56"/>
      <c r="PFD434" s="56"/>
      <c r="PFE434" s="56"/>
      <c r="PFF434" s="56"/>
      <c r="PFG434" s="56"/>
      <c r="PFH434" s="56"/>
      <c r="PFI434" s="56"/>
      <c r="PFJ434" s="56"/>
      <c r="PFK434" s="56"/>
      <c r="PFL434" s="56"/>
      <c r="PFM434" s="56"/>
      <c r="PFN434" s="56"/>
      <c r="PFO434" s="56"/>
      <c r="PFP434" s="56"/>
      <c r="PFQ434" s="56"/>
      <c r="PFR434" s="56"/>
      <c r="PFS434" s="56"/>
      <c r="PFT434" s="56"/>
      <c r="PFU434" s="56"/>
      <c r="PFV434" s="56"/>
      <c r="PFW434" s="56"/>
      <c r="PFX434" s="56"/>
      <c r="PFY434" s="56"/>
      <c r="PFZ434" s="56"/>
      <c r="PGA434" s="56"/>
      <c r="PGB434" s="56"/>
      <c r="PGC434" s="56"/>
      <c r="PGD434" s="56"/>
      <c r="PGE434" s="56"/>
      <c r="PGF434" s="56"/>
      <c r="PGG434" s="56"/>
      <c r="PGH434" s="56"/>
      <c r="PGI434" s="56"/>
      <c r="PGJ434" s="56"/>
      <c r="PGK434" s="56"/>
      <c r="PGL434" s="56"/>
      <c r="PGM434" s="56"/>
      <c r="PGN434" s="56"/>
      <c r="PGO434" s="56"/>
      <c r="PGP434" s="56"/>
      <c r="PGQ434" s="56"/>
      <c r="PGR434" s="56"/>
      <c r="PGS434" s="56"/>
      <c r="PGT434" s="56"/>
      <c r="PGU434" s="56"/>
      <c r="PGV434" s="56"/>
      <c r="PGW434" s="56"/>
      <c r="PGX434" s="56"/>
      <c r="PGY434" s="56"/>
      <c r="PGZ434" s="56"/>
      <c r="PHA434" s="56"/>
      <c r="PHB434" s="56"/>
      <c r="PHC434" s="56"/>
      <c r="PHD434" s="56"/>
      <c r="PHE434" s="56"/>
      <c r="PHF434" s="56"/>
      <c r="PHG434" s="56"/>
      <c r="PHH434" s="56"/>
      <c r="PHI434" s="56"/>
      <c r="PHJ434" s="56"/>
      <c r="PHK434" s="56"/>
      <c r="PHL434" s="56"/>
      <c r="PHM434" s="56"/>
      <c r="PHN434" s="56"/>
      <c r="PHO434" s="56"/>
      <c r="PHP434" s="56"/>
      <c r="PHQ434" s="56"/>
      <c r="PHR434" s="56"/>
      <c r="PHS434" s="56"/>
      <c r="PHT434" s="56"/>
      <c r="PHU434" s="56"/>
      <c r="PHV434" s="56"/>
      <c r="PHW434" s="56"/>
      <c r="PHX434" s="56"/>
      <c r="PHY434" s="56"/>
      <c r="PHZ434" s="56"/>
      <c r="PIA434" s="56"/>
      <c r="PIB434" s="56"/>
      <c r="PIC434" s="56"/>
      <c r="PID434" s="56"/>
      <c r="PIE434" s="56"/>
      <c r="PIF434" s="56"/>
      <c r="PIG434" s="56"/>
      <c r="PIH434" s="56"/>
      <c r="PII434" s="56"/>
      <c r="PIJ434" s="56"/>
      <c r="PIK434" s="56"/>
      <c r="PIL434" s="56"/>
      <c r="PIM434" s="56"/>
      <c r="PIN434" s="56"/>
      <c r="PIO434" s="56"/>
      <c r="PIP434" s="56"/>
      <c r="PIQ434" s="56"/>
      <c r="PIR434" s="56"/>
      <c r="PIS434" s="56"/>
      <c r="PIT434" s="56"/>
      <c r="PIU434" s="56"/>
      <c r="PIV434" s="56"/>
      <c r="PIW434" s="56"/>
      <c r="PIX434" s="56"/>
      <c r="PIY434" s="56"/>
      <c r="PIZ434" s="56"/>
      <c r="PJA434" s="56"/>
      <c r="PJB434" s="56"/>
      <c r="PJC434" s="56"/>
      <c r="PJD434" s="56"/>
      <c r="PJE434" s="56"/>
      <c r="PJF434" s="56"/>
      <c r="PJG434" s="56"/>
      <c r="PJH434" s="56"/>
      <c r="PJI434" s="56"/>
      <c r="PJJ434" s="56"/>
      <c r="PJK434" s="56"/>
      <c r="PJL434" s="56"/>
      <c r="PJM434" s="56"/>
      <c r="PJN434" s="56"/>
      <c r="PJO434" s="56"/>
      <c r="PJP434" s="56"/>
      <c r="PJQ434" s="56"/>
      <c r="PJR434" s="56"/>
      <c r="PJS434" s="56"/>
      <c r="PJT434" s="56"/>
      <c r="PJU434" s="56"/>
      <c r="PJV434" s="56"/>
      <c r="PJW434" s="56"/>
      <c r="PJX434" s="56"/>
      <c r="PJY434" s="56"/>
      <c r="PJZ434" s="56"/>
      <c r="PKA434" s="56"/>
      <c r="PKB434" s="56"/>
      <c r="PKC434" s="56"/>
      <c r="PKD434" s="56"/>
      <c r="PKE434" s="56"/>
      <c r="PKF434" s="56"/>
      <c r="PKG434" s="56"/>
      <c r="PKH434" s="56"/>
      <c r="PKI434" s="56"/>
      <c r="PKJ434" s="56"/>
      <c r="PKK434" s="56"/>
      <c r="PKL434" s="56"/>
      <c r="PKM434" s="56"/>
      <c r="PKN434" s="56"/>
      <c r="PKO434" s="56"/>
      <c r="PKP434" s="56"/>
      <c r="PKQ434" s="56"/>
      <c r="PKR434" s="56"/>
      <c r="PKS434" s="56"/>
      <c r="PKT434" s="56"/>
      <c r="PKU434" s="56"/>
      <c r="PKV434" s="56"/>
      <c r="PKW434" s="56"/>
      <c r="PKX434" s="56"/>
      <c r="PKY434" s="56"/>
      <c r="PKZ434" s="56"/>
      <c r="PLA434" s="56"/>
      <c r="PLB434" s="56"/>
      <c r="PLC434" s="56"/>
      <c r="PLD434" s="56"/>
      <c r="PLE434" s="56"/>
      <c r="PLF434" s="56"/>
      <c r="PLG434" s="56"/>
      <c r="PLH434" s="56"/>
      <c r="PLI434" s="56"/>
      <c r="PLJ434" s="56"/>
      <c r="PLK434" s="56"/>
      <c r="PLL434" s="56"/>
      <c r="PLM434" s="56"/>
      <c r="PLN434" s="56"/>
      <c r="PLO434" s="56"/>
      <c r="PLP434" s="56"/>
      <c r="PLQ434" s="56"/>
      <c r="PLR434" s="56"/>
      <c r="PLS434" s="56"/>
      <c r="PLT434" s="56"/>
      <c r="PLU434" s="56"/>
      <c r="PLV434" s="56"/>
      <c r="PLW434" s="56"/>
      <c r="PLX434" s="56"/>
      <c r="PLY434" s="56"/>
      <c r="PLZ434" s="56"/>
      <c r="PMA434" s="56"/>
      <c r="PMB434" s="56"/>
      <c r="PMC434" s="56"/>
      <c r="PMD434" s="56"/>
      <c r="PME434" s="56"/>
      <c r="PMF434" s="56"/>
      <c r="PMG434" s="56"/>
      <c r="PMH434" s="56"/>
      <c r="PMI434" s="56"/>
      <c r="PMJ434" s="56"/>
      <c r="PMK434" s="56"/>
      <c r="PML434" s="56"/>
      <c r="PMM434" s="56"/>
      <c r="PMN434" s="56"/>
      <c r="PMO434" s="56"/>
      <c r="PMP434" s="56"/>
      <c r="PMQ434" s="56"/>
      <c r="PMR434" s="56"/>
      <c r="PMS434" s="56"/>
      <c r="PMT434" s="56"/>
      <c r="PMU434" s="56"/>
      <c r="PMV434" s="56"/>
      <c r="PMW434" s="56"/>
      <c r="PMX434" s="56"/>
      <c r="PMY434" s="56"/>
      <c r="PMZ434" s="56"/>
      <c r="PNA434" s="56"/>
      <c r="PNB434" s="56"/>
      <c r="PNC434" s="56"/>
      <c r="PND434" s="56"/>
      <c r="PNE434" s="56"/>
      <c r="PNF434" s="56"/>
      <c r="PNG434" s="56"/>
      <c r="PNH434" s="56"/>
      <c r="PNI434" s="56"/>
      <c r="PNJ434" s="56"/>
      <c r="PNK434" s="56"/>
      <c r="PNL434" s="56"/>
      <c r="PNM434" s="56"/>
      <c r="PNN434" s="56"/>
      <c r="PNO434" s="56"/>
      <c r="PNP434" s="56"/>
      <c r="PNQ434" s="56"/>
      <c r="PNR434" s="56"/>
      <c r="PNS434" s="56"/>
      <c r="PNT434" s="56"/>
      <c r="PNU434" s="56"/>
      <c r="PNV434" s="56"/>
      <c r="PNW434" s="56"/>
      <c r="PNX434" s="56"/>
      <c r="PNY434" s="56"/>
      <c r="PNZ434" s="56"/>
      <c r="POA434" s="56"/>
      <c r="POB434" s="56"/>
      <c r="POC434" s="56"/>
      <c r="POD434" s="56"/>
      <c r="POE434" s="56"/>
      <c r="POF434" s="56"/>
      <c r="POG434" s="56"/>
      <c r="POH434" s="56"/>
      <c r="POI434" s="56"/>
      <c r="POJ434" s="56"/>
      <c r="POK434" s="56"/>
      <c r="POL434" s="56"/>
      <c r="POM434" s="56"/>
      <c r="PON434" s="56"/>
      <c r="POO434" s="56"/>
      <c r="POP434" s="56"/>
      <c r="POQ434" s="56"/>
      <c r="POR434" s="56"/>
      <c r="POS434" s="56"/>
      <c r="POT434" s="56"/>
      <c r="POU434" s="56"/>
      <c r="POV434" s="56"/>
      <c r="POW434" s="56"/>
      <c r="POX434" s="56"/>
      <c r="POY434" s="56"/>
      <c r="POZ434" s="56"/>
      <c r="PPA434" s="56"/>
      <c r="PPB434" s="56"/>
      <c r="PPC434" s="56"/>
      <c r="PPD434" s="56"/>
      <c r="PPE434" s="56"/>
      <c r="PPF434" s="56"/>
      <c r="PPG434" s="56"/>
      <c r="PPH434" s="56"/>
      <c r="PPI434" s="56"/>
      <c r="PPJ434" s="56"/>
      <c r="PPK434" s="56"/>
      <c r="PPL434" s="56"/>
      <c r="PPM434" s="56"/>
      <c r="PPN434" s="56"/>
      <c r="PPO434" s="56"/>
      <c r="PPP434" s="56"/>
      <c r="PPQ434" s="56"/>
      <c r="PPR434" s="56"/>
      <c r="PPS434" s="56"/>
      <c r="PPT434" s="56"/>
      <c r="PPU434" s="56"/>
      <c r="PPV434" s="56"/>
      <c r="PPW434" s="56"/>
      <c r="PPX434" s="56"/>
      <c r="PPY434" s="56"/>
      <c r="PPZ434" s="56"/>
      <c r="PQA434" s="56"/>
      <c r="PQB434" s="56"/>
      <c r="PQC434" s="56"/>
      <c r="PQD434" s="56"/>
      <c r="PQE434" s="56"/>
      <c r="PQF434" s="56"/>
      <c r="PQG434" s="56"/>
      <c r="PQH434" s="56"/>
      <c r="PQI434" s="56"/>
      <c r="PQJ434" s="56"/>
      <c r="PQK434" s="56"/>
      <c r="PQL434" s="56"/>
      <c r="PQM434" s="56"/>
      <c r="PQN434" s="56"/>
      <c r="PQO434" s="56"/>
      <c r="PQP434" s="56"/>
      <c r="PQQ434" s="56"/>
      <c r="PQR434" s="56"/>
      <c r="PQS434" s="56"/>
      <c r="PQT434" s="56"/>
      <c r="PQU434" s="56"/>
      <c r="PQV434" s="56"/>
      <c r="PQW434" s="56"/>
      <c r="PQX434" s="56"/>
      <c r="PQY434" s="56"/>
      <c r="PQZ434" s="56"/>
      <c r="PRA434" s="56"/>
      <c r="PRB434" s="56"/>
      <c r="PRC434" s="56"/>
      <c r="PRD434" s="56"/>
      <c r="PRE434" s="56"/>
      <c r="PRF434" s="56"/>
      <c r="PRG434" s="56"/>
      <c r="PRH434" s="56"/>
      <c r="PRI434" s="56"/>
      <c r="PRJ434" s="56"/>
      <c r="PRK434" s="56"/>
      <c r="PRL434" s="56"/>
      <c r="PRM434" s="56"/>
      <c r="PRN434" s="56"/>
      <c r="PRO434" s="56"/>
      <c r="PRP434" s="56"/>
      <c r="PRQ434" s="56"/>
      <c r="PRR434" s="56"/>
      <c r="PRS434" s="56"/>
      <c r="PRT434" s="56"/>
      <c r="PRU434" s="56"/>
      <c r="PRV434" s="56"/>
      <c r="PRW434" s="56"/>
      <c r="PRX434" s="56"/>
      <c r="PRY434" s="56"/>
      <c r="PRZ434" s="56"/>
      <c r="PSA434" s="56"/>
      <c r="PSB434" s="56"/>
      <c r="PSC434" s="56"/>
      <c r="PSD434" s="56"/>
      <c r="PSE434" s="56"/>
      <c r="PSF434" s="56"/>
      <c r="PSG434" s="56"/>
      <c r="PSH434" s="56"/>
      <c r="PSI434" s="56"/>
      <c r="PSJ434" s="56"/>
      <c r="PSK434" s="56"/>
      <c r="PSL434" s="56"/>
      <c r="PSM434" s="56"/>
      <c r="PSN434" s="56"/>
      <c r="PSO434" s="56"/>
      <c r="PSP434" s="56"/>
      <c r="PSQ434" s="56"/>
      <c r="PSR434" s="56"/>
      <c r="PSS434" s="56"/>
      <c r="PST434" s="56"/>
      <c r="PSU434" s="56"/>
      <c r="PSV434" s="56"/>
      <c r="PSW434" s="56"/>
      <c r="PSX434" s="56"/>
      <c r="PSY434" s="56"/>
      <c r="PSZ434" s="56"/>
      <c r="PTA434" s="56"/>
      <c r="PTB434" s="56"/>
      <c r="PTC434" s="56"/>
      <c r="PTD434" s="56"/>
      <c r="PTE434" s="56"/>
      <c r="PTF434" s="56"/>
      <c r="PTG434" s="56"/>
      <c r="PTH434" s="56"/>
      <c r="PTI434" s="56"/>
      <c r="PTJ434" s="56"/>
      <c r="PTK434" s="56"/>
      <c r="PTL434" s="56"/>
      <c r="PTM434" s="56"/>
      <c r="PTN434" s="56"/>
      <c r="PTO434" s="56"/>
      <c r="PTP434" s="56"/>
      <c r="PTQ434" s="56"/>
      <c r="PTR434" s="56"/>
      <c r="PTS434" s="56"/>
      <c r="PTT434" s="56"/>
      <c r="PTU434" s="56"/>
      <c r="PTV434" s="56"/>
      <c r="PTW434" s="56"/>
      <c r="PTX434" s="56"/>
      <c r="PTY434" s="56"/>
      <c r="PTZ434" s="56"/>
      <c r="PUA434" s="56"/>
      <c r="PUB434" s="56"/>
      <c r="PUC434" s="56"/>
      <c r="PUD434" s="56"/>
      <c r="PUE434" s="56"/>
      <c r="PUF434" s="56"/>
      <c r="PUG434" s="56"/>
      <c r="PUH434" s="56"/>
      <c r="PUI434" s="56"/>
      <c r="PUJ434" s="56"/>
      <c r="PUK434" s="56"/>
      <c r="PUL434" s="56"/>
      <c r="PUM434" s="56"/>
      <c r="PUN434" s="56"/>
      <c r="PUO434" s="56"/>
      <c r="PUP434" s="56"/>
      <c r="PUQ434" s="56"/>
      <c r="PUR434" s="56"/>
      <c r="PUS434" s="56"/>
      <c r="PUT434" s="56"/>
      <c r="PUU434" s="56"/>
      <c r="PUV434" s="56"/>
      <c r="PUW434" s="56"/>
      <c r="PUX434" s="56"/>
      <c r="PUY434" s="56"/>
      <c r="PUZ434" s="56"/>
      <c r="PVA434" s="56"/>
      <c r="PVB434" s="56"/>
      <c r="PVC434" s="56"/>
      <c r="PVD434" s="56"/>
      <c r="PVE434" s="56"/>
      <c r="PVF434" s="56"/>
      <c r="PVG434" s="56"/>
      <c r="PVH434" s="56"/>
      <c r="PVI434" s="56"/>
      <c r="PVJ434" s="56"/>
      <c r="PVK434" s="56"/>
      <c r="PVL434" s="56"/>
      <c r="PVM434" s="56"/>
      <c r="PVN434" s="56"/>
      <c r="PVO434" s="56"/>
      <c r="PVP434" s="56"/>
      <c r="PVQ434" s="56"/>
      <c r="PVR434" s="56"/>
      <c r="PVS434" s="56"/>
      <c r="PVT434" s="56"/>
      <c r="PVU434" s="56"/>
      <c r="PVV434" s="56"/>
      <c r="PVW434" s="56"/>
      <c r="PVX434" s="56"/>
      <c r="PVY434" s="56"/>
      <c r="PVZ434" s="56"/>
      <c r="PWA434" s="56"/>
      <c r="PWB434" s="56"/>
      <c r="PWC434" s="56"/>
      <c r="PWD434" s="56"/>
      <c r="PWE434" s="56"/>
      <c r="PWF434" s="56"/>
      <c r="PWG434" s="56"/>
      <c r="PWH434" s="56"/>
      <c r="PWI434" s="56"/>
      <c r="PWJ434" s="56"/>
      <c r="PWK434" s="56"/>
      <c r="PWL434" s="56"/>
      <c r="PWM434" s="56"/>
      <c r="PWN434" s="56"/>
      <c r="PWO434" s="56"/>
      <c r="PWP434" s="56"/>
      <c r="PWQ434" s="56"/>
      <c r="PWR434" s="56"/>
      <c r="PWS434" s="56"/>
      <c r="PWT434" s="56"/>
      <c r="PWU434" s="56"/>
      <c r="PWV434" s="56"/>
      <c r="PWW434" s="56"/>
      <c r="PWX434" s="56"/>
      <c r="PWY434" s="56"/>
      <c r="PWZ434" s="56"/>
      <c r="PXA434" s="56"/>
      <c r="PXB434" s="56"/>
      <c r="PXC434" s="56"/>
      <c r="PXD434" s="56"/>
      <c r="PXE434" s="56"/>
      <c r="PXF434" s="56"/>
      <c r="PXG434" s="56"/>
      <c r="PXH434" s="56"/>
      <c r="PXI434" s="56"/>
      <c r="PXJ434" s="56"/>
      <c r="PXK434" s="56"/>
      <c r="PXL434" s="56"/>
      <c r="PXM434" s="56"/>
      <c r="PXN434" s="56"/>
      <c r="PXO434" s="56"/>
      <c r="PXP434" s="56"/>
      <c r="PXQ434" s="56"/>
      <c r="PXR434" s="56"/>
      <c r="PXS434" s="56"/>
      <c r="PXT434" s="56"/>
      <c r="PXU434" s="56"/>
      <c r="PXV434" s="56"/>
      <c r="PXW434" s="56"/>
      <c r="PXX434" s="56"/>
      <c r="PXY434" s="56"/>
      <c r="PXZ434" s="56"/>
      <c r="PYA434" s="56"/>
      <c r="PYB434" s="56"/>
      <c r="PYC434" s="56"/>
      <c r="PYD434" s="56"/>
      <c r="PYE434" s="56"/>
      <c r="PYF434" s="56"/>
      <c r="PYG434" s="56"/>
      <c r="PYH434" s="56"/>
      <c r="PYI434" s="56"/>
      <c r="PYJ434" s="56"/>
      <c r="PYK434" s="56"/>
      <c r="PYL434" s="56"/>
      <c r="PYM434" s="56"/>
      <c r="PYN434" s="56"/>
      <c r="PYO434" s="56"/>
      <c r="PYP434" s="56"/>
      <c r="PYQ434" s="56"/>
      <c r="PYR434" s="56"/>
      <c r="PYS434" s="56"/>
      <c r="PYT434" s="56"/>
      <c r="PYU434" s="56"/>
      <c r="PYV434" s="56"/>
      <c r="PYW434" s="56"/>
      <c r="PYX434" s="56"/>
      <c r="PYY434" s="56"/>
      <c r="PYZ434" s="56"/>
      <c r="PZA434" s="56"/>
      <c r="PZB434" s="56"/>
      <c r="PZC434" s="56"/>
      <c r="PZD434" s="56"/>
      <c r="PZE434" s="56"/>
      <c r="PZF434" s="56"/>
      <c r="PZG434" s="56"/>
      <c r="PZH434" s="56"/>
      <c r="PZI434" s="56"/>
      <c r="PZJ434" s="56"/>
      <c r="PZK434" s="56"/>
      <c r="PZL434" s="56"/>
      <c r="PZM434" s="56"/>
      <c r="PZN434" s="56"/>
      <c r="PZO434" s="56"/>
      <c r="PZP434" s="56"/>
      <c r="PZQ434" s="56"/>
      <c r="PZR434" s="56"/>
      <c r="PZS434" s="56"/>
      <c r="PZT434" s="56"/>
      <c r="PZU434" s="56"/>
      <c r="PZV434" s="56"/>
      <c r="PZW434" s="56"/>
      <c r="PZX434" s="56"/>
      <c r="PZY434" s="56"/>
      <c r="PZZ434" s="56"/>
      <c r="QAA434" s="56"/>
      <c r="QAB434" s="56"/>
      <c r="QAC434" s="56"/>
      <c r="QAD434" s="56"/>
      <c r="QAE434" s="56"/>
      <c r="QAF434" s="56"/>
      <c r="QAG434" s="56"/>
      <c r="QAH434" s="56"/>
      <c r="QAI434" s="56"/>
      <c r="QAJ434" s="56"/>
      <c r="QAK434" s="56"/>
      <c r="QAL434" s="56"/>
      <c r="QAM434" s="56"/>
      <c r="QAN434" s="56"/>
      <c r="QAO434" s="56"/>
      <c r="QAP434" s="56"/>
      <c r="QAQ434" s="56"/>
      <c r="QAR434" s="56"/>
      <c r="QAS434" s="56"/>
      <c r="QAT434" s="56"/>
      <c r="QAU434" s="56"/>
      <c r="QAV434" s="56"/>
      <c r="QAW434" s="56"/>
      <c r="QAX434" s="56"/>
      <c r="QAY434" s="56"/>
      <c r="QAZ434" s="56"/>
      <c r="QBA434" s="56"/>
      <c r="QBB434" s="56"/>
      <c r="QBC434" s="56"/>
      <c r="QBD434" s="56"/>
      <c r="QBE434" s="56"/>
      <c r="QBF434" s="56"/>
      <c r="QBG434" s="56"/>
      <c r="QBH434" s="56"/>
      <c r="QBI434" s="56"/>
      <c r="QBJ434" s="56"/>
      <c r="QBK434" s="56"/>
      <c r="QBL434" s="56"/>
      <c r="QBM434" s="56"/>
      <c r="QBN434" s="56"/>
      <c r="QBO434" s="56"/>
      <c r="QBP434" s="56"/>
      <c r="QBQ434" s="56"/>
      <c r="QBR434" s="56"/>
      <c r="QBS434" s="56"/>
      <c r="QBT434" s="56"/>
      <c r="QBU434" s="56"/>
      <c r="QBV434" s="56"/>
      <c r="QBW434" s="56"/>
      <c r="QBX434" s="56"/>
      <c r="QBY434" s="56"/>
      <c r="QBZ434" s="56"/>
      <c r="QCA434" s="56"/>
      <c r="QCB434" s="56"/>
      <c r="QCC434" s="56"/>
      <c r="QCD434" s="56"/>
      <c r="QCE434" s="56"/>
      <c r="QCF434" s="56"/>
      <c r="QCG434" s="56"/>
      <c r="QCH434" s="56"/>
      <c r="QCI434" s="56"/>
      <c r="QCJ434" s="56"/>
      <c r="QCK434" s="56"/>
      <c r="QCL434" s="56"/>
      <c r="QCM434" s="56"/>
      <c r="QCN434" s="56"/>
      <c r="QCO434" s="56"/>
      <c r="QCP434" s="56"/>
      <c r="QCQ434" s="56"/>
      <c r="QCR434" s="56"/>
      <c r="QCS434" s="56"/>
      <c r="QCT434" s="56"/>
      <c r="QCU434" s="56"/>
      <c r="QCV434" s="56"/>
      <c r="QCW434" s="56"/>
      <c r="QCX434" s="56"/>
      <c r="QCY434" s="56"/>
      <c r="QCZ434" s="56"/>
      <c r="QDA434" s="56"/>
      <c r="QDB434" s="56"/>
      <c r="QDC434" s="56"/>
      <c r="QDD434" s="56"/>
      <c r="QDE434" s="56"/>
      <c r="QDF434" s="56"/>
      <c r="QDG434" s="56"/>
      <c r="QDH434" s="56"/>
      <c r="QDI434" s="56"/>
      <c r="QDJ434" s="56"/>
      <c r="QDK434" s="56"/>
      <c r="QDL434" s="56"/>
      <c r="QDM434" s="56"/>
      <c r="QDN434" s="56"/>
      <c r="QDO434" s="56"/>
      <c r="QDP434" s="56"/>
      <c r="QDQ434" s="56"/>
      <c r="QDR434" s="56"/>
      <c r="QDS434" s="56"/>
      <c r="QDT434" s="56"/>
      <c r="QDU434" s="56"/>
      <c r="QDV434" s="56"/>
      <c r="QDW434" s="56"/>
      <c r="QDX434" s="56"/>
      <c r="QDY434" s="56"/>
      <c r="QDZ434" s="56"/>
      <c r="QEA434" s="56"/>
      <c r="QEB434" s="56"/>
      <c r="QEC434" s="56"/>
      <c r="QED434" s="56"/>
      <c r="QEE434" s="56"/>
      <c r="QEF434" s="56"/>
      <c r="QEG434" s="56"/>
      <c r="QEH434" s="56"/>
      <c r="QEI434" s="56"/>
      <c r="QEJ434" s="56"/>
      <c r="QEK434" s="56"/>
      <c r="QEL434" s="56"/>
      <c r="QEM434" s="56"/>
      <c r="QEN434" s="56"/>
      <c r="QEO434" s="56"/>
      <c r="QEP434" s="56"/>
      <c r="QEQ434" s="56"/>
      <c r="QER434" s="56"/>
      <c r="QES434" s="56"/>
      <c r="QET434" s="56"/>
      <c r="QEU434" s="56"/>
      <c r="QEV434" s="56"/>
      <c r="QEW434" s="56"/>
      <c r="QEX434" s="56"/>
      <c r="QEY434" s="56"/>
      <c r="QEZ434" s="56"/>
      <c r="QFA434" s="56"/>
      <c r="QFB434" s="56"/>
      <c r="QFC434" s="56"/>
      <c r="QFD434" s="56"/>
      <c r="QFE434" s="56"/>
      <c r="QFF434" s="56"/>
      <c r="QFG434" s="56"/>
      <c r="QFH434" s="56"/>
      <c r="QFI434" s="56"/>
      <c r="QFJ434" s="56"/>
      <c r="QFK434" s="56"/>
      <c r="QFL434" s="56"/>
      <c r="QFM434" s="56"/>
      <c r="QFN434" s="56"/>
      <c r="QFO434" s="56"/>
      <c r="QFP434" s="56"/>
      <c r="QFQ434" s="56"/>
      <c r="QFR434" s="56"/>
      <c r="QFS434" s="56"/>
      <c r="QFT434" s="56"/>
      <c r="QFU434" s="56"/>
      <c r="QFV434" s="56"/>
      <c r="QFW434" s="56"/>
      <c r="QFX434" s="56"/>
      <c r="QFY434" s="56"/>
      <c r="QFZ434" s="56"/>
      <c r="QGA434" s="56"/>
      <c r="QGB434" s="56"/>
      <c r="QGC434" s="56"/>
      <c r="QGD434" s="56"/>
      <c r="QGE434" s="56"/>
      <c r="QGF434" s="56"/>
      <c r="QGG434" s="56"/>
      <c r="QGH434" s="56"/>
      <c r="QGI434" s="56"/>
      <c r="QGJ434" s="56"/>
      <c r="QGK434" s="56"/>
      <c r="QGL434" s="56"/>
      <c r="QGM434" s="56"/>
      <c r="QGN434" s="56"/>
      <c r="QGO434" s="56"/>
      <c r="QGP434" s="56"/>
      <c r="QGQ434" s="56"/>
      <c r="QGR434" s="56"/>
      <c r="QGS434" s="56"/>
      <c r="QGT434" s="56"/>
      <c r="QGU434" s="56"/>
      <c r="QGV434" s="56"/>
      <c r="QGW434" s="56"/>
      <c r="QGX434" s="56"/>
      <c r="QGY434" s="56"/>
      <c r="QGZ434" s="56"/>
      <c r="QHA434" s="56"/>
      <c r="QHB434" s="56"/>
      <c r="QHC434" s="56"/>
      <c r="QHD434" s="56"/>
      <c r="QHE434" s="56"/>
      <c r="QHF434" s="56"/>
      <c r="QHG434" s="56"/>
      <c r="QHH434" s="56"/>
      <c r="QHI434" s="56"/>
      <c r="QHJ434" s="56"/>
      <c r="QHK434" s="56"/>
      <c r="QHL434" s="56"/>
      <c r="QHM434" s="56"/>
      <c r="QHN434" s="56"/>
      <c r="QHO434" s="56"/>
      <c r="QHP434" s="56"/>
      <c r="QHQ434" s="56"/>
      <c r="QHR434" s="56"/>
      <c r="QHS434" s="56"/>
      <c r="QHT434" s="56"/>
      <c r="QHU434" s="56"/>
      <c r="QHV434" s="56"/>
      <c r="QHW434" s="56"/>
      <c r="QHX434" s="56"/>
      <c r="QHY434" s="56"/>
      <c r="QHZ434" s="56"/>
      <c r="QIA434" s="56"/>
      <c r="QIB434" s="56"/>
      <c r="QIC434" s="56"/>
      <c r="QID434" s="56"/>
      <c r="QIE434" s="56"/>
      <c r="QIF434" s="56"/>
      <c r="QIG434" s="56"/>
      <c r="QIH434" s="56"/>
      <c r="QII434" s="56"/>
      <c r="QIJ434" s="56"/>
      <c r="QIK434" s="56"/>
      <c r="QIL434" s="56"/>
      <c r="QIM434" s="56"/>
      <c r="QIN434" s="56"/>
      <c r="QIO434" s="56"/>
      <c r="QIP434" s="56"/>
      <c r="QIQ434" s="56"/>
      <c r="QIR434" s="56"/>
      <c r="QIS434" s="56"/>
      <c r="QIT434" s="56"/>
      <c r="QIU434" s="56"/>
      <c r="QIV434" s="56"/>
      <c r="QIW434" s="56"/>
      <c r="QIX434" s="56"/>
      <c r="QIY434" s="56"/>
      <c r="QIZ434" s="56"/>
      <c r="QJA434" s="56"/>
      <c r="QJB434" s="56"/>
      <c r="QJC434" s="56"/>
      <c r="QJD434" s="56"/>
      <c r="QJE434" s="56"/>
      <c r="QJF434" s="56"/>
      <c r="QJG434" s="56"/>
      <c r="QJH434" s="56"/>
      <c r="QJI434" s="56"/>
      <c r="QJJ434" s="56"/>
      <c r="QJK434" s="56"/>
      <c r="QJL434" s="56"/>
      <c r="QJM434" s="56"/>
      <c r="QJN434" s="56"/>
      <c r="QJO434" s="56"/>
      <c r="QJP434" s="56"/>
      <c r="QJQ434" s="56"/>
      <c r="QJR434" s="56"/>
      <c r="QJS434" s="56"/>
      <c r="QJT434" s="56"/>
      <c r="QJU434" s="56"/>
      <c r="QJV434" s="56"/>
      <c r="QJW434" s="56"/>
      <c r="QJX434" s="56"/>
      <c r="QJY434" s="56"/>
      <c r="QJZ434" s="56"/>
      <c r="QKA434" s="56"/>
      <c r="QKB434" s="56"/>
      <c r="QKC434" s="56"/>
      <c r="QKD434" s="56"/>
      <c r="QKE434" s="56"/>
      <c r="QKF434" s="56"/>
      <c r="QKG434" s="56"/>
      <c r="QKH434" s="56"/>
      <c r="QKI434" s="56"/>
      <c r="QKJ434" s="56"/>
      <c r="QKK434" s="56"/>
      <c r="QKL434" s="56"/>
      <c r="QKM434" s="56"/>
      <c r="QKN434" s="56"/>
      <c r="QKO434" s="56"/>
      <c r="QKP434" s="56"/>
      <c r="QKQ434" s="56"/>
      <c r="QKR434" s="56"/>
      <c r="QKS434" s="56"/>
      <c r="QKT434" s="56"/>
      <c r="QKU434" s="56"/>
      <c r="QKV434" s="56"/>
      <c r="QKW434" s="56"/>
      <c r="QKX434" s="56"/>
      <c r="QKY434" s="56"/>
      <c r="QKZ434" s="56"/>
      <c r="QLA434" s="56"/>
      <c r="QLB434" s="56"/>
      <c r="QLC434" s="56"/>
      <c r="QLD434" s="56"/>
      <c r="QLE434" s="56"/>
      <c r="QLF434" s="56"/>
      <c r="QLG434" s="56"/>
      <c r="QLH434" s="56"/>
      <c r="QLI434" s="56"/>
      <c r="QLJ434" s="56"/>
      <c r="QLK434" s="56"/>
      <c r="QLL434" s="56"/>
      <c r="QLM434" s="56"/>
      <c r="QLN434" s="56"/>
      <c r="QLO434" s="56"/>
      <c r="QLP434" s="56"/>
      <c r="QLQ434" s="56"/>
      <c r="QLR434" s="56"/>
      <c r="QLS434" s="56"/>
      <c r="QLT434" s="56"/>
      <c r="QLU434" s="56"/>
      <c r="QLV434" s="56"/>
      <c r="QLW434" s="56"/>
      <c r="QLX434" s="56"/>
      <c r="QLY434" s="56"/>
      <c r="QLZ434" s="56"/>
      <c r="QMA434" s="56"/>
      <c r="QMB434" s="56"/>
      <c r="QMC434" s="56"/>
      <c r="QMD434" s="56"/>
      <c r="QME434" s="56"/>
      <c r="QMF434" s="56"/>
      <c r="QMG434" s="56"/>
      <c r="QMH434" s="56"/>
      <c r="QMI434" s="56"/>
      <c r="QMJ434" s="56"/>
      <c r="QMK434" s="56"/>
      <c r="QML434" s="56"/>
      <c r="QMM434" s="56"/>
      <c r="QMN434" s="56"/>
      <c r="QMO434" s="56"/>
      <c r="QMP434" s="56"/>
      <c r="QMQ434" s="56"/>
      <c r="QMR434" s="56"/>
      <c r="QMS434" s="56"/>
      <c r="QMT434" s="56"/>
      <c r="QMU434" s="56"/>
      <c r="QMV434" s="56"/>
      <c r="QMW434" s="56"/>
      <c r="QMX434" s="56"/>
      <c r="QMY434" s="56"/>
      <c r="QMZ434" s="56"/>
      <c r="QNA434" s="56"/>
      <c r="QNB434" s="56"/>
      <c r="QNC434" s="56"/>
      <c r="QND434" s="56"/>
      <c r="QNE434" s="56"/>
      <c r="QNF434" s="56"/>
      <c r="QNG434" s="56"/>
      <c r="QNH434" s="56"/>
      <c r="QNI434" s="56"/>
      <c r="QNJ434" s="56"/>
      <c r="QNK434" s="56"/>
      <c r="QNL434" s="56"/>
      <c r="QNM434" s="56"/>
      <c r="QNN434" s="56"/>
      <c r="QNO434" s="56"/>
      <c r="QNP434" s="56"/>
      <c r="QNQ434" s="56"/>
      <c r="QNR434" s="56"/>
      <c r="QNS434" s="56"/>
      <c r="QNT434" s="56"/>
      <c r="QNU434" s="56"/>
      <c r="QNV434" s="56"/>
      <c r="QNW434" s="56"/>
      <c r="QNX434" s="56"/>
      <c r="QNY434" s="56"/>
      <c r="QNZ434" s="56"/>
      <c r="QOA434" s="56"/>
      <c r="QOB434" s="56"/>
      <c r="QOC434" s="56"/>
      <c r="QOD434" s="56"/>
      <c r="QOE434" s="56"/>
      <c r="QOF434" s="56"/>
      <c r="QOG434" s="56"/>
      <c r="QOH434" s="56"/>
      <c r="QOI434" s="56"/>
      <c r="QOJ434" s="56"/>
      <c r="QOK434" s="56"/>
      <c r="QOL434" s="56"/>
      <c r="QOM434" s="56"/>
      <c r="QON434" s="56"/>
      <c r="QOO434" s="56"/>
      <c r="QOP434" s="56"/>
      <c r="QOQ434" s="56"/>
      <c r="QOR434" s="56"/>
      <c r="QOS434" s="56"/>
      <c r="QOT434" s="56"/>
      <c r="QOU434" s="56"/>
      <c r="QOV434" s="56"/>
      <c r="QOW434" s="56"/>
      <c r="QOX434" s="56"/>
      <c r="QOY434" s="56"/>
      <c r="QOZ434" s="56"/>
      <c r="QPA434" s="56"/>
      <c r="QPB434" s="56"/>
      <c r="QPC434" s="56"/>
      <c r="QPD434" s="56"/>
      <c r="QPE434" s="56"/>
      <c r="QPF434" s="56"/>
      <c r="QPG434" s="56"/>
      <c r="QPH434" s="56"/>
      <c r="QPI434" s="56"/>
      <c r="QPJ434" s="56"/>
      <c r="QPK434" s="56"/>
      <c r="QPL434" s="56"/>
      <c r="QPM434" s="56"/>
      <c r="QPN434" s="56"/>
      <c r="QPO434" s="56"/>
      <c r="QPP434" s="56"/>
      <c r="QPQ434" s="56"/>
      <c r="QPR434" s="56"/>
      <c r="QPS434" s="56"/>
      <c r="QPT434" s="56"/>
      <c r="QPU434" s="56"/>
      <c r="QPV434" s="56"/>
      <c r="QPW434" s="56"/>
      <c r="QPX434" s="56"/>
      <c r="QPY434" s="56"/>
      <c r="QPZ434" s="56"/>
      <c r="QQA434" s="56"/>
      <c r="QQB434" s="56"/>
      <c r="QQC434" s="56"/>
      <c r="QQD434" s="56"/>
      <c r="QQE434" s="56"/>
      <c r="QQF434" s="56"/>
      <c r="QQG434" s="56"/>
      <c r="QQH434" s="56"/>
      <c r="QQI434" s="56"/>
      <c r="QQJ434" s="56"/>
      <c r="QQK434" s="56"/>
      <c r="QQL434" s="56"/>
      <c r="QQM434" s="56"/>
      <c r="QQN434" s="56"/>
      <c r="QQO434" s="56"/>
      <c r="QQP434" s="56"/>
      <c r="QQQ434" s="56"/>
      <c r="QQR434" s="56"/>
      <c r="QQS434" s="56"/>
      <c r="QQT434" s="56"/>
      <c r="QQU434" s="56"/>
      <c r="QQV434" s="56"/>
      <c r="QQW434" s="56"/>
      <c r="QQX434" s="56"/>
      <c r="QQY434" s="56"/>
      <c r="QQZ434" s="56"/>
      <c r="QRA434" s="56"/>
      <c r="QRB434" s="56"/>
      <c r="QRC434" s="56"/>
      <c r="QRD434" s="56"/>
      <c r="QRE434" s="56"/>
      <c r="QRF434" s="56"/>
      <c r="QRG434" s="56"/>
      <c r="QRH434" s="56"/>
      <c r="QRI434" s="56"/>
      <c r="QRJ434" s="56"/>
      <c r="QRK434" s="56"/>
      <c r="QRL434" s="56"/>
      <c r="QRM434" s="56"/>
      <c r="QRN434" s="56"/>
      <c r="QRO434" s="56"/>
      <c r="QRP434" s="56"/>
      <c r="QRQ434" s="56"/>
      <c r="QRR434" s="56"/>
      <c r="QRS434" s="56"/>
      <c r="QRT434" s="56"/>
      <c r="QRU434" s="56"/>
      <c r="QRV434" s="56"/>
      <c r="QRW434" s="56"/>
      <c r="QRX434" s="56"/>
      <c r="QRY434" s="56"/>
      <c r="QRZ434" s="56"/>
      <c r="QSA434" s="56"/>
      <c r="QSB434" s="56"/>
      <c r="QSC434" s="56"/>
      <c r="QSD434" s="56"/>
      <c r="QSE434" s="56"/>
      <c r="QSF434" s="56"/>
      <c r="QSG434" s="56"/>
      <c r="QSH434" s="56"/>
      <c r="QSI434" s="56"/>
      <c r="QSJ434" s="56"/>
      <c r="QSK434" s="56"/>
      <c r="QSL434" s="56"/>
      <c r="QSM434" s="56"/>
      <c r="QSN434" s="56"/>
      <c r="QSO434" s="56"/>
      <c r="QSP434" s="56"/>
      <c r="QSQ434" s="56"/>
      <c r="QSR434" s="56"/>
      <c r="QSS434" s="56"/>
      <c r="QST434" s="56"/>
      <c r="QSU434" s="56"/>
      <c r="QSV434" s="56"/>
      <c r="QSW434" s="56"/>
      <c r="QSX434" s="56"/>
      <c r="QSY434" s="56"/>
      <c r="QSZ434" s="56"/>
      <c r="QTA434" s="56"/>
      <c r="QTB434" s="56"/>
      <c r="QTC434" s="56"/>
      <c r="QTD434" s="56"/>
      <c r="QTE434" s="56"/>
      <c r="QTF434" s="56"/>
      <c r="QTG434" s="56"/>
      <c r="QTH434" s="56"/>
      <c r="QTI434" s="56"/>
      <c r="QTJ434" s="56"/>
      <c r="QTK434" s="56"/>
      <c r="QTL434" s="56"/>
      <c r="QTM434" s="56"/>
      <c r="QTN434" s="56"/>
      <c r="QTO434" s="56"/>
      <c r="QTP434" s="56"/>
      <c r="QTQ434" s="56"/>
      <c r="QTR434" s="56"/>
      <c r="QTS434" s="56"/>
      <c r="QTT434" s="56"/>
      <c r="QTU434" s="56"/>
      <c r="QTV434" s="56"/>
      <c r="QTW434" s="56"/>
      <c r="QTX434" s="56"/>
      <c r="QTY434" s="56"/>
      <c r="QTZ434" s="56"/>
      <c r="QUA434" s="56"/>
      <c r="QUB434" s="56"/>
      <c r="QUC434" s="56"/>
      <c r="QUD434" s="56"/>
      <c r="QUE434" s="56"/>
      <c r="QUF434" s="56"/>
      <c r="QUG434" s="56"/>
      <c r="QUH434" s="56"/>
      <c r="QUI434" s="56"/>
      <c r="QUJ434" s="56"/>
      <c r="QUK434" s="56"/>
      <c r="QUL434" s="56"/>
      <c r="QUM434" s="56"/>
      <c r="QUN434" s="56"/>
      <c r="QUO434" s="56"/>
      <c r="QUP434" s="56"/>
      <c r="QUQ434" s="56"/>
      <c r="QUR434" s="56"/>
      <c r="QUS434" s="56"/>
      <c r="QUT434" s="56"/>
      <c r="QUU434" s="56"/>
      <c r="QUV434" s="56"/>
      <c r="QUW434" s="56"/>
      <c r="QUX434" s="56"/>
      <c r="QUY434" s="56"/>
      <c r="QUZ434" s="56"/>
      <c r="QVA434" s="56"/>
      <c r="QVB434" s="56"/>
      <c r="QVC434" s="56"/>
      <c r="QVD434" s="56"/>
      <c r="QVE434" s="56"/>
      <c r="QVF434" s="56"/>
      <c r="QVG434" s="56"/>
      <c r="QVH434" s="56"/>
      <c r="QVI434" s="56"/>
      <c r="QVJ434" s="56"/>
      <c r="QVK434" s="56"/>
      <c r="QVL434" s="56"/>
      <c r="QVM434" s="56"/>
      <c r="QVN434" s="56"/>
      <c r="QVO434" s="56"/>
      <c r="QVP434" s="56"/>
      <c r="QVQ434" s="56"/>
      <c r="QVR434" s="56"/>
      <c r="QVS434" s="56"/>
      <c r="QVT434" s="56"/>
      <c r="QVU434" s="56"/>
      <c r="QVV434" s="56"/>
      <c r="QVW434" s="56"/>
      <c r="QVX434" s="56"/>
      <c r="QVY434" s="56"/>
      <c r="QVZ434" s="56"/>
      <c r="QWA434" s="56"/>
      <c r="QWB434" s="56"/>
      <c r="QWC434" s="56"/>
      <c r="QWD434" s="56"/>
      <c r="QWE434" s="56"/>
      <c r="QWF434" s="56"/>
      <c r="QWG434" s="56"/>
      <c r="QWH434" s="56"/>
      <c r="QWI434" s="56"/>
      <c r="QWJ434" s="56"/>
      <c r="QWK434" s="56"/>
      <c r="QWL434" s="56"/>
      <c r="QWM434" s="56"/>
      <c r="QWN434" s="56"/>
      <c r="QWO434" s="56"/>
      <c r="QWP434" s="56"/>
      <c r="QWQ434" s="56"/>
      <c r="QWR434" s="56"/>
      <c r="QWS434" s="56"/>
      <c r="QWT434" s="56"/>
      <c r="QWU434" s="56"/>
      <c r="QWV434" s="56"/>
      <c r="QWW434" s="56"/>
      <c r="QWX434" s="56"/>
      <c r="QWY434" s="56"/>
      <c r="QWZ434" s="56"/>
      <c r="QXA434" s="56"/>
      <c r="QXB434" s="56"/>
      <c r="QXC434" s="56"/>
      <c r="QXD434" s="56"/>
      <c r="QXE434" s="56"/>
      <c r="QXF434" s="56"/>
      <c r="QXG434" s="56"/>
      <c r="QXH434" s="56"/>
      <c r="QXI434" s="56"/>
      <c r="QXJ434" s="56"/>
      <c r="QXK434" s="56"/>
      <c r="QXL434" s="56"/>
      <c r="QXM434" s="56"/>
      <c r="QXN434" s="56"/>
      <c r="QXO434" s="56"/>
      <c r="QXP434" s="56"/>
      <c r="QXQ434" s="56"/>
      <c r="QXR434" s="56"/>
      <c r="QXS434" s="56"/>
      <c r="QXT434" s="56"/>
      <c r="QXU434" s="56"/>
      <c r="QXV434" s="56"/>
      <c r="QXW434" s="56"/>
      <c r="QXX434" s="56"/>
      <c r="QXY434" s="56"/>
      <c r="QXZ434" s="56"/>
      <c r="QYA434" s="56"/>
      <c r="QYB434" s="56"/>
      <c r="QYC434" s="56"/>
      <c r="QYD434" s="56"/>
      <c r="QYE434" s="56"/>
      <c r="QYF434" s="56"/>
      <c r="QYG434" s="56"/>
      <c r="QYH434" s="56"/>
      <c r="QYI434" s="56"/>
      <c r="QYJ434" s="56"/>
      <c r="QYK434" s="56"/>
      <c r="QYL434" s="56"/>
      <c r="QYM434" s="56"/>
      <c r="QYN434" s="56"/>
      <c r="QYO434" s="56"/>
      <c r="QYP434" s="56"/>
      <c r="QYQ434" s="56"/>
      <c r="QYR434" s="56"/>
      <c r="QYS434" s="56"/>
      <c r="QYT434" s="56"/>
      <c r="QYU434" s="56"/>
      <c r="QYV434" s="56"/>
      <c r="QYW434" s="56"/>
      <c r="QYX434" s="56"/>
      <c r="QYY434" s="56"/>
      <c r="QYZ434" s="56"/>
      <c r="QZA434" s="56"/>
      <c r="QZB434" s="56"/>
      <c r="QZC434" s="56"/>
      <c r="QZD434" s="56"/>
      <c r="QZE434" s="56"/>
      <c r="QZF434" s="56"/>
      <c r="QZG434" s="56"/>
      <c r="QZH434" s="56"/>
      <c r="QZI434" s="56"/>
      <c r="QZJ434" s="56"/>
      <c r="QZK434" s="56"/>
      <c r="QZL434" s="56"/>
      <c r="QZM434" s="56"/>
      <c r="QZN434" s="56"/>
      <c r="QZO434" s="56"/>
      <c r="QZP434" s="56"/>
      <c r="QZQ434" s="56"/>
      <c r="QZR434" s="56"/>
      <c r="QZS434" s="56"/>
      <c r="QZT434" s="56"/>
      <c r="QZU434" s="56"/>
      <c r="QZV434" s="56"/>
      <c r="QZW434" s="56"/>
      <c r="QZX434" s="56"/>
      <c r="QZY434" s="56"/>
      <c r="QZZ434" s="56"/>
      <c r="RAA434" s="56"/>
      <c r="RAB434" s="56"/>
      <c r="RAC434" s="56"/>
      <c r="RAD434" s="56"/>
      <c r="RAE434" s="56"/>
      <c r="RAF434" s="56"/>
      <c r="RAG434" s="56"/>
      <c r="RAH434" s="56"/>
      <c r="RAI434" s="56"/>
      <c r="RAJ434" s="56"/>
      <c r="RAK434" s="56"/>
      <c r="RAL434" s="56"/>
      <c r="RAM434" s="56"/>
      <c r="RAN434" s="56"/>
      <c r="RAO434" s="56"/>
      <c r="RAP434" s="56"/>
      <c r="RAQ434" s="56"/>
      <c r="RAR434" s="56"/>
      <c r="RAS434" s="56"/>
      <c r="RAT434" s="56"/>
      <c r="RAU434" s="56"/>
      <c r="RAV434" s="56"/>
      <c r="RAW434" s="56"/>
      <c r="RAX434" s="56"/>
      <c r="RAY434" s="56"/>
      <c r="RAZ434" s="56"/>
      <c r="RBA434" s="56"/>
      <c r="RBB434" s="56"/>
      <c r="RBC434" s="56"/>
      <c r="RBD434" s="56"/>
      <c r="RBE434" s="56"/>
      <c r="RBF434" s="56"/>
      <c r="RBG434" s="56"/>
      <c r="RBH434" s="56"/>
      <c r="RBI434" s="56"/>
      <c r="RBJ434" s="56"/>
      <c r="RBK434" s="56"/>
      <c r="RBL434" s="56"/>
      <c r="RBM434" s="56"/>
      <c r="RBN434" s="56"/>
      <c r="RBO434" s="56"/>
      <c r="RBP434" s="56"/>
      <c r="RBQ434" s="56"/>
      <c r="RBR434" s="56"/>
      <c r="RBS434" s="56"/>
      <c r="RBT434" s="56"/>
      <c r="RBU434" s="56"/>
      <c r="RBV434" s="56"/>
      <c r="RBW434" s="56"/>
      <c r="RBX434" s="56"/>
      <c r="RBY434" s="56"/>
      <c r="RBZ434" s="56"/>
      <c r="RCA434" s="56"/>
      <c r="RCB434" s="56"/>
      <c r="RCC434" s="56"/>
      <c r="RCD434" s="56"/>
      <c r="RCE434" s="56"/>
      <c r="RCF434" s="56"/>
      <c r="RCG434" s="56"/>
      <c r="RCH434" s="56"/>
      <c r="RCI434" s="56"/>
      <c r="RCJ434" s="56"/>
      <c r="RCK434" s="56"/>
      <c r="RCL434" s="56"/>
      <c r="RCM434" s="56"/>
      <c r="RCN434" s="56"/>
      <c r="RCO434" s="56"/>
      <c r="RCP434" s="56"/>
      <c r="RCQ434" s="56"/>
      <c r="RCR434" s="56"/>
      <c r="RCS434" s="56"/>
      <c r="RCT434" s="56"/>
      <c r="RCU434" s="56"/>
      <c r="RCV434" s="56"/>
      <c r="RCW434" s="56"/>
      <c r="RCX434" s="56"/>
      <c r="RCY434" s="56"/>
      <c r="RCZ434" s="56"/>
      <c r="RDA434" s="56"/>
      <c r="RDB434" s="56"/>
      <c r="RDC434" s="56"/>
      <c r="RDD434" s="56"/>
      <c r="RDE434" s="56"/>
      <c r="RDF434" s="56"/>
      <c r="RDG434" s="56"/>
      <c r="RDH434" s="56"/>
      <c r="RDI434" s="56"/>
      <c r="RDJ434" s="56"/>
      <c r="RDK434" s="56"/>
      <c r="RDL434" s="56"/>
      <c r="RDM434" s="56"/>
      <c r="RDN434" s="56"/>
      <c r="RDO434" s="56"/>
      <c r="RDP434" s="56"/>
      <c r="RDQ434" s="56"/>
      <c r="RDR434" s="56"/>
      <c r="RDS434" s="56"/>
      <c r="RDT434" s="56"/>
      <c r="RDU434" s="56"/>
      <c r="RDV434" s="56"/>
      <c r="RDW434" s="56"/>
      <c r="RDX434" s="56"/>
      <c r="RDY434" s="56"/>
      <c r="RDZ434" s="56"/>
      <c r="REA434" s="56"/>
      <c r="REB434" s="56"/>
      <c r="REC434" s="56"/>
      <c r="RED434" s="56"/>
      <c r="REE434" s="56"/>
      <c r="REF434" s="56"/>
      <c r="REG434" s="56"/>
      <c r="REH434" s="56"/>
      <c r="REI434" s="56"/>
      <c r="REJ434" s="56"/>
      <c r="REK434" s="56"/>
      <c r="REL434" s="56"/>
      <c r="REM434" s="56"/>
      <c r="REN434" s="56"/>
      <c r="REO434" s="56"/>
      <c r="REP434" s="56"/>
      <c r="REQ434" s="56"/>
      <c r="RER434" s="56"/>
      <c r="RES434" s="56"/>
      <c r="RET434" s="56"/>
      <c r="REU434" s="56"/>
      <c r="REV434" s="56"/>
      <c r="REW434" s="56"/>
      <c r="REX434" s="56"/>
      <c r="REY434" s="56"/>
      <c r="REZ434" s="56"/>
      <c r="RFA434" s="56"/>
      <c r="RFB434" s="56"/>
      <c r="RFC434" s="56"/>
      <c r="RFD434" s="56"/>
      <c r="RFE434" s="56"/>
      <c r="RFF434" s="56"/>
      <c r="RFG434" s="56"/>
      <c r="RFH434" s="56"/>
      <c r="RFI434" s="56"/>
      <c r="RFJ434" s="56"/>
      <c r="RFK434" s="56"/>
      <c r="RFL434" s="56"/>
      <c r="RFM434" s="56"/>
      <c r="RFN434" s="56"/>
      <c r="RFO434" s="56"/>
      <c r="RFP434" s="56"/>
      <c r="RFQ434" s="56"/>
      <c r="RFR434" s="56"/>
      <c r="RFS434" s="56"/>
      <c r="RFT434" s="56"/>
      <c r="RFU434" s="56"/>
      <c r="RFV434" s="56"/>
      <c r="RFW434" s="56"/>
      <c r="RFX434" s="56"/>
      <c r="RFY434" s="56"/>
      <c r="RFZ434" s="56"/>
      <c r="RGA434" s="56"/>
      <c r="RGB434" s="56"/>
      <c r="RGC434" s="56"/>
      <c r="RGD434" s="56"/>
      <c r="RGE434" s="56"/>
      <c r="RGF434" s="56"/>
      <c r="RGG434" s="56"/>
      <c r="RGH434" s="56"/>
      <c r="RGI434" s="56"/>
      <c r="RGJ434" s="56"/>
      <c r="RGK434" s="56"/>
      <c r="RGL434" s="56"/>
      <c r="RGM434" s="56"/>
      <c r="RGN434" s="56"/>
      <c r="RGO434" s="56"/>
      <c r="RGP434" s="56"/>
      <c r="RGQ434" s="56"/>
      <c r="RGR434" s="56"/>
      <c r="RGS434" s="56"/>
      <c r="RGT434" s="56"/>
      <c r="RGU434" s="56"/>
      <c r="RGV434" s="56"/>
      <c r="RGW434" s="56"/>
      <c r="RGX434" s="56"/>
      <c r="RGY434" s="56"/>
      <c r="RGZ434" s="56"/>
      <c r="RHA434" s="56"/>
      <c r="RHB434" s="56"/>
      <c r="RHC434" s="56"/>
      <c r="RHD434" s="56"/>
      <c r="RHE434" s="56"/>
      <c r="RHF434" s="56"/>
      <c r="RHG434" s="56"/>
      <c r="RHH434" s="56"/>
      <c r="RHI434" s="56"/>
      <c r="RHJ434" s="56"/>
      <c r="RHK434" s="56"/>
      <c r="RHL434" s="56"/>
      <c r="RHM434" s="56"/>
      <c r="RHN434" s="56"/>
      <c r="RHO434" s="56"/>
      <c r="RHP434" s="56"/>
      <c r="RHQ434" s="56"/>
      <c r="RHR434" s="56"/>
      <c r="RHS434" s="56"/>
      <c r="RHT434" s="56"/>
      <c r="RHU434" s="56"/>
      <c r="RHV434" s="56"/>
      <c r="RHW434" s="56"/>
      <c r="RHX434" s="56"/>
      <c r="RHY434" s="56"/>
      <c r="RHZ434" s="56"/>
      <c r="RIA434" s="56"/>
      <c r="RIB434" s="56"/>
      <c r="RIC434" s="56"/>
      <c r="RID434" s="56"/>
      <c r="RIE434" s="56"/>
      <c r="RIF434" s="56"/>
      <c r="RIG434" s="56"/>
      <c r="RIH434" s="56"/>
      <c r="RII434" s="56"/>
      <c r="RIJ434" s="56"/>
      <c r="RIK434" s="56"/>
      <c r="RIL434" s="56"/>
      <c r="RIM434" s="56"/>
      <c r="RIN434" s="56"/>
      <c r="RIO434" s="56"/>
      <c r="RIP434" s="56"/>
      <c r="RIQ434" s="56"/>
      <c r="RIR434" s="56"/>
      <c r="RIS434" s="56"/>
      <c r="RIT434" s="56"/>
      <c r="RIU434" s="56"/>
      <c r="RIV434" s="56"/>
      <c r="RIW434" s="56"/>
      <c r="RIX434" s="56"/>
      <c r="RIY434" s="56"/>
      <c r="RIZ434" s="56"/>
      <c r="RJA434" s="56"/>
      <c r="RJB434" s="56"/>
      <c r="RJC434" s="56"/>
      <c r="RJD434" s="56"/>
      <c r="RJE434" s="56"/>
      <c r="RJF434" s="56"/>
      <c r="RJG434" s="56"/>
      <c r="RJH434" s="56"/>
      <c r="RJI434" s="56"/>
      <c r="RJJ434" s="56"/>
      <c r="RJK434" s="56"/>
      <c r="RJL434" s="56"/>
      <c r="RJM434" s="56"/>
      <c r="RJN434" s="56"/>
      <c r="RJO434" s="56"/>
      <c r="RJP434" s="56"/>
      <c r="RJQ434" s="56"/>
      <c r="RJR434" s="56"/>
      <c r="RJS434" s="56"/>
      <c r="RJT434" s="56"/>
      <c r="RJU434" s="56"/>
      <c r="RJV434" s="56"/>
      <c r="RJW434" s="56"/>
      <c r="RJX434" s="56"/>
      <c r="RJY434" s="56"/>
      <c r="RJZ434" s="56"/>
      <c r="RKA434" s="56"/>
      <c r="RKB434" s="56"/>
      <c r="RKC434" s="56"/>
      <c r="RKD434" s="56"/>
      <c r="RKE434" s="56"/>
      <c r="RKF434" s="56"/>
      <c r="RKG434" s="56"/>
      <c r="RKH434" s="56"/>
      <c r="RKI434" s="56"/>
      <c r="RKJ434" s="56"/>
      <c r="RKK434" s="56"/>
      <c r="RKL434" s="56"/>
      <c r="RKM434" s="56"/>
      <c r="RKN434" s="56"/>
      <c r="RKO434" s="56"/>
      <c r="RKP434" s="56"/>
      <c r="RKQ434" s="56"/>
      <c r="RKR434" s="56"/>
      <c r="RKS434" s="56"/>
      <c r="RKT434" s="56"/>
      <c r="RKU434" s="56"/>
      <c r="RKV434" s="56"/>
      <c r="RKW434" s="56"/>
      <c r="RKX434" s="56"/>
      <c r="RKY434" s="56"/>
      <c r="RKZ434" s="56"/>
      <c r="RLA434" s="56"/>
      <c r="RLB434" s="56"/>
      <c r="RLC434" s="56"/>
      <c r="RLD434" s="56"/>
      <c r="RLE434" s="56"/>
      <c r="RLF434" s="56"/>
      <c r="RLG434" s="56"/>
      <c r="RLH434" s="56"/>
      <c r="RLI434" s="56"/>
      <c r="RLJ434" s="56"/>
      <c r="RLK434" s="56"/>
      <c r="RLL434" s="56"/>
      <c r="RLM434" s="56"/>
      <c r="RLN434" s="56"/>
      <c r="RLO434" s="56"/>
      <c r="RLP434" s="56"/>
      <c r="RLQ434" s="56"/>
      <c r="RLR434" s="56"/>
      <c r="RLS434" s="56"/>
      <c r="RLT434" s="56"/>
      <c r="RLU434" s="56"/>
      <c r="RLV434" s="56"/>
      <c r="RLW434" s="56"/>
      <c r="RLX434" s="56"/>
      <c r="RLY434" s="56"/>
      <c r="RLZ434" s="56"/>
      <c r="RMA434" s="56"/>
      <c r="RMB434" s="56"/>
      <c r="RMC434" s="56"/>
      <c r="RMD434" s="56"/>
      <c r="RME434" s="56"/>
      <c r="RMF434" s="56"/>
      <c r="RMG434" s="56"/>
      <c r="RMH434" s="56"/>
      <c r="RMI434" s="56"/>
      <c r="RMJ434" s="56"/>
      <c r="RMK434" s="56"/>
      <c r="RML434" s="56"/>
      <c r="RMM434" s="56"/>
      <c r="RMN434" s="56"/>
      <c r="RMO434" s="56"/>
      <c r="RMP434" s="56"/>
      <c r="RMQ434" s="56"/>
      <c r="RMR434" s="56"/>
      <c r="RMS434" s="56"/>
      <c r="RMT434" s="56"/>
      <c r="RMU434" s="56"/>
      <c r="RMV434" s="56"/>
      <c r="RMW434" s="56"/>
      <c r="RMX434" s="56"/>
      <c r="RMY434" s="56"/>
      <c r="RMZ434" s="56"/>
      <c r="RNA434" s="56"/>
      <c r="RNB434" s="56"/>
      <c r="RNC434" s="56"/>
      <c r="RND434" s="56"/>
      <c r="RNE434" s="56"/>
      <c r="RNF434" s="56"/>
      <c r="RNG434" s="56"/>
      <c r="RNH434" s="56"/>
      <c r="RNI434" s="56"/>
      <c r="RNJ434" s="56"/>
      <c r="RNK434" s="56"/>
      <c r="RNL434" s="56"/>
      <c r="RNM434" s="56"/>
      <c r="RNN434" s="56"/>
      <c r="RNO434" s="56"/>
      <c r="RNP434" s="56"/>
      <c r="RNQ434" s="56"/>
      <c r="RNR434" s="56"/>
      <c r="RNS434" s="56"/>
      <c r="RNT434" s="56"/>
      <c r="RNU434" s="56"/>
      <c r="RNV434" s="56"/>
      <c r="RNW434" s="56"/>
      <c r="RNX434" s="56"/>
      <c r="RNY434" s="56"/>
      <c r="RNZ434" s="56"/>
      <c r="ROA434" s="56"/>
      <c r="ROB434" s="56"/>
      <c r="ROC434" s="56"/>
      <c r="ROD434" s="56"/>
      <c r="ROE434" s="56"/>
      <c r="ROF434" s="56"/>
      <c r="ROG434" s="56"/>
      <c r="ROH434" s="56"/>
      <c r="ROI434" s="56"/>
      <c r="ROJ434" s="56"/>
      <c r="ROK434" s="56"/>
      <c r="ROL434" s="56"/>
      <c r="ROM434" s="56"/>
      <c r="RON434" s="56"/>
      <c r="ROO434" s="56"/>
      <c r="ROP434" s="56"/>
      <c r="ROQ434" s="56"/>
      <c r="ROR434" s="56"/>
      <c r="ROS434" s="56"/>
      <c r="ROT434" s="56"/>
      <c r="ROU434" s="56"/>
      <c r="ROV434" s="56"/>
      <c r="ROW434" s="56"/>
      <c r="ROX434" s="56"/>
      <c r="ROY434" s="56"/>
      <c r="ROZ434" s="56"/>
      <c r="RPA434" s="56"/>
      <c r="RPB434" s="56"/>
      <c r="RPC434" s="56"/>
      <c r="RPD434" s="56"/>
      <c r="RPE434" s="56"/>
      <c r="RPF434" s="56"/>
      <c r="RPG434" s="56"/>
      <c r="RPH434" s="56"/>
      <c r="RPI434" s="56"/>
      <c r="RPJ434" s="56"/>
      <c r="RPK434" s="56"/>
      <c r="RPL434" s="56"/>
      <c r="RPM434" s="56"/>
      <c r="RPN434" s="56"/>
      <c r="RPO434" s="56"/>
      <c r="RPP434" s="56"/>
      <c r="RPQ434" s="56"/>
      <c r="RPR434" s="56"/>
      <c r="RPS434" s="56"/>
      <c r="RPT434" s="56"/>
      <c r="RPU434" s="56"/>
      <c r="RPV434" s="56"/>
      <c r="RPW434" s="56"/>
      <c r="RPX434" s="56"/>
      <c r="RPY434" s="56"/>
      <c r="RPZ434" s="56"/>
      <c r="RQA434" s="56"/>
      <c r="RQB434" s="56"/>
      <c r="RQC434" s="56"/>
      <c r="RQD434" s="56"/>
      <c r="RQE434" s="56"/>
      <c r="RQF434" s="56"/>
      <c r="RQG434" s="56"/>
      <c r="RQH434" s="56"/>
      <c r="RQI434" s="56"/>
      <c r="RQJ434" s="56"/>
      <c r="RQK434" s="56"/>
      <c r="RQL434" s="56"/>
      <c r="RQM434" s="56"/>
      <c r="RQN434" s="56"/>
      <c r="RQO434" s="56"/>
      <c r="RQP434" s="56"/>
      <c r="RQQ434" s="56"/>
      <c r="RQR434" s="56"/>
      <c r="RQS434" s="56"/>
      <c r="RQT434" s="56"/>
      <c r="RQU434" s="56"/>
      <c r="RQV434" s="56"/>
      <c r="RQW434" s="56"/>
      <c r="RQX434" s="56"/>
      <c r="RQY434" s="56"/>
      <c r="RQZ434" s="56"/>
      <c r="RRA434" s="56"/>
      <c r="RRB434" s="56"/>
      <c r="RRC434" s="56"/>
      <c r="RRD434" s="56"/>
      <c r="RRE434" s="56"/>
      <c r="RRF434" s="56"/>
      <c r="RRG434" s="56"/>
      <c r="RRH434" s="56"/>
      <c r="RRI434" s="56"/>
      <c r="RRJ434" s="56"/>
      <c r="RRK434" s="56"/>
      <c r="RRL434" s="56"/>
      <c r="RRM434" s="56"/>
      <c r="RRN434" s="56"/>
      <c r="RRO434" s="56"/>
      <c r="RRP434" s="56"/>
      <c r="RRQ434" s="56"/>
      <c r="RRR434" s="56"/>
      <c r="RRS434" s="56"/>
      <c r="RRT434" s="56"/>
      <c r="RRU434" s="56"/>
      <c r="RRV434" s="56"/>
      <c r="RRW434" s="56"/>
      <c r="RRX434" s="56"/>
      <c r="RRY434" s="56"/>
      <c r="RRZ434" s="56"/>
      <c r="RSA434" s="56"/>
      <c r="RSB434" s="56"/>
      <c r="RSC434" s="56"/>
      <c r="RSD434" s="56"/>
      <c r="RSE434" s="56"/>
      <c r="RSF434" s="56"/>
      <c r="RSG434" s="56"/>
      <c r="RSH434" s="56"/>
      <c r="RSI434" s="56"/>
      <c r="RSJ434" s="56"/>
      <c r="RSK434" s="56"/>
      <c r="RSL434" s="56"/>
      <c r="RSM434" s="56"/>
      <c r="RSN434" s="56"/>
      <c r="RSO434" s="56"/>
      <c r="RSP434" s="56"/>
      <c r="RSQ434" s="56"/>
      <c r="RSR434" s="56"/>
      <c r="RSS434" s="56"/>
      <c r="RST434" s="56"/>
      <c r="RSU434" s="56"/>
      <c r="RSV434" s="56"/>
      <c r="RSW434" s="56"/>
      <c r="RSX434" s="56"/>
      <c r="RSY434" s="56"/>
      <c r="RSZ434" s="56"/>
      <c r="RTA434" s="56"/>
      <c r="RTB434" s="56"/>
      <c r="RTC434" s="56"/>
      <c r="RTD434" s="56"/>
      <c r="RTE434" s="56"/>
      <c r="RTF434" s="56"/>
      <c r="RTG434" s="56"/>
      <c r="RTH434" s="56"/>
      <c r="RTI434" s="56"/>
      <c r="RTJ434" s="56"/>
      <c r="RTK434" s="56"/>
      <c r="RTL434" s="56"/>
      <c r="RTM434" s="56"/>
      <c r="RTN434" s="56"/>
      <c r="RTO434" s="56"/>
      <c r="RTP434" s="56"/>
      <c r="RTQ434" s="56"/>
      <c r="RTR434" s="56"/>
      <c r="RTS434" s="56"/>
      <c r="RTT434" s="56"/>
      <c r="RTU434" s="56"/>
      <c r="RTV434" s="56"/>
      <c r="RTW434" s="56"/>
      <c r="RTX434" s="56"/>
      <c r="RTY434" s="56"/>
      <c r="RTZ434" s="56"/>
      <c r="RUA434" s="56"/>
      <c r="RUB434" s="56"/>
      <c r="RUC434" s="56"/>
      <c r="RUD434" s="56"/>
      <c r="RUE434" s="56"/>
      <c r="RUF434" s="56"/>
      <c r="RUG434" s="56"/>
      <c r="RUH434" s="56"/>
      <c r="RUI434" s="56"/>
      <c r="RUJ434" s="56"/>
      <c r="RUK434" s="56"/>
      <c r="RUL434" s="56"/>
      <c r="RUM434" s="56"/>
      <c r="RUN434" s="56"/>
      <c r="RUO434" s="56"/>
      <c r="RUP434" s="56"/>
      <c r="RUQ434" s="56"/>
      <c r="RUR434" s="56"/>
      <c r="RUS434" s="56"/>
      <c r="RUT434" s="56"/>
      <c r="RUU434" s="56"/>
      <c r="RUV434" s="56"/>
      <c r="RUW434" s="56"/>
      <c r="RUX434" s="56"/>
      <c r="RUY434" s="56"/>
      <c r="RUZ434" s="56"/>
      <c r="RVA434" s="56"/>
      <c r="RVB434" s="56"/>
      <c r="RVC434" s="56"/>
      <c r="RVD434" s="56"/>
      <c r="RVE434" s="56"/>
      <c r="RVF434" s="56"/>
      <c r="RVG434" s="56"/>
      <c r="RVH434" s="56"/>
      <c r="RVI434" s="56"/>
      <c r="RVJ434" s="56"/>
      <c r="RVK434" s="56"/>
      <c r="RVL434" s="56"/>
      <c r="RVM434" s="56"/>
      <c r="RVN434" s="56"/>
      <c r="RVO434" s="56"/>
      <c r="RVP434" s="56"/>
      <c r="RVQ434" s="56"/>
      <c r="RVR434" s="56"/>
      <c r="RVS434" s="56"/>
      <c r="RVT434" s="56"/>
      <c r="RVU434" s="56"/>
      <c r="RVV434" s="56"/>
      <c r="RVW434" s="56"/>
      <c r="RVX434" s="56"/>
      <c r="RVY434" s="56"/>
      <c r="RVZ434" s="56"/>
      <c r="RWA434" s="56"/>
      <c r="RWB434" s="56"/>
      <c r="RWC434" s="56"/>
      <c r="RWD434" s="56"/>
      <c r="RWE434" s="56"/>
      <c r="RWF434" s="56"/>
      <c r="RWG434" s="56"/>
      <c r="RWH434" s="56"/>
      <c r="RWI434" s="56"/>
      <c r="RWJ434" s="56"/>
      <c r="RWK434" s="56"/>
      <c r="RWL434" s="56"/>
      <c r="RWM434" s="56"/>
      <c r="RWN434" s="56"/>
      <c r="RWO434" s="56"/>
      <c r="RWP434" s="56"/>
      <c r="RWQ434" s="56"/>
      <c r="RWR434" s="56"/>
      <c r="RWS434" s="56"/>
      <c r="RWT434" s="56"/>
      <c r="RWU434" s="56"/>
      <c r="RWV434" s="56"/>
      <c r="RWW434" s="56"/>
      <c r="RWX434" s="56"/>
      <c r="RWY434" s="56"/>
      <c r="RWZ434" s="56"/>
      <c r="RXA434" s="56"/>
      <c r="RXB434" s="56"/>
      <c r="RXC434" s="56"/>
      <c r="RXD434" s="56"/>
      <c r="RXE434" s="56"/>
      <c r="RXF434" s="56"/>
      <c r="RXG434" s="56"/>
      <c r="RXH434" s="56"/>
      <c r="RXI434" s="56"/>
      <c r="RXJ434" s="56"/>
      <c r="RXK434" s="56"/>
      <c r="RXL434" s="56"/>
      <c r="RXM434" s="56"/>
      <c r="RXN434" s="56"/>
      <c r="RXO434" s="56"/>
      <c r="RXP434" s="56"/>
      <c r="RXQ434" s="56"/>
      <c r="RXR434" s="56"/>
      <c r="RXS434" s="56"/>
      <c r="RXT434" s="56"/>
      <c r="RXU434" s="56"/>
      <c r="RXV434" s="56"/>
      <c r="RXW434" s="56"/>
      <c r="RXX434" s="56"/>
      <c r="RXY434" s="56"/>
      <c r="RXZ434" s="56"/>
      <c r="RYA434" s="56"/>
      <c r="RYB434" s="56"/>
      <c r="RYC434" s="56"/>
      <c r="RYD434" s="56"/>
      <c r="RYE434" s="56"/>
      <c r="RYF434" s="56"/>
      <c r="RYG434" s="56"/>
      <c r="RYH434" s="56"/>
      <c r="RYI434" s="56"/>
      <c r="RYJ434" s="56"/>
      <c r="RYK434" s="56"/>
      <c r="RYL434" s="56"/>
      <c r="RYM434" s="56"/>
      <c r="RYN434" s="56"/>
      <c r="RYO434" s="56"/>
      <c r="RYP434" s="56"/>
      <c r="RYQ434" s="56"/>
      <c r="RYR434" s="56"/>
      <c r="RYS434" s="56"/>
      <c r="RYT434" s="56"/>
      <c r="RYU434" s="56"/>
      <c r="RYV434" s="56"/>
      <c r="RYW434" s="56"/>
      <c r="RYX434" s="56"/>
      <c r="RYY434" s="56"/>
      <c r="RYZ434" s="56"/>
      <c r="RZA434" s="56"/>
      <c r="RZB434" s="56"/>
      <c r="RZC434" s="56"/>
      <c r="RZD434" s="56"/>
      <c r="RZE434" s="56"/>
      <c r="RZF434" s="56"/>
      <c r="RZG434" s="56"/>
      <c r="RZH434" s="56"/>
      <c r="RZI434" s="56"/>
      <c r="RZJ434" s="56"/>
      <c r="RZK434" s="56"/>
      <c r="RZL434" s="56"/>
      <c r="RZM434" s="56"/>
      <c r="RZN434" s="56"/>
      <c r="RZO434" s="56"/>
      <c r="RZP434" s="56"/>
      <c r="RZQ434" s="56"/>
      <c r="RZR434" s="56"/>
      <c r="RZS434" s="56"/>
      <c r="RZT434" s="56"/>
      <c r="RZU434" s="56"/>
      <c r="RZV434" s="56"/>
      <c r="RZW434" s="56"/>
      <c r="RZX434" s="56"/>
      <c r="RZY434" s="56"/>
      <c r="RZZ434" s="56"/>
      <c r="SAA434" s="56"/>
      <c r="SAB434" s="56"/>
      <c r="SAC434" s="56"/>
      <c r="SAD434" s="56"/>
      <c r="SAE434" s="56"/>
      <c r="SAF434" s="56"/>
      <c r="SAG434" s="56"/>
      <c r="SAH434" s="56"/>
      <c r="SAI434" s="56"/>
      <c r="SAJ434" s="56"/>
      <c r="SAK434" s="56"/>
      <c r="SAL434" s="56"/>
      <c r="SAM434" s="56"/>
      <c r="SAN434" s="56"/>
      <c r="SAO434" s="56"/>
      <c r="SAP434" s="56"/>
      <c r="SAQ434" s="56"/>
      <c r="SAR434" s="56"/>
      <c r="SAS434" s="56"/>
      <c r="SAT434" s="56"/>
      <c r="SAU434" s="56"/>
      <c r="SAV434" s="56"/>
      <c r="SAW434" s="56"/>
      <c r="SAX434" s="56"/>
      <c r="SAY434" s="56"/>
      <c r="SAZ434" s="56"/>
      <c r="SBA434" s="56"/>
      <c r="SBB434" s="56"/>
      <c r="SBC434" s="56"/>
      <c r="SBD434" s="56"/>
      <c r="SBE434" s="56"/>
      <c r="SBF434" s="56"/>
      <c r="SBG434" s="56"/>
      <c r="SBH434" s="56"/>
      <c r="SBI434" s="56"/>
      <c r="SBJ434" s="56"/>
      <c r="SBK434" s="56"/>
      <c r="SBL434" s="56"/>
      <c r="SBM434" s="56"/>
      <c r="SBN434" s="56"/>
      <c r="SBO434" s="56"/>
      <c r="SBP434" s="56"/>
      <c r="SBQ434" s="56"/>
      <c r="SBR434" s="56"/>
      <c r="SBS434" s="56"/>
      <c r="SBT434" s="56"/>
      <c r="SBU434" s="56"/>
      <c r="SBV434" s="56"/>
      <c r="SBW434" s="56"/>
      <c r="SBX434" s="56"/>
      <c r="SBY434" s="56"/>
      <c r="SBZ434" s="56"/>
      <c r="SCA434" s="56"/>
      <c r="SCB434" s="56"/>
      <c r="SCC434" s="56"/>
      <c r="SCD434" s="56"/>
      <c r="SCE434" s="56"/>
      <c r="SCF434" s="56"/>
      <c r="SCG434" s="56"/>
      <c r="SCH434" s="56"/>
      <c r="SCI434" s="56"/>
      <c r="SCJ434" s="56"/>
      <c r="SCK434" s="56"/>
      <c r="SCL434" s="56"/>
      <c r="SCM434" s="56"/>
      <c r="SCN434" s="56"/>
      <c r="SCO434" s="56"/>
      <c r="SCP434" s="56"/>
      <c r="SCQ434" s="56"/>
      <c r="SCR434" s="56"/>
      <c r="SCS434" s="56"/>
      <c r="SCT434" s="56"/>
      <c r="SCU434" s="56"/>
      <c r="SCV434" s="56"/>
      <c r="SCW434" s="56"/>
      <c r="SCX434" s="56"/>
      <c r="SCY434" s="56"/>
      <c r="SCZ434" s="56"/>
      <c r="SDA434" s="56"/>
      <c r="SDB434" s="56"/>
      <c r="SDC434" s="56"/>
      <c r="SDD434" s="56"/>
      <c r="SDE434" s="56"/>
      <c r="SDF434" s="56"/>
      <c r="SDG434" s="56"/>
      <c r="SDH434" s="56"/>
      <c r="SDI434" s="56"/>
      <c r="SDJ434" s="56"/>
      <c r="SDK434" s="56"/>
      <c r="SDL434" s="56"/>
      <c r="SDM434" s="56"/>
      <c r="SDN434" s="56"/>
      <c r="SDO434" s="56"/>
      <c r="SDP434" s="56"/>
      <c r="SDQ434" s="56"/>
      <c r="SDR434" s="56"/>
      <c r="SDS434" s="56"/>
      <c r="SDT434" s="56"/>
      <c r="SDU434" s="56"/>
      <c r="SDV434" s="56"/>
      <c r="SDW434" s="56"/>
      <c r="SDX434" s="56"/>
      <c r="SDY434" s="56"/>
      <c r="SDZ434" s="56"/>
      <c r="SEA434" s="56"/>
      <c r="SEB434" s="56"/>
      <c r="SEC434" s="56"/>
      <c r="SED434" s="56"/>
      <c r="SEE434" s="56"/>
      <c r="SEF434" s="56"/>
      <c r="SEG434" s="56"/>
      <c r="SEH434" s="56"/>
      <c r="SEI434" s="56"/>
      <c r="SEJ434" s="56"/>
      <c r="SEK434" s="56"/>
      <c r="SEL434" s="56"/>
      <c r="SEM434" s="56"/>
      <c r="SEN434" s="56"/>
      <c r="SEO434" s="56"/>
      <c r="SEP434" s="56"/>
      <c r="SEQ434" s="56"/>
      <c r="SER434" s="56"/>
      <c r="SES434" s="56"/>
      <c r="SET434" s="56"/>
      <c r="SEU434" s="56"/>
      <c r="SEV434" s="56"/>
      <c r="SEW434" s="56"/>
      <c r="SEX434" s="56"/>
      <c r="SEY434" s="56"/>
      <c r="SEZ434" s="56"/>
      <c r="SFA434" s="56"/>
      <c r="SFB434" s="56"/>
      <c r="SFC434" s="56"/>
      <c r="SFD434" s="56"/>
      <c r="SFE434" s="56"/>
      <c r="SFF434" s="56"/>
      <c r="SFG434" s="56"/>
      <c r="SFH434" s="56"/>
      <c r="SFI434" s="56"/>
      <c r="SFJ434" s="56"/>
      <c r="SFK434" s="56"/>
      <c r="SFL434" s="56"/>
      <c r="SFM434" s="56"/>
      <c r="SFN434" s="56"/>
      <c r="SFO434" s="56"/>
      <c r="SFP434" s="56"/>
      <c r="SFQ434" s="56"/>
      <c r="SFR434" s="56"/>
      <c r="SFS434" s="56"/>
      <c r="SFT434" s="56"/>
      <c r="SFU434" s="56"/>
      <c r="SFV434" s="56"/>
      <c r="SFW434" s="56"/>
      <c r="SFX434" s="56"/>
      <c r="SFY434" s="56"/>
      <c r="SFZ434" s="56"/>
      <c r="SGA434" s="56"/>
      <c r="SGB434" s="56"/>
      <c r="SGC434" s="56"/>
      <c r="SGD434" s="56"/>
      <c r="SGE434" s="56"/>
      <c r="SGF434" s="56"/>
      <c r="SGG434" s="56"/>
      <c r="SGH434" s="56"/>
      <c r="SGI434" s="56"/>
      <c r="SGJ434" s="56"/>
      <c r="SGK434" s="56"/>
      <c r="SGL434" s="56"/>
      <c r="SGM434" s="56"/>
      <c r="SGN434" s="56"/>
      <c r="SGO434" s="56"/>
      <c r="SGP434" s="56"/>
      <c r="SGQ434" s="56"/>
      <c r="SGR434" s="56"/>
      <c r="SGS434" s="56"/>
      <c r="SGT434" s="56"/>
      <c r="SGU434" s="56"/>
      <c r="SGV434" s="56"/>
      <c r="SGW434" s="56"/>
      <c r="SGX434" s="56"/>
      <c r="SGY434" s="56"/>
      <c r="SGZ434" s="56"/>
      <c r="SHA434" s="56"/>
      <c r="SHB434" s="56"/>
      <c r="SHC434" s="56"/>
      <c r="SHD434" s="56"/>
      <c r="SHE434" s="56"/>
      <c r="SHF434" s="56"/>
      <c r="SHG434" s="56"/>
      <c r="SHH434" s="56"/>
      <c r="SHI434" s="56"/>
      <c r="SHJ434" s="56"/>
      <c r="SHK434" s="56"/>
      <c r="SHL434" s="56"/>
      <c r="SHM434" s="56"/>
      <c r="SHN434" s="56"/>
      <c r="SHO434" s="56"/>
      <c r="SHP434" s="56"/>
      <c r="SHQ434" s="56"/>
      <c r="SHR434" s="56"/>
      <c r="SHS434" s="56"/>
      <c r="SHT434" s="56"/>
      <c r="SHU434" s="56"/>
      <c r="SHV434" s="56"/>
      <c r="SHW434" s="56"/>
      <c r="SHX434" s="56"/>
      <c r="SHY434" s="56"/>
      <c r="SHZ434" s="56"/>
      <c r="SIA434" s="56"/>
      <c r="SIB434" s="56"/>
      <c r="SIC434" s="56"/>
      <c r="SID434" s="56"/>
      <c r="SIE434" s="56"/>
      <c r="SIF434" s="56"/>
      <c r="SIG434" s="56"/>
      <c r="SIH434" s="56"/>
      <c r="SII434" s="56"/>
      <c r="SIJ434" s="56"/>
      <c r="SIK434" s="56"/>
      <c r="SIL434" s="56"/>
      <c r="SIM434" s="56"/>
      <c r="SIN434" s="56"/>
      <c r="SIO434" s="56"/>
      <c r="SIP434" s="56"/>
      <c r="SIQ434" s="56"/>
      <c r="SIR434" s="56"/>
      <c r="SIS434" s="56"/>
      <c r="SIT434" s="56"/>
      <c r="SIU434" s="56"/>
      <c r="SIV434" s="56"/>
      <c r="SIW434" s="56"/>
      <c r="SIX434" s="56"/>
      <c r="SIY434" s="56"/>
      <c r="SIZ434" s="56"/>
      <c r="SJA434" s="56"/>
      <c r="SJB434" s="56"/>
      <c r="SJC434" s="56"/>
      <c r="SJD434" s="56"/>
      <c r="SJE434" s="56"/>
      <c r="SJF434" s="56"/>
      <c r="SJG434" s="56"/>
      <c r="SJH434" s="56"/>
      <c r="SJI434" s="56"/>
      <c r="SJJ434" s="56"/>
      <c r="SJK434" s="56"/>
      <c r="SJL434" s="56"/>
      <c r="SJM434" s="56"/>
      <c r="SJN434" s="56"/>
      <c r="SJO434" s="56"/>
      <c r="SJP434" s="56"/>
      <c r="SJQ434" s="56"/>
      <c r="SJR434" s="56"/>
      <c r="SJS434" s="56"/>
      <c r="SJT434" s="56"/>
      <c r="SJU434" s="56"/>
      <c r="SJV434" s="56"/>
      <c r="SJW434" s="56"/>
      <c r="SJX434" s="56"/>
      <c r="SJY434" s="56"/>
      <c r="SJZ434" s="56"/>
      <c r="SKA434" s="56"/>
      <c r="SKB434" s="56"/>
      <c r="SKC434" s="56"/>
      <c r="SKD434" s="56"/>
      <c r="SKE434" s="56"/>
      <c r="SKF434" s="56"/>
      <c r="SKG434" s="56"/>
      <c r="SKH434" s="56"/>
      <c r="SKI434" s="56"/>
      <c r="SKJ434" s="56"/>
      <c r="SKK434" s="56"/>
      <c r="SKL434" s="56"/>
      <c r="SKM434" s="56"/>
      <c r="SKN434" s="56"/>
      <c r="SKO434" s="56"/>
      <c r="SKP434" s="56"/>
      <c r="SKQ434" s="56"/>
      <c r="SKR434" s="56"/>
      <c r="SKS434" s="56"/>
      <c r="SKT434" s="56"/>
      <c r="SKU434" s="56"/>
      <c r="SKV434" s="56"/>
      <c r="SKW434" s="56"/>
      <c r="SKX434" s="56"/>
      <c r="SKY434" s="56"/>
      <c r="SKZ434" s="56"/>
      <c r="SLA434" s="56"/>
      <c r="SLB434" s="56"/>
      <c r="SLC434" s="56"/>
      <c r="SLD434" s="56"/>
      <c r="SLE434" s="56"/>
      <c r="SLF434" s="56"/>
      <c r="SLG434" s="56"/>
      <c r="SLH434" s="56"/>
      <c r="SLI434" s="56"/>
      <c r="SLJ434" s="56"/>
      <c r="SLK434" s="56"/>
      <c r="SLL434" s="56"/>
      <c r="SLM434" s="56"/>
      <c r="SLN434" s="56"/>
      <c r="SLO434" s="56"/>
      <c r="SLP434" s="56"/>
      <c r="SLQ434" s="56"/>
      <c r="SLR434" s="56"/>
      <c r="SLS434" s="56"/>
      <c r="SLT434" s="56"/>
      <c r="SLU434" s="56"/>
      <c r="SLV434" s="56"/>
      <c r="SLW434" s="56"/>
      <c r="SLX434" s="56"/>
      <c r="SLY434" s="56"/>
      <c r="SLZ434" s="56"/>
      <c r="SMA434" s="56"/>
      <c r="SMB434" s="56"/>
      <c r="SMC434" s="56"/>
      <c r="SMD434" s="56"/>
      <c r="SME434" s="56"/>
      <c r="SMF434" s="56"/>
      <c r="SMG434" s="56"/>
      <c r="SMH434" s="56"/>
      <c r="SMI434" s="56"/>
      <c r="SMJ434" s="56"/>
      <c r="SMK434" s="56"/>
      <c r="SML434" s="56"/>
      <c r="SMM434" s="56"/>
      <c r="SMN434" s="56"/>
      <c r="SMO434" s="56"/>
      <c r="SMP434" s="56"/>
      <c r="SMQ434" s="56"/>
      <c r="SMR434" s="56"/>
      <c r="SMS434" s="56"/>
      <c r="SMT434" s="56"/>
      <c r="SMU434" s="56"/>
      <c r="SMV434" s="56"/>
      <c r="SMW434" s="56"/>
      <c r="SMX434" s="56"/>
      <c r="SMY434" s="56"/>
      <c r="SMZ434" s="56"/>
      <c r="SNA434" s="56"/>
      <c r="SNB434" s="56"/>
      <c r="SNC434" s="56"/>
      <c r="SND434" s="56"/>
      <c r="SNE434" s="56"/>
      <c r="SNF434" s="56"/>
      <c r="SNG434" s="56"/>
      <c r="SNH434" s="56"/>
      <c r="SNI434" s="56"/>
      <c r="SNJ434" s="56"/>
      <c r="SNK434" s="56"/>
      <c r="SNL434" s="56"/>
      <c r="SNM434" s="56"/>
      <c r="SNN434" s="56"/>
      <c r="SNO434" s="56"/>
      <c r="SNP434" s="56"/>
      <c r="SNQ434" s="56"/>
      <c r="SNR434" s="56"/>
      <c r="SNS434" s="56"/>
      <c r="SNT434" s="56"/>
      <c r="SNU434" s="56"/>
      <c r="SNV434" s="56"/>
      <c r="SNW434" s="56"/>
      <c r="SNX434" s="56"/>
      <c r="SNY434" s="56"/>
      <c r="SNZ434" s="56"/>
      <c r="SOA434" s="56"/>
      <c r="SOB434" s="56"/>
      <c r="SOC434" s="56"/>
      <c r="SOD434" s="56"/>
      <c r="SOE434" s="56"/>
      <c r="SOF434" s="56"/>
      <c r="SOG434" s="56"/>
      <c r="SOH434" s="56"/>
      <c r="SOI434" s="56"/>
      <c r="SOJ434" s="56"/>
      <c r="SOK434" s="56"/>
      <c r="SOL434" s="56"/>
      <c r="SOM434" s="56"/>
      <c r="SON434" s="56"/>
      <c r="SOO434" s="56"/>
      <c r="SOP434" s="56"/>
      <c r="SOQ434" s="56"/>
      <c r="SOR434" s="56"/>
      <c r="SOS434" s="56"/>
      <c r="SOT434" s="56"/>
      <c r="SOU434" s="56"/>
      <c r="SOV434" s="56"/>
      <c r="SOW434" s="56"/>
      <c r="SOX434" s="56"/>
      <c r="SOY434" s="56"/>
      <c r="SOZ434" s="56"/>
      <c r="SPA434" s="56"/>
      <c r="SPB434" s="56"/>
      <c r="SPC434" s="56"/>
      <c r="SPD434" s="56"/>
      <c r="SPE434" s="56"/>
      <c r="SPF434" s="56"/>
      <c r="SPG434" s="56"/>
      <c r="SPH434" s="56"/>
      <c r="SPI434" s="56"/>
      <c r="SPJ434" s="56"/>
      <c r="SPK434" s="56"/>
      <c r="SPL434" s="56"/>
      <c r="SPM434" s="56"/>
      <c r="SPN434" s="56"/>
      <c r="SPO434" s="56"/>
      <c r="SPP434" s="56"/>
      <c r="SPQ434" s="56"/>
      <c r="SPR434" s="56"/>
      <c r="SPS434" s="56"/>
      <c r="SPT434" s="56"/>
      <c r="SPU434" s="56"/>
      <c r="SPV434" s="56"/>
      <c r="SPW434" s="56"/>
      <c r="SPX434" s="56"/>
      <c r="SPY434" s="56"/>
      <c r="SPZ434" s="56"/>
      <c r="SQA434" s="56"/>
      <c r="SQB434" s="56"/>
      <c r="SQC434" s="56"/>
      <c r="SQD434" s="56"/>
      <c r="SQE434" s="56"/>
      <c r="SQF434" s="56"/>
      <c r="SQG434" s="56"/>
      <c r="SQH434" s="56"/>
      <c r="SQI434" s="56"/>
      <c r="SQJ434" s="56"/>
      <c r="SQK434" s="56"/>
      <c r="SQL434" s="56"/>
      <c r="SQM434" s="56"/>
      <c r="SQN434" s="56"/>
      <c r="SQO434" s="56"/>
      <c r="SQP434" s="56"/>
      <c r="SQQ434" s="56"/>
      <c r="SQR434" s="56"/>
      <c r="SQS434" s="56"/>
      <c r="SQT434" s="56"/>
      <c r="SQU434" s="56"/>
      <c r="SQV434" s="56"/>
      <c r="SQW434" s="56"/>
      <c r="SQX434" s="56"/>
      <c r="SQY434" s="56"/>
      <c r="SQZ434" s="56"/>
      <c r="SRA434" s="56"/>
      <c r="SRB434" s="56"/>
      <c r="SRC434" s="56"/>
      <c r="SRD434" s="56"/>
      <c r="SRE434" s="56"/>
      <c r="SRF434" s="56"/>
      <c r="SRG434" s="56"/>
      <c r="SRH434" s="56"/>
      <c r="SRI434" s="56"/>
      <c r="SRJ434" s="56"/>
      <c r="SRK434" s="56"/>
      <c r="SRL434" s="56"/>
      <c r="SRM434" s="56"/>
      <c r="SRN434" s="56"/>
      <c r="SRO434" s="56"/>
      <c r="SRP434" s="56"/>
      <c r="SRQ434" s="56"/>
      <c r="SRR434" s="56"/>
      <c r="SRS434" s="56"/>
      <c r="SRT434" s="56"/>
      <c r="SRU434" s="56"/>
      <c r="SRV434" s="56"/>
      <c r="SRW434" s="56"/>
      <c r="SRX434" s="56"/>
      <c r="SRY434" s="56"/>
      <c r="SRZ434" s="56"/>
      <c r="SSA434" s="56"/>
      <c r="SSB434" s="56"/>
      <c r="SSC434" s="56"/>
      <c r="SSD434" s="56"/>
      <c r="SSE434" s="56"/>
      <c r="SSF434" s="56"/>
      <c r="SSG434" s="56"/>
      <c r="SSH434" s="56"/>
      <c r="SSI434" s="56"/>
      <c r="SSJ434" s="56"/>
      <c r="SSK434" s="56"/>
      <c r="SSL434" s="56"/>
      <c r="SSM434" s="56"/>
      <c r="SSN434" s="56"/>
      <c r="SSO434" s="56"/>
      <c r="SSP434" s="56"/>
      <c r="SSQ434" s="56"/>
      <c r="SSR434" s="56"/>
      <c r="SSS434" s="56"/>
      <c r="SST434" s="56"/>
      <c r="SSU434" s="56"/>
      <c r="SSV434" s="56"/>
      <c r="SSW434" s="56"/>
      <c r="SSX434" s="56"/>
      <c r="SSY434" s="56"/>
      <c r="SSZ434" s="56"/>
      <c r="STA434" s="56"/>
      <c r="STB434" s="56"/>
      <c r="STC434" s="56"/>
      <c r="STD434" s="56"/>
      <c r="STE434" s="56"/>
      <c r="STF434" s="56"/>
      <c r="STG434" s="56"/>
      <c r="STH434" s="56"/>
      <c r="STI434" s="56"/>
      <c r="STJ434" s="56"/>
      <c r="STK434" s="56"/>
      <c r="STL434" s="56"/>
      <c r="STM434" s="56"/>
      <c r="STN434" s="56"/>
      <c r="STO434" s="56"/>
      <c r="STP434" s="56"/>
      <c r="STQ434" s="56"/>
      <c r="STR434" s="56"/>
      <c r="STS434" s="56"/>
      <c r="STT434" s="56"/>
      <c r="STU434" s="56"/>
      <c r="STV434" s="56"/>
      <c r="STW434" s="56"/>
      <c r="STX434" s="56"/>
      <c r="STY434" s="56"/>
      <c r="STZ434" s="56"/>
      <c r="SUA434" s="56"/>
      <c r="SUB434" s="56"/>
      <c r="SUC434" s="56"/>
      <c r="SUD434" s="56"/>
      <c r="SUE434" s="56"/>
      <c r="SUF434" s="56"/>
      <c r="SUG434" s="56"/>
      <c r="SUH434" s="56"/>
      <c r="SUI434" s="56"/>
      <c r="SUJ434" s="56"/>
      <c r="SUK434" s="56"/>
      <c r="SUL434" s="56"/>
      <c r="SUM434" s="56"/>
      <c r="SUN434" s="56"/>
      <c r="SUO434" s="56"/>
      <c r="SUP434" s="56"/>
      <c r="SUQ434" s="56"/>
      <c r="SUR434" s="56"/>
      <c r="SUS434" s="56"/>
      <c r="SUT434" s="56"/>
      <c r="SUU434" s="56"/>
      <c r="SUV434" s="56"/>
      <c r="SUW434" s="56"/>
      <c r="SUX434" s="56"/>
      <c r="SUY434" s="56"/>
      <c r="SUZ434" s="56"/>
      <c r="SVA434" s="56"/>
      <c r="SVB434" s="56"/>
      <c r="SVC434" s="56"/>
      <c r="SVD434" s="56"/>
      <c r="SVE434" s="56"/>
      <c r="SVF434" s="56"/>
      <c r="SVG434" s="56"/>
      <c r="SVH434" s="56"/>
      <c r="SVI434" s="56"/>
      <c r="SVJ434" s="56"/>
      <c r="SVK434" s="56"/>
      <c r="SVL434" s="56"/>
      <c r="SVM434" s="56"/>
      <c r="SVN434" s="56"/>
      <c r="SVO434" s="56"/>
      <c r="SVP434" s="56"/>
      <c r="SVQ434" s="56"/>
      <c r="SVR434" s="56"/>
      <c r="SVS434" s="56"/>
      <c r="SVT434" s="56"/>
      <c r="SVU434" s="56"/>
      <c r="SVV434" s="56"/>
      <c r="SVW434" s="56"/>
      <c r="SVX434" s="56"/>
      <c r="SVY434" s="56"/>
      <c r="SVZ434" s="56"/>
      <c r="SWA434" s="56"/>
      <c r="SWB434" s="56"/>
      <c r="SWC434" s="56"/>
      <c r="SWD434" s="56"/>
      <c r="SWE434" s="56"/>
      <c r="SWF434" s="56"/>
      <c r="SWG434" s="56"/>
      <c r="SWH434" s="56"/>
      <c r="SWI434" s="56"/>
      <c r="SWJ434" s="56"/>
      <c r="SWK434" s="56"/>
      <c r="SWL434" s="56"/>
      <c r="SWM434" s="56"/>
      <c r="SWN434" s="56"/>
      <c r="SWO434" s="56"/>
      <c r="SWP434" s="56"/>
      <c r="SWQ434" s="56"/>
      <c r="SWR434" s="56"/>
      <c r="SWS434" s="56"/>
      <c r="SWT434" s="56"/>
      <c r="SWU434" s="56"/>
      <c r="SWV434" s="56"/>
      <c r="SWW434" s="56"/>
      <c r="SWX434" s="56"/>
      <c r="SWY434" s="56"/>
      <c r="SWZ434" s="56"/>
      <c r="SXA434" s="56"/>
      <c r="SXB434" s="56"/>
      <c r="SXC434" s="56"/>
      <c r="SXD434" s="56"/>
      <c r="SXE434" s="56"/>
      <c r="SXF434" s="56"/>
      <c r="SXG434" s="56"/>
      <c r="SXH434" s="56"/>
      <c r="SXI434" s="56"/>
      <c r="SXJ434" s="56"/>
      <c r="SXK434" s="56"/>
      <c r="SXL434" s="56"/>
      <c r="SXM434" s="56"/>
      <c r="SXN434" s="56"/>
      <c r="SXO434" s="56"/>
      <c r="SXP434" s="56"/>
      <c r="SXQ434" s="56"/>
      <c r="SXR434" s="56"/>
      <c r="SXS434" s="56"/>
      <c r="SXT434" s="56"/>
      <c r="SXU434" s="56"/>
      <c r="SXV434" s="56"/>
      <c r="SXW434" s="56"/>
      <c r="SXX434" s="56"/>
      <c r="SXY434" s="56"/>
      <c r="SXZ434" s="56"/>
      <c r="SYA434" s="56"/>
      <c r="SYB434" s="56"/>
      <c r="SYC434" s="56"/>
      <c r="SYD434" s="56"/>
      <c r="SYE434" s="56"/>
      <c r="SYF434" s="56"/>
      <c r="SYG434" s="56"/>
      <c r="SYH434" s="56"/>
      <c r="SYI434" s="56"/>
      <c r="SYJ434" s="56"/>
      <c r="SYK434" s="56"/>
      <c r="SYL434" s="56"/>
      <c r="SYM434" s="56"/>
      <c r="SYN434" s="56"/>
      <c r="SYO434" s="56"/>
      <c r="SYP434" s="56"/>
      <c r="SYQ434" s="56"/>
      <c r="SYR434" s="56"/>
      <c r="SYS434" s="56"/>
      <c r="SYT434" s="56"/>
      <c r="SYU434" s="56"/>
      <c r="SYV434" s="56"/>
      <c r="SYW434" s="56"/>
      <c r="SYX434" s="56"/>
      <c r="SYY434" s="56"/>
      <c r="SYZ434" s="56"/>
      <c r="SZA434" s="56"/>
      <c r="SZB434" s="56"/>
      <c r="SZC434" s="56"/>
      <c r="SZD434" s="56"/>
      <c r="SZE434" s="56"/>
      <c r="SZF434" s="56"/>
      <c r="SZG434" s="56"/>
      <c r="SZH434" s="56"/>
      <c r="SZI434" s="56"/>
      <c r="SZJ434" s="56"/>
      <c r="SZK434" s="56"/>
      <c r="SZL434" s="56"/>
      <c r="SZM434" s="56"/>
      <c r="SZN434" s="56"/>
      <c r="SZO434" s="56"/>
      <c r="SZP434" s="56"/>
      <c r="SZQ434" s="56"/>
      <c r="SZR434" s="56"/>
      <c r="SZS434" s="56"/>
      <c r="SZT434" s="56"/>
      <c r="SZU434" s="56"/>
      <c r="SZV434" s="56"/>
      <c r="SZW434" s="56"/>
      <c r="SZX434" s="56"/>
      <c r="SZY434" s="56"/>
      <c r="SZZ434" s="56"/>
      <c r="TAA434" s="56"/>
      <c r="TAB434" s="56"/>
      <c r="TAC434" s="56"/>
      <c r="TAD434" s="56"/>
      <c r="TAE434" s="56"/>
      <c r="TAF434" s="56"/>
      <c r="TAG434" s="56"/>
      <c r="TAH434" s="56"/>
      <c r="TAI434" s="56"/>
      <c r="TAJ434" s="56"/>
      <c r="TAK434" s="56"/>
      <c r="TAL434" s="56"/>
      <c r="TAM434" s="56"/>
      <c r="TAN434" s="56"/>
      <c r="TAO434" s="56"/>
      <c r="TAP434" s="56"/>
      <c r="TAQ434" s="56"/>
      <c r="TAR434" s="56"/>
      <c r="TAS434" s="56"/>
      <c r="TAT434" s="56"/>
      <c r="TAU434" s="56"/>
      <c r="TAV434" s="56"/>
      <c r="TAW434" s="56"/>
      <c r="TAX434" s="56"/>
      <c r="TAY434" s="56"/>
      <c r="TAZ434" s="56"/>
      <c r="TBA434" s="56"/>
      <c r="TBB434" s="56"/>
      <c r="TBC434" s="56"/>
      <c r="TBD434" s="56"/>
      <c r="TBE434" s="56"/>
      <c r="TBF434" s="56"/>
      <c r="TBG434" s="56"/>
      <c r="TBH434" s="56"/>
      <c r="TBI434" s="56"/>
      <c r="TBJ434" s="56"/>
      <c r="TBK434" s="56"/>
      <c r="TBL434" s="56"/>
      <c r="TBM434" s="56"/>
      <c r="TBN434" s="56"/>
      <c r="TBO434" s="56"/>
      <c r="TBP434" s="56"/>
      <c r="TBQ434" s="56"/>
      <c r="TBR434" s="56"/>
      <c r="TBS434" s="56"/>
      <c r="TBT434" s="56"/>
      <c r="TBU434" s="56"/>
      <c r="TBV434" s="56"/>
      <c r="TBW434" s="56"/>
      <c r="TBX434" s="56"/>
      <c r="TBY434" s="56"/>
      <c r="TBZ434" s="56"/>
      <c r="TCA434" s="56"/>
      <c r="TCB434" s="56"/>
      <c r="TCC434" s="56"/>
      <c r="TCD434" s="56"/>
      <c r="TCE434" s="56"/>
      <c r="TCF434" s="56"/>
      <c r="TCG434" s="56"/>
      <c r="TCH434" s="56"/>
      <c r="TCI434" s="56"/>
      <c r="TCJ434" s="56"/>
      <c r="TCK434" s="56"/>
      <c r="TCL434" s="56"/>
      <c r="TCM434" s="56"/>
      <c r="TCN434" s="56"/>
      <c r="TCO434" s="56"/>
      <c r="TCP434" s="56"/>
      <c r="TCQ434" s="56"/>
      <c r="TCR434" s="56"/>
      <c r="TCS434" s="56"/>
      <c r="TCT434" s="56"/>
      <c r="TCU434" s="56"/>
      <c r="TCV434" s="56"/>
      <c r="TCW434" s="56"/>
      <c r="TCX434" s="56"/>
      <c r="TCY434" s="56"/>
      <c r="TCZ434" s="56"/>
      <c r="TDA434" s="56"/>
      <c r="TDB434" s="56"/>
      <c r="TDC434" s="56"/>
      <c r="TDD434" s="56"/>
      <c r="TDE434" s="56"/>
      <c r="TDF434" s="56"/>
      <c r="TDG434" s="56"/>
      <c r="TDH434" s="56"/>
      <c r="TDI434" s="56"/>
      <c r="TDJ434" s="56"/>
      <c r="TDK434" s="56"/>
      <c r="TDL434" s="56"/>
      <c r="TDM434" s="56"/>
      <c r="TDN434" s="56"/>
      <c r="TDO434" s="56"/>
      <c r="TDP434" s="56"/>
      <c r="TDQ434" s="56"/>
      <c r="TDR434" s="56"/>
      <c r="TDS434" s="56"/>
      <c r="TDT434" s="56"/>
      <c r="TDU434" s="56"/>
      <c r="TDV434" s="56"/>
      <c r="TDW434" s="56"/>
      <c r="TDX434" s="56"/>
      <c r="TDY434" s="56"/>
      <c r="TDZ434" s="56"/>
      <c r="TEA434" s="56"/>
      <c r="TEB434" s="56"/>
      <c r="TEC434" s="56"/>
      <c r="TED434" s="56"/>
      <c r="TEE434" s="56"/>
      <c r="TEF434" s="56"/>
      <c r="TEG434" s="56"/>
      <c r="TEH434" s="56"/>
      <c r="TEI434" s="56"/>
      <c r="TEJ434" s="56"/>
      <c r="TEK434" s="56"/>
      <c r="TEL434" s="56"/>
      <c r="TEM434" s="56"/>
      <c r="TEN434" s="56"/>
      <c r="TEO434" s="56"/>
      <c r="TEP434" s="56"/>
      <c r="TEQ434" s="56"/>
      <c r="TER434" s="56"/>
      <c r="TES434" s="56"/>
      <c r="TET434" s="56"/>
      <c r="TEU434" s="56"/>
      <c r="TEV434" s="56"/>
      <c r="TEW434" s="56"/>
      <c r="TEX434" s="56"/>
      <c r="TEY434" s="56"/>
      <c r="TEZ434" s="56"/>
      <c r="TFA434" s="56"/>
      <c r="TFB434" s="56"/>
      <c r="TFC434" s="56"/>
      <c r="TFD434" s="56"/>
      <c r="TFE434" s="56"/>
      <c r="TFF434" s="56"/>
      <c r="TFG434" s="56"/>
      <c r="TFH434" s="56"/>
      <c r="TFI434" s="56"/>
      <c r="TFJ434" s="56"/>
      <c r="TFK434" s="56"/>
      <c r="TFL434" s="56"/>
      <c r="TFM434" s="56"/>
      <c r="TFN434" s="56"/>
      <c r="TFO434" s="56"/>
      <c r="TFP434" s="56"/>
      <c r="TFQ434" s="56"/>
      <c r="TFR434" s="56"/>
      <c r="TFS434" s="56"/>
      <c r="TFT434" s="56"/>
      <c r="TFU434" s="56"/>
      <c r="TFV434" s="56"/>
      <c r="TFW434" s="56"/>
      <c r="TFX434" s="56"/>
      <c r="TFY434" s="56"/>
      <c r="TFZ434" s="56"/>
      <c r="TGA434" s="56"/>
      <c r="TGB434" s="56"/>
      <c r="TGC434" s="56"/>
      <c r="TGD434" s="56"/>
      <c r="TGE434" s="56"/>
      <c r="TGF434" s="56"/>
      <c r="TGG434" s="56"/>
      <c r="TGH434" s="56"/>
      <c r="TGI434" s="56"/>
      <c r="TGJ434" s="56"/>
      <c r="TGK434" s="56"/>
      <c r="TGL434" s="56"/>
      <c r="TGM434" s="56"/>
      <c r="TGN434" s="56"/>
      <c r="TGO434" s="56"/>
      <c r="TGP434" s="56"/>
      <c r="TGQ434" s="56"/>
      <c r="TGR434" s="56"/>
      <c r="TGS434" s="56"/>
      <c r="TGT434" s="56"/>
      <c r="TGU434" s="56"/>
      <c r="TGV434" s="56"/>
      <c r="TGW434" s="56"/>
      <c r="TGX434" s="56"/>
      <c r="TGY434" s="56"/>
      <c r="TGZ434" s="56"/>
      <c r="THA434" s="56"/>
      <c r="THB434" s="56"/>
      <c r="THC434" s="56"/>
      <c r="THD434" s="56"/>
      <c r="THE434" s="56"/>
      <c r="THF434" s="56"/>
      <c r="THG434" s="56"/>
      <c r="THH434" s="56"/>
      <c r="THI434" s="56"/>
      <c r="THJ434" s="56"/>
      <c r="THK434" s="56"/>
      <c r="THL434" s="56"/>
      <c r="THM434" s="56"/>
      <c r="THN434" s="56"/>
      <c r="THO434" s="56"/>
      <c r="THP434" s="56"/>
      <c r="THQ434" s="56"/>
      <c r="THR434" s="56"/>
      <c r="THS434" s="56"/>
      <c r="THT434" s="56"/>
      <c r="THU434" s="56"/>
      <c r="THV434" s="56"/>
      <c r="THW434" s="56"/>
      <c r="THX434" s="56"/>
      <c r="THY434" s="56"/>
      <c r="THZ434" s="56"/>
      <c r="TIA434" s="56"/>
      <c r="TIB434" s="56"/>
      <c r="TIC434" s="56"/>
      <c r="TID434" s="56"/>
      <c r="TIE434" s="56"/>
      <c r="TIF434" s="56"/>
      <c r="TIG434" s="56"/>
      <c r="TIH434" s="56"/>
      <c r="TII434" s="56"/>
      <c r="TIJ434" s="56"/>
      <c r="TIK434" s="56"/>
      <c r="TIL434" s="56"/>
      <c r="TIM434" s="56"/>
      <c r="TIN434" s="56"/>
      <c r="TIO434" s="56"/>
      <c r="TIP434" s="56"/>
      <c r="TIQ434" s="56"/>
      <c r="TIR434" s="56"/>
      <c r="TIS434" s="56"/>
      <c r="TIT434" s="56"/>
      <c r="TIU434" s="56"/>
      <c r="TIV434" s="56"/>
      <c r="TIW434" s="56"/>
      <c r="TIX434" s="56"/>
      <c r="TIY434" s="56"/>
      <c r="TIZ434" s="56"/>
      <c r="TJA434" s="56"/>
      <c r="TJB434" s="56"/>
      <c r="TJC434" s="56"/>
      <c r="TJD434" s="56"/>
      <c r="TJE434" s="56"/>
      <c r="TJF434" s="56"/>
      <c r="TJG434" s="56"/>
      <c r="TJH434" s="56"/>
      <c r="TJI434" s="56"/>
      <c r="TJJ434" s="56"/>
      <c r="TJK434" s="56"/>
      <c r="TJL434" s="56"/>
      <c r="TJM434" s="56"/>
      <c r="TJN434" s="56"/>
      <c r="TJO434" s="56"/>
      <c r="TJP434" s="56"/>
      <c r="TJQ434" s="56"/>
      <c r="TJR434" s="56"/>
      <c r="TJS434" s="56"/>
      <c r="TJT434" s="56"/>
      <c r="TJU434" s="56"/>
      <c r="TJV434" s="56"/>
      <c r="TJW434" s="56"/>
      <c r="TJX434" s="56"/>
      <c r="TJY434" s="56"/>
      <c r="TJZ434" s="56"/>
      <c r="TKA434" s="56"/>
      <c r="TKB434" s="56"/>
      <c r="TKC434" s="56"/>
      <c r="TKD434" s="56"/>
      <c r="TKE434" s="56"/>
      <c r="TKF434" s="56"/>
      <c r="TKG434" s="56"/>
      <c r="TKH434" s="56"/>
      <c r="TKI434" s="56"/>
      <c r="TKJ434" s="56"/>
      <c r="TKK434" s="56"/>
      <c r="TKL434" s="56"/>
      <c r="TKM434" s="56"/>
      <c r="TKN434" s="56"/>
      <c r="TKO434" s="56"/>
      <c r="TKP434" s="56"/>
      <c r="TKQ434" s="56"/>
      <c r="TKR434" s="56"/>
      <c r="TKS434" s="56"/>
      <c r="TKT434" s="56"/>
      <c r="TKU434" s="56"/>
      <c r="TKV434" s="56"/>
      <c r="TKW434" s="56"/>
      <c r="TKX434" s="56"/>
      <c r="TKY434" s="56"/>
      <c r="TKZ434" s="56"/>
      <c r="TLA434" s="56"/>
      <c r="TLB434" s="56"/>
      <c r="TLC434" s="56"/>
      <c r="TLD434" s="56"/>
      <c r="TLE434" s="56"/>
      <c r="TLF434" s="56"/>
      <c r="TLG434" s="56"/>
      <c r="TLH434" s="56"/>
      <c r="TLI434" s="56"/>
      <c r="TLJ434" s="56"/>
      <c r="TLK434" s="56"/>
      <c r="TLL434" s="56"/>
      <c r="TLM434" s="56"/>
      <c r="TLN434" s="56"/>
      <c r="TLO434" s="56"/>
      <c r="TLP434" s="56"/>
      <c r="TLQ434" s="56"/>
      <c r="TLR434" s="56"/>
      <c r="TLS434" s="56"/>
      <c r="TLT434" s="56"/>
      <c r="TLU434" s="56"/>
      <c r="TLV434" s="56"/>
      <c r="TLW434" s="56"/>
      <c r="TLX434" s="56"/>
      <c r="TLY434" s="56"/>
      <c r="TLZ434" s="56"/>
      <c r="TMA434" s="56"/>
      <c r="TMB434" s="56"/>
      <c r="TMC434" s="56"/>
      <c r="TMD434" s="56"/>
      <c r="TME434" s="56"/>
      <c r="TMF434" s="56"/>
      <c r="TMG434" s="56"/>
      <c r="TMH434" s="56"/>
      <c r="TMI434" s="56"/>
      <c r="TMJ434" s="56"/>
      <c r="TMK434" s="56"/>
      <c r="TML434" s="56"/>
      <c r="TMM434" s="56"/>
      <c r="TMN434" s="56"/>
      <c r="TMO434" s="56"/>
      <c r="TMP434" s="56"/>
      <c r="TMQ434" s="56"/>
      <c r="TMR434" s="56"/>
      <c r="TMS434" s="56"/>
      <c r="TMT434" s="56"/>
      <c r="TMU434" s="56"/>
      <c r="TMV434" s="56"/>
      <c r="TMW434" s="56"/>
      <c r="TMX434" s="56"/>
      <c r="TMY434" s="56"/>
      <c r="TMZ434" s="56"/>
      <c r="TNA434" s="56"/>
      <c r="TNB434" s="56"/>
      <c r="TNC434" s="56"/>
      <c r="TND434" s="56"/>
      <c r="TNE434" s="56"/>
      <c r="TNF434" s="56"/>
      <c r="TNG434" s="56"/>
      <c r="TNH434" s="56"/>
      <c r="TNI434" s="56"/>
      <c r="TNJ434" s="56"/>
      <c r="TNK434" s="56"/>
      <c r="TNL434" s="56"/>
      <c r="TNM434" s="56"/>
      <c r="TNN434" s="56"/>
      <c r="TNO434" s="56"/>
      <c r="TNP434" s="56"/>
      <c r="TNQ434" s="56"/>
      <c r="TNR434" s="56"/>
      <c r="TNS434" s="56"/>
      <c r="TNT434" s="56"/>
      <c r="TNU434" s="56"/>
      <c r="TNV434" s="56"/>
      <c r="TNW434" s="56"/>
      <c r="TNX434" s="56"/>
      <c r="TNY434" s="56"/>
      <c r="TNZ434" s="56"/>
      <c r="TOA434" s="56"/>
      <c r="TOB434" s="56"/>
      <c r="TOC434" s="56"/>
      <c r="TOD434" s="56"/>
      <c r="TOE434" s="56"/>
      <c r="TOF434" s="56"/>
      <c r="TOG434" s="56"/>
      <c r="TOH434" s="56"/>
      <c r="TOI434" s="56"/>
      <c r="TOJ434" s="56"/>
      <c r="TOK434" s="56"/>
      <c r="TOL434" s="56"/>
      <c r="TOM434" s="56"/>
      <c r="TON434" s="56"/>
      <c r="TOO434" s="56"/>
      <c r="TOP434" s="56"/>
      <c r="TOQ434" s="56"/>
      <c r="TOR434" s="56"/>
      <c r="TOS434" s="56"/>
      <c r="TOT434" s="56"/>
      <c r="TOU434" s="56"/>
      <c r="TOV434" s="56"/>
      <c r="TOW434" s="56"/>
      <c r="TOX434" s="56"/>
      <c r="TOY434" s="56"/>
      <c r="TOZ434" s="56"/>
      <c r="TPA434" s="56"/>
      <c r="TPB434" s="56"/>
      <c r="TPC434" s="56"/>
      <c r="TPD434" s="56"/>
      <c r="TPE434" s="56"/>
      <c r="TPF434" s="56"/>
      <c r="TPG434" s="56"/>
      <c r="TPH434" s="56"/>
      <c r="TPI434" s="56"/>
      <c r="TPJ434" s="56"/>
      <c r="TPK434" s="56"/>
      <c r="TPL434" s="56"/>
      <c r="TPM434" s="56"/>
      <c r="TPN434" s="56"/>
      <c r="TPO434" s="56"/>
      <c r="TPP434" s="56"/>
      <c r="TPQ434" s="56"/>
      <c r="TPR434" s="56"/>
      <c r="TPS434" s="56"/>
      <c r="TPT434" s="56"/>
      <c r="TPU434" s="56"/>
      <c r="TPV434" s="56"/>
      <c r="TPW434" s="56"/>
      <c r="TPX434" s="56"/>
      <c r="TPY434" s="56"/>
      <c r="TPZ434" s="56"/>
      <c r="TQA434" s="56"/>
      <c r="TQB434" s="56"/>
      <c r="TQC434" s="56"/>
      <c r="TQD434" s="56"/>
      <c r="TQE434" s="56"/>
      <c r="TQF434" s="56"/>
      <c r="TQG434" s="56"/>
      <c r="TQH434" s="56"/>
      <c r="TQI434" s="56"/>
      <c r="TQJ434" s="56"/>
      <c r="TQK434" s="56"/>
      <c r="TQL434" s="56"/>
      <c r="TQM434" s="56"/>
      <c r="TQN434" s="56"/>
      <c r="TQO434" s="56"/>
      <c r="TQP434" s="56"/>
      <c r="TQQ434" s="56"/>
      <c r="TQR434" s="56"/>
      <c r="TQS434" s="56"/>
      <c r="TQT434" s="56"/>
      <c r="TQU434" s="56"/>
      <c r="TQV434" s="56"/>
      <c r="TQW434" s="56"/>
      <c r="TQX434" s="56"/>
      <c r="TQY434" s="56"/>
      <c r="TQZ434" s="56"/>
      <c r="TRA434" s="56"/>
      <c r="TRB434" s="56"/>
      <c r="TRC434" s="56"/>
      <c r="TRD434" s="56"/>
      <c r="TRE434" s="56"/>
      <c r="TRF434" s="56"/>
      <c r="TRG434" s="56"/>
      <c r="TRH434" s="56"/>
      <c r="TRI434" s="56"/>
      <c r="TRJ434" s="56"/>
      <c r="TRK434" s="56"/>
      <c r="TRL434" s="56"/>
      <c r="TRM434" s="56"/>
      <c r="TRN434" s="56"/>
      <c r="TRO434" s="56"/>
      <c r="TRP434" s="56"/>
      <c r="TRQ434" s="56"/>
      <c r="TRR434" s="56"/>
      <c r="TRS434" s="56"/>
      <c r="TRT434" s="56"/>
      <c r="TRU434" s="56"/>
      <c r="TRV434" s="56"/>
      <c r="TRW434" s="56"/>
      <c r="TRX434" s="56"/>
      <c r="TRY434" s="56"/>
      <c r="TRZ434" s="56"/>
      <c r="TSA434" s="56"/>
      <c r="TSB434" s="56"/>
      <c r="TSC434" s="56"/>
      <c r="TSD434" s="56"/>
      <c r="TSE434" s="56"/>
      <c r="TSF434" s="56"/>
      <c r="TSG434" s="56"/>
      <c r="TSH434" s="56"/>
      <c r="TSI434" s="56"/>
      <c r="TSJ434" s="56"/>
      <c r="TSK434" s="56"/>
      <c r="TSL434" s="56"/>
      <c r="TSM434" s="56"/>
      <c r="TSN434" s="56"/>
      <c r="TSO434" s="56"/>
      <c r="TSP434" s="56"/>
      <c r="TSQ434" s="56"/>
      <c r="TSR434" s="56"/>
      <c r="TSS434" s="56"/>
      <c r="TST434" s="56"/>
      <c r="TSU434" s="56"/>
      <c r="TSV434" s="56"/>
      <c r="TSW434" s="56"/>
      <c r="TSX434" s="56"/>
      <c r="TSY434" s="56"/>
      <c r="TSZ434" s="56"/>
      <c r="TTA434" s="56"/>
      <c r="TTB434" s="56"/>
      <c r="TTC434" s="56"/>
      <c r="TTD434" s="56"/>
      <c r="TTE434" s="56"/>
      <c r="TTF434" s="56"/>
      <c r="TTG434" s="56"/>
      <c r="TTH434" s="56"/>
      <c r="TTI434" s="56"/>
      <c r="TTJ434" s="56"/>
      <c r="TTK434" s="56"/>
      <c r="TTL434" s="56"/>
      <c r="TTM434" s="56"/>
      <c r="TTN434" s="56"/>
      <c r="TTO434" s="56"/>
      <c r="TTP434" s="56"/>
      <c r="TTQ434" s="56"/>
      <c r="TTR434" s="56"/>
      <c r="TTS434" s="56"/>
      <c r="TTT434" s="56"/>
      <c r="TTU434" s="56"/>
      <c r="TTV434" s="56"/>
      <c r="TTW434" s="56"/>
      <c r="TTX434" s="56"/>
      <c r="TTY434" s="56"/>
      <c r="TTZ434" s="56"/>
      <c r="TUA434" s="56"/>
      <c r="TUB434" s="56"/>
      <c r="TUC434" s="56"/>
      <c r="TUD434" s="56"/>
      <c r="TUE434" s="56"/>
      <c r="TUF434" s="56"/>
      <c r="TUG434" s="56"/>
      <c r="TUH434" s="56"/>
      <c r="TUI434" s="56"/>
      <c r="TUJ434" s="56"/>
      <c r="TUK434" s="56"/>
      <c r="TUL434" s="56"/>
      <c r="TUM434" s="56"/>
      <c r="TUN434" s="56"/>
      <c r="TUO434" s="56"/>
      <c r="TUP434" s="56"/>
      <c r="TUQ434" s="56"/>
      <c r="TUR434" s="56"/>
      <c r="TUS434" s="56"/>
      <c r="TUT434" s="56"/>
      <c r="TUU434" s="56"/>
      <c r="TUV434" s="56"/>
      <c r="TUW434" s="56"/>
      <c r="TUX434" s="56"/>
      <c r="TUY434" s="56"/>
      <c r="TUZ434" s="56"/>
      <c r="TVA434" s="56"/>
      <c r="TVB434" s="56"/>
      <c r="TVC434" s="56"/>
      <c r="TVD434" s="56"/>
      <c r="TVE434" s="56"/>
      <c r="TVF434" s="56"/>
      <c r="TVG434" s="56"/>
      <c r="TVH434" s="56"/>
      <c r="TVI434" s="56"/>
      <c r="TVJ434" s="56"/>
      <c r="TVK434" s="56"/>
      <c r="TVL434" s="56"/>
      <c r="TVM434" s="56"/>
      <c r="TVN434" s="56"/>
      <c r="TVO434" s="56"/>
      <c r="TVP434" s="56"/>
      <c r="TVQ434" s="56"/>
      <c r="TVR434" s="56"/>
      <c r="TVS434" s="56"/>
      <c r="TVT434" s="56"/>
      <c r="TVU434" s="56"/>
      <c r="TVV434" s="56"/>
      <c r="TVW434" s="56"/>
      <c r="TVX434" s="56"/>
      <c r="TVY434" s="56"/>
      <c r="TVZ434" s="56"/>
      <c r="TWA434" s="56"/>
      <c r="TWB434" s="56"/>
      <c r="TWC434" s="56"/>
      <c r="TWD434" s="56"/>
      <c r="TWE434" s="56"/>
      <c r="TWF434" s="56"/>
      <c r="TWG434" s="56"/>
      <c r="TWH434" s="56"/>
      <c r="TWI434" s="56"/>
      <c r="TWJ434" s="56"/>
      <c r="TWK434" s="56"/>
      <c r="TWL434" s="56"/>
      <c r="TWM434" s="56"/>
      <c r="TWN434" s="56"/>
      <c r="TWO434" s="56"/>
      <c r="TWP434" s="56"/>
      <c r="TWQ434" s="56"/>
      <c r="TWR434" s="56"/>
      <c r="TWS434" s="56"/>
      <c r="TWT434" s="56"/>
      <c r="TWU434" s="56"/>
      <c r="TWV434" s="56"/>
      <c r="TWW434" s="56"/>
      <c r="TWX434" s="56"/>
      <c r="TWY434" s="56"/>
      <c r="TWZ434" s="56"/>
      <c r="TXA434" s="56"/>
      <c r="TXB434" s="56"/>
      <c r="TXC434" s="56"/>
      <c r="TXD434" s="56"/>
      <c r="TXE434" s="56"/>
      <c r="TXF434" s="56"/>
      <c r="TXG434" s="56"/>
      <c r="TXH434" s="56"/>
      <c r="TXI434" s="56"/>
      <c r="TXJ434" s="56"/>
      <c r="TXK434" s="56"/>
      <c r="TXL434" s="56"/>
      <c r="TXM434" s="56"/>
      <c r="TXN434" s="56"/>
      <c r="TXO434" s="56"/>
      <c r="TXP434" s="56"/>
      <c r="TXQ434" s="56"/>
      <c r="TXR434" s="56"/>
      <c r="TXS434" s="56"/>
      <c r="TXT434" s="56"/>
      <c r="TXU434" s="56"/>
      <c r="TXV434" s="56"/>
      <c r="TXW434" s="56"/>
      <c r="TXX434" s="56"/>
      <c r="TXY434" s="56"/>
      <c r="TXZ434" s="56"/>
      <c r="TYA434" s="56"/>
      <c r="TYB434" s="56"/>
      <c r="TYC434" s="56"/>
      <c r="TYD434" s="56"/>
      <c r="TYE434" s="56"/>
      <c r="TYF434" s="56"/>
      <c r="TYG434" s="56"/>
      <c r="TYH434" s="56"/>
      <c r="TYI434" s="56"/>
      <c r="TYJ434" s="56"/>
      <c r="TYK434" s="56"/>
      <c r="TYL434" s="56"/>
      <c r="TYM434" s="56"/>
      <c r="TYN434" s="56"/>
      <c r="TYO434" s="56"/>
      <c r="TYP434" s="56"/>
      <c r="TYQ434" s="56"/>
      <c r="TYR434" s="56"/>
      <c r="TYS434" s="56"/>
      <c r="TYT434" s="56"/>
      <c r="TYU434" s="56"/>
      <c r="TYV434" s="56"/>
      <c r="TYW434" s="56"/>
      <c r="TYX434" s="56"/>
      <c r="TYY434" s="56"/>
      <c r="TYZ434" s="56"/>
      <c r="TZA434" s="56"/>
      <c r="TZB434" s="56"/>
      <c r="TZC434" s="56"/>
      <c r="TZD434" s="56"/>
      <c r="TZE434" s="56"/>
      <c r="TZF434" s="56"/>
      <c r="TZG434" s="56"/>
      <c r="TZH434" s="56"/>
      <c r="TZI434" s="56"/>
      <c r="TZJ434" s="56"/>
      <c r="TZK434" s="56"/>
      <c r="TZL434" s="56"/>
      <c r="TZM434" s="56"/>
      <c r="TZN434" s="56"/>
      <c r="TZO434" s="56"/>
      <c r="TZP434" s="56"/>
      <c r="TZQ434" s="56"/>
      <c r="TZR434" s="56"/>
      <c r="TZS434" s="56"/>
      <c r="TZT434" s="56"/>
      <c r="TZU434" s="56"/>
      <c r="TZV434" s="56"/>
      <c r="TZW434" s="56"/>
      <c r="TZX434" s="56"/>
      <c r="TZY434" s="56"/>
      <c r="TZZ434" s="56"/>
      <c r="UAA434" s="56"/>
      <c r="UAB434" s="56"/>
      <c r="UAC434" s="56"/>
      <c r="UAD434" s="56"/>
      <c r="UAE434" s="56"/>
      <c r="UAF434" s="56"/>
      <c r="UAG434" s="56"/>
      <c r="UAH434" s="56"/>
      <c r="UAI434" s="56"/>
      <c r="UAJ434" s="56"/>
      <c r="UAK434" s="56"/>
      <c r="UAL434" s="56"/>
      <c r="UAM434" s="56"/>
      <c r="UAN434" s="56"/>
      <c r="UAO434" s="56"/>
      <c r="UAP434" s="56"/>
      <c r="UAQ434" s="56"/>
      <c r="UAR434" s="56"/>
      <c r="UAS434" s="56"/>
      <c r="UAT434" s="56"/>
      <c r="UAU434" s="56"/>
      <c r="UAV434" s="56"/>
      <c r="UAW434" s="56"/>
      <c r="UAX434" s="56"/>
      <c r="UAY434" s="56"/>
      <c r="UAZ434" s="56"/>
      <c r="UBA434" s="56"/>
      <c r="UBB434" s="56"/>
      <c r="UBC434" s="56"/>
      <c r="UBD434" s="56"/>
      <c r="UBE434" s="56"/>
      <c r="UBF434" s="56"/>
      <c r="UBG434" s="56"/>
      <c r="UBH434" s="56"/>
      <c r="UBI434" s="56"/>
      <c r="UBJ434" s="56"/>
      <c r="UBK434" s="56"/>
      <c r="UBL434" s="56"/>
      <c r="UBM434" s="56"/>
      <c r="UBN434" s="56"/>
      <c r="UBO434" s="56"/>
      <c r="UBP434" s="56"/>
      <c r="UBQ434" s="56"/>
      <c r="UBR434" s="56"/>
      <c r="UBS434" s="56"/>
      <c r="UBT434" s="56"/>
      <c r="UBU434" s="56"/>
      <c r="UBV434" s="56"/>
      <c r="UBW434" s="56"/>
      <c r="UBX434" s="56"/>
      <c r="UBY434" s="56"/>
      <c r="UBZ434" s="56"/>
      <c r="UCA434" s="56"/>
      <c r="UCB434" s="56"/>
      <c r="UCC434" s="56"/>
      <c r="UCD434" s="56"/>
      <c r="UCE434" s="56"/>
      <c r="UCF434" s="56"/>
      <c r="UCG434" s="56"/>
      <c r="UCH434" s="56"/>
      <c r="UCI434" s="56"/>
      <c r="UCJ434" s="56"/>
      <c r="UCK434" s="56"/>
      <c r="UCL434" s="56"/>
      <c r="UCM434" s="56"/>
      <c r="UCN434" s="56"/>
      <c r="UCO434" s="56"/>
      <c r="UCP434" s="56"/>
      <c r="UCQ434" s="56"/>
      <c r="UCR434" s="56"/>
      <c r="UCS434" s="56"/>
      <c r="UCT434" s="56"/>
      <c r="UCU434" s="56"/>
      <c r="UCV434" s="56"/>
      <c r="UCW434" s="56"/>
      <c r="UCX434" s="56"/>
      <c r="UCY434" s="56"/>
      <c r="UCZ434" s="56"/>
      <c r="UDA434" s="56"/>
      <c r="UDB434" s="56"/>
      <c r="UDC434" s="56"/>
      <c r="UDD434" s="56"/>
      <c r="UDE434" s="56"/>
      <c r="UDF434" s="56"/>
      <c r="UDG434" s="56"/>
      <c r="UDH434" s="56"/>
      <c r="UDI434" s="56"/>
      <c r="UDJ434" s="56"/>
      <c r="UDK434" s="56"/>
      <c r="UDL434" s="56"/>
      <c r="UDM434" s="56"/>
      <c r="UDN434" s="56"/>
      <c r="UDO434" s="56"/>
      <c r="UDP434" s="56"/>
      <c r="UDQ434" s="56"/>
      <c r="UDR434" s="56"/>
      <c r="UDS434" s="56"/>
      <c r="UDT434" s="56"/>
      <c r="UDU434" s="56"/>
      <c r="UDV434" s="56"/>
      <c r="UDW434" s="56"/>
      <c r="UDX434" s="56"/>
      <c r="UDY434" s="56"/>
      <c r="UDZ434" s="56"/>
      <c r="UEA434" s="56"/>
      <c r="UEB434" s="56"/>
      <c r="UEC434" s="56"/>
      <c r="UED434" s="56"/>
      <c r="UEE434" s="56"/>
      <c r="UEF434" s="56"/>
      <c r="UEG434" s="56"/>
      <c r="UEH434" s="56"/>
      <c r="UEI434" s="56"/>
      <c r="UEJ434" s="56"/>
      <c r="UEK434" s="56"/>
      <c r="UEL434" s="56"/>
      <c r="UEM434" s="56"/>
      <c r="UEN434" s="56"/>
      <c r="UEO434" s="56"/>
      <c r="UEP434" s="56"/>
      <c r="UEQ434" s="56"/>
      <c r="UER434" s="56"/>
      <c r="UES434" s="56"/>
      <c r="UET434" s="56"/>
      <c r="UEU434" s="56"/>
      <c r="UEV434" s="56"/>
      <c r="UEW434" s="56"/>
      <c r="UEX434" s="56"/>
      <c r="UEY434" s="56"/>
      <c r="UEZ434" s="56"/>
      <c r="UFA434" s="56"/>
      <c r="UFB434" s="56"/>
      <c r="UFC434" s="56"/>
      <c r="UFD434" s="56"/>
      <c r="UFE434" s="56"/>
      <c r="UFF434" s="56"/>
      <c r="UFG434" s="56"/>
      <c r="UFH434" s="56"/>
      <c r="UFI434" s="56"/>
      <c r="UFJ434" s="56"/>
      <c r="UFK434" s="56"/>
      <c r="UFL434" s="56"/>
      <c r="UFM434" s="56"/>
      <c r="UFN434" s="56"/>
      <c r="UFO434" s="56"/>
      <c r="UFP434" s="56"/>
      <c r="UFQ434" s="56"/>
      <c r="UFR434" s="56"/>
      <c r="UFS434" s="56"/>
      <c r="UFT434" s="56"/>
      <c r="UFU434" s="56"/>
      <c r="UFV434" s="56"/>
      <c r="UFW434" s="56"/>
      <c r="UFX434" s="56"/>
      <c r="UFY434" s="56"/>
      <c r="UFZ434" s="56"/>
      <c r="UGA434" s="56"/>
      <c r="UGB434" s="56"/>
      <c r="UGC434" s="56"/>
      <c r="UGD434" s="56"/>
      <c r="UGE434" s="56"/>
      <c r="UGF434" s="56"/>
      <c r="UGG434" s="56"/>
      <c r="UGH434" s="56"/>
      <c r="UGI434" s="56"/>
      <c r="UGJ434" s="56"/>
      <c r="UGK434" s="56"/>
      <c r="UGL434" s="56"/>
      <c r="UGM434" s="56"/>
      <c r="UGN434" s="56"/>
      <c r="UGO434" s="56"/>
      <c r="UGP434" s="56"/>
      <c r="UGQ434" s="56"/>
      <c r="UGR434" s="56"/>
      <c r="UGS434" s="56"/>
      <c r="UGT434" s="56"/>
      <c r="UGU434" s="56"/>
      <c r="UGV434" s="56"/>
      <c r="UGW434" s="56"/>
      <c r="UGX434" s="56"/>
      <c r="UGY434" s="56"/>
      <c r="UGZ434" s="56"/>
      <c r="UHA434" s="56"/>
      <c r="UHB434" s="56"/>
      <c r="UHC434" s="56"/>
      <c r="UHD434" s="56"/>
      <c r="UHE434" s="56"/>
      <c r="UHF434" s="56"/>
      <c r="UHG434" s="56"/>
      <c r="UHH434" s="56"/>
      <c r="UHI434" s="56"/>
      <c r="UHJ434" s="56"/>
      <c r="UHK434" s="56"/>
      <c r="UHL434" s="56"/>
      <c r="UHM434" s="56"/>
      <c r="UHN434" s="56"/>
      <c r="UHO434" s="56"/>
      <c r="UHP434" s="56"/>
      <c r="UHQ434" s="56"/>
      <c r="UHR434" s="56"/>
      <c r="UHS434" s="56"/>
      <c r="UHT434" s="56"/>
      <c r="UHU434" s="56"/>
      <c r="UHV434" s="56"/>
      <c r="UHW434" s="56"/>
      <c r="UHX434" s="56"/>
      <c r="UHY434" s="56"/>
      <c r="UHZ434" s="56"/>
      <c r="UIA434" s="56"/>
      <c r="UIB434" s="56"/>
      <c r="UIC434" s="56"/>
      <c r="UID434" s="56"/>
      <c r="UIE434" s="56"/>
      <c r="UIF434" s="56"/>
      <c r="UIG434" s="56"/>
      <c r="UIH434" s="56"/>
      <c r="UII434" s="56"/>
      <c r="UIJ434" s="56"/>
      <c r="UIK434" s="56"/>
      <c r="UIL434" s="56"/>
      <c r="UIM434" s="56"/>
      <c r="UIN434" s="56"/>
      <c r="UIO434" s="56"/>
      <c r="UIP434" s="56"/>
      <c r="UIQ434" s="56"/>
      <c r="UIR434" s="56"/>
      <c r="UIS434" s="56"/>
      <c r="UIT434" s="56"/>
      <c r="UIU434" s="56"/>
      <c r="UIV434" s="56"/>
      <c r="UIW434" s="56"/>
      <c r="UIX434" s="56"/>
      <c r="UIY434" s="56"/>
      <c r="UIZ434" s="56"/>
      <c r="UJA434" s="56"/>
      <c r="UJB434" s="56"/>
      <c r="UJC434" s="56"/>
      <c r="UJD434" s="56"/>
      <c r="UJE434" s="56"/>
      <c r="UJF434" s="56"/>
      <c r="UJG434" s="56"/>
      <c r="UJH434" s="56"/>
      <c r="UJI434" s="56"/>
      <c r="UJJ434" s="56"/>
      <c r="UJK434" s="56"/>
      <c r="UJL434" s="56"/>
      <c r="UJM434" s="56"/>
      <c r="UJN434" s="56"/>
      <c r="UJO434" s="56"/>
      <c r="UJP434" s="56"/>
      <c r="UJQ434" s="56"/>
      <c r="UJR434" s="56"/>
      <c r="UJS434" s="56"/>
      <c r="UJT434" s="56"/>
      <c r="UJU434" s="56"/>
      <c r="UJV434" s="56"/>
      <c r="UJW434" s="56"/>
      <c r="UJX434" s="56"/>
      <c r="UJY434" s="56"/>
      <c r="UJZ434" s="56"/>
      <c r="UKA434" s="56"/>
      <c r="UKB434" s="56"/>
      <c r="UKC434" s="56"/>
      <c r="UKD434" s="56"/>
      <c r="UKE434" s="56"/>
      <c r="UKF434" s="56"/>
      <c r="UKG434" s="56"/>
      <c r="UKH434" s="56"/>
      <c r="UKI434" s="56"/>
      <c r="UKJ434" s="56"/>
      <c r="UKK434" s="56"/>
      <c r="UKL434" s="56"/>
      <c r="UKM434" s="56"/>
      <c r="UKN434" s="56"/>
      <c r="UKO434" s="56"/>
      <c r="UKP434" s="56"/>
      <c r="UKQ434" s="56"/>
      <c r="UKR434" s="56"/>
      <c r="UKS434" s="56"/>
      <c r="UKT434" s="56"/>
      <c r="UKU434" s="56"/>
      <c r="UKV434" s="56"/>
      <c r="UKW434" s="56"/>
      <c r="UKX434" s="56"/>
      <c r="UKY434" s="56"/>
      <c r="UKZ434" s="56"/>
      <c r="ULA434" s="56"/>
      <c r="ULB434" s="56"/>
      <c r="ULC434" s="56"/>
      <c r="ULD434" s="56"/>
      <c r="ULE434" s="56"/>
      <c r="ULF434" s="56"/>
      <c r="ULG434" s="56"/>
      <c r="ULH434" s="56"/>
      <c r="ULI434" s="56"/>
      <c r="ULJ434" s="56"/>
      <c r="ULK434" s="56"/>
      <c r="ULL434" s="56"/>
      <c r="ULM434" s="56"/>
      <c r="ULN434" s="56"/>
      <c r="ULO434" s="56"/>
      <c r="ULP434" s="56"/>
      <c r="ULQ434" s="56"/>
      <c r="ULR434" s="56"/>
      <c r="ULS434" s="56"/>
      <c r="ULT434" s="56"/>
      <c r="ULU434" s="56"/>
      <c r="ULV434" s="56"/>
      <c r="ULW434" s="56"/>
      <c r="ULX434" s="56"/>
      <c r="ULY434" s="56"/>
      <c r="ULZ434" s="56"/>
      <c r="UMA434" s="56"/>
      <c r="UMB434" s="56"/>
      <c r="UMC434" s="56"/>
      <c r="UMD434" s="56"/>
      <c r="UME434" s="56"/>
      <c r="UMF434" s="56"/>
      <c r="UMG434" s="56"/>
      <c r="UMH434" s="56"/>
      <c r="UMI434" s="56"/>
      <c r="UMJ434" s="56"/>
      <c r="UMK434" s="56"/>
      <c r="UML434" s="56"/>
      <c r="UMM434" s="56"/>
      <c r="UMN434" s="56"/>
      <c r="UMO434" s="56"/>
      <c r="UMP434" s="56"/>
      <c r="UMQ434" s="56"/>
      <c r="UMR434" s="56"/>
      <c r="UMS434" s="56"/>
      <c r="UMT434" s="56"/>
      <c r="UMU434" s="56"/>
      <c r="UMV434" s="56"/>
      <c r="UMW434" s="56"/>
      <c r="UMX434" s="56"/>
      <c r="UMY434" s="56"/>
      <c r="UMZ434" s="56"/>
      <c r="UNA434" s="56"/>
      <c r="UNB434" s="56"/>
      <c r="UNC434" s="56"/>
      <c r="UND434" s="56"/>
      <c r="UNE434" s="56"/>
      <c r="UNF434" s="56"/>
      <c r="UNG434" s="56"/>
      <c r="UNH434" s="56"/>
      <c r="UNI434" s="56"/>
      <c r="UNJ434" s="56"/>
      <c r="UNK434" s="56"/>
      <c r="UNL434" s="56"/>
      <c r="UNM434" s="56"/>
      <c r="UNN434" s="56"/>
      <c r="UNO434" s="56"/>
      <c r="UNP434" s="56"/>
      <c r="UNQ434" s="56"/>
      <c r="UNR434" s="56"/>
      <c r="UNS434" s="56"/>
      <c r="UNT434" s="56"/>
      <c r="UNU434" s="56"/>
      <c r="UNV434" s="56"/>
      <c r="UNW434" s="56"/>
      <c r="UNX434" s="56"/>
      <c r="UNY434" s="56"/>
      <c r="UNZ434" s="56"/>
      <c r="UOA434" s="56"/>
      <c r="UOB434" s="56"/>
      <c r="UOC434" s="56"/>
      <c r="UOD434" s="56"/>
      <c r="UOE434" s="56"/>
      <c r="UOF434" s="56"/>
      <c r="UOG434" s="56"/>
      <c r="UOH434" s="56"/>
      <c r="UOI434" s="56"/>
      <c r="UOJ434" s="56"/>
      <c r="UOK434" s="56"/>
      <c r="UOL434" s="56"/>
      <c r="UOM434" s="56"/>
      <c r="UON434" s="56"/>
      <c r="UOO434" s="56"/>
      <c r="UOP434" s="56"/>
      <c r="UOQ434" s="56"/>
      <c r="UOR434" s="56"/>
      <c r="UOS434" s="56"/>
      <c r="UOT434" s="56"/>
      <c r="UOU434" s="56"/>
      <c r="UOV434" s="56"/>
      <c r="UOW434" s="56"/>
      <c r="UOX434" s="56"/>
      <c r="UOY434" s="56"/>
      <c r="UOZ434" s="56"/>
      <c r="UPA434" s="56"/>
      <c r="UPB434" s="56"/>
      <c r="UPC434" s="56"/>
      <c r="UPD434" s="56"/>
      <c r="UPE434" s="56"/>
      <c r="UPF434" s="56"/>
      <c r="UPG434" s="56"/>
      <c r="UPH434" s="56"/>
      <c r="UPI434" s="56"/>
      <c r="UPJ434" s="56"/>
      <c r="UPK434" s="56"/>
      <c r="UPL434" s="56"/>
      <c r="UPM434" s="56"/>
      <c r="UPN434" s="56"/>
      <c r="UPO434" s="56"/>
      <c r="UPP434" s="56"/>
      <c r="UPQ434" s="56"/>
      <c r="UPR434" s="56"/>
      <c r="UPS434" s="56"/>
      <c r="UPT434" s="56"/>
      <c r="UPU434" s="56"/>
      <c r="UPV434" s="56"/>
      <c r="UPW434" s="56"/>
      <c r="UPX434" s="56"/>
      <c r="UPY434" s="56"/>
      <c r="UPZ434" s="56"/>
      <c r="UQA434" s="56"/>
      <c r="UQB434" s="56"/>
      <c r="UQC434" s="56"/>
      <c r="UQD434" s="56"/>
      <c r="UQE434" s="56"/>
      <c r="UQF434" s="56"/>
      <c r="UQG434" s="56"/>
      <c r="UQH434" s="56"/>
      <c r="UQI434" s="56"/>
      <c r="UQJ434" s="56"/>
      <c r="UQK434" s="56"/>
      <c r="UQL434" s="56"/>
      <c r="UQM434" s="56"/>
      <c r="UQN434" s="56"/>
      <c r="UQO434" s="56"/>
      <c r="UQP434" s="56"/>
      <c r="UQQ434" s="56"/>
      <c r="UQR434" s="56"/>
      <c r="UQS434" s="56"/>
      <c r="UQT434" s="56"/>
      <c r="UQU434" s="56"/>
      <c r="UQV434" s="56"/>
      <c r="UQW434" s="56"/>
      <c r="UQX434" s="56"/>
      <c r="UQY434" s="56"/>
      <c r="UQZ434" s="56"/>
      <c r="URA434" s="56"/>
      <c r="URB434" s="56"/>
      <c r="URC434" s="56"/>
      <c r="URD434" s="56"/>
      <c r="URE434" s="56"/>
      <c r="URF434" s="56"/>
      <c r="URG434" s="56"/>
      <c r="URH434" s="56"/>
      <c r="URI434" s="56"/>
      <c r="URJ434" s="56"/>
      <c r="URK434" s="56"/>
      <c r="URL434" s="56"/>
      <c r="URM434" s="56"/>
      <c r="URN434" s="56"/>
      <c r="URO434" s="56"/>
      <c r="URP434" s="56"/>
      <c r="URQ434" s="56"/>
      <c r="URR434" s="56"/>
      <c r="URS434" s="56"/>
      <c r="URT434" s="56"/>
      <c r="URU434" s="56"/>
      <c r="URV434" s="56"/>
      <c r="URW434" s="56"/>
      <c r="URX434" s="56"/>
      <c r="URY434" s="56"/>
      <c r="URZ434" s="56"/>
      <c r="USA434" s="56"/>
      <c r="USB434" s="56"/>
      <c r="USC434" s="56"/>
      <c r="USD434" s="56"/>
      <c r="USE434" s="56"/>
      <c r="USF434" s="56"/>
      <c r="USG434" s="56"/>
      <c r="USH434" s="56"/>
      <c r="USI434" s="56"/>
      <c r="USJ434" s="56"/>
      <c r="USK434" s="56"/>
      <c r="USL434" s="56"/>
      <c r="USM434" s="56"/>
      <c r="USN434" s="56"/>
      <c r="USO434" s="56"/>
      <c r="USP434" s="56"/>
      <c r="USQ434" s="56"/>
      <c r="USR434" s="56"/>
      <c r="USS434" s="56"/>
      <c r="UST434" s="56"/>
      <c r="USU434" s="56"/>
      <c r="USV434" s="56"/>
      <c r="USW434" s="56"/>
      <c r="USX434" s="56"/>
      <c r="USY434" s="56"/>
      <c r="USZ434" s="56"/>
      <c r="UTA434" s="56"/>
      <c r="UTB434" s="56"/>
      <c r="UTC434" s="56"/>
      <c r="UTD434" s="56"/>
      <c r="UTE434" s="56"/>
      <c r="UTF434" s="56"/>
      <c r="UTG434" s="56"/>
      <c r="UTH434" s="56"/>
      <c r="UTI434" s="56"/>
      <c r="UTJ434" s="56"/>
      <c r="UTK434" s="56"/>
      <c r="UTL434" s="56"/>
      <c r="UTM434" s="56"/>
      <c r="UTN434" s="56"/>
      <c r="UTO434" s="56"/>
      <c r="UTP434" s="56"/>
      <c r="UTQ434" s="56"/>
      <c r="UTR434" s="56"/>
      <c r="UTS434" s="56"/>
      <c r="UTT434" s="56"/>
      <c r="UTU434" s="56"/>
      <c r="UTV434" s="56"/>
      <c r="UTW434" s="56"/>
      <c r="UTX434" s="56"/>
      <c r="UTY434" s="56"/>
      <c r="UTZ434" s="56"/>
      <c r="UUA434" s="56"/>
      <c r="UUB434" s="56"/>
      <c r="UUC434" s="56"/>
      <c r="UUD434" s="56"/>
      <c r="UUE434" s="56"/>
      <c r="UUF434" s="56"/>
      <c r="UUG434" s="56"/>
      <c r="UUH434" s="56"/>
      <c r="UUI434" s="56"/>
      <c r="UUJ434" s="56"/>
      <c r="UUK434" s="56"/>
      <c r="UUL434" s="56"/>
      <c r="UUM434" s="56"/>
      <c r="UUN434" s="56"/>
      <c r="UUO434" s="56"/>
      <c r="UUP434" s="56"/>
      <c r="UUQ434" s="56"/>
      <c r="UUR434" s="56"/>
      <c r="UUS434" s="56"/>
      <c r="UUT434" s="56"/>
      <c r="UUU434" s="56"/>
      <c r="UUV434" s="56"/>
      <c r="UUW434" s="56"/>
      <c r="UUX434" s="56"/>
      <c r="UUY434" s="56"/>
      <c r="UUZ434" s="56"/>
      <c r="UVA434" s="56"/>
      <c r="UVB434" s="56"/>
      <c r="UVC434" s="56"/>
      <c r="UVD434" s="56"/>
      <c r="UVE434" s="56"/>
      <c r="UVF434" s="56"/>
      <c r="UVG434" s="56"/>
      <c r="UVH434" s="56"/>
      <c r="UVI434" s="56"/>
      <c r="UVJ434" s="56"/>
      <c r="UVK434" s="56"/>
      <c r="UVL434" s="56"/>
      <c r="UVM434" s="56"/>
      <c r="UVN434" s="56"/>
      <c r="UVO434" s="56"/>
      <c r="UVP434" s="56"/>
      <c r="UVQ434" s="56"/>
      <c r="UVR434" s="56"/>
      <c r="UVS434" s="56"/>
      <c r="UVT434" s="56"/>
      <c r="UVU434" s="56"/>
      <c r="UVV434" s="56"/>
      <c r="UVW434" s="56"/>
      <c r="UVX434" s="56"/>
      <c r="UVY434" s="56"/>
      <c r="UVZ434" s="56"/>
      <c r="UWA434" s="56"/>
      <c r="UWB434" s="56"/>
      <c r="UWC434" s="56"/>
      <c r="UWD434" s="56"/>
      <c r="UWE434" s="56"/>
      <c r="UWF434" s="56"/>
      <c r="UWG434" s="56"/>
      <c r="UWH434" s="56"/>
      <c r="UWI434" s="56"/>
      <c r="UWJ434" s="56"/>
      <c r="UWK434" s="56"/>
      <c r="UWL434" s="56"/>
      <c r="UWM434" s="56"/>
      <c r="UWN434" s="56"/>
      <c r="UWO434" s="56"/>
      <c r="UWP434" s="56"/>
      <c r="UWQ434" s="56"/>
      <c r="UWR434" s="56"/>
      <c r="UWS434" s="56"/>
      <c r="UWT434" s="56"/>
      <c r="UWU434" s="56"/>
      <c r="UWV434" s="56"/>
      <c r="UWW434" s="56"/>
      <c r="UWX434" s="56"/>
      <c r="UWY434" s="56"/>
      <c r="UWZ434" s="56"/>
      <c r="UXA434" s="56"/>
      <c r="UXB434" s="56"/>
      <c r="UXC434" s="56"/>
      <c r="UXD434" s="56"/>
      <c r="UXE434" s="56"/>
      <c r="UXF434" s="56"/>
      <c r="UXG434" s="56"/>
      <c r="UXH434" s="56"/>
      <c r="UXI434" s="56"/>
      <c r="UXJ434" s="56"/>
      <c r="UXK434" s="56"/>
      <c r="UXL434" s="56"/>
      <c r="UXM434" s="56"/>
      <c r="UXN434" s="56"/>
      <c r="UXO434" s="56"/>
      <c r="UXP434" s="56"/>
      <c r="UXQ434" s="56"/>
      <c r="UXR434" s="56"/>
      <c r="UXS434" s="56"/>
      <c r="UXT434" s="56"/>
      <c r="UXU434" s="56"/>
      <c r="UXV434" s="56"/>
      <c r="UXW434" s="56"/>
      <c r="UXX434" s="56"/>
      <c r="UXY434" s="56"/>
      <c r="UXZ434" s="56"/>
      <c r="UYA434" s="56"/>
      <c r="UYB434" s="56"/>
      <c r="UYC434" s="56"/>
      <c r="UYD434" s="56"/>
      <c r="UYE434" s="56"/>
      <c r="UYF434" s="56"/>
      <c r="UYG434" s="56"/>
      <c r="UYH434" s="56"/>
      <c r="UYI434" s="56"/>
      <c r="UYJ434" s="56"/>
      <c r="UYK434" s="56"/>
      <c r="UYL434" s="56"/>
      <c r="UYM434" s="56"/>
      <c r="UYN434" s="56"/>
      <c r="UYO434" s="56"/>
      <c r="UYP434" s="56"/>
      <c r="UYQ434" s="56"/>
      <c r="UYR434" s="56"/>
      <c r="UYS434" s="56"/>
      <c r="UYT434" s="56"/>
      <c r="UYU434" s="56"/>
      <c r="UYV434" s="56"/>
      <c r="UYW434" s="56"/>
      <c r="UYX434" s="56"/>
      <c r="UYY434" s="56"/>
      <c r="UYZ434" s="56"/>
      <c r="UZA434" s="56"/>
      <c r="UZB434" s="56"/>
      <c r="UZC434" s="56"/>
      <c r="UZD434" s="56"/>
      <c r="UZE434" s="56"/>
      <c r="UZF434" s="56"/>
      <c r="UZG434" s="56"/>
      <c r="UZH434" s="56"/>
      <c r="UZI434" s="56"/>
      <c r="UZJ434" s="56"/>
      <c r="UZK434" s="56"/>
      <c r="UZL434" s="56"/>
      <c r="UZM434" s="56"/>
      <c r="UZN434" s="56"/>
      <c r="UZO434" s="56"/>
      <c r="UZP434" s="56"/>
      <c r="UZQ434" s="56"/>
      <c r="UZR434" s="56"/>
      <c r="UZS434" s="56"/>
      <c r="UZT434" s="56"/>
      <c r="UZU434" s="56"/>
      <c r="UZV434" s="56"/>
      <c r="UZW434" s="56"/>
      <c r="UZX434" s="56"/>
      <c r="UZY434" s="56"/>
      <c r="UZZ434" s="56"/>
      <c r="VAA434" s="56"/>
      <c r="VAB434" s="56"/>
      <c r="VAC434" s="56"/>
      <c r="VAD434" s="56"/>
      <c r="VAE434" s="56"/>
      <c r="VAF434" s="56"/>
      <c r="VAG434" s="56"/>
      <c r="VAH434" s="56"/>
      <c r="VAI434" s="56"/>
      <c r="VAJ434" s="56"/>
      <c r="VAK434" s="56"/>
      <c r="VAL434" s="56"/>
      <c r="VAM434" s="56"/>
      <c r="VAN434" s="56"/>
      <c r="VAO434" s="56"/>
      <c r="VAP434" s="56"/>
      <c r="VAQ434" s="56"/>
      <c r="VAR434" s="56"/>
      <c r="VAS434" s="56"/>
      <c r="VAT434" s="56"/>
      <c r="VAU434" s="56"/>
      <c r="VAV434" s="56"/>
      <c r="VAW434" s="56"/>
      <c r="VAX434" s="56"/>
      <c r="VAY434" s="56"/>
      <c r="VAZ434" s="56"/>
      <c r="VBA434" s="56"/>
      <c r="VBB434" s="56"/>
      <c r="VBC434" s="56"/>
      <c r="VBD434" s="56"/>
      <c r="VBE434" s="56"/>
      <c r="VBF434" s="56"/>
      <c r="VBG434" s="56"/>
      <c r="VBH434" s="56"/>
      <c r="VBI434" s="56"/>
      <c r="VBJ434" s="56"/>
      <c r="VBK434" s="56"/>
      <c r="VBL434" s="56"/>
      <c r="VBM434" s="56"/>
      <c r="VBN434" s="56"/>
      <c r="VBO434" s="56"/>
      <c r="VBP434" s="56"/>
      <c r="VBQ434" s="56"/>
      <c r="VBR434" s="56"/>
      <c r="VBS434" s="56"/>
      <c r="VBT434" s="56"/>
      <c r="VBU434" s="56"/>
      <c r="VBV434" s="56"/>
      <c r="VBW434" s="56"/>
      <c r="VBX434" s="56"/>
      <c r="VBY434" s="56"/>
      <c r="VBZ434" s="56"/>
      <c r="VCA434" s="56"/>
      <c r="VCB434" s="56"/>
      <c r="VCC434" s="56"/>
      <c r="VCD434" s="56"/>
      <c r="VCE434" s="56"/>
      <c r="VCF434" s="56"/>
      <c r="VCG434" s="56"/>
      <c r="VCH434" s="56"/>
      <c r="VCI434" s="56"/>
      <c r="VCJ434" s="56"/>
      <c r="VCK434" s="56"/>
      <c r="VCL434" s="56"/>
      <c r="VCM434" s="56"/>
      <c r="VCN434" s="56"/>
      <c r="VCO434" s="56"/>
      <c r="VCP434" s="56"/>
      <c r="VCQ434" s="56"/>
      <c r="VCR434" s="56"/>
      <c r="VCS434" s="56"/>
      <c r="VCT434" s="56"/>
      <c r="VCU434" s="56"/>
      <c r="VCV434" s="56"/>
      <c r="VCW434" s="56"/>
      <c r="VCX434" s="56"/>
      <c r="VCY434" s="56"/>
      <c r="VCZ434" s="56"/>
      <c r="VDA434" s="56"/>
      <c r="VDB434" s="56"/>
      <c r="VDC434" s="56"/>
      <c r="VDD434" s="56"/>
      <c r="VDE434" s="56"/>
      <c r="VDF434" s="56"/>
      <c r="VDG434" s="56"/>
      <c r="VDH434" s="56"/>
      <c r="VDI434" s="56"/>
      <c r="VDJ434" s="56"/>
      <c r="VDK434" s="56"/>
      <c r="VDL434" s="56"/>
      <c r="VDM434" s="56"/>
      <c r="VDN434" s="56"/>
      <c r="VDO434" s="56"/>
      <c r="VDP434" s="56"/>
      <c r="VDQ434" s="56"/>
      <c r="VDR434" s="56"/>
      <c r="VDS434" s="56"/>
      <c r="VDT434" s="56"/>
      <c r="VDU434" s="56"/>
      <c r="VDV434" s="56"/>
      <c r="VDW434" s="56"/>
      <c r="VDX434" s="56"/>
      <c r="VDY434" s="56"/>
      <c r="VDZ434" s="56"/>
      <c r="VEA434" s="56"/>
      <c r="VEB434" s="56"/>
      <c r="VEC434" s="56"/>
      <c r="VED434" s="56"/>
      <c r="VEE434" s="56"/>
      <c r="VEF434" s="56"/>
      <c r="VEG434" s="56"/>
      <c r="VEH434" s="56"/>
      <c r="VEI434" s="56"/>
      <c r="VEJ434" s="56"/>
      <c r="VEK434" s="56"/>
      <c r="VEL434" s="56"/>
      <c r="VEM434" s="56"/>
      <c r="VEN434" s="56"/>
      <c r="VEO434" s="56"/>
      <c r="VEP434" s="56"/>
      <c r="VEQ434" s="56"/>
      <c r="VER434" s="56"/>
      <c r="VES434" s="56"/>
      <c r="VET434" s="56"/>
      <c r="VEU434" s="56"/>
      <c r="VEV434" s="56"/>
      <c r="VEW434" s="56"/>
      <c r="VEX434" s="56"/>
      <c r="VEY434" s="56"/>
      <c r="VEZ434" s="56"/>
      <c r="VFA434" s="56"/>
      <c r="VFB434" s="56"/>
      <c r="VFC434" s="56"/>
      <c r="VFD434" s="56"/>
      <c r="VFE434" s="56"/>
      <c r="VFF434" s="56"/>
      <c r="VFG434" s="56"/>
      <c r="VFH434" s="56"/>
      <c r="VFI434" s="56"/>
      <c r="VFJ434" s="56"/>
      <c r="VFK434" s="56"/>
      <c r="VFL434" s="56"/>
      <c r="VFM434" s="56"/>
      <c r="VFN434" s="56"/>
      <c r="VFO434" s="56"/>
      <c r="VFP434" s="56"/>
      <c r="VFQ434" s="56"/>
      <c r="VFR434" s="56"/>
      <c r="VFS434" s="56"/>
      <c r="VFT434" s="56"/>
      <c r="VFU434" s="56"/>
      <c r="VFV434" s="56"/>
      <c r="VFW434" s="56"/>
      <c r="VFX434" s="56"/>
      <c r="VFY434" s="56"/>
      <c r="VFZ434" s="56"/>
      <c r="VGA434" s="56"/>
      <c r="VGB434" s="56"/>
      <c r="VGC434" s="56"/>
      <c r="VGD434" s="56"/>
      <c r="VGE434" s="56"/>
      <c r="VGF434" s="56"/>
      <c r="VGG434" s="56"/>
      <c r="VGH434" s="56"/>
      <c r="VGI434" s="56"/>
      <c r="VGJ434" s="56"/>
      <c r="VGK434" s="56"/>
      <c r="VGL434" s="56"/>
      <c r="VGM434" s="56"/>
      <c r="VGN434" s="56"/>
      <c r="VGO434" s="56"/>
      <c r="VGP434" s="56"/>
      <c r="VGQ434" s="56"/>
      <c r="VGR434" s="56"/>
      <c r="VGS434" s="56"/>
      <c r="VGT434" s="56"/>
      <c r="VGU434" s="56"/>
      <c r="VGV434" s="56"/>
      <c r="VGW434" s="56"/>
      <c r="VGX434" s="56"/>
      <c r="VGY434" s="56"/>
      <c r="VGZ434" s="56"/>
      <c r="VHA434" s="56"/>
      <c r="VHB434" s="56"/>
      <c r="VHC434" s="56"/>
      <c r="VHD434" s="56"/>
      <c r="VHE434" s="56"/>
      <c r="VHF434" s="56"/>
      <c r="VHG434" s="56"/>
      <c r="VHH434" s="56"/>
      <c r="VHI434" s="56"/>
      <c r="VHJ434" s="56"/>
      <c r="VHK434" s="56"/>
      <c r="VHL434" s="56"/>
      <c r="VHM434" s="56"/>
      <c r="VHN434" s="56"/>
      <c r="VHO434" s="56"/>
      <c r="VHP434" s="56"/>
      <c r="VHQ434" s="56"/>
      <c r="VHR434" s="56"/>
      <c r="VHS434" s="56"/>
      <c r="VHT434" s="56"/>
      <c r="VHU434" s="56"/>
      <c r="VHV434" s="56"/>
      <c r="VHW434" s="56"/>
      <c r="VHX434" s="56"/>
      <c r="VHY434" s="56"/>
      <c r="VHZ434" s="56"/>
      <c r="VIA434" s="56"/>
      <c r="VIB434" s="56"/>
      <c r="VIC434" s="56"/>
      <c r="VID434" s="56"/>
      <c r="VIE434" s="56"/>
      <c r="VIF434" s="56"/>
      <c r="VIG434" s="56"/>
      <c r="VIH434" s="56"/>
      <c r="VII434" s="56"/>
      <c r="VIJ434" s="56"/>
      <c r="VIK434" s="56"/>
      <c r="VIL434" s="56"/>
      <c r="VIM434" s="56"/>
      <c r="VIN434" s="56"/>
      <c r="VIO434" s="56"/>
      <c r="VIP434" s="56"/>
      <c r="VIQ434" s="56"/>
      <c r="VIR434" s="56"/>
      <c r="VIS434" s="56"/>
      <c r="VIT434" s="56"/>
      <c r="VIU434" s="56"/>
      <c r="VIV434" s="56"/>
      <c r="VIW434" s="56"/>
      <c r="VIX434" s="56"/>
      <c r="VIY434" s="56"/>
      <c r="VIZ434" s="56"/>
      <c r="VJA434" s="56"/>
      <c r="VJB434" s="56"/>
      <c r="VJC434" s="56"/>
      <c r="VJD434" s="56"/>
      <c r="VJE434" s="56"/>
      <c r="VJF434" s="56"/>
      <c r="VJG434" s="56"/>
      <c r="VJH434" s="56"/>
      <c r="VJI434" s="56"/>
      <c r="VJJ434" s="56"/>
      <c r="VJK434" s="56"/>
      <c r="VJL434" s="56"/>
      <c r="VJM434" s="56"/>
      <c r="VJN434" s="56"/>
      <c r="VJO434" s="56"/>
      <c r="VJP434" s="56"/>
      <c r="VJQ434" s="56"/>
      <c r="VJR434" s="56"/>
      <c r="VJS434" s="56"/>
      <c r="VJT434" s="56"/>
      <c r="VJU434" s="56"/>
      <c r="VJV434" s="56"/>
      <c r="VJW434" s="56"/>
      <c r="VJX434" s="56"/>
      <c r="VJY434" s="56"/>
      <c r="VJZ434" s="56"/>
      <c r="VKA434" s="56"/>
      <c r="VKB434" s="56"/>
      <c r="VKC434" s="56"/>
      <c r="VKD434" s="56"/>
      <c r="VKE434" s="56"/>
      <c r="VKF434" s="56"/>
      <c r="VKG434" s="56"/>
      <c r="VKH434" s="56"/>
      <c r="VKI434" s="56"/>
      <c r="VKJ434" s="56"/>
      <c r="VKK434" s="56"/>
      <c r="VKL434" s="56"/>
      <c r="VKM434" s="56"/>
      <c r="VKN434" s="56"/>
      <c r="VKO434" s="56"/>
      <c r="VKP434" s="56"/>
      <c r="VKQ434" s="56"/>
      <c r="VKR434" s="56"/>
      <c r="VKS434" s="56"/>
      <c r="VKT434" s="56"/>
      <c r="VKU434" s="56"/>
      <c r="VKV434" s="56"/>
      <c r="VKW434" s="56"/>
      <c r="VKX434" s="56"/>
      <c r="VKY434" s="56"/>
      <c r="VKZ434" s="56"/>
      <c r="VLA434" s="56"/>
      <c r="VLB434" s="56"/>
      <c r="VLC434" s="56"/>
      <c r="VLD434" s="56"/>
      <c r="VLE434" s="56"/>
      <c r="VLF434" s="56"/>
      <c r="VLG434" s="56"/>
      <c r="VLH434" s="56"/>
      <c r="VLI434" s="56"/>
      <c r="VLJ434" s="56"/>
      <c r="VLK434" s="56"/>
      <c r="VLL434" s="56"/>
      <c r="VLM434" s="56"/>
      <c r="VLN434" s="56"/>
      <c r="VLO434" s="56"/>
      <c r="VLP434" s="56"/>
      <c r="VLQ434" s="56"/>
      <c r="VLR434" s="56"/>
      <c r="VLS434" s="56"/>
      <c r="VLT434" s="56"/>
      <c r="VLU434" s="56"/>
      <c r="VLV434" s="56"/>
      <c r="VLW434" s="56"/>
      <c r="VLX434" s="56"/>
      <c r="VLY434" s="56"/>
      <c r="VLZ434" s="56"/>
      <c r="VMA434" s="56"/>
      <c r="VMB434" s="56"/>
      <c r="VMC434" s="56"/>
      <c r="VMD434" s="56"/>
      <c r="VME434" s="56"/>
      <c r="VMF434" s="56"/>
      <c r="VMG434" s="56"/>
      <c r="VMH434" s="56"/>
      <c r="VMI434" s="56"/>
      <c r="VMJ434" s="56"/>
      <c r="VMK434" s="56"/>
      <c r="VML434" s="56"/>
      <c r="VMM434" s="56"/>
      <c r="VMN434" s="56"/>
      <c r="VMO434" s="56"/>
      <c r="VMP434" s="56"/>
      <c r="VMQ434" s="56"/>
      <c r="VMR434" s="56"/>
      <c r="VMS434" s="56"/>
      <c r="VMT434" s="56"/>
      <c r="VMU434" s="56"/>
      <c r="VMV434" s="56"/>
      <c r="VMW434" s="56"/>
      <c r="VMX434" s="56"/>
      <c r="VMY434" s="56"/>
      <c r="VMZ434" s="56"/>
      <c r="VNA434" s="56"/>
      <c r="VNB434" s="56"/>
      <c r="VNC434" s="56"/>
      <c r="VND434" s="56"/>
      <c r="VNE434" s="56"/>
      <c r="VNF434" s="56"/>
      <c r="VNG434" s="56"/>
      <c r="VNH434" s="56"/>
      <c r="VNI434" s="56"/>
      <c r="VNJ434" s="56"/>
      <c r="VNK434" s="56"/>
      <c r="VNL434" s="56"/>
      <c r="VNM434" s="56"/>
      <c r="VNN434" s="56"/>
      <c r="VNO434" s="56"/>
      <c r="VNP434" s="56"/>
      <c r="VNQ434" s="56"/>
      <c r="VNR434" s="56"/>
      <c r="VNS434" s="56"/>
      <c r="VNT434" s="56"/>
      <c r="VNU434" s="56"/>
      <c r="VNV434" s="56"/>
      <c r="VNW434" s="56"/>
      <c r="VNX434" s="56"/>
      <c r="VNY434" s="56"/>
      <c r="VNZ434" s="56"/>
      <c r="VOA434" s="56"/>
      <c r="VOB434" s="56"/>
      <c r="VOC434" s="56"/>
      <c r="VOD434" s="56"/>
      <c r="VOE434" s="56"/>
      <c r="VOF434" s="56"/>
      <c r="VOG434" s="56"/>
      <c r="VOH434" s="56"/>
      <c r="VOI434" s="56"/>
      <c r="VOJ434" s="56"/>
      <c r="VOK434" s="56"/>
      <c r="VOL434" s="56"/>
      <c r="VOM434" s="56"/>
      <c r="VON434" s="56"/>
      <c r="VOO434" s="56"/>
      <c r="VOP434" s="56"/>
      <c r="VOQ434" s="56"/>
      <c r="VOR434" s="56"/>
      <c r="VOS434" s="56"/>
      <c r="VOT434" s="56"/>
      <c r="VOU434" s="56"/>
      <c r="VOV434" s="56"/>
      <c r="VOW434" s="56"/>
      <c r="VOX434" s="56"/>
      <c r="VOY434" s="56"/>
      <c r="VOZ434" s="56"/>
      <c r="VPA434" s="56"/>
      <c r="VPB434" s="56"/>
      <c r="VPC434" s="56"/>
      <c r="VPD434" s="56"/>
      <c r="VPE434" s="56"/>
      <c r="VPF434" s="56"/>
      <c r="VPG434" s="56"/>
      <c r="VPH434" s="56"/>
      <c r="VPI434" s="56"/>
      <c r="VPJ434" s="56"/>
      <c r="VPK434" s="56"/>
      <c r="VPL434" s="56"/>
      <c r="VPM434" s="56"/>
      <c r="VPN434" s="56"/>
      <c r="VPO434" s="56"/>
      <c r="VPP434" s="56"/>
      <c r="VPQ434" s="56"/>
      <c r="VPR434" s="56"/>
      <c r="VPS434" s="56"/>
      <c r="VPT434" s="56"/>
      <c r="VPU434" s="56"/>
      <c r="VPV434" s="56"/>
      <c r="VPW434" s="56"/>
      <c r="VPX434" s="56"/>
      <c r="VPY434" s="56"/>
      <c r="VPZ434" s="56"/>
      <c r="VQA434" s="56"/>
      <c r="VQB434" s="56"/>
      <c r="VQC434" s="56"/>
      <c r="VQD434" s="56"/>
      <c r="VQE434" s="56"/>
      <c r="VQF434" s="56"/>
      <c r="VQG434" s="56"/>
      <c r="VQH434" s="56"/>
      <c r="VQI434" s="56"/>
      <c r="VQJ434" s="56"/>
      <c r="VQK434" s="56"/>
      <c r="VQL434" s="56"/>
      <c r="VQM434" s="56"/>
      <c r="VQN434" s="56"/>
      <c r="VQO434" s="56"/>
      <c r="VQP434" s="56"/>
      <c r="VQQ434" s="56"/>
      <c r="VQR434" s="56"/>
      <c r="VQS434" s="56"/>
      <c r="VQT434" s="56"/>
      <c r="VQU434" s="56"/>
      <c r="VQV434" s="56"/>
      <c r="VQW434" s="56"/>
      <c r="VQX434" s="56"/>
      <c r="VQY434" s="56"/>
      <c r="VQZ434" s="56"/>
      <c r="VRA434" s="56"/>
      <c r="VRB434" s="56"/>
      <c r="VRC434" s="56"/>
      <c r="VRD434" s="56"/>
      <c r="VRE434" s="56"/>
      <c r="VRF434" s="56"/>
      <c r="VRG434" s="56"/>
      <c r="VRH434" s="56"/>
      <c r="VRI434" s="56"/>
      <c r="VRJ434" s="56"/>
      <c r="VRK434" s="56"/>
      <c r="VRL434" s="56"/>
      <c r="VRM434" s="56"/>
      <c r="VRN434" s="56"/>
      <c r="VRO434" s="56"/>
      <c r="VRP434" s="56"/>
      <c r="VRQ434" s="56"/>
      <c r="VRR434" s="56"/>
      <c r="VRS434" s="56"/>
      <c r="VRT434" s="56"/>
      <c r="VRU434" s="56"/>
      <c r="VRV434" s="56"/>
      <c r="VRW434" s="56"/>
      <c r="VRX434" s="56"/>
      <c r="VRY434" s="56"/>
      <c r="VRZ434" s="56"/>
      <c r="VSA434" s="56"/>
      <c r="VSB434" s="56"/>
      <c r="VSC434" s="56"/>
      <c r="VSD434" s="56"/>
      <c r="VSE434" s="56"/>
      <c r="VSF434" s="56"/>
      <c r="VSG434" s="56"/>
      <c r="VSH434" s="56"/>
      <c r="VSI434" s="56"/>
      <c r="VSJ434" s="56"/>
      <c r="VSK434" s="56"/>
      <c r="VSL434" s="56"/>
      <c r="VSM434" s="56"/>
      <c r="VSN434" s="56"/>
      <c r="VSO434" s="56"/>
      <c r="VSP434" s="56"/>
      <c r="VSQ434" s="56"/>
      <c r="VSR434" s="56"/>
      <c r="VSS434" s="56"/>
      <c r="VST434" s="56"/>
      <c r="VSU434" s="56"/>
      <c r="VSV434" s="56"/>
      <c r="VSW434" s="56"/>
      <c r="VSX434" s="56"/>
      <c r="VSY434" s="56"/>
      <c r="VSZ434" s="56"/>
      <c r="VTA434" s="56"/>
      <c r="VTB434" s="56"/>
      <c r="VTC434" s="56"/>
      <c r="VTD434" s="56"/>
      <c r="VTE434" s="56"/>
      <c r="VTF434" s="56"/>
      <c r="VTG434" s="56"/>
      <c r="VTH434" s="56"/>
      <c r="VTI434" s="56"/>
      <c r="VTJ434" s="56"/>
      <c r="VTK434" s="56"/>
      <c r="VTL434" s="56"/>
      <c r="VTM434" s="56"/>
      <c r="VTN434" s="56"/>
      <c r="VTO434" s="56"/>
      <c r="VTP434" s="56"/>
      <c r="VTQ434" s="56"/>
      <c r="VTR434" s="56"/>
      <c r="VTS434" s="56"/>
      <c r="VTT434" s="56"/>
      <c r="VTU434" s="56"/>
      <c r="VTV434" s="56"/>
      <c r="VTW434" s="56"/>
      <c r="VTX434" s="56"/>
      <c r="VTY434" s="56"/>
      <c r="VTZ434" s="56"/>
      <c r="VUA434" s="56"/>
      <c r="VUB434" s="56"/>
      <c r="VUC434" s="56"/>
      <c r="VUD434" s="56"/>
      <c r="VUE434" s="56"/>
      <c r="VUF434" s="56"/>
      <c r="VUG434" s="56"/>
      <c r="VUH434" s="56"/>
      <c r="VUI434" s="56"/>
      <c r="VUJ434" s="56"/>
      <c r="VUK434" s="56"/>
      <c r="VUL434" s="56"/>
      <c r="VUM434" s="56"/>
      <c r="VUN434" s="56"/>
      <c r="VUO434" s="56"/>
      <c r="VUP434" s="56"/>
      <c r="VUQ434" s="56"/>
      <c r="VUR434" s="56"/>
      <c r="VUS434" s="56"/>
      <c r="VUT434" s="56"/>
      <c r="VUU434" s="56"/>
      <c r="VUV434" s="56"/>
      <c r="VUW434" s="56"/>
      <c r="VUX434" s="56"/>
      <c r="VUY434" s="56"/>
      <c r="VUZ434" s="56"/>
      <c r="VVA434" s="56"/>
      <c r="VVB434" s="56"/>
      <c r="VVC434" s="56"/>
      <c r="VVD434" s="56"/>
      <c r="VVE434" s="56"/>
      <c r="VVF434" s="56"/>
      <c r="VVG434" s="56"/>
      <c r="VVH434" s="56"/>
      <c r="VVI434" s="56"/>
      <c r="VVJ434" s="56"/>
      <c r="VVK434" s="56"/>
      <c r="VVL434" s="56"/>
      <c r="VVM434" s="56"/>
      <c r="VVN434" s="56"/>
      <c r="VVO434" s="56"/>
      <c r="VVP434" s="56"/>
      <c r="VVQ434" s="56"/>
      <c r="VVR434" s="56"/>
      <c r="VVS434" s="56"/>
      <c r="VVT434" s="56"/>
      <c r="VVU434" s="56"/>
      <c r="VVV434" s="56"/>
      <c r="VVW434" s="56"/>
      <c r="VVX434" s="56"/>
      <c r="VVY434" s="56"/>
      <c r="VVZ434" s="56"/>
      <c r="VWA434" s="56"/>
      <c r="VWB434" s="56"/>
      <c r="VWC434" s="56"/>
      <c r="VWD434" s="56"/>
      <c r="VWE434" s="56"/>
      <c r="VWF434" s="56"/>
      <c r="VWG434" s="56"/>
      <c r="VWH434" s="56"/>
      <c r="VWI434" s="56"/>
      <c r="VWJ434" s="56"/>
      <c r="VWK434" s="56"/>
      <c r="VWL434" s="56"/>
      <c r="VWM434" s="56"/>
      <c r="VWN434" s="56"/>
      <c r="VWO434" s="56"/>
      <c r="VWP434" s="56"/>
      <c r="VWQ434" s="56"/>
      <c r="VWR434" s="56"/>
      <c r="VWS434" s="56"/>
      <c r="VWT434" s="56"/>
      <c r="VWU434" s="56"/>
      <c r="VWV434" s="56"/>
      <c r="VWW434" s="56"/>
      <c r="VWX434" s="56"/>
      <c r="VWY434" s="56"/>
      <c r="VWZ434" s="56"/>
      <c r="VXA434" s="56"/>
      <c r="VXB434" s="56"/>
      <c r="VXC434" s="56"/>
      <c r="VXD434" s="56"/>
      <c r="VXE434" s="56"/>
      <c r="VXF434" s="56"/>
      <c r="VXG434" s="56"/>
      <c r="VXH434" s="56"/>
      <c r="VXI434" s="56"/>
      <c r="VXJ434" s="56"/>
      <c r="VXK434" s="56"/>
      <c r="VXL434" s="56"/>
      <c r="VXM434" s="56"/>
      <c r="VXN434" s="56"/>
      <c r="VXO434" s="56"/>
      <c r="VXP434" s="56"/>
      <c r="VXQ434" s="56"/>
      <c r="VXR434" s="56"/>
      <c r="VXS434" s="56"/>
      <c r="VXT434" s="56"/>
      <c r="VXU434" s="56"/>
      <c r="VXV434" s="56"/>
      <c r="VXW434" s="56"/>
      <c r="VXX434" s="56"/>
      <c r="VXY434" s="56"/>
      <c r="VXZ434" s="56"/>
      <c r="VYA434" s="56"/>
      <c r="VYB434" s="56"/>
      <c r="VYC434" s="56"/>
      <c r="VYD434" s="56"/>
      <c r="VYE434" s="56"/>
      <c r="VYF434" s="56"/>
      <c r="VYG434" s="56"/>
      <c r="VYH434" s="56"/>
      <c r="VYI434" s="56"/>
      <c r="VYJ434" s="56"/>
      <c r="VYK434" s="56"/>
      <c r="VYL434" s="56"/>
      <c r="VYM434" s="56"/>
      <c r="VYN434" s="56"/>
      <c r="VYO434" s="56"/>
      <c r="VYP434" s="56"/>
      <c r="VYQ434" s="56"/>
      <c r="VYR434" s="56"/>
      <c r="VYS434" s="56"/>
      <c r="VYT434" s="56"/>
      <c r="VYU434" s="56"/>
      <c r="VYV434" s="56"/>
      <c r="VYW434" s="56"/>
      <c r="VYX434" s="56"/>
      <c r="VYY434" s="56"/>
      <c r="VYZ434" s="56"/>
      <c r="VZA434" s="56"/>
      <c r="VZB434" s="56"/>
      <c r="VZC434" s="56"/>
      <c r="VZD434" s="56"/>
      <c r="VZE434" s="56"/>
      <c r="VZF434" s="56"/>
      <c r="VZG434" s="56"/>
      <c r="VZH434" s="56"/>
      <c r="VZI434" s="56"/>
      <c r="VZJ434" s="56"/>
      <c r="VZK434" s="56"/>
      <c r="VZL434" s="56"/>
      <c r="VZM434" s="56"/>
      <c r="VZN434" s="56"/>
      <c r="VZO434" s="56"/>
      <c r="VZP434" s="56"/>
      <c r="VZQ434" s="56"/>
      <c r="VZR434" s="56"/>
      <c r="VZS434" s="56"/>
      <c r="VZT434" s="56"/>
      <c r="VZU434" s="56"/>
      <c r="VZV434" s="56"/>
      <c r="VZW434" s="56"/>
      <c r="VZX434" s="56"/>
      <c r="VZY434" s="56"/>
      <c r="VZZ434" s="56"/>
      <c r="WAA434" s="56"/>
      <c r="WAB434" s="56"/>
      <c r="WAC434" s="56"/>
      <c r="WAD434" s="56"/>
      <c r="WAE434" s="56"/>
      <c r="WAF434" s="56"/>
      <c r="WAG434" s="56"/>
      <c r="WAH434" s="56"/>
      <c r="WAI434" s="56"/>
      <c r="WAJ434" s="56"/>
      <c r="WAK434" s="56"/>
      <c r="WAL434" s="56"/>
      <c r="WAM434" s="56"/>
      <c r="WAN434" s="56"/>
      <c r="WAO434" s="56"/>
      <c r="WAP434" s="56"/>
      <c r="WAQ434" s="56"/>
      <c r="WAR434" s="56"/>
      <c r="WAS434" s="56"/>
      <c r="WAT434" s="56"/>
      <c r="WAU434" s="56"/>
      <c r="WAV434" s="56"/>
      <c r="WAW434" s="56"/>
      <c r="WAX434" s="56"/>
      <c r="WAY434" s="56"/>
      <c r="WAZ434" s="56"/>
      <c r="WBA434" s="56"/>
      <c r="WBB434" s="56"/>
      <c r="WBC434" s="56"/>
      <c r="WBD434" s="56"/>
      <c r="WBE434" s="56"/>
      <c r="WBF434" s="56"/>
      <c r="WBG434" s="56"/>
      <c r="WBH434" s="56"/>
      <c r="WBI434" s="56"/>
      <c r="WBJ434" s="56"/>
      <c r="WBK434" s="56"/>
      <c r="WBL434" s="56"/>
      <c r="WBM434" s="56"/>
      <c r="WBN434" s="56"/>
      <c r="WBO434" s="56"/>
      <c r="WBP434" s="56"/>
      <c r="WBQ434" s="56"/>
      <c r="WBR434" s="56"/>
      <c r="WBS434" s="56"/>
      <c r="WBT434" s="56"/>
      <c r="WBU434" s="56"/>
      <c r="WBV434" s="56"/>
      <c r="WBW434" s="56"/>
      <c r="WBX434" s="56"/>
      <c r="WBY434" s="56"/>
      <c r="WBZ434" s="56"/>
      <c r="WCA434" s="56"/>
      <c r="WCB434" s="56"/>
      <c r="WCC434" s="56"/>
      <c r="WCD434" s="56"/>
      <c r="WCE434" s="56"/>
      <c r="WCF434" s="56"/>
      <c r="WCG434" s="56"/>
      <c r="WCH434" s="56"/>
      <c r="WCI434" s="56"/>
      <c r="WCJ434" s="56"/>
      <c r="WCK434" s="56"/>
      <c r="WCL434" s="56"/>
      <c r="WCM434" s="56"/>
      <c r="WCN434" s="56"/>
      <c r="WCO434" s="56"/>
      <c r="WCP434" s="56"/>
      <c r="WCQ434" s="56"/>
      <c r="WCR434" s="56"/>
      <c r="WCS434" s="56"/>
      <c r="WCT434" s="56"/>
      <c r="WCU434" s="56"/>
      <c r="WCV434" s="56"/>
      <c r="WCW434" s="56"/>
      <c r="WCX434" s="56"/>
      <c r="WCY434" s="56"/>
      <c r="WCZ434" s="56"/>
      <c r="WDA434" s="56"/>
      <c r="WDB434" s="56"/>
      <c r="WDC434" s="56"/>
      <c r="WDD434" s="56"/>
      <c r="WDE434" s="56"/>
      <c r="WDF434" s="56"/>
      <c r="WDG434" s="56"/>
      <c r="WDH434" s="56"/>
      <c r="WDI434" s="56"/>
      <c r="WDJ434" s="56"/>
      <c r="WDK434" s="56"/>
      <c r="WDL434" s="56"/>
      <c r="WDM434" s="56"/>
      <c r="WDN434" s="56"/>
      <c r="WDO434" s="56"/>
      <c r="WDP434" s="56"/>
      <c r="WDQ434" s="56"/>
      <c r="WDR434" s="56"/>
      <c r="WDS434" s="56"/>
      <c r="WDT434" s="56"/>
      <c r="WDU434" s="56"/>
      <c r="WDV434" s="56"/>
      <c r="WDW434" s="56"/>
      <c r="WDX434" s="56"/>
      <c r="WDY434" s="56"/>
      <c r="WDZ434" s="56"/>
      <c r="WEA434" s="56"/>
      <c r="WEB434" s="56"/>
      <c r="WEC434" s="56"/>
      <c r="WED434" s="56"/>
      <c r="WEE434" s="56"/>
      <c r="WEF434" s="56"/>
      <c r="WEG434" s="56"/>
      <c r="WEH434" s="56"/>
      <c r="WEI434" s="56"/>
      <c r="WEJ434" s="56"/>
      <c r="WEK434" s="56"/>
      <c r="WEL434" s="56"/>
      <c r="WEM434" s="56"/>
      <c r="WEN434" s="56"/>
      <c r="WEO434" s="56"/>
      <c r="WEP434" s="56"/>
      <c r="WEQ434" s="56"/>
      <c r="WER434" s="56"/>
      <c r="WES434" s="56"/>
      <c r="WET434" s="56"/>
      <c r="WEU434" s="56"/>
      <c r="WEV434" s="56"/>
      <c r="WEW434" s="56"/>
      <c r="WEX434" s="56"/>
      <c r="WEY434" s="56"/>
      <c r="WEZ434" s="56"/>
      <c r="WFA434" s="56"/>
      <c r="WFB434" s="56"/>
      <c r="WFC434" s="56"/>
      <c r="WFD434" s="56"/>
      <c r="WFE434" s="56"/>
      <c r="WFF434" s="56"/>
      <c r="WFG434" s="56"/>
      <c r="WFH434" s="56"/>
      <c r="WFI434" s="56"/>
      <c r="WFJ434" s="56"/>
      <c r="WFK434" s="56"/>
      <c r="WFL434" s="56"/>
      <c r="WFM434" s="56"/>
      <c r="WFN434" s="56"/>
      <c r="WFO434" s="56"/>
      <c r="WFP434" s="56"/>
      <c r="WFQ434" s="56"/>
      <c r="WFR434" s="56"/>
      <c r="WFS434" s="56"/>
      <c r="WFT434" s="56"/>
      <c r="WFU434" s="56"/>
      <c r="WFV434" s="56"/>
      <c r="WFW434" s="56"/>
      <c r="WFX434" s="56"/>
      <c r="WFY434" s="56"/>
      <c r="WFZ434" s="56"/>
      <c r="WGA434" s="56"/>
      <c r="WGB434" s="56"/>
      <c r="WGC434" s="56"/>
      <c r="WGD434" s="56"/>
      <c r="WGE434" s="56"/>
      <c r="WGF434" s="56"/>
      <c r="WGG434" s="56"/>
      <c r="WGH434" s="56"/>
      <c r="WGI434" s="56"/>
      <c r="WGJ434" s="56"/>
      <c r="WGK434" s="56"/>
      <c r="WGL434" s="56"/>
      <c r="WGM434" s="56"/>
      <c r="WGN434" s="56"/>
      <c r="WGO434" s="56"/>
      <c r="WGP434" s="56"/>
      <c r="WGQ434" s="56"/>
      <c r="WGR434" s="56"/>
      <c r="WGS434" s="56"/>
      <c r="WGT434" s="56"/>
      <c r="WGU434" s="56"/>
      <c r="WGV434" s="56"/>
      <c r="WGW434" s="56"/>
      <c r="WGX434" s="56"/>
      <c r="WGY434" s="56"/>
      <c r="WGZ434" s="56"/>
      <c r="WHA434" s="56"/>
      <c r="WHB434" s="56"/>
      <c r="WHC434" s="56"/>
      <c r="WHD434" s="56"/>
      <c r="WHE434" s="56"/>
      <c r="WHF434" s="56"/>
      <c r="WHG434" s="56"/>
      <c r="WHH434" s="56"/>
      <c r="WHI434" s="56"/>
      <c r="WHJ434" s="56"/>
      <c r="WHK434" s="56"/>
      <c r="WHL434" s="56"/>
      <c r="WHM434" s="56"/>
      <c r="WHN434" s="56"/>
      <c r="WHO434" s="56"/>
      <c r="WHP434" s="56"/>
      <c r="WHQ434" s="56"/>
      <c r="WHR434" s="56"/>
      <c r="WHS434" s="56"/>
      <c r="WHT434" s="56"/>
      <c r="WHU434" s="56"/>
      <c r="WHV434" s="56"/>
      <c r="WHW434" s="56"/>
      <c r="WHX434" s="56"/>
      <c r="WHY434" s="56"/>
      <c r="WHZ434" s="56"/>
      <c r="WIA434" s="56"/>
      <c r="WIB434" s="56"/>
      <c r="WIC434" s="56"/>
      <c r="WID434" s="56"/>
      <c r="WIE434" s="56"/>
      <c r="WIF434" s="56"/>
      <c r="WIG434" s="56"/>
      <c r="WIH434" s="56"/>
      <c r="WII434" s="56"/>
      <c r="WIJ434" s="56"/>
      <c r="WIK434" s="56"/>
      <c r="WIL434" s="56"/>
      <c r="WIM434" s="56"/>
      <c r="WIN434" s="56"/>
      <c r="WIO434" s="56"/>
      <c r="WIP434" s="56"/>
      <c r="WIQ434" s="56"/>
      <c r="WIR434" s="56"/>
      <c r="WIS434" s="56"/>
      <c r="WIT434" s="56"/>
      <c r="WIU434" s="56"/>
      <c r="WIV434" s="56"/>
      <c r="WIW434" s="56"/>
      <c r="WIX434" s="56"/>
      <c r="WIY434" s="56"/>
      <c r="WIZ434" s="56"/>
      <c r="WJA434" s="56"/>
      <c r="WJB434" s="56"/>
      <c r="WJC434" s="56"/>
      <c r="WJD434" s="56"/>
      <c r="WJE434" s="56"/>
      <c r="WJF434" s="56"/>
      <c r="WJG434" s="56"/>
      <c r="WJH434" s="56"/>
      <c r="WJI434" s="56"/>
      <c r="WJJ434" s="56"/>
      <c r="WJK434" s="56"/>
      <c r="WJL434" s="56"/>
      <c r="WJM434" s="56"/>
      <c r="WJN434" s="56"/>
      <c r="WJO434" s="56"/>
      <c r="WJP434" s="56"/>
      <c r="WJQ434" s="56"/>
      <c r="WJR434" s="56"/>
      <c r="WJS434" s="56"/>
      <c r="WJT434" s="56"/>
      <c r="WJU434" s="56"/>
      <c r="WJV434" s="56"/>
      <c r="WJW434" s="56"/>
      <c r="WJX434" s="56"/>
      <c r="WJY434" s="56"/>
      <c r="WJZ434" s="56"/>
      <c r="WKA434" s="56"/>
      <c r="WKB434" s="56"/>
      <c r="WKC434" s="56"/>
      <c r="WKD434" s="56"/>
      <c r="WKE434" s="56"/>
      <c r="WKF434" s="56"/>
      <c r="WKG434" s="56"/>
      <c r="WKH434" s="56"/>
      <c r="WKI434" s="56"/>
      <c r="WKJ434" s="56"/>
      <c r="WKK434" s="56"/>
      <c r="WKL434" s="56"/>
      <c r="WKM434" s="56"/>
      <c r="WKN434" s="56"/>
      <c r="WKO434" s="56"/>
      <c r="WKP434" s="56"/>
      <c r="WKQ434" s="56"/>
      <c r="WKR434" s="56"/>
      <c r="WKS434" s="56"/>
      <c r="WKT434" s="56"/>
      <c r="WKU434" s="56"/>
      <c r="WKV434" s="56"/>
      <c r="WKW434" s="56"/>
      <c r="WKX434" s="56"/>
      <c r="WKY434" s="56"/>
      <c r="WKZ434" s="56"/>
      <c r="WLA434" s="56"/>
      <c r="WLB434" s="56"/>
      <c r="WLC434" s="56"/>
      <c r="WLD434" s="56"/>
      <c r="WLE434" s="56"/>
      <c r="WLF434" s="56"/>
      <c r="WLG434" s="56"/>
      <c r="WLH434" s="56"/>
      <c r="WLI434" s="56"/>
      <c r="WLJ434" s="56"/>
      <c r="WLK434" s="56"/>
      <c r="WLL434" s="56"/>
      <c r="WLM434" s="56"/>
      <c r="WLN434" s="56"/>
      <c r="WLO434" s="56"/>
      <c r="WLP434" s="56"/>
      <c r="WLQ434" s="56"/>
      <c r="WLR434" s="56"/>
      <c r="WLS434" s="56"/>
      <c r="WLT434" s="56"/>
      <c r="WLU434" s="56"/>
      <c r="WLV434" s="56"/>
      <c r="WLW434" s="56"/>
      <c r="WLX434" s="56"/>
      <c r="WLY434" s="56"/>
      <c r="WLZ434" s="56"/>
      <c r="WMA434" s="56"/>
      <c r="WMB434" s="56"/>
      <c r="WMC434" s="56"/>
      <c r="WMD434" s="56"/>
      <c r="WME434" s="56"/>
      <c r="WMF434" s="56"/>
      <c r="WMG434" s="56"/>
      <c r="WMH434" s="56"/>
      <c r="WMI434" s="56"/>
      <c r="WMJ434" s="56"/>
      <c r="WMK434" s="56"/>
      <c r="WML434" s="56"/>
      <c r="WMM434" s="56"/>
      <c r="WMN434" s="56"/>
      <c r="WMO434" s="56"/>
      <c r="WMP434" s="56"/>
      <c r="WMQ434" s="56"/>
      <c r="WMR434" s="56"/>
      <c r="WMS434" s="56"/>
      <c r="WMT434" s="56"/>
      <c r="WMU434" s="56"/>
      <c r="WMV434" s="56"/>
      <c r="WMW434" s="56"/>
      <c r="WMX434" s="56"/>
      <c r="WMY434" s="56"/>
      <c r="WMZ434" s="56"/>
      <c r="WNA434" s="56"/>
      <c r="WNB434" s="56"/>
      <c r="WNC434" s="56"/>
      <c r="WND434" s="56"/>
      <c r="WNE434" s="56"/>
      <c r="WNF434" s="56"/>
      <c r="WNG434" s="56"/>
      <c r="WNH434" s="56"/>
      <c r="WNI434" s="56"/>
      <c r="WNJ434" s="56"/>
      <c r="WNK434" s="56"/>
      <c r="WNL434" s="56"/>
      <c r="WNM434" s="56"/>
      <c r="WNN434" s="56"/>
      <c r="WNO434" s="56"/>
      <c r="WNP434" s="56"/>
      <c r="WNQ434" s="56"/>
      <c r="WNR434" s="56"/>
      <c r="WNS434" s="56"/>
      <c r="WNT434" s="56"/>
      <c r="WNU434" s="56"/>
      <c r="WNV434" s="56"/>
      <c r="WNW434" s="56"/>
      <c r="WNX434" s="56"/>
      <c r="WNY434" s="56"/>
      <c r="WNZ434" s="56"/>
      <c r="WOA434" s="56"/>
      <c r="WOB434" s="56"/>
      <c r="WOC434" s="56"/>
      <c r="WOD434" s="56"/>
      <c r="WOE434" s="56"/>
      <c r="WOF434" s="56"/>
      <c r="WOG434" s="56"/>
      <c r="WOH434" s="56"/>
      <c r="WOI434" s="56"/>
      <c r="WOJ434" s="56"/>
      <c r="WOK434" s="56"/>
      <c r="WOL434" s="56"/>
      <c r="WOM434" s="56"/>
      <c r="WON434" s="56"/>
      <c r="WOO434" s="56"/>
      <c r="WOP434" s="56"/>
      <c r="WOQ434" s="56"/>
      <c r="WOR434" s="56"/>
      <c r="WOS434" s="56"/>
      <c r="WOT434" s="56"/>
      <c r="WOU434" s="56"/>
      <c r="WOV434" s="56"/>
      <c r="WOW434" s="56"/>
      <c r="WOX434" s="56"/>
      <c r="WOY434" s="56"/>
      <c r="WOZ434" s="56"/>
      <c r="WPA434" s="56"/>
      <c r="WPB434" s="56"/>
      <c r="WPC434" s="56"/>
      <c r="WPD434" s="56"/>
      <c r="WPE434" s="56"/>
      <c r="WPF434" s="56"/>
      <c r="WPG434" s="56"/>
      <c r="WPH434" s="56"/>
      <c r="WPI434" s="56"/>
      <c r="WPJ434" s="56"/>
      <c r="WPK434" s="56"/>
      <c r="WPL434" s="56"/>
      <c r="WPM434" s="56"/>
      <c r="WPN434" s="56"/>
      <c r="WPO434" s="56"/>
      <c r="WPP434" s="56"/>
      <c r="WPQ434" s="56"/>
      <c r="WPR434" s="56"/>
      <c r="WPS434" s="56"/>
      <c r="WPT434" s="56"/>
      <c r="WPU434" s="56"/>
      <c r="WPV434" s="56"/>
      <c r="WPW434" s="56"/>
      <c r="WPX434" s="56"/>
      <c r="WPY434" s="56"/>
      <c r="WPZ434" s="56"/>
      <c r="WQA434" s="56"/>
      <c r="WQB434" s="56"/>
      <c r="WQC434" s="56"/>
      <c r="WQD434" s="56"/>
      <c r="WQE434" s="56"/>
      <c r="WQF434" s="56"/>
      <c r="WQG434" s="56"/>
      <c r="WQH434" s="56"/>
      <c r="WQI434" s="56"/>
      <c r="WQJ434" s="56"/>
      <c r="WQK434" s="56"/>
      <c r="WQL434" s="56"/>
      <c r="WQM434" s="56"/>
      <c r="WQN434" s="56"/>
      <c r="WQO434" s="56"/>
      <c r="WQP434" s="56"/>
      <c r="WQQ434" s="56"/>
      <c r="WQR434" s="56"/>
      <c r="WQS434" s="56"/>
      <c r="WQT434" s="56"/>
      <c r="WQU434" s="56"/>
      <c r="WQV434" s="56"/>
      <c r="WQW434" s="56"/>
      <c r="WQX434" s="56"/>
      <c r="WQY434" s="56"/>
      <c r="WQZ434" s="56"/>
      <c r="WRA434" s="56"/>
      <c r="WRB434" s="56"/>
      <c r="WRC434" s="56"/>
      <c r="WRD434" s="56"/>
      <c r="WRE434" s="56"/>
      <c r="WRF434" s="56"/>
      <c r="WRG434" s="56"/>
      <c r="WRH434" s="56"/>
      <c r="WRI434" s="56"/>
      <c r="WRJ434" s="56"/>
      <c r="WRK434" s="56"/>
      <c r="WRL434" s="56"/>
      <c r="WRM434" s="56"/>
      <c r="WRN434" s="56"/>
      <c r="WRO434" s="56"/>
      <c r="WRP434" s="56"/>
      <c r="WRQ434" s="56"/>
      <c r="WRR434" s="56"/>
      <c r="WRS434" s="56"/>
      <c r="WRT434" s="56"/>
      <c r="WRU434" s="56"/>
      <c r="WRV434" s="56"/>
      <c r="WRW434" s="56"/>
      <c r="WRX434" s="56"/>
      <c r="WRY434" s="56"/>
      <c r="WRZ434" s="56"/>
      <c r="WSA434" s="56"/>
      <c r="WSB434" s="56"/>
      <c r="WSC434" s="56"/>
      <c r="WSD434" s="56"/>
      <c r="WSE434" s="56"/>
      <c r="WSF434" s="56"/>
      <c r="WSG434" s="56"/>
      <c r="WSH434" s="56"/>
      <c r="WSI434" s="56"/>
      <c r="WSJ434" s="56"/>
      <c r="WSK434" s="56"/>
      <c r="WSL434" s="56"/>
      <c r="WSM434" s="56"/>
      <c r="WSN434" s="56"/>
      <c r="WSO434" s="56"/>
      <c r="WSP434" s="56"/>
      <c r="WSQ434" s="56"/>
      <c r="WSR434" s="56"/>
      <c r="WSS434" s="56"/>
      <c r="WST434" s="56"/>
      <c r="WSU434" s="56"/>
      <c r="WSV434" s="56"/>
      <c r="WSW434" s="56"/>
      <c r="WSX434" s="56"/>
      <c r="WSY434" s="56"/>
      <c r="WSZ434" s="56"/>
      <c r="WTA434" s="56"/>
      <c r="WTB434" s="56"/>
      <c r="WTC434" s="56"/>
      <c r="WTD434" s="56"/>
      <c r="WTE434" s="56"/>
      <c r="WTF434" s="56"/>
      <c r="WTG434" s="56"/>
      <c r="WTH434" s="56"/>
      <c r="WTI434" s="56"/>
      <c r="WTJ434" s="56"/>
      <c r="WTK434" s="56"/>
      <c r="WTL434" s="56"/>
      <c r="WTM434" s="56"/>
      <c r="WTN434" s="56"/>
      <c r="WTO434" s="56"/>
      <c r="WTP434" s="56"/>
      <c r="WTQ434" s="56"/>
      <c r="WTR434" s="56"/>
      <c r="WTS434" s="56"/>
      <c r="WTT434" s="56"/>
      <c r="WTU434" s="56"/>
      <c r="WTV434" s="56"/>
      <c r="WTW434" s="56"/>
      <c r="WTX434" s="56"/>
      <c r="WTY434" s="56"/>
      <c r="WTZ434" s="56"/>
      <c r="WUA434" s="56"/>
      <c r="WUB434" s="56"/>
      <c r="WUC434" s="56"/>
      <c r="WUD434" s="56"/>
      <c r="WUE434" s="56"/>
      <c r="WUF434" s="56"/>
      <c r="WUG434" s="56"/>
      <c r="WUH434" s="56"/>
      <c r="WUI434" s="56"/>
      <c r="WUJ434" s="56"/>
      <c r="WUK434" s="56"/>
      <c r="WUL434" s="56"/>
      <c r="WUM434" s="56"/>
      <c r="WUN434" s="56"/>
      <c r="WUO434" s="56"/>
      <c r="WUP434" s="56"/>
      <c r="WUQ434" s="56"/>
      <c r="WUR434" s="56"/>
      <c r="WUS434" s="56"/>
      <c r="WUT434" s="56"/>
      <c r="WUU434" s="56"/>
      <c r="WUV434" s="56"/>
      <c r="WUW434" s="56"/>
      <c r="WUX434" s="56"/>
      <c r="WUY434" s="56"/>
      <c r="WUZ434" s="56"/>
      <c r="WVA434" s="56"/>
      <c r="WVB434" s="56"/>
      <c r="WVC434" s="56"/>
      <c r="WVD434" s="56"/>
      <c r="WVE434" s="56"/>
      <c r="WVF434" s="56"/>
      <c r="WVG434" s="56"/>
      <c r="WVH434" s="56"/>
      <c r="WVI434" s="56"/>
      <c r="WVJ434" s="56"/>
      <c r="WVK434" s="56"/>
      <c r="WVL434" s="56"/>
      <c r="WVM434" s="56"/>
      <c r="WVN434" s="56"/>
      <c r="WVO434" s="56"/>
      <c r="WVP434" s="56"/>
      <c r="WVQ434" s="56"/>
      <c r="WVR434" s="56"/>
      <c r="WVS434" s="56"/>
      <c r="WVT434" s="56"/>
      <c r="WVU434" s="56"/>
      <c r="WVV434" s="56"/>
      <c r="WVW434" s="56"/>
      <c r="WVX434" s="56"/>
      <c r="WVY434" s="56"/>
      <c r="WVZ434" s="56"/>
      <c r="WWA434" s="56"/>
      <c r="WWB434" s="56"/>
      <c r="WWC434" s="56"/>
      <c r="WWD434" s="56"/>
      <c r="WWE434" s="56"/>
      <c r="WWF434" s="56"/>
      <c r="WWG434" s="56"/>
      <c r="WWH434" s="56"/>
      <c r="WWI434" s="56"/>
      <c r="WWJ434" s="56"/>
      <c r="WWK434" s="56"/>
      <c r="WWL434" s="56"/>
      <c r="WWM434" s="56"/>
      <c r="WWN434" s="56"/>
      <c r="WWO434" s="56"/>
      <c r="WWP434" s="56"/>
      <c r="WWQ434" s="56"/>
      <c r="WWR434" s="56"/>
      <c r="WWS434" s="56"/>
      <c r="WWT434" s="56"/>
      <c r="WWU434" s="56"/>
      <c r="WWV434" s="56"/>
      <c r="WWW434" s="56"/>
      <c r="WWX434" s="56"/>
      <c r="WWY434" s="56"/>
      <c r="WWZ434" s="56"/>
      <c r="WXA434" s="56"/>
      <c r="WXB434" s="56"/>
      <c r="WXC434" s="56"/>
      <c r="WXD434" s="56"/>
      <c r="WXE434" s="56"/>
      <c r="WXF434" s="56"/>
      <c r="WXG434" s="56"/>
      <c r="WXH434" s="56"/>
      <c r="WXI434" s="56"/>
      <c r="WXJ434" s="56"/>
      <c r="WXK434" s="56"/>
      <c r="WXL434" s="56"/>
      <c r="WXM434" s="56"/>
      <c r="WXN434" s="56"/>
      <c r="WXO434" s="56"/>
      <c r="WXP434" s="56"/>
      <c r="WXQ434" s="56"/>
      <c r="WXR434" s="56"/>
      <c r="WXS434" s="56"/>
      <c r="WXT434" s="56"/>
      <c r="WXU434" s="56"/>
      <c r="WXV434" s="56"/>
      <c r="WXW434" s="56"/>
      <c r="WXX434" s="56"/>
      <c r="WXY434" s="56"/>
      <c r="WXZ434" s="56"/>
      <c r="WYA434" s="56"/>
      <c r="WYB434" s="56"/>
      <c r="WYC434" s="56"/>
      <c r="WYD434" s="56"/>
      <c r="WYE434" s="56"/>
      <c r="WYF434" s="56"/>
      <c r="WYG434" s="56"/>
      <c r="WYH434" s="56"/>
      <c r="WYI434" s="56"/>
      <c r="WYJ434" s="56"/>
      <c r="WYK434" s="56"/>
      <c r="WYL434" s="56"/>
      <c r="WYM434" s="56"/>
      <c r="WYN434" s="56"/>
      <c r="WYO434" s="56"/>
      <c r="WYP434" s="56"/>
      <c r="WYQ434" s="56"/>
      <c r="WYR434" s="56"/>
      <c r="WYS434" s="56"/>
      <c r="WYT434" s="56"/>
      <c r="WYU434" s="56"/>
      <c r="WYV434" s="56"/>
      <c r="WYW434" s="56"/>
      <c r="WYX434" s="56"/>
      <c r="WYY434" s="56"/>
      <c r="WYZ434" s="56"/>
      <c r="WZA434" s="56"/>
      <c r="WZB434" s="56"/>
      <c r="WZC434" s="56"/>
      <c r="WZD434" s="56"/>
      <c r="WZE434" s="56"/>
      <c r="WZF434" s="56"/>
      <c r="WZG434" s="56"/>
      <c r="WZH434" s="56"/>
      <c r="WZI434" s="56"/>
      <c r="WZJ434" s="56"/>
      <c r="WZK434" s="56"/>
      <c r="WZL434" s="56"/>
      <c r="WZM434" s="56"/>
      <c r="WZN434" s="56"/>
      <c r="WZO434" s="56"/>
      <c r="WZP434" s="56"/>
      <c r="WZQ434" s="56"/>
      <c r="WZR434" s="56"/>
      <c r="WZS434" s="56"/>
      <c r="WZT434" s="56"/>
      <c r="WZU434" s="56"/>
      <c r="WZV434" s="56"/>
      <c r="WZW434" s="56"/>
      <c r="WZX434" s="56"/>
      <c r="WZY434" s="56"/>
      <c r="WZZ434" s="56"/>
      <c r="XAA434" s="56"/>
      <c r="XAB434" s="56"/>
      <c r="XAC434" s="56"/>
      <c r="XAD434" s="56"/>
      <c r="XAE434" s="56"/>
      <c r="XAF434" s="56"/>
      <c r="XAG434" s="56"/>
      <c r="XAH434" s="56"/>
      <c r="XAI434" s="56"/>
      <c r="XAJ434" s="56"/>
      <c r="XAK434" s="56"/>
      <c r="XAL434" s="56"/>
      <c r="XAM434" s="56"/>
      <c r="XAN434" s="56"/>
      <c r="XAO434" s="56"/>
      <c r="XAP434" s="56"/>
      <c r="XAQ434" s="56"/>
      <c r="XAR434" s="56"/>
      <c r="XAS434" s="56"/>
      <c r="XAT434" s="56"/>
      <c r="XAU434" s="56"/>
      <c r="XAV434" s="56"/>
      <c r="XAW434" s="56"/>
      <c r="XAX434" s="56"/>
      <c r="XAY434" s="56"/>
      <c r="XAZ434" s="56"/>
      <c r="XBA434" s="56"/>
      <c r="XBB434" s="56"/>
      <c r="XBC434" s="56"/>
      <c r="XBD434" s="56"/>
      <c r="XBE434" s="56"/>
      <c r="XBF434" s="56"/>
      <c r="XBG434" s="56"/>
      <c r="XBH434" s="56"/>
      <c r="XBI434" s="56"/>
      <c r="XBJ434" s="56"/>
      <c r="XBK434" s="56"/>
      <c r="XBL434" s="56"/>
      <c r="XBM434" s="56"/>
      <c r="XBN434" s="56"/>
      <c r="XBO434" s="56"/>
      <c r="XBP434" s="56"/>
      <c r="XBQ434" s="56"/>
      <c r="XBR434" s="56"/>
      <c r="XBS434" s="56"/>
      <c r="XBT434" s="56"/>
      <c r="XBU434" s="56"/>
      <c r="XBV434" s="56"/>
      <c r="XBW434" s="56"/>
      <c r="XBX434" s="56"/>
      <c r="XBY434" s="56"/>
      <c r="XBZ434" s="56"/>
      <c r="XCA434" s="56"/>
      <c r="XCB434" s="56"/>
      <c r="XCC434" s="56"/>
      <c r="XCD434" s="56"/>
      <c r="XCE434" s="56"/>
      <c r="XCF434" s="56"/>
      <c r="XCG434" s="56"/>
      <c r="XCH434" s="56"/>
      <c r="XCI434" s="56"/>
      <c r="XCJ434" s="56"/>
      <c r="XCK434" s="56"/>
      <c r="XCL434" s="56"/>
      <c r="XCM434" s="56"/>
      <c r="XCN434" s="56"/>
      <c r="XCO434" s="56"/>
      <c r="XCP434" s="56"/>
      <c r="XCQ434" s="56"/>
      <c r="XCR434" s="56"/>
      <c r="XCS434" s="56"/>
      <c r="XCT434" s="56"/>
      <c r="XCU434" s="56"/>
      <c r="XCV434" s="56"/>
      <c r="XCW434" s="56"/>
      <c r="XCX434" s="56"/>
      <c r="XCY434" s="56"/>
      <c r="XCZ434" s="56"/>
      <c r="XDA434" s="56"/>
      <c r="XDB434" s="56"/>
      <c r="XDC434" s="56"/>
      <c r="XDD434" s="56"/>
      <c r="XDE434" s="56"/>
      <c r="XDF434" s="56"/>
      <c r="XDG434" s="56"/>
      <c r="XDH434" s="56"/>
      <c r="XDI434" s="56"/>
      <c r="XDJ434" s="56"/>
      <c r="XDK434" s="56"/>
      <c r="XDL434" s="56"/>
      <c r="XDM434" s="56"/>
      <c r="XDN434" s="56"/>
      <c r="XDO434" s="56"/>
      <c r="XDP434" s="56"/>
      <c r="XDQ434" s="56"/>
      <c r="XDR434" s="56"/>
      <c r="XDS434" s="56"/>
      <c r="XDT434" s="56"/>
      <c r="XDU434" s="56"/>
      <c r="XDV434" s="56"/>
      <c r="XDW434" s="56"/>
      <c r="XDX434" s="56"/>
      <c r="XDY434" s="56"/>
      <c r="XDZ434" s="56"/>
      <c r="XEA434" s="56"/>
      <c r="XEB434" s="56"/>
      <c r="XEC434" s="56"/>
      <c r="XED434" s="56"/>
      <c r="XEE434" s="56"/>
      <c r="XEF434" s="56"/>
      <c r="XEG434" s="56"/>
      <c r="XEH434" s="56"/>
      <c r="XEI434" s="56"/>
      <c r="XEJ434" s="56"/>
      <c r="XEK434" s="56"/>
      <c r="XEL434" s="56"/>
      <c r="XEM434" s="56"/>
      <c r="XEN434" s="56"/>
      <c r="XEO434" s="56"/>
      <c r="XEP434" s="56"/>
      <c r="XEQ434" s="56"/>
      <c r="XER434" s="56"/>
      <c r="XES434" s="56"/>
      <c r="XET434" s="56"/>
      <c r="XEU434" s="56"/>
      <c r="XEV434" s="56"/>
      <c r="XEW434" s="56"/>
    </row>
    <row r="437" spans="1:16377" x14ac:dyDescent="0.15">
      <c r="T437" s="3"/>
      <c r="U437" s="3"/>
    </row>
    <row r="476" outlineLevel="1" x14ac:dyDescent="0.15"/>
    <row r="477" outlineLevel="1" x14ac:dyDescent="0.15"/>
    <row r="478" outlineLevel="1" x14ac:dyDescent="0.15"/>
    <row r="479" outlineLevel="1" x14ac:dyDescent="0.15"/>
    <row r="480" outlineLevel="1" x14ac:dyDescent="0.15"/>
    <row r="481" outlineLevel="1" x14ac:dyDescent="0.15"/>
    <row r="482" outlineLevel="1" x14ac:dyDescent="0.15"/>
    <row r="483" outlineLevel="1" x14ac:dyDescent="0.15"/>
    <row r="484" outlineLevel="1" x14ac:dyDescent="0.15"/>
    <row r="485" outlineLevel="1" x14ac:dyDescent="0.15"/>
    <row r="486" outlineLevel="1" x14ac:dyDescent="0.15"/>
    <row r="487" outlineLevel="1" x14ac:dyDescent="0.15"/>
    <row r="488" outlineLevel="1" x14ac:dyDescent="0.15"/>
    <row r="489" outlineLevel="1" x14ac:dyDescent="0.15"/>
    <row r="490" outlineLevel="1" x14ac:dyDescent="0.15"/>
    <row r="491" outlineLevel="1" x14ac:dyDescent="0.15"/>
    <row r="492" outlineLevel="1" x14ac:dyDescent="0.15"/>
    <row r="493" outlineLevel="1" x14ac:dyDescent="0.15"/>
    <row r="494" outlineLevel="1" x14ac:dyDescent="0.15"/>
    <row r="495" outlineLevel="1" x14ac:dyDescent="0.15"/>
    <row r="496" outlineLevel="1" x14ac:dyDescent="0.15"/>
    <row r="497" outlineLevel="1" x14ac:dyDescent="0.15"/>
    <row r="498" outlineLevel="1" x14ac:dyDescent="0.15"/>
    <row r="499" outlineLevel="1" x14ac:dyDescent="0.15"/>
    <row r="500" outlineLevel="1" x14ac:dyDescent="0.15"/>
    <row r="501" outlineLevel="1" x14ac:dyDescent="0.15"/>
    <row r="502" outlineLevel="1" x14ac:dyDescent="0.15"/>
    <row r="503" outlineLevel="1" x14ac:dyDescent="0.15"/>
    <row r="504" outlineLevel="1" x14ac:dyDescent="0.15"/>
    <row r="505" outlineLevel="1" x14ac:dyDescent="0.15"/>
    <row r="506" outlineLevel="1" x14ac:dyDescent="0.15"/>
    <row r="507" outlineLevel="1" x14ac:dyDescent="0.15"/>
    <row r="508" outlineLevel="1" x14ac:dyDescent="0.15"/>
    <row r="509" outlineLevel="1" x14ac:dyDescent="0.15"/>
    <row r="510" outlineLevel="1" x14ac:dyDescent="0.15"/>
    <row r="511" outlineLevel="1" x14ac:dyDescent="0.15"/>
    <row r="512" outlineLevel="1" x14ac:dyDescent="0.15"/>
    <row r="513" outlineLevel="1" x14ac:dyDescent="0.15"/>
    <row r="514" outlineLevel="1" x14ac:dyDescent="0.15"/>
    <row r="515" outlineLevel="1" x14ac:dyDescent="0.15"/>
    <row r="516" outlineLevel="1" x14ac:dyDescent="0.15"/>
    <row r="517" outlineLevel="1" x14ac:dyDescent="0.15"/>
    <row r="518" outlineLevel="1" x14ac:dyDescent="0.15"/>
    <row r="519" outlineLevel="1" x14ac:dyDescent="0.15"/>
    <row r="520" outlineLevel="1" x14ac:dyDescent="0.15"/>
    <row r="521" outlineLevel="1" x14ac:dyDescent="0.15"/>
    <row r="522" outlineLevel="1" x14ac:dyDescent="0.15"/>
    <row r="523" outlineLevel="1" x14ac:dyDescent="0.15"/>
    <row r="524" outlineLevel="1" x14ac:dyDescent="0.15"/>
    <row r="525" outlineLevel="1" x14ac:dyDescent="0.15"/>
    <row r="526" outlineLevel="1" x14ac:dyDescent="0.15"/>
    <row r="527" outlineLevel="1" x14ac:dyDescent="0.15"/>
    <row r="528" outlineLevel="1" x14ac:dyDescent="0.15"/>
    <row r="529" outlineLevel="1" x14ac:dyDescent="0.15"/>
    <row r="530" outlineLevel="1" x14ac:dyDescent="0.15"/>
    <row r="531" outlineLevel="1" x14ac:dyDescent="0.15"/>
    <row r="532" outlineLevel="1" x14ac:dyDescent="0.15"/>
    <row r="533" outlineLevel="1" x14ac:dyDescent="0.15"/>
    <row r="534" outlineLevel="1" x14ac:dyDescent="0.15"/>
    <row r="535" outlineLevel="1" x14ac:dyDescent="0.15"/>
    <row r="536" outlineLevel="1" x14ac:dyDescent="0.15"/>
    <row r="537" outlineLevel="1" x14ac:dyDescent="0.15"/>
    <row r="538" outlineLevel="1" x14ac:dyDescent="0.15"/>
    <row r="539" outlineLevel="1" x14ac:dyDescent="0.15"/>
    <row r="540" outlineLevel="1" x14ac:dyDescent="0.15"/>
    <row r="541" outlineLevel="1" x14ac:dyDescent="0.15"/>
    <row r="542" outlineLevel="1" x14ac:dyDescent="0.15"/>
    <row r="543" outlineLevel="1" x14ac:dyDescent="0.15"/>
    <row r="544" outlineLevel="1" x14ac:dyDescent="0.15"/>
    <row r="545" outlineLevel="1" x14ac:dyDescent="0.15"/>
    <row r="546" outlineLevel="1" x14ac:dyDescent="0.15"/>
    <row r="547" outlineLevel="1" x14ac:dyDescent="0.15"/>
    <row r="548" outlineLevel="1" x14ac:dyDescent="0.15"/>
    <row r="549" outlineLevel="1" x14ac:dyDescent="0.15"/>
    <row r="550" outlineLevel="1" x14ac:dyDescent="0.15"/>
    <row r="551" outlineLevel="1" x14ac:dyDescent="0.15"/>
    <row r="552" outlineLevel="1" x14ac:dyDescent="0.15"/>
    <row r="553" outlineLevel="1" x14ac:dyDescent="0.15"/>
    <row r="554" outlineLevel="1" x14ac:dyDescent="0.15"/>
    <row r="555" outlineLevel="1" x14ac:dyDescent="0.15"/>
    <row r="556" outlineLevel="1" x14ac:dyDescent="0.15"/>
    <row r="557" outlineLevel="1" x14ac:dyDescent="0.15"/>
    <row r="558" outlineLevel="1" x14ac:dyDescent="0.15"/>
    <row r="559" outlineLevel="1" x14ac:dyDescent="0.15"/>
    <row r="560" outlineLevel="1" x14ac:dyDescent="0.15"/>
    <row r="561" outlineLevel="1" x14ac:dyDescent="0.15"/>
    <row r="562" outlineLevel="1" x14ac:dyDescent="0.15"/>
    <row r="563" outlineLevel="1" x14ac:dyDescent="0.15"/>
    <row r="564" outlineLevel="1" x14ac:dyDescent="0.15"/>
    <row r="565" outlineLevel="1" x14ac:dyDescent="0.15"/>
    <row r="566" outlineLevel="1" x14ac:dyDescent="0.15"/>
    <row r="567" outlineLevel="1" x14ac:dyDescent="0.15"/>
    <row r="568" outlineLevel="1" x14ac:dyDescent="0.15"/>
    <row r="569" outlineLevel="1" x14ac:dyDescent="0.15"/>
    <row r="570" outlineLevel="1" x14ac:dyDescent="0.15"/>
    <row r="571" outlineLevel="1" x14ac:dyDescent="0.15"/>
    <row r="572" outlineLevel="1" x14ac:dyDescent="0.15"/>
    <row r="573" outlineLevel="1" x14ac:dyDescent="0.15"/>
    <row r="574" outlineLevel="1" x14ac:dyDescent="0.15"/>
    <row r="575" outlineLevel="1" x14ac:dyDescent="0.15"/>
    <row r="576" outlineLevel="1" x14ac:dyDescent="0.15"/>
    <row r="577" spans="1:16377" outlineLevel="1" x14ac:dyDescent="0.15"/>
    <row r="578" spans="1:16377" outlineLevel="1" x14ac:dyDescent="0.15"/>
    <row r="579" spans="1:16377" outlineLevel="1" x14ac:dyDescent="0.15"/>
    <row r="580" spans="1:16377" outlineLevel="1" x14ac:dyDescent="0.15"/>
    <row r="581" spans="1:16377" outlineLevel="1" x14ac:dyDescent="0.15"/>
    <row r="582" spans="1:16377" outlineLevel="1" x14ac:dyDescent="0.15"/>
    <row r="583" spans="1:16377" s="56" customForma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  <c r="KB583" s="1"/>
      <c r="KC583" s="1"/>
      <c r="KD583" s="1"/>
      <c r="KE583" s="1"/>
      <c r="KF583" s="1"/>
      <c r="KG583" s="1"/>
      <c r="KH583" s="1"/>
      <c r="KI583" s="1"/>
      <c r="KJ583" s="1"/>
      <c r="KK583" s="1"/>
      <c r="KL583" s="1"/>
      <c r="KM583" s="1"/>
      <c r="KN583" s="1"/>
      <c r="KO583" s="1"/>
      <c r="KP583" s="1"/>
      <c r="KQ583" s="1"/>
      <c r="KR583" s="1"/>
      <c r="KS583" s="1"/>
      <c r="KT583" s="1"/>
      <c r="KU583" s="1"/>
      <c r="KV583" s="1"/>
      <c r="KW583" s="1"/>
      <c r="KX583" s="1"/>
      <c r="KY583" s="1"/>
      <c r="KZ583" s="1"/>
      <c r="LA583" s="1"/>
      <c r="LB583" s="1"/>
      <c r="LC583" s="1"/>
      <c r="LD583" s="1"/>
      <c r="LE583" s="1"/>
      <c r="LF583" s="1"/>
      <c r="LG583" s="1"/>
      <c r="LH583" s="1"/>
      <c r="LI583" s="1"/>
      <c r="LJ583" s="1"/>
      <c r="LK583" s="1"/>
      <c r="LL583" s="1"/>
      <c r="LM583" s="1"/>
      <c r="LN583" s="1"/>
      <c r="LO583" s="1"/>
      <c r="LP583" s="1"/>
      <c r="LQ583" s="1"/>
      <c r="LR583" s="1"/>
      <c r="LS583" s="1"/>
      <c r="LT583" s="1"/>
      <c r="LU583" s="1"/>
      <c r="LV583" s="1"/>
      <c r="LW583" s="1"/>
      <c r="LX583" s="1"/>
      <c r="LY583" s="1"/>
      <c r="LZ583" s="1"/>
      <c r="MA583" s="1"/>
      <c r="MB583" s="1"/>
      <c r="MC583" s="1"/>
      <c r="MD583" s="1"/>
      <c r="ME583" s="1"/>
      <c r="MF583" s="1"/>
      <c r="MG583" s="1"/>
      <c r="MH583" s="1"/>
      <c r="MI583" s="1"/>
      <c r="MJ583" s="1"/>
      <c r="MK583" s="1"/>
      <c r="ML583" s="1"/>
      <c r="MM583" s="1"/>
      <c r="MN583" s="1"/>
      <c r="MO583" s="1"/>
      <c r="MP583" s="1"/>
      <c r="MQ583" s="1"/>
      <c r="MR583" s="1"/>
      <c r="MS583" s="1"/>
      <c r="MT583" s="1"/>
      <c r="MU583" s="1"/>
      <c r="MV583" s="1"/>
      <c r="MW583" s="1"/>
      <c r="MX583" s="1"/>
      <c r="MY583" s="1"/>
      <c r="MZ583" s="1"/>
      <c r="NA583" s="1"/>
      <c r="NB583" s="1"/>
      <c r="NC583" s="1"/>
      <c r="ND583" s="1"/>
      <c r="NE583" s="1"/>
      <c r="NF583" s="1"/>
      <c r="NG583" s="1"/>
      <c r="NH583" s="1"/>
      <c r="NI583" s="1"/>
      <c r="NJ583" s="1"/>
      <c r="NK583" s="1"/>
      <c r="NL583" s="1"/>
      <c r="NM583" s="1"/>
      <c r="NN583" s="1"/>
      <c r="NO583" s="1"/>
      <c r="NP583" s="1"/>
      <c r="NQ583" s="1"/>
      <c r="NR583" s="1"/>
      <c r="NS583" s="1"/>
      <c r="NT583" s="1"/>
      <c r="NU583" s="1"/>
      <c r="NV583" s="1"/>
      <c r="NW583" s="1"/>
      <c r="NX583" s="1"/>
      <c r="NY583" s="1"/>
      <c r="NZ583" s="1"/>
      <c r="OA583" s="1"/>
      <c r="OB583" s="1"/>
      <c r="OC583" s="1"/>
      <c r="OD583" s="1"/>
      <c r="OE583" s="1"/>
      <c r="OF583" s="1"/>
      <c r="OG583" s="1"/>
      <c r="OH583" s="1"/>
      <c r="OI583" s="1"/>
      <c r="OJ583" s="1"/>
      <c r="OK583" s="1"/>
      <c r="OL583" s="1"/>
      <c r="OM583" s="1"/>
      <c r="ON583" s="1"/>
      <c r="OO583" s="1"/>
      <c r="OP583" s="1"/>
      <c r="OQ583" s="1"/>
      <c r="OR583" s="1"/>
      <c r="OS583" s="1"/>
      <c r="OT583" s="1"/>
      <c r="OU583" s="1"/>
      <c r="OV583" s="1"/>
      <c r="OW583" s="1"/>
      <c r="OX583" s="1"/>
      <c r="OY583" s="1"/>
      <c r="OZ583" s="1"/>
      <c r="PA583" s="1"/>
      <c r="PB583" s="1"/>
      <c r="PC583" s="1"/>
      <c r="PD583" s="1"/>
      <c r="PE583" s="1"/>
      <c r="PF583" s="1"/>
      <c r="PG583" s="1"/>
      <c r="PH583" s="1"/>
      <c r="PI583" s="1"/>
      <c r="PJ583" s="1"/>
      <c r="PK583" s="1"/>
      <c r="PL583" s="1"/>
      <c r="PM583" s="1"/>
      <c r="PN583" s="1"/>
      <c r="PO583" s="1"/>
      <c r="PP583" s="1"/>
      <c r="PQ583" s="1"/>
      <c r="PR583" s="1"/>
      <c r="PS583" s="1"/>
      <c r="PT583" s="1"/>
      <c r="PU583" s="1"/>
      <c r="PV583" s="1"/>
      <c r="PW583" s="1"/>
      <c r="PX583" s="1"/>
      <c r="PY583" s="1"/>
      <c r="PZ583" s="1"/>
      <c r="QA583" s="1"/>
      <c r="QB583" s="1"/>
      <c r="QC583" s="1"/>
      <c r="QD583" s="1"/>
      <c r="QE583" s="1"/>
      <c r="QF583" s="1"/>
      <c r="QG583" s="1"/>
      <c r="QH583" s="1"/>
      <c r="QI583" s="1"/>
      <c r="QJ583" s="1"/>
      <c r="QK583" s="1"/>
      <c r="QL583" s="1"/>
      <c r="QM583" s="1"/>
      <c r="QN583" s="1"/>
      <c r="QO583" s="1"/>
      <c r="QP583" s="1"/>
      <c r="QQ583" s="1"/>
      <c r="QR583" s="1"/>
      <c r="QS583" s="1"/>
      <c r="QT583" s="1"/>
      <c r="QU583" s="1"/>
      <c r="QV583" s="1"/>
      <c r="QW583" s="1"/>
      <c r="QX583" s="1"/>
      <c r="QY583" s="1"/>
      <c r="QZ583" s="1"/>
      <c r="RA583" s="1"/>
      <c r="RB583" s="1"/>
      <c r="RC583" s="1"/>
      <c r="RD583" s="1"/>
      <c r="RE583" s="1"/>
      <c r="RF583" s="1"/>
      <c r="RG583" s="1"/>
      <c r="RH583" s="1"/>
      <c r="RI583" s="1"/>
      <c r="RJ583" s="1"/>
      <c r="RK583" s="1"/>
      <c r="RL583" s="1"/>
      <c r="RM583" s="1"/>
      <c r="RN583" s="1"/>
      <c r="RO583" s="1"/>
      <c r="RP583" s="1"/>
      <c r="RQ583" s="1"/>
      <c r="RR583" s="1"/>
      <c r="RS583" s="1"/>
      <c r="RT583" s="1"/>
      <c r="RU583" s="1"/>
      <c r="RV583" s="1"/>
      <c r="RW583" s="1"/>
      <c r="RX583" s="1"/>
      <c r="RY583" s="1"/>
      <c r="RZ583" s="1"/>
      <c r="SA583" s="1"/>
      <c r="SB583" s="1"/>
      <c r="SC583" s="1"/>
      <c r="SD583" s="1"/>
      <c r="SE583" s="1"/>
      <c r="SF583" s="1"/>
      <c r="SG583" s="1"/>
      <c r="SH583" s="1"/>
      <c r="SI583" s="1"/>
      <c r="SJ583" s="1"/>
      <c r="SK583" s="1"/>
      <c r="SL583" s="1"/>
      <c r="SM583" s="1"/>
      <c r="SN583" s="1"/>
      <c r="SO583" s="1"/>
      <c r="SP583" s="1"/>
      <c r="SQ583" s="1"/>
      <c r="SR583" s="1"/>
      <c r="SS583" s="1"/>
      <c r="ST583" s="1"/>
      <c r="SU583" s="1"/>
      <c r="SV583" s="1"/>
      <c r="SW583" s="1"/>
      <c r="SX583" s="1"/>
      <c r="SY583" s="1"/>
      <c r="SZ583" s="1"/>
      <c r="TA583" s="1"/>
      <c r="TB583" s="1"/>
      <c r="TC583" s="1"/>
      <c r="TD583" s="1"/>
      <c r="TE583" s="1"/>
      <c r="TF583" s="1"/>
      <c r="TG583" s="1"/>
      <c r="TH583" s="1"/>
      <c r="TI583" s="1"/>
      <c r="TJ583" s="1"/>
      <c r="TK583" s="1"/>
      <c r="TL583" s="1"/>
      <c r="TM583" s="1"/>
      <c r="TN583" s="1"/>
      <c r="TO583" s="1"/>
      <c r="TP583" s="1"/>
      <c r="TQ583" s="1"/>
      <c r="TR583" s="1"/>
      <c r="TS583" s="1"/>
      <c r="TT583" s="1"/>
      <c r="TU583" s="1"/>
      <c r="TV583" s="1"/>
      <c r="TW583" s="1"/>
      <c r="TX583" s="1"/>
      <c r="TY583" s="1"/>
      <c r="TZ583" s="1"/>
      <c r="UA583" s="1"/>
      <c r="UB583" s="1"/>
      <c r="UC583" s="1"/>
      <c r="UD583" s="1"/>
      <c r="UE583" s="1"/>
      <c r="UF583" s="1"/>
      <c r="UG583" s="1"/>
      <c r="UH583" s="1"/>
      <c r="UI583" s="1"/>
      <c r="UJ583" s="1"/>
      <c r="UK583" s="1"/>
      <c r="UL583" s="1"/>
      <c r="UM583" s="1"/>
      <c r="UN583" s="1"/>
      <c r="UO583" s="1"/>
      <c r="UP583" s="1"/>
      <c r="UQ583" s="1"/>
      <c r="UR583" s="1"/>
      <c r="US583" s="1"/>
      <c r="UT583" s="1"/>
      <c r="UU583" s="1"/>
      <c r="UV583" s="1"/>
      <c r="UW583" s="1"/>
      <c r="UX583" s="1"/>
      <c r="UY583" s="1"/>
      <c r="UZ583" s="1"/>
      <c r="VA583" s="1"/>
      <c r="VB583" s="1"/>
      <c r="VC583" s="1"/>
      <c r="VD583" s="1"/>
      <c r="VE583" s="1"/>
      <c r="VF583" s="1"/>
      <c r="VG583" s="1"/>
      <c r="VH583" s="1"/>
      <c r="VI583" s="1"/>
      <c r="VJ583" s="1"/>
      <c r="VK583" s="1"/>
      <c r="VL583" s="1"/>
      <c r="VM583" s="1"/>
      <c r="VN583" s="1"/>
      <c r="VO583" s="1"/>
      <c r="VP583" s="1"/>
      <c r="VQ583" s="1"/>
      <c r="VR583" s="1"/>
      <c r="VS583" s="1"/>
      <c r="VT583" s="1"/>
      <c r="VU583" s="1"/>
      <c r="VV583" s="1"/>
      <c r="VW583" s="1"/>
      <c r="VX583" s="1"/>
      <c r="VY583" s="1"/>
      <c r="VZ583" s="1"/>
      <c r="WA583" s="1"/>
      <c r="WB583" s="1"/>
      <c r="WC583" s="1"/>
      <c r="WD583" s="1"/>
      <c r="WE583" s="1"/>
      <c r="WF583" s="1"/>
      <c r="WG583" s="1"/>
      <c r="WH583" s="1"/>
      <c r="WI583" s="1"/>
      <c r="WJ583" s="1"/>
      <c r="WK583" s="1"/>
      <c r="WL583" s="1"/>
      <c r="WM583" s="1"/>
      <c r="WN583" s="1"/>
      <c r="WO583" s="1"/>
      <c r="WP583" s="1"/>
      <c r="WQ583" s="1"/>
      <c r="WR583" s="1"/>
      <c r="WS583" s="1"/>
      <c r="WT583" s="1"/>
      <c r="WU583" s="1"/>
      <c r="WV583" s="1"/>
      <c r="WW583" s="1"/>
      <c r="WX583" s="1"/>
      <c r="WY583" s="1"/>
      <c r="WZ583" s="1"/>
      <c r="XA583" s="1"/>
      <c r="XB583" s="1"/>
      <c r="XC583" s="1"/>
      <c r="XD583" s="1"/>
      <c r="XE583" s="1"/>
      <c r="XF583" s="1"/>
      <c r="XG583" s="1"/>
      <c r="XH583" s="1"/>
      <c r="XI583" s="1"/>
      <c r="XJ583" s="1"/>
      <c r="XK583" s="1"/>
      <c r="XL583" s="1"/>
      <c r="XM583" s="1"/>
      <c r="XN583" s="1"/>
      <c r="XO583" s="1"/>
      <c r="XP583" s="1"/>
      <c r="XQ583" s="1"/>
      <c r="XR583" s="1"/>
      <c r="XS583" s="1"/>
      <c r="XT583" s="1"/>
      <c r="XU583" s="1"/>
      <c r="XV583" s="1"/>
      <c r="XW583" s="1"/>
      <c r="XX583" s="1"/>
      <c r="XY583" s="1"/>
      <c r="XZ583" s="1"/>
      <c r="YA583" s="1"/>
      <c r="YB583" s="1"/>
      <c r="YC583" s="1"/>
      <c r="YD583" s="1"/>
      <c r="YE583" s="1"/>
      <c r="YF583" s="1"/>
      <c r="YG583" s="1"/>
      <c r="YH583" s="1"/>
      <c r="YI583" s="1"/>
      <c r="YJ583" s="1"/>
      <c r="YK583" s="1"/>
      <c r="YL583" s="1"/>
      <c r="YM583" s="1"/>
      <c r="YN583" s="1"/>
      <c r="YO583" s="1"/>
      <c r="YP583" s="1"/>
      <c r="YQ583" s="1"/>
      <c r="YR583" s="1"/>
      <c r="YS583" s="1"/>
      <c r="YT583" s="1"/>
      <c r="YU583" s="1"/>
      <c r="YV583" s="1"/>
      <c r="YW583" s="1"/>
      <c r="YX583" s="1"/>
      <c r="YY583" s="1"/>
      <c r="YZ583" s="1"/>
      <c r="ZA583" s="1"/>
      <c r="ZB583" s="1"/>
      <c r="ZC583" s="1"/>
      <c r="ZD583" s="1"/>
      <c r="ZE583" s="1"/>
      <c r="ZF583" s="1"/>
      <c r="ZG583" s="1"/>
      <c r="ZH583" s="1"/>
      <c r="ZI583" s="1"/>
      <c r="ZJ583" s="1"/>
      <c r="ZK583" s="1"/>
      <c r="ZL583" s="1"/>
      <c r="ZM583" s="1"/>
      <c r="ZN583" s="1"/>
      <c r="ZO583" s="1"/>
      <c r="ZP583" s="1"/>
      <c r="ZQ583" s="1"/>
      <c r="ZR583" s="1"/>
      <c r="ZS583" s="1"/>
      <c r="ZT583" s="1"/>
      <c r="ZU583" s="1"/>
      <c r="ZV583" s="1"/>
      <c r="ZW583" s="1"/>
      <c r="ZX583" s="1"/>
      <c r="ZY583" s="1"/>
      <c r="ZZ583" s="1"/>
      <c r="AAA583" s="1"/>
      <c r="AAB583" s="1"/>
      <c r="AAC583" s="1"/>
      <c r="AAD583" s="1"/>
      <c r="AAE583" s="1"/>
      <c r="AAF583" s="1"/>
      <c r="AAG583" s="1"/>
      <c r="AAH583" s="1"/>
      <c r="AAI583" s="1"/>
      <c r="AAJ583" s="1"/>
      <c r="AAK583" s="1"/>
      <c r="AAL583" s="1"/>
      <c r="AAM583" s="1"/>
      <c r="AAN583" s="1"/>
      <c r="AAO583" s="1"/>
      <c r="AAP583" s="1"/>
      <c r="AAQ583" s="1"/>
      <c r="AAR583" s="1"/>
      <c r="AAS583" s="1"/>
      <c r="AAT583" s="1"/>
      <c r="AAU583" s="1"/>
      <c r="AAV583" s="1"/>
      <c r="AAW583" s="1"/>
      <c r="AAX583" s="1"/>
      <c r="AAY583" s="1"/>
      <c r="AAZ583" s="1"/>
      <c r="ABA583" s="1"/>
      <c r="ABB583" s="1"/>
      <c r="ABC583" s="1"/>
      <c r="ABD583" s="1"/>
      <c r="ABE583" s="1"/>
      <c r="ABF583" s="1"/>
      <c r="ABG583" s="1"/>
      <c r="ABH583" s="1"/>
      <c r="ABI583" s="1"/>
      <c r="ABJ583" s="1"/>
      <c r="ABK583" s="1"/>
      <c r="ABL583" s="1"/>
      <c r="ABM583" s="1"/>
      <c r="ABN583" s="1"/>
      <c r="ABO583" s="1"/>
      <c r="ABP583" s="1"/>
      <c r="ABQ583" s="1"/>
      <c r="ABR583" s="1"/>
      <c r="ABS583" s="1"/>
      <c r="ABT583" s="1"/>
      <c r="ABU583" s="1"/>
      <c r="ABV583" s="1"/>
      <c r="ABW583" s="1"/>
      <c r="ABX583" s="1"/>
      <c r="ABY583" s="1"/>
      <c r="ABZ583" s="1"/>
      <c r="ACA583" s="1"/>
      <c r="ACB583" s="1"/>
      <c r="ACC583" s="1"/>
      <c r="ACD583" s="1"/>
      <c r="ACE583" s="1"/>
      <c r="ACF583" s="1"/>
      <c r="ACG583" s="1"/>
      <c r="ACH583" s="1"/>
      <c r="ACI583" s="1"/>
      <c r="ACJ583" s="1"/>
      <c r="ACK583" s="1"/>
      <c r="ACL583" s="1"/>
      <c r="ACM583" s="1"/>
      <c r="ACN583" s="1"/>
      <c r="ACO583" s="1"/>
      <c r="ACP583" s="1"/>
      <c r="ACQ583" s="1"/>
      <c r="ACR583" s="1"/>
      <c r="ACS583" s="1"/>
      <c r="ACT583" s="1"/>
      <c r="ACU583" s="1"/>
      <c r="ACV583" s="1"/>
      <c r="ACW583" s="1"/>
      <c r="ACX583" s="1"/>
      <c r="ACY583" s="1"/>
      <c r="ACZ583" s="1"/>
      <c r="ADA583" s="1"/>
      <c r="ADB583" s="1"/>
      <c r="ADC583" s="1"/>
      <c r="ADD583" s="1"/>
      <c r="ADE583" s="1"/>
      <c r="ADF583" s="1"/>
      <c r="ADG583" s="1"/>
      <c r="ADH583" s="1"/>
      <c r="ADI583" s="1"/>
      <c r="ADJ583" s="1"/>
      <c r="ADK583" s="1"/>
      <c r="ADL583" s="1"/>
      <c r="ADM583" s="1"/>
      <c r="ADN583" s="1"/>
      <c r="ADO583" s="1"/>
      <c r="ADP583" s="1"/>
      <c r="ADQ583" s="1"/>
      <c r="ADR583" s="1"/>
      <c r="ADS583" s="1"/>
      <c r="ADT583" s="1"/>
      <c r="ADU583" s="1"/>
      <c r="ADV583" s="1"/>
      <c r="ADW583" s="1"/>
      <c r="ADX583" s="1"/>
      <c r="ADY583" s="1"/>
      <c r="ADZ583" s="1"/>
      <c r="AEA583" s="1"/>
      <c r="AEB583" s="1"/>
      <c r="AEC583" s="1"/>
      <c r="AED583" s="1"/>
      <c r="AEE583" s="1"/>
      <c r="AEF583" s="1"/>
      <c r="AEG583" s="1"/>
      <c r="AEH583" s="1"/>
      <c r="AEI583" s="1"/>
      <c r="AEJ583" s="1"/>
      <c r="AEK583" s="1"/>
      <c r="AEL583" s="1"/>
      <c r="AEM583" s="1"/>
      <c r="AEN583" s="1"/>
      <c r="AEO583" s="1"/>
      <c r="AEP583" s="1"/>
      <c r="AEQ583" s="1"/>
      <c r="AER583" s="1"/>
      <c r="AES583" s="1"/>
      <c r="AET583" s="1"/>
      <c r="AEU583" s="1"/>
      <c r="AEV583" s="1"/>
      <c r="AEW583" s="1"/>
      <c r="AEX583" s="1"/>
      <c r="AEY583" s="1"/>
      <c r="AEZ583" s="1"/>
      <c r="AFA583" s="1"/>
      <c r="AFB583" s="1"/>
      <c r="AFC583" s="1"/>
      <c r="AFD583" s="1"/>
      <c r="AFE583" s="1"/>
      <c r="AFF583" s="1"/>
      <c r="AFG583" s="1"/>
      <c r="AFH583" s="1"/>
      <c r="AFI583" s="1"/>
      <c r="AFJ583" s="1"/>
      <c r="AFK583" s="1"/>
      <c r="AFL583" s="1"/>
      <c r="AFM583" s="1"/>
      <c r="AFN583" s="1"/>
      <c r="AFO583" s="1"/>
      <c r="AFP583" s="1"/>
      <c r="AFQ583" s="1"/>
      <c r="AFR583" s="1"/>
      <c r="AFS583" s="1"/>
      <c r="AFT583" s="1"/>
      <c r="AFU583" s="1"/>
      <c r="AFV583" s="1"/>
      <c r="AFW583" s="1"/>
      <c r="AFX583" s="1"/>
      <c r="AFY583" s="1"/>
      <c r="AFZ583" s="1"/>
      <c r="AGA583" s="1"/>
      <c r="AGB583" s="1"/>
      <c r="AGC583" s="1"/>
      <c r="AGD583" s="1"/>
      <c r="AGE583" s="1"/>
      <c r="AGF583" s="1"/>
      <c r="AGG583" s="1"/>
      <c r="AGH583" s="1"/>
      <c r="AGI583" s="1"/>
      <c r="AGJ583" s="1"/>
      <c r="AGK583" s="1"/>
      <c r="AGL583" s="1"/>
      <c r="AGM583" s="1"/>
      <c r="AGN583" s="1"/>
      <c r="AGO583" s="1"/>
      <c r="AGP583" s="1"/>
      <c r="AGQ583" s="1"/>
      <c r="AGR583" s="1"/>
      <c r="AGS583" s="1"/>
      <c r="AGT583" s="1"/>
      <c r="AGU583" s="1"/>
      <c r="AGV583" s="1"/>
      <c r="AGW583" s="1"/>
      <c r="AGX583" s="1"/>
      <c r="AGY583" s="1"/>
      <c r="AGZ583" s="1"/>
      <c r="AHA583" s="1"/>
      <c r="AHB583" s="1"/>
      <c r="AHC583" s="1"/>
      <c r="AHD583" s="1"/>
      <c r="AHE583" s="1"/>
      <c r="AHF583" s="1"/>
      <c r="AHG583" s="1"/>
      <c r="AHH583" s="1"/>
      <c r="AHI583" s="1"/>
      <c r="AHJ583" s="1"/>
      <c r="AHK583" s="1"/>
      <c r="AHL583" s="1"/>
      <c r="AHM583" s="1"/>
      <c r="AHN583" s="1"/>
      <c r="AHO583" s="1"/>
      <c r="AHP583" s="1"/>
      <c r="AHQ583" s="1"/>
      <c r="AHR583" s="1"/>
      <c r="AHS583" s="1"/>
      <c r="AHT583" s="1"/>
      <c r="AHU583" s="1"/>
      <c r="AHV583" s="1"/>
      <c r="AHW583" s="1"/>
      <c r="AHX583" s="1"/>
      <c r="AHY583" s="1"/>
      <c r="AHZ583" s="1"/>
      <c r="AIA583" s="1"/>
      <c r="AIB583" s="1"/>
      <c r="AIC583" s="1"/>
      <c r="AID583" s="1"/>
      <c r="AIE583" s="1"/>
      <c r="AIF583" s="1"/>
      <c r="AIG583" s="1"/>
      <c r="AIH583" s="1"/>
      <c r="AII583" s="1"/>
      <c r="AIJ583" s="1"/>
      <c r="AIK583" s="1"/>
      <c r="AIL583" s="1"/>
      <c r="AIM583" s="1"/>
      <c r="AIN583" s="1"/>
      <c r="AIO583" s="1"/>
      <c r="AIP583" s="1"/>
      <c r="AIQ583" s="1"/>
      <c r="AIR583" s="1"/>
      <c r="AIS583" s="1"/>
      <c r="AIT583" s="1"/>
      <c r="AIU583" s="1"/>
      <c r="AIV583" s="1"/>
      <c r="AIW583" s="1"/>
      <c r="AIX583" s="1"/>
      <c r="AIY583" s="1"/>
      <c r="AIZ583" s="1"/>
      <c r="AJA583" s="1"/>
      <c r="AJB583" s="1"/>
      <c r="AJC583" s="1"/>
      <c r="AJD583" s="1"/>
      <c r="AJE583" s="1"/>
      <c r="AJF583" s="1"/>
      <c r="AJG583" s="1"/>
      <c r="AJH583" s="1"/>
      <c r="AJI583" s="1"/>
      <c r="AJJ583" s="1"/>
      <c r="AJK583" s="1"/>
      <c r="AJL583" s="1"/>
      <c r="AJM583" s="1"/>
      <c r="AJN583" s="1"/>
      <c r="AJO583" s="1"/>
      <c r="AJP583" s="1"/>
      <c r="AJQ583" s="1"/>
      <c r="AJR583" s="1"/>
      <c r="AJS583" s="1"/>
      <c r="AJT583" s="1"/>
      <c r="AJU583" s="1"/>
      <c r="AJV583" s="1"/>
      <c r="AJW583" s="1"/>
      <c r="AJX583" s="1"/>
      <c r="AJY583" s="1"/>
      <c r="AJZ583" s="1"/>
      <c r="AKA583" s="1"/>
      <c r="AKB583" s="1"/>
      <c r="AKC583" s="1"/>
      <c r="AKD583" s="1"/>
      <c r="AKE583" s="1"/>
      <c r="AKF583" s="1"/>
      <c r="AKG583" s="1"/>
      <c r="AKH583" s="1"/>
      <c r="AKI583" s="1"/>
      <c r="AKJ583" s="1"/>
      <c r="AKK583" s="1"/>
      <c r="AKL583" s="1"/>
      <c r="AKM583" s="1"/>
      <c r="AKN583" s="1"/>
      <c r="AKO583" s="1"/>
      <c r="AKP583" s="1"/>
      <c r="AKQ583" s="1"/>
      <c r="AKR583" s="1"/>
      <c r="AKS583" s="1"/>
      <c r="AKT583" s="1"/>
      <c r="AKU583" s="1"/>
      <c r="AKV583" s="1"/>
      <c r="AKW583" s="1"/>
      <c r="AKX583" s="1"/>
      <c r="AKY583" s="1"/>
      <c r="AKZ583" s="1"/>
      <c r="ALA583" s="1"/>
      <c r="ALB583" s="1"/>
      <c r="ALC583" s="1"/>
      <c r="ALD583" s="1"/>
      <c r="ALE583" s="1"/>
      <c r="ALF583" s="1"/>
      <c r="ALG583" s="1"/>
      <c r="ALH583" s="1"/>
      <c r="ALI583" s="1"/>
      <c r="ALJ583" s="1"/>
      <c r="ALK583" s="1"/>
      <c r="ALL583" s="1"/>
      <c r="ALM583" s="1"/>
      <c r="ALN583" s="1"/>
      <c r="ALO583" s="1"/>
      <c r="ALP583" s="1"/>
      <c r="ALQ583" s="1"/>
      <c r="ALR583" s="1"/>
      <c r="ALS583" s="1"/>
      <c r="ALT583" s="1"/>
      <c r="ALU583" s="1"/>
      <c r="ALV583" s="1"/>
      <c r="ALW583" s="1"/>
      <c r="ALX583" s="1"/>
      <c r="ALY583" s="1"/>
      <c r="ALZ583" s="1"/>
      <c r="AMA583" s="1"/>
      <c r="AMB583" s="1"/>
      <c r="AMC583" s="1"/>
      <c r="AMD583" s="1"/>
      <c r="AME583" s="1"/>
      <c r="AMF583" s="1"/>
      <c r="AMG583" s="1"/>
      <c r="AMH583" s="1"/>
      <c r="AMI583" s="1"/>
      <c r="AMJ583" s="1"/>
      <c r="AMK583" s="1"/>
      <c r="AML583" s="1"/>
      <c r="AMM583" s="1"/>
      <c r="AMN583" s="1"/>
      <c r="AMO583" s="1"/>
      <c r="AMP583" s="1"/>
      <c r="AMQ583" s="1"/>
      <c r="AMR583" s="1"/>
      <c r="AMS583" s="1"/>
      <c r="AMT583" s="1"/>
      <c r="AMU583" s="1"/>
      <c r="AMV583" s="1"/>
      <c r="AMW583" s="1"/>
      <c r="AMX583" s="1"/>
      <c r="AMY583" s="1"/>
      <c r="AMZ583" s="1"/>
      <c r="ANA583" s="1"/>
      <c r="ANB583" s="1"/>
      <c r="ANC583" s="1"/>
      <c r="AND583" s="1"/>
      <c r="ANE583" s="1"/>
      <c r="ANF583" s="1"/>
      <c r="ANG583" s="1"/>
      <c r="ANH583" s="1"/>
      <c r="ANI583" s="1"/>
      <c r="ANJ583" s="1"/>
      <c r="ANK583" s="1"/>
      <c r="ANL583" s="1"/>
      <c r="ANM583" s="1"/>
      <c r="ANN583" s="1"/>
      <c r="ANO583" s="1"/>
      <c r="ANP583" s="1"/>
      <c r="ANQ583" s="1"/>
      <c r="ANR583" s="1"/>
      <c r="ANS583" s="1"/>
      <c r="ANT583" s="1"/>
      <c r="ANU583" s="1"/>
      <c r="ANV583" s="1"/>
      <c r="ANW583" s="1"/>
      <c r="ANX583" s="1"/>
      <c r="ANY583" s="1"/>
      <c r="ANZ583" s="1"/>
      <c r="AOA583" s="1"/>
      <c r="AOB583" s="1"/>
      <c r="AOC583" s="1"/>
      <c r="AOD583" s="1"/>
      <c r="AOE583" s="1"/>
      <c r="AOF583" s="1"/>
      <c r="AOG583" s="1"/>
      <c r="AOH583" s="1"/>
      <c r="AOI583" s="1"/>
      <c r="AOJ583" s="1"/>
      <c r="AOK583" s="1"/>
      <c r="AOL583" s="1"/>
      <c r="AOM583" s="1"/>
      <c r="AON583" s="1"/>
      <c r="AOO583" s="1"/>
      <c r="AOP583" s="1"/>
      <c r="AOQ583" s="1"/>
      <c r="AOR583" s="1"/>
      <c r="AOS583" s="1"/>
      <c r="AOT583" s="1"/>
      <c r="AOU583" s="1"/>
      <c r="AOV583" s="1"/>
      <c r="AOW583" s="1"/>
      <c r="AOX583" s="1"/>
      <c r="AOY583" s="1"/>
      <c r="AOZ583" s="1"/>
      <c r="APA583" s="1"/>
      <c r="APB583" s="1"/>
      <c r="APC583" s="1"/>
      <c r="APD583" s="1"/>
      <c r="APE583" s="1"/>
      <c r="APF583" s="1"/>
      <c r="APG583" s="1"/>
      <c r="APH583" s="1"/>
      <c r="API583" s="1"/>
      <c r="APJ583" s="1"/>
      <c r="APK583" s="1"/>
      <c r="APL583" s="1"/>
      <c r="APM583" s="1"/>
      <c r="APN583" s="1"/>
      <c r="APO583" s="1"/>
      <c r="APP583" s="1"/>
      <c r="APQ583" s="1"/>
      <c r="APR583" s="1"/>
      <c r="APS583" s="1"/>
      <c r="APT583" s="1"/>
      <c r="APU583" s="1"/>
      <c r="APV583" s="1"/>
      <c r="APW583" s="1"/>
      <c r="APX583" s="1"/>
      <c r="APY583" s="1"/>
      <c r="APZ583" s="1"/>
      <c r="AQA583" s="1"/>
      <c r="AQB583" s="1"/>
      <c r="AQC583" s="1"/>
      <c r="AQD583" s="1"/>
      <c r="AQE583" s="1"/>
      <c r="AQF583" s="1"/>
      <c r="AQG583" s="1"/>
      <c r="AQH583" s="1"/>
      <c r="AQI583" s="1"/>
      <c r="AQJ583" s="1"/>
      <c r="AQK583" s="1"/>
      <c r="AQL583" s="1"/>
      <c r="AQM583" s="1"/>
      <c r="AQN583" s="1"/>
      <c r="AQO583" s="1"/>
      <c r="AQP583" s="1"/>
      <c r="AQQ583" s="1"/>
      <c r="AQR583" s="1"/>
      <c r="AQS583" s="1"/>
      <c r="AQT583" s="1"/>
      <c r="AQU583" s="1"/>
      <c r="AQV583" s="1"/>
      <c r="AQW583" s="1"/>
      <c r="AQX583" s="1"/>
      <c r="AQY583" s="1"/>
      <c r="AQZ583" s="1"/>
      <c r="ARA583" s="1"/>
      <c r="ARB583" s="1"/>
      <c r="ARC583" s="1"/>
      <c r="ARD583" s="1"/>
      <c r="ARE583" s="1"/>
      <c r="ARF583" s="1"/>
      <c r="ARG583" s="1"/>
      <c r="ARH583" s="1"/>
      <c r="ARI583" s="1"/>
      <c r="ARJ583" s="1"/>
      <c r="ARK583" s="1"/>
      <c r="ARL583" s="1"/>
      <c r="ARM583" s="1"/>
      <c r="ARN583" s="1"/>
      <c r="ARO583" s="1"/>
      <c r="ARP583" s="1"/>
      <c r="ARQ583" s="1"/>
      <c r="ARR583" s="1"/>
      <c r="ARS583" s="1"/>
      <c r="ART583" s="1"/>
      <c r="ARU583" s="1"/>
      <c r="ARV583" s="1"/>
      <c r="ARW583" s="1"/>
      <c r="ARX583" s="1"/>
      <c r="ARY583" s="1"/>
      <c r="ARZ583" s="1"/>
      <c r="ASA583" s="1"/>
      <c r="ASB583" s="1"/>
      <c r="ASC583" s="1"/>
      <c r="ASD583" s="1"/>
      <c r="ASE583" s="1"/>
      <c r="ASF583" s="1"/>
      <c r="ASG583" s="1"/>
      <c r="ASH583" s="1"/>
      <c r="ASI583" s="1"/>
      <c r="ASJ583" s="1"/>
      <c r="ASK583" s="1"/>
      <c r="ASL583" s="1"/>
      <c r="ASM583" s="1"/>
      <c r="ASN583" s="1"/>
      <c r="ASO583" s="1"/>
      <c r="ASP583" s="1"/>
      <c r="ASQ583" s="1"/>
      <c r="ASR583" s="1"/>
      <c r="ASS583" s="1"/>
      <c r="AST583" s="1"/>
      <c r="ASU583" s="1"/>
      <c r="ASV583" s="1"/>
      <c r="ASW583" s="1"/>
      <c r="ASX583" s="1"/>
      <c r="ASY583" s="1"/>
      <c r="ASZ583" s="1"/>
      <c r="ATA583" s="1"/>
      <c r="ATB583" s="1"/>
      <c r="ATC583" s="1"/>
      <c r="ATD583" s="1"/>
      <c r="ATE583" s="1"/>
      <c r="ATF583" s="1"/>
      <c r="ATG583" s="1"/>
      <c r="ATH583" s="1"/>
      <c r="ATI583" s="1"/>
      <c r="ATJ583" s="1"/>
      <c r="ATK583" s="1"/>
      <c r="ATL583" s="1"/>
      <c r="ATM583" s="1"/>
      <c r="ATN583" s="1"/>
      <c r="ATO583" s="1"/>
      <c r="ATP583" s="1"/>
      <c r="ATQ583" s="1"/>
      <c r="ATR583" s="1"/>
      <c r="ATS583" s="1"/>
      <c r="ATT583" s="1"/>
      <c r="ATU583" s="1"/>
      <c r="ATV583" s="1"/>
      <c r="ATW583" s="1"/>
      <c r="ATX583" s="1"/>
      <c r="ATY583" s="1"/>
      <c r="ATZ583" s="1"/>
      <c r="AUA583" s="1"/>
      <c r="AUB583" s="1"/>
      <c r="AUC583" s="1"/>
      <c r="AUD583" s="1"/>
      <c r="AUE583" s="1"/>
      <c r="AUF583" s="1"/>
      <c r="AUG583" s="1"/>
      <c r="AUH583" s="1"/>
      <c r="AUI583" s="1"/>
      <c r="AUJ583" s="1"/>
      <c r="AUK583" s="1"/>
      <c r="AUL583" s="1"/>
      <c r="AUM583" s="1"/>
      <c r="AUN583" s="1"/>
      <c r="AUO583" s="1"/>
      <c r="AUP583" s="1"/>
      <c r="AUQ583" s="1"/>
      <c r="AUR583" s="1"/>
      <c r="AUS583" s="1"/>
      <c r="AUT583" s="1"/>
      <c r="AUU583" s="1"/>
      <c r="AUV583" s="1"/>
      <c r="AUW583" s="1"/>
      <c r="AUX583" s="1"/>
      <c r="AUY583" s="1"/>
      <c r="AUZ583" s="1"/>
      <c r="AVA583" s="1"/>
      <c r="AVB583" s="1"/>
      <c r="AVC583" s="1"/>
      <c r="AVD583" s="1"/>
      <c r="AVE583" s="1"/>
      <c r="AVF583" s="1"/>
      <c r="AVG583" s="1"/>
      <c r="AVH583" s="1"/>
      <c r="AVI583" s="1"/>
      <c r="AVJ583" s="1"/>
      <c r="AVK583" s="1"/>
      <c r="AVL583" s="1"/>
      <c r="AVM583" s="1"/>
      <c r="AVN583" s="1"/>
      <c r="AVO583" s="1"/>
      <c r="AVP583" s="1"/>
      <c r="AVQ583" s="1"/>
      <c r="AVR583" s="1"/>
      <c r="AVS583" s="1"/>
      <c r="AVT583" s="1"/>
      <c r="AVU583" s="1"/>
      <c r="AVV583" s="1"/>
      <c r="AVW583" s="1"/>
      <c r="AVX583" s="1"/>
      <c r="AVY583" s="1"/>
      <c r="AVZ583" s="1"/>
      <c r="AWA583" s="1"/>
      <c r="AWB583" s="1"/>
      <c r="AWC583" s="1"/>
      <c r="AWD583" s="1"/>
      <c r="AWE583" s="1"/>
      <c r="AWF583" s="1"/>
      <c r="AWG583" s="1"/>
      <c r="AWH583" s="1"/>
      <c r="AWI583" s="1"/>
      <c r="AWJ583" s="1"/>
      <c r="AWK583" s="1"/>
      <c r="AWL583" s="1"/>
      <c r="AWM583" s="1"/>
      <c r="AWN583" s="1"/>
      <c r="AWO583" s="1"/>
      <c r="AWP583" s="1"/>
      <c r="AWQ583" s="1"/>
      <c r="AWR583" s="1"/>
      <c r="AWS583" s="1"/>
      <c r="AWT583" s="1"/>
      <c r="AWU583" s="1"/>
      <c r="AWV583" s="1"/>
      <c r="AWW583" s="1"/>
      <c r="AWX583" s="1"/>
      <c r="AWY583" s="1"/>
      <c r="AWZ583" s="1"/>
      <c r="AXA583" s="1"/>
      <c r="AXB583" s="1"/>
      <c r="AXC583" s="1"/>
      <c r="AXD583" s="1"/>
      <c r="AXE583" s="1"/>
      <c r="AXF583" s="1"/>
      <c r="AXG583" s="1"/>
      <c r="AXH583" s="1"/>
      <c r="AXI583" s="1"/>
      <c r="AXJ583" s="1"/>
      <c r="AXK583" s="1"/>
      <c r="AXL583" s="1"/>
      <c r="AXM583" s="1"/>
      <c r="AXN583" s="1"/>
      <c r="AXO583" s="1"/>
      <c r="AXP583" s="1"/>
      <c r="AXQ583" s="1"/>
      <c r="AXR583" s="1"/>
      <c r="AXS583" s="1"/>
      <c r="AXT583" s="1"/>
      <c r="AXU583" s="1"/>
      <c r="AXV583" s="1"/>
      <c r="AXW583" s="1"/>
      <c r="AXX583" s="1"/>
      <c r="AXY583" s="1"/>
      <c r="AXZ583" s="1"/>
      <c r="AYA583" s="1"/>
      <c r="AYB583" s="1"/>
      <c r="AYC583" s="1"/>
      <c r="AYD583" s="1"/>
      <c r="AYE583" s="1"/>
      <c r="AYF583" s="1"/>
      <c r="AYG583" s="1"/>
      <c r="AYH583" s="1"/>
      <c r="AYI583" s="1"/>
      <c r="AYJ583" s="1"/>
      <c r="AYK583" s="1"/>
      <c r="AYL583" s="1"/>
      <c r="AYM583" s="1"/>
      <c r="AYN583" s="1"/>
      <c r="AYO583" s="1"/>
      <c r="AYP583" s="1"/>
      <c r="AYQ583" s="1"/>
      <c r="AYR583" s="1"/>
      <c r="AYS583" s="1"/>
      <c r="AYT583" s="1"/>
      <c r="AYU583" s="1"/>
      <c r="AYV583" s="1"/>
      <c r="AYW583" s="1"/>
      <c r="AYX583" s="1"/>
      <c r="AYY583" s="1"/>
      <c r="AYZ583" s="1"/>
      <c r="AZA583" s="1"/>
      <c r="AZB583" s="1"/>
      <c r="AZC583" s="1"/>
      <c r="AZD583" s="1"/>
      <c r="AZE583" s="1"/>
      <c r="AZF583" s="1"/>
      <c r="AZG583" s="1"/>
      <c r="AZH583" s="1"/>
      <c r="AZI583" s="1"/>
      <c r="AZJ583" s="1"/>
      <c r="AZK583" s="1"/>
      <c r="AZL583" s="1"/>
      <c r="AZM583" s="1"/>
      <c r="AZN583" s="1"/>
      <c r="AZO583" s="1"/>
      <c r="AZP583" s="1"/>
      <c r="AZQ583" s="1"/>
      <c r="AZR583" s="1"/>
      <c r="AZS583" s="1"/>
      <c r="AZT583" s="1"/>
      <c r="AZU583" s="1"/>
      <c r="AZV583" s="1"/>
      <c r="AZW583" s="1"/>
      <c r="AZX583" s="1"/>
      <c r="AZY583" s="1"/>
      <c r="AZZ583" s="1"/>
      <c r="BAA583" s="1"/>
      <c r="BAB583" s="1"/>
      <c r="BAC583" s="1"/>
      <c r="BAD583" s="1"/>
      <c r="BAE583" s="1"/>
      <c r="BAF583" s="1"/>
      <c r="BAG583" s="1"/>
      <c r="BAH583" s="1"/>
      <c r="BAI583" s="1"/>
      <c r="BAJ583" s="1"/>
      <c r="BAK583" s="1"/>
      <c r="BAL583" s="1"/>
      <c r="BAM583" s="1"/>
      <c r="BAN583" s="1"/>
      <c r="BAO583" s="1"/>
      <c r="BAP583" s="1"/>
      <c r="BAQ583" s="1"/>
      <c r="BAR583" s="1"/>
      <c r="BAS583" s="1"/>
      <c r="BAT583" s="1"/>
      <c r="BAU583" s="1"/>
      <c r="BAV583" s="1"/>
      <c r="BAW583" s="1"/>
      <c r="BAX583" s="1"/>
      <c r="BAY583" s="1"/>
      <c r="BAZ583" s="1"/>
      <c r="BBA583" s="1"/>
      <c r="BBB583" s="1"/>
      <c r="BBC583" s="1"/>
      <c r="BBD583" s="1"/>
      <c r="BBE583" s="1"/>
      <c r="BBF583" s="1"/>
      <c r="BBG583" s="1"/>
      <c r="BBH583" s="1"/>
      <c r="BBI583" s="1"/>
      <c r="BBJ583" s="1"/>
      <c r="BBK583" s="1"/>
      <c r="BBL583" s="1"/>
      <c r="BBM583" s="1"/>
      <c r="BBN583" s="1"/>
      <c r="BBO583" s="1"/>
      <c r="BBP583" s="1"/>
      <c r="BBQ583" s="1"/>
      <c r="BBR583" s="1"/>
      <c r="BBS583" s="1"/>
      <c r="BBT583" s="1"/>
      <c r="BBU583" s="1"/>
      <c r="BBV583" s="1"/>
      <c r="BBW583" s="1"/>
      <c r="BBX583" s="1"/>
      <c r="BBY583" s="1"/>
      <c r="BBZ583" s="1"/>
      <c r="BCA583" s="1"/>
      <c r="BCB583" s="1"/>
      <c r="BCC583" s="1"/>
      <c r="BCD583" s="1"/>
      <c r="BCE583" s="1"/>
      <c r="BCF583" s="1"/>
      <c r="BCG583" s="1"/>
      <c r="BCH583" s="1"/>
      <c r="BCI583" s="1"/>
      <c r="BCJ583" s="1"/>
      <c r="BCK583" s="1"/>
      <c r="BCL583" s="1"/>
      <c r="BCM583" s="1"/>
      <c r="BCN583" s="1"/>
      <c r="BCO583" s="1"/>
      <c r="BCP583" s="1"/>
      <c r="BCQ583" s="1"/>
      <c r="BCR583" s="1"/>
      <c r="BCS583" s="1"/>
      <c r="BCT583" s="1"/>
      <c r="BCU583" s="1"/>
      <c r="BCV583" s="1"/>
      <c r="BCW583" s="1"/>
      <c r="BCX583" s="1"/>
      <c r="BCY583" s="1"/>
      <c r="BCZ583" s="1"/>
      <c r="BDA583" s="1"/>
      <c r="BDB583" s="1"/>
      <c r="BDC583" s="1"/>
      <c r="BDD583" s="1"/>
      <c r="BDE583" s="1"/>
      <c r="BDF583" s="1"/>
      <c r="BDG583" s="1"/>
      <c r="BDH583" s="1"/>
      <c r="BDI583" s="1"/>
      <c r="BDJ583" s="1"/>
      <c r="BDK583" s="1"/>
      <c r="BDL583" s="1"/>
      <c r="BDM583" s="1"/>
      <c r="BDN583" s="1"/>
      <c r="BDO583" s="1"/>
      <c r="BDP583" s="1"/>
      <c r="BDQ583" s="1"/>
      <c r="BDR583" s="1"/>
      <c r="BDS583" s="1"/>
      <c r="BDT583" s="1"/>
      <c r="BDU583" s="1"/>
      <c r="BDV583" s="1"/>
      <c r="BDW583" s="1"/>
      <c r="BDX583" s="1"/>
      <c r="BDY583" s="1"/>
      <c r="BDZ583" s="1"/>
      <c r="BEA583" s="1"/>
      <c r="BEB583" s="1"/>
      <c r="BEC583" s="1"/>
      <c r="BED583" s="1"/>
      <c r="BEE583" s="1"/>
      <c r="BEF583" s="1"/>
      <c r="BEG583" s="1"/>
      <c r="BEH583" s="1"/>
      <c r="BEI583" s="1"/>
      <c r="BEJ583" s="1"/>
      <c r="BEK583" s="1"/>
      <c r="BEL583" s="1"/>
      <c r="BEM583" s="1"/>
      <c r="BEN583" s="1"/>
      <c r="BEO583" s="1"/>
      <c r="BEP583" s="1"/>
      <c r="BEQ583" s="1"/>
      <c r="BER583" s="1"/>
      <c r="BES583" s="1"/>
      <c r="BET583" s="1"/>
      <c r="BEU583" s="1"/>
      <c r="BEV583" s="1"/>
      <c r="BEW583" s="1"/>
      <c r="BEX583" s="1"/>
      <c r="BEY583" s="1"/>
      <c r="BEZ583" s="1"/>
      <c r="BFA583" s="1"/>
      <c r="BFB583" s="1"/>
      <c r="BFC583" s="1"/>
      <c r="BFD583" s="1"/>
      <c r="BFE583" s="1"/>
      <c r="BFF583" s="1"/>
      <c r="BFG583" s="1"/>
      <c r="BFH583" s="1"/>
      <c r="BFI583" s="1"/>
      <c r="BFJ583" s="1"/>
      <c r="BFK583" s="1"/>
      <c r="BFL583" s="1"/>
      <c r="BFM583" s="1"/>
      <c r="BFN583" s="1"/>
      <c r="BFO583" s="1"/>
      <c r="BFP583" s="1"/>
      <c r="BFQ583" s="1"/>
      <c r="BFR583" s="1"/>
      <c r="BFS583" s="1"/>
      <c r="BFT583" s="1"/>
      <c r="BFU583" s="1"/>
      <c r="BFV583" s="1"/>
      <c r="BFW583" s="1"/>
      <c r="BFX583" s="1"/>
      <c r="BFY583" s="1"/>
      <c r="BFZ583" s="1"/>
      <c r="BGA583" s="1"/>
      <c r="BGB583" s="1"/>
      <c r="BGC583" s="1"/>
      <c r="BGD583" s="1"/>
      <c r="BGE583" s="1"/>
      <c r="BGF583" s="1"/>
      <c r="BGG583" s="1"/>
      <c r="BGH583" s="1"/>
      <c r="BGI583" s="1"/>
      <c r="BGJ583" s="1"/>
      <c r="BGK583" s="1"/>
      <c r="BGL583" s="1"/>
      <c r="BGM583" s="1"/>
      <c r="BGN583" s="1"/>
      <c r="BGO583" s="1"/>
      <c r="BGP583" s="1"/>
      <c r="BGQ583" s="1"/>
      <c r="BGR583" s="1"/>
      <c r="BGS583" s="1"/>
      <c r="BGT583" s="1"/>
      <c r="BGU583" s="1"/>
      <c r="BGV583" s="1"/>
      <c r="BGW583" s="1"/>
      <c r="BGX583" s="1"/>
      <c r="BGY583" s="1"/>
      <c r="BGZ583" s="1"/>
      <c r="BHA583" s="1"/>
      <c r="BHB583" s="1"/>
      <c r="BHC583" s="1"/>
      <c r="BHD583" s="1"/>
      <c r="BHE583" s="1"/>
      <c r="BHF583" s="1"/>
      <c r="BHG583" s="1"/>
      <c r="BHH583" s="1"/>
      <c r="BHI583" s="1"/>
      <c r="BHJ583" s="1"/>
      <c r="BHK583" s="1"/>
      <c r="BHL583" s="1"/>
      <c r="BHM583" s="1"/>
      <c r="BHN583" s="1"/>
      <c r="BHO583" s="1"/>
      <c r="BHP583" s="1"/>
      <c r="BHQ583" s="1"/>
      <c r="BHR583" s="1"/>
      <c r="BHS583" s="1"/>
      <c r="BHT583" s="1"/>
      <c r="BHU583" s="1"/>
      <c r="BHV583" s="1"/>
      <c r="BHW583" s="1"/>
      <c r="BHX583" s="1"/>
      <c r="BHY583" s="1"/>
      <c r="BHZ583" s="1"/>
      <c r="BIA583" s="1"/>
      <c r="BIB583" s="1"/>
      <c r="BIC583" s="1"/>
      <c r="BID583" s="1"/>
      <c r="BIE583" s="1"/>
      <c r="BIF583" s="1"/>
      <c r="BIG583" s="1"/>
      <c r="BIH583" s="1"/>
      <c r="BII583" s="1"/>
      <c r="BIJ583" s="1"/>
      <c r="BIK583" s="1"/>
      <c r="BIL583" s="1"/>
      <c r="BIM583" s="1"/>
      <c r="BIN583" s="1"/>
      <c r="BIO583" s="1"/>
      <c r="BIP583" s="1"/>
      <c r="BIQ583" s="1"/>
      <c r="BIR583" s="1"/>
      <c r="BIS583" s="1"/>
      <c r="BIT583" s="1"/>
      <c r="BIU583" s="1"/>
      <c r="BIV583" s="1"/>
      <c r="BIW583" s="1"/>
      <c r="BIX583" s="1"/>
      <c r="BIY583" s="1"/>
      <c r="BIZ583" s="1"/>
      <c r="BJA583" s="1"/>
      <c r="BJB583" s="1"/>
      <c r="BJC583" s="1"/>
      <c r="BJD583" s="1"/>
      <c r="BJE583" s="1"/>
      <c r="BJF583" s="1"/>
      <c r="BJG583" s="1"/>
      <c r="BJH583" s="1"/>
      <c r="BJI583" s="1"/>
      <c r="BJJ583" s="1"/>
      <c r="BJK583" s="1"/>
      <c r="BJL583" s="1"/>
      <c r="BJM583" s="1"/>
      <c r="BJN583" s="1"/>
      <c r="BJO583" s="1"/>
      <c r="BJP583" s="1"/>
      <c r="BJQ583" s="1"/>
      <c r="BJR583" s="1"/>
      <c r="BJS583" s="1"/>
      <c r="BJT583" s="1"/>
      <c r="BJU583" s="1"/>
      <c r="BJV583" s="1"/>
      <c r="BJW583" s="1"/>
      <c r="BJX583" s="1"/>
      <c r="BJY583" s="1"/>
      <c r="BJZ583" s="1"/>
      <c r="BKA583" s="1"/>
      <c r="BKB583" s="1"/>
      <c r="BKC583" s="1"/>
      <c r="BKD583" s="1"/>
      <c r="BKE583" s="1"/>
      <c r="BKF583" s="1"/>
      <c r="BKG583" s="1"/>
      <c r="BKH583" s="1"/>
      <c r="BKI583" s="1"/>
      <c r="BKJ583" s="1"/>
      <c r="BKK583" s="1"/>
      <c r="BKL583" s="1"/>
      <c r="BKM583" s="1"/>
      <c r="BKN583" s="1"/>
      <c r="BKO583" s="1"/>
      <c r="BKP583" s="1"/>
      <c r="BKQ583" s="1"/>
      <c r="BKR583" s="1"/>
      <c r="BKS583" s="1"/>
      <c r="BKT583" s="1"/>
      <c r="BKU583" s="1"/>
      <c r="BKV583" s="1"/>
      <c r="BKW583" s="1"/>
      <c r="BKX583" s="1"/>
      <c r="BKY583" s="1"/>
      <c r="BKZ583" s="1"/>
      <c r="BLA583" s="1"/>
      <c r="BLB583" s="1"/>
      <c r="BLC583" s="1"/>
      <c r="BLD583" s="1"/>
      <c r="BLE583" s="1"/>
      <c r="BLF583" s="1"/>
      <c r="BLG583" s="1"/>
      <c r="BLH583" s="1"/>
      <c r="BLI583" s="1"/>
      <c r="BLJ583" s="1"/>
      <c r="BLK583" s="1"/>
      <c r="BLL583" s="1"/>
      <c r="BLM583" s="1"/>
      <c r="BLN583" s="1"/>
      <c r="BLO583" s="1"/>
      <c r="BLP583" s="1"/>
      <c r="BLQ583" s="1"/>
      <c r="BLR583" s="1"/>
      <c r="BLS583" s="1"/>
      <c r="BLT583" s="1"/>
      <c r="BLU583" s="1"/>
      <c r="BLV583" s="1"/>
      <c r="BLW583" s="1"/>
      <c r="BLX583" s="1"/>
      <c r="BLY583" s="1"/>
      <c r="BLZ583" s="1"/>
      <c r="BMA583" s="1"/>
      <c r="BMB583" s="1"/>
      <c r="BMC583" s="1"/>
      <c r="BMD583" s="1"/>
      <c r="BME583" s="1"/>
      <c r="BMF583" s="1"/>
      <c r="BMG583" s="1"/>
      <c r="BMH583" s="1"/>
      <c r="BMI583" s="1"/>
      <c r="BMJ583" s="1"/>
      <c r="BMK583" s="1"/>
      <c r="BML583" s="1"/>
      <c r="BMM583" s="1"/>
      <c r="BMN583" s="1"/>
      <c r="BMO583" s="1"/>
      <c r="BMP583" s="1"/>
      <c r="BMQ583" s="1"/>
      <c r="BMR583" s="1"/>
      <c r="BMS583" s="1"/>
      <c r="BMT583" s="1"/>
      <c r="BMU583" s="1"/>
      <c r="BMV583" s="1"/>
      <c r="BMW583" s="1"/>
      <c r="BMX583" s="1"/>
      <c r="BMY583" s="1"/>
      <c r="BMZ583" s="1"/>
      <c r="BNA583" s="1"/>
      <c r="BNB583" s="1"/>
      <c r="BNC583" s="1"/>
      <c r="BND583" s="1"/>
      <c r="BNE583" s="1"/>
      <c r="BNF583" s="1"/>
      <c r="BNG583" s="1"/>
      <c r="BNH583" s="1"/>
      <c r="BNI583" s="1"/>
      <c r="BNJ583" s="1"/>
      <c r="BNK583" s="1"/>
      <c r="BNL583" s="1"/>
      <c r="BNM583" s="1"/>
      <c r="BNN583" s="1"/>
      <c r="BNO583" s="1"/>
      <c r="BNP583" s="1"/>
      <c r="BNQ583" s="1"/>
      <c r="BNR583" s="1"/>
      <c r="BNS583" s="1"/>
      <c r="BNT583" s="1"/>
      <c r="BNU583" s="1"/>
      <c r="BNV583" s="1"/>
      <c r="BNW583" s="1"/>
      <c r="BNX583" s="1"/>
      <c r="BNY583" s="1"/>
      <c r="BNZ583" s="1"/>
      <c r="BOA583" s="1"/>
      <c r="BOB583" s="1"/>
      <c r="BOC583" s="1"/>
      <c r="BOD583" s="1"/>
      <c r="BOE583" s="1"/>
      <c r="BOF583" s="1"/>
      <c r="BOG583" s="1"/>
      <c r="BOH583" s="1"/>
      <c r="BOI583" s="1"/>
      <c r="BOJ583" s="1"/>
      <c r="BOK583" s="1"/>
      <c r="BOL583" s="1"/>
      <c r="BOM583" s="1"/>
      <c r="BON583" s="1"/>
      <c r="BOO583" s="1"/>
      <c r="BOP583" s="1"/>
      <c r="BOQ583" s="1"/>
      <c r="BOR583" s="1"/>
      <c r="BOS583" s="1"/>
      <c r="BOT583" s="1"/>
      <c r="BOU583" s="1"/>
      <c r="BOV583" s="1"/>
      <c r="BOW583" s="1"/>
      <c r="BOX583" s="1"/>
      <c r="BOY583" s="1"/>
      <c r="BOZ583" s="1"/>
      <c r="BPA583" s="1"/>
      <c r="BPB583" s="1"/>
      <c r="BPC583" s="1"/>
      <c r="BPD583" s="1"/>
      <c r="BPE583" s="1"/>
      <c r="BPF583" s="1"/>
      <c r="BPG583" s="1"/>
      <c r="BPH583" s="1"/>
      <c r="BPI583" s="1"/>
      <c r="BPJ583" s="1"/>
      <c r="BPK583" s="1"/>
      <c r="BPL583" s="1"/>
      <c r="BPM583" s="1"/>
      <c r="BPN583" s="1"/>
      <c r="BPO583" s="1"/>
      <c r="BPP583" s="1"/>
      <c r="BPQ583" s="1"/>
      <c r="BPR583" s="1"/>
      <c r="BPS583" s="1"/>
      <c r="BPT583" s="1"/>
      <c r="BPU583" s="1"/>
      <c r="BPV583" s="1"/>
      <c r="BPW583" s="1"/>
      <c r="BPX583" s="1"/>
      <c r="BPY583" s="1"/>
      <c r="BPZ583" s="1"/>
      <c r="BQA583" s="1"/>
      <c r="BQB583" s="1"/>
      <c r="BQC583" s="1"/>
      <c r="BQD583" s="1"/>
      <c r="BQE583" s="1"/>
      <c r="BQF583" s="1"/>
      <c r="BQG583" s="1"/>
      <c r="BQH583" s="1"/>
      <c r="BQI583" s="1"/>
      <c r="BQJ583" s="1"/>
      <c r="BQK583" s="1"/>
      <c r="BQL583" s="1"/>
      <c r="BQM583" s="1"/>
      <c r="BQN583" s="1"/>
      <c r="BQO583" s="1"/>
      <c r="BQP583" s="1"/>
      <c r="BQQ583" s="1"/>
      <c r="BQR583" s="1"/>
      <c r="BQS583" s="1"/>
      <c r="BQT583" s="1"/>
      <c r="BQU583" s="1"/>
      <c r="BQV583" s="1"/>
      <c r="BQW583" s="1"/>
      <c r="BQX583" s="1"/>
      <c r="BQY583" s="1"/>
      <c r="BQZ583" s="1"/>
      <c r="BRA583" s="1"/>
      <c r="BRB583" s="1"/>
      <c r="BRC583" s="1"/>
      <c r="BRD583" s="1"/>
      <c r="BRE583" s="1"/>
      <c r="BRF583" s="1"/>
      <c r="BRG583" s="1"/>
      <c r="BRH583" s="1"/>
      <c r="BRI583" s="1"/>
      <c r="BRJ583" s="1"/>
      <c r="BRK583" s="1"/>
      <c r="BRL583" s="1"/>
      <c r="BRM583" s="1"/>
      <c r="BRN583" s="1"/>
      <c r="BRO583" s="1"/>
      <c r="BRP583" s="1"/>
      <c r="BRQ583" s="1"/>
      <c r="BRR583" s="1"/>
      <c r="BRS583" s="1"/>
      <c r="BRT583" s="1"/>
      <c r="BRU583" s="1"/>
      <c r="BRV583" s="1"/>
      <c r="BRW583" s="1"/>
      <c r="BRX583" s="1"/>
      <c r="BRY583" s="1"/>
      <c r="BRZ583" s="1"/>
      <c r="BSA583" s="1"/>
      <c r="BSB583" s="1"/>
      <c r="BSC583" s="1"/>
      <c r="BSD583" s="1"/>
      <c r="BSE583" s="1"/>
      <c r="BSF583" s="1"/>
      <c r="BSG583" s="1"/>
      <c r="BSH583" s="1"/>
      <c r="BSI583" s="1"/>
      <c r="BSJ583" s="1"/>
      <c r="BSK583" s="1"/>
      <c r="BSL583" s="1"/>
      <c r="BSM583" s="1"/>
      <c r="BSN583" s="1"/>
      <c r="BSO583" s="1"/>
      <c r="BSP583" s="1"/>
      <c r="BSQ583" s="1"/>
      <c r="BSR583" s="1"/>
      <c r="BSS583" s="1"/>
      <c r="BST583" s="1"/>
      <c r="BSU583" s="1"/>
      <c r="BSV583" s="1"/>
      <c r="BSW583" s="1"/>
      <c r="BSX583" s="1"/>
      <c r="BSY583" s="1"/>
      <c r="BSZ583" s="1"/>
      <c r="BTA583" s="1"/>
      <c r="BTB583" s="1"/>
      <c r="BTC583" s="1"/>
      <c r="BTD583" s="1"/>
      <c r="BTE583" s="1"/>
      <c r="BTF583" s="1"/>
      <c r="BTG583" s="1"/>
      <c r="BTH583" s="1"/>
      <c r="BTI583" s="1"/>
      <c r="BTJ583" s="1"/>
      <c r="BTK583" s="1"/>
      <c r="BTL583" s="1"/>
      <c r="BTM583" s="1"/>
      <c r="BTN583" s="1"/>
      <c r="BTO583" s="1"/>
      <c r="BTP583" s="1"/>
      <c r="BTQ583" s="1"/>
      <c r="BTR583" s="1"/>
      <c r="BTS583" s="1"/>
      <c r="BTT583" s="1"/>
      <c r="BTU583" s="1"/>
      <c r="BTV583" s="1"/>
      <c r="BTW583" s="1"/>
      <c r="BTX583" s="1"/>
      <c r="BTY583" s="1"/>
      <c r="BTZ583" s="1"/>
      <c r="BUA583" s="1"/>
      <c r="BUB583" s="1"/>
      <c r="BUC583" s="1"/>
      <c r="BUD583" s="1"/>
      <c r="BUE583" s="1"/>
      <c r="BUF583" s="1"/>
      <c r="BUG583" s="1"/>
      <c r="BUH583" s="1"/>
      <c r="BUI583" s="1"/>
      <c r="BUJ583" s="1"/>
      <c r="BUK583" s="1"/>
      <c r="BUL583" s="1"/>
      <c r="BUM583" s="1"/>
      <c r="BUN583" s="1"/>
      <c r="BUO583" s="1"/>
      <c r="BUP583" s="1"/>
      <c r="BUQ583" s="1"/>
      <c r="BUR583" s="1"/>
      <c r="BUS583" s="1"/>
      <c r="BUT583" s="1"/>
      <c r="BUU583" s="1"/>
      <c r="BUV583" s="1"/>
      <c r="BUW583" s="1"/>
      <c r="BUX583" s="1"/>
      <c r="BUY583" s="1"/>
      <c r="BUZ583" s="1"/>
      <c r="BVA583" s="1"/>
      <c r="BVB583" s="1"/>
      <c r="BVC583" s="1"/>
      <c r="BVD583" s="1"/>
      <c r="BVE583" s="1"/>
      <c r="BVF583" s="1"/>
      <c r="BVG583" s="1"/>
      <c r="BVH583" s="1"/>
      <c r="BVI583" s="1"/>
      <c r="BVJ583" s="1"/>
      <c r="BVK583" s="1"/>
      <c r="BVL583" s="1"/>
      <c r="BVM583" s="1"/>
      <c r="BVN583" s="1"/>
      <c r="BVO583" s="1"/>
      <c r="BVP583" s="1"/>
      <c r="BVQ583" s="1"/>
      <c r="BVR583" s="1"/>
      <c r="BVS583" s="1"/>
      <c r="BVT583" s="1"/>
      <c r="BVU583" s="1"/>
      <c r="BVV583" s="1"/>
      <c r="BVW583" s="1"/>
      <c r="BVX583" s="1"/>
      <c r="BVY583" s="1"/>
      <c r="BVZ583" s="1"/>
      <c r="BWA583" s="1"/>
      <c r="BWB583" s="1"/>
      <c r="BWC583" s="1"/>
      <c r="BWD583" s="1"/>
      <c r="BWE583" s="1"/>
      <c r="BWF583" s="1"/>
      <c r="BWG583" s="1"/>
      <c r="BWH583" s="1"/>
      <c r="BWI583" s="1"/>
      <c r="BWJ583" s="1"/>
      <c r="BWK583" s="1"/>
      <c r="BWL583" s="1"/>
      <c r="BWM583" s="1"/>
      <c r="BWN583" s="1"/>
      <c r="BWO583" s="1"/>
      <c r="BWP583" s="1"/>
      <c r="BWQ583" s="1"/>
      <c r="BWR583" s="1"/>
      <c r="BWS583" s="1"/>
      <c r="BWT583" s="1"/>
      <c r="BWU583" s="1"/>
      <c r="BWV583" s="1"/>
      <c r="BWW583" s="1"/>
      <c r="BWX583" s="1"/>
      <c r="BWY583" s="1"/>
      <c r="BWZ583" s="1"/>
      <c r="BXA583" s="1"/>
      <c r="BXB583" s="1"/>
      <c r="BXC583" s="1"/>
      <c r="BXD583" s="1"/>
      <c r="BXE583" s="1"/>
      <c r="BXF583" s="1"/>
      <c r="BXG583" s="1"/>
      <c r="BXH583" s="1"/>
      <c r="BXI583" s="1"/>
      <c r="BXJ583" s="1"/>
      <c r="BXK583" s="1"/>
      <c r="BXL583" s="1"/>
      <c r="BXM583" s="1"/>
      <c r="BXN583" s="1"/>
      <c r="BXO583" s="1"/>
      <c r="BXP583" s="1"/>
      <c r="BXQ583" s="1"/>
      <c r="BXR583" s="1"/>
      <c r="BXS583" s="1"/>
      <c r="BXT583" s="1"/>
      <c r="BXU583" s="1"/>
      <c r="BXV583" s="1"/>
      <c r="BXW583" s="1"/>
      <c r="BXX583" s="1"/>
      <c r="BXY583" s="1"/>
      <c r="BXZ583" s="1"/>
      <c r="BYA583" s="1"/>
      <c r="BYB583" s="1"/>
      <c r="BYC583" s="1"/>
      <c r="BYD583" s="1"/>
      <c r="BYE583" s="1"/>
      <c r="BYF583" s="1"/>
      <c r="BYG583" s="1"/>
      <c r="BYH583" s="1"/>
      <c r="BYI583" s="1"/>
      <c r="BYJ583" s="1"/>
      <c r="BYK583" s="1"/>
      <c r="BYL583" s="1"/>
      <c r="BYM583" s="1"/>
      <c r="BYN583" s="1"/>
      <c r="BYO583" s="1"/>
      <c r="BYP583" s="1"/>
      <c r="BYQ583" s="1"/>
      <c r="BYR583" s="1"/>
      <c r="BYS583" s="1"/>
      <c r="BYT583" s="1"/>
      <c r="BYU583" s="1"/>
      <c r="BYV583" s="1"/>
      <c r="BYW583" s="1"/>
      <c r="BYX583" s="1"/>
      <c r="BYY583" s="1"/>
      <c r="BYZ583" s="1"/>
      <c r="BZA583" s="1"/>
      <c r="BZB583" s="1"/>
      <c r="BZC583" s="1"/>
      <c r="BZD583" s="1"/>
      <c r="BZE583" s="1"/>
      <c r="BZF583" s="1"/>
      <c r="BZG583" s="1"/>
      <c r="BZH583" s="1"/>
      <c r="BZI583" s="1"/>
      <c r="BZJ583" s="1"/>
      <c r="BZK583" s="1"/>
      <c r="BZL583" s="1"/>
      <c r="BZM583" s="1"/>
      <c r="BZN583" s="1"/>
      <c r="BZO583" s="1"/>
      <c r="BZP583" s="1"/>
      <c r="BZQ583" s="1"/>
      <c r="BZR583" s="1"/>
      <c r="BZS583" s="1"/>
      <c r="BZT583" s="1"/>
      <c r="BZU583" s="1"/>
      <c r="BZV583" s="1"/>
      <c r="BZW583" s="1"/>
      <c r="BZX583" s="1"/>
      <c r="BZY583" s="1"/>
      <c r="BZZ583" s="1"/>
      <c r="CAA583" s="1"/>
      <c r="CAB583" s="1"/>
      <c r="CAC583" s="1"/>
      <c r="CAD583" s="1"/>
      <c r="CAE583" s="1"/>
      <c r="CAF583" s="1"/>
      <c r="CAG583" s="1"/>
      <c r="CAH583" s="1"/>
      <c r="CAI583" s="1"/>
      <c r="CAJ583" s="1"/>
      <c r="CAK583" s="1"/>
      <c r="CAL583" s="1"/>
      <c r="CAM583" s="1"/>
      <c r="CAN583" s="1"/>
      <c r="CAO583" s="1"/>
      <c r="CAP583" s="1"/>
      <c r="CAQ583" s="1"/>
      <c r="CAR583" s="1"/>
      <c r="CAS583" s="1"/>
      <c r="CAT583" s="1"/>
      <c r="CAU583" s="1"/>
      <c r="CAV583" s="1"/>
      <c r="CAW583" s="1"/>
      <c r="CAX583" s="1"/>
      <c r="CAY583" s="1"/>
      <c r="CAZ583" s="1"/>
      <c r="CBA583" s="1"/>
      <c r="CBB583" s="1"/>
      <c r="CBC583" s="1"/>
      <c r="CBD583" s="1"/>
      <c r="CBE583" s="1"/>
      <c r="CBF583" s="1"/>
      <c r="CBG583" s="1"/>
      <c r="CBH583" s="1"/>
      <c r="CBI583" s="1"/>
      <c r="CBJ583" s="1"/>
      <c r="CBK583" s="1"/>
      <c r="CBL583" s="1"/>
      <c r="CBM583" s="1"/>
      <c r="CBN583" s="1"/>
      <c r="CBO583" s="1"/>
      <c r="CBP583" s="1"/>
      <c r="CBQ583" s="1"/>
      <c r="CBR583" s="1"/>
      <c r="CBS583" s="1"/>
      <c r="CBT583" s="1"/>
      <c r="CBU583" s="1"/>
      <c r="CBV583" s="1"/>
      <c r="CBW583" s="1"/>
      <c r="CBX583" s="1"/>
      <c r="CBY583" s="1"/>
      <c r="CBZ583" s="1"/>
      <c r="CCA583" s="1"/>
      <c r="CCB583" s="1"/>
      <c r="CCC583" s="1"/>
      <c r="CCD583" s="1"/>
      <c r="CCE583" s="1"/>
      <c r="CCF583" s="1"/>
      <c r="CCG583" s="1"/>
      <c r="CCH583" s="1"/>
      <c r="CCI583" s="1"/>
      <c r="CCJ583" s="1"/>
      <c r="CCK583" s="1"/>
      <c r="CCL583" s="1"/>
      <c r="CCM583" s="1"/>
      <c r="CCN583" s="1"/>
      <c r="CCO583" s="1"/>
      <c r="CCP583" s="1"/>
      <c r="CCQ583" s="1"/>
      <c r="CCR583" s="1"/>
      <c r="CCS583" s="1"/>
      <c r="CCT583" s="1"/>
      <c r="CCU583" s="1"/>
      <c r="CCV583" s="1"/>
      <c r="CCW583" s="1"/>
      <c r="CCX583" s="1"/>
      <c r="CCY583" s="1"/>
      <c r="CCZ583" s="1"/>
      <c r="CDA583" s="1"/>
      <c r="CDB583" s="1"/>
      <c r="CDC583" s="1"/>
      <c r="CDD583" s="1"/>
      <c r="CDE583" s="1"/>
      <c r="CDF583" s="1"/>
      <c r="CDG583" s="1"/>
      <c r="CDH583" s="1"/>
      <c r="CDI583" s="1"/>
      <c r="CDJ583" s="1"/>
      <c r="CDK583" s="1"/>
      <c r="CDL583" s="1"/>
      <c r="CDM583" s="1"/>
      <c r="CDN583" s="1"/>
      <c r="CDO583" s="1"/>
      <c r="CDP583" s="1"/>
      <c r="CDQ583" s="1"/>
      <c r="CDR583" s="1"/>
      <c r="CDS583" s="1"/>
      <c r="CDT583" s="1"/>
      <c r="CDU583" s="1"/>
      <c r="CDV583" s="1"/>
      <c r="CDW583" s="1"/>
      <c r="CDX583" s="1"/>
      <c r="CDY583" s="1"/>
      <c r="CDZ583" s="1"/>
      <c r="CEA583" s="1"/>
      <c r="CEB583" s="1"/>
      <c r="CEC583" s="1"/>
      <c r="CED583" s="1"/>
      <c r="CEE583" s="1"/>
      <c r="CEF583" s="1"/>
      <c r="CEG583" s="1"/>
      <c r="CEH583" s="1"/>
      <c r="CEI583" s="1"/>
      <c r="CEJ583" s="1"/>
      <c r="CEK583" s="1"/>
      <c r="CEL583" s="1"/>
      <c r="CEM583" s="1"/>
      <c r="CEN583" s="1"/>
      <c r="CEO583" s="1"/>
      <c r="CEP583" s="1"/>
      <c r="CEQ583" s="1"/>
      <c r="CER583" s="1"/>
      <c r="CES583" s="1"/>
      <c r="CET583" s="1"/>
      <c r="CEU583" s="1"/>
      <c r="CEV583" s="1"/>
      <c r="CEW583" s="1"/>
      <c r="CEX583" s="1"/>
      <c r="CEY583" s="1"/>
      <c r="CEZ583" s="1"/>
      <c r="CFA583" s="1"/>
      <c r="CFB583" s="1"/>
      <c r="CFC583" s="1"/>
      <c r="CFD583" s="1"/>
      <c r="CFE583" s="1"/>
      <c r="CFF583" s="1"/>
      <c r="CFG583" s="1"/>
      <c r="CFH583" s="1"/>
      <c r="CFI583" s="1"/>
      <c r="CFJ583" s="1"/>
      <c r="CFK583" s="1"/>
      <c r="CFL583" s="1"/>
      <c r="CFM583" s="1"/>
      <c r="CFN583" s="1"/>
      <c r="CFO583" s="1"/>
      <c r="CFP583" s="1"/>
      <c r="CFQ583" s="1"/>
      <c r="CFR583" s="1"/>
      <c r="CFS583" s="1"/>
      <c r="CFT583" s="1"/>
      <c r="CFU583" s="1"/>
      <c r="CFV583" s="1"/>
      <c r="CFW583" s="1"/>
      <c r="CFX583" s="1"/>
      <c r="CFY583" s="1"/>
      <c r="CFZ583" s="1"/>
      <c r="CGA583" s="1"/>
      <c r="CGB583" s="1"/>
      <c r="CGC583" s="1"/>
      <c r="CGD583" s="1"/>
      <c r="CGE583" s="1"/>
      <c r="CGF583" s="1"/>
      <c r="CGG583" s="1"/>
      <c r="CGH583" s="1"/>
      <c r="CGI583" s="1"/>
      <c r="CGJ583" s="1"/>
      <c r="CGK583" s="1"/>
      <c r="CGL583" s="1"/>
      <c r="CGM583" s="1"/>
      <c r="CGN583" s="1"/>
      <c r="CGO583" s="1"/>
      <c r="CGP583" s="1"/>
      <c r="CGQ583" s="1"/>
      <c r="CGR583" s="1"/>
      <c r="CGS583" s="1"/>
      <c r="CGT583" s="1"/>
      <c r="CGU583" s="1"/>
      <c r="CGV583" s="1"/>
      <c r="CGW583" s="1"/>
      <c r="CGX583" s="1"/>
      <c r="CGY583" s="1"/>
      <c r="CGZ583" s="1"/>
      <c r="CHA583" s="1"/>
      <c r="CHB583" s="1"/>
      <c r="CHC583" s="1"/>
      <c r="CHD583" s="1"/>
      <c r="CHE583" s="1"/>
      <c r="CHF583" s="1"/>
      <c r="CHG583" s="1"/>
      <c r="CHH583" s="1"/>
      <c r="CHI583" s="1"/>
      <c r="CHJ583" s="1"/>
      <c r="CHK583" s="1"/>
      <c r="CHL583" s="1"/>
      <c r="CHM583" s="1"/>
      <c r="CHN583" s="1"/>
      <c r="CHO583" s="1"/>
      <c r="CHP583" s="1"/>
      <c r="CHQ583" s="1"/>
      <c r="CHR583" s="1"/>
      <c r="CHS583" s="1"/>
      <c r="CHT583" s="1"/>
      <c r="CHU583" s="1"/>
      <c r="CHV583" s="1"/>
      <c r="CHW583" s="1"/>
      <c r="CHX583" s="1"/>
      <c r="CHY583" s="1"/>
      <c r="CHZ583" s="1"/>
      <c r="CIA583" s="1"/>
      <c r="CIB583" s="1"/>
      <c r="CIC583" s="1"/>
      <c r="CID583" s="1"/>
      <c r="CIE583" s="1"/>
      <c r="CIF583" s="1"/>
      <c r="CIG583" s="1"/>
      <c r="CIH583" s="1"/>
      <c r="CII583" s="1"/>
      <c r="CIJ583" s="1"/>
      <c r="CIK583" s="1"/>
      <c r="CIL583" s="1"/>
      <c r="CIM583" s="1"/>
      <c r="CIN583" s="1"/>
      <c r="CIO583" s="1"/>
      <c r="CIP583" s="1"/>
      <c r="CIQ583" s="1"/>
      <c r="CIR583" s="1"/>
      <c r="CIS583" s="1"/>
      <c r="CIT583" s="1"/>
      <c r="CIU583" s="1"/>
      <c r="CIV583" s="1"/>
      <c r="CIW583" s="1"/>
      <c r="CIX583" s="1"/>
      <c r="CIY583" s="1"/>
      <c r="CIZ583" s="1"/>
      <c r="CJA583" s="1"/>
      <c r="CJB583" s="1"/>
      <c r="CJC583" s="1"/>
      <c r="CJD583" s="1"/>
      <c r="CJE583" s="1"/>
      <c r="CJF583" s="1"/>
      <c r="CJG583" s="1"/>
      <c r="CJH583" s="1"/>
      <c r="CJI583" s="1"/>
      <c r="CJJ583" s="1"/>
      <c r="CJK583" s="1"/>
      <c r="CJL583" s="1"/>
      <c r="CJM583" s="1"/>
      <c r="CJN583" s="1"/>
      <c r="CJO583" s="1"/>
      <c r="CJP583" s="1"/>
      <c r="CJQ583" s="1"/>
      <c r="CJR583" s="1"/>
      <c r="CJS583" s="1"/>
      <c r="CJT583" s="1"/>
      <c r="CJU583" s="1"/>
      <c r="CJV583" s="1"/>
      <c r="CJW583" s="1"/>
      <c r="CJX583" s="1"/>
      <c r="CJY583" s="1"/>
      <c r="CJZ583" s="1"/>
      <c r="CKA583" s="1"/>
      <c r="CKB583" s="1"/>
      <c r="CKC583" s="1"/>
      <c r="CKD583" s="1"/>
      <c r="CKE583" s="1"/>
      <c r="CKF583" s="1"/>
      <c r="CKG583" s="1"/>
      <c r="CKH583" s="1"/>
      <c r="CKI583" s="1"/>
      <c r="CKJ583" s="1"/>
      <c r="CKK583" s="1"/>
      <c r="CKL583" s="1"/>
      <c r="CKM583" s="1"/>
      <c r="CKN583" s="1"/>
      <c r="CKO583" s="1"/>
      <c r="CKP583" s="1"/>
      <c r="CKQ583" s="1"/>
      <c r="CKR583" s="1"/>
      <c r="CKS583" s="1"/>
      <c r="CKT583" s="1"/>
      <c r="CKU583" s="1"/>
      <c r="CKV583" s="1"/>
      <c r="CKW583" s="1"/>
      <c r="CKX583" s="1"/>
      <c r="CKY583" s="1"/>
      <c r="CKZ583" s="1"/>
      <c r="CLA583" s="1"/>
      <c r="CLB583" s="1"/>
      <c r="CLC583" s="1"/>
      <c r="CLD583" s="1"/>
      <c r="CLE583" s="1"/>
      <c r="CLF583" s="1"/>
      <c r="CLG583" s="1"/>
      <c r="CLH583" s="1"/>
      <c r="CLI583" s="1"/>
      <c r="CLJ583" s="1"/>
      <c r="CLK583" s="1"/>
      <c r="CLL583" s="1"/>
      <c r="CLM583" s="1"/>
      <c r="CLN583" s="1"/>
      <c r="CLO583" s="1"/>
      <c r="CLP583" s="1"/>
      <c r="CLQ583" s="1"/>
      <c r="CLR583" s="1"/>
      <c r="CLS583" s="1"/>
      <c r="CLT583" s="1"/>
      <c r="CLU583" s="1"/>
      <c r="CLV583" s="1"/>
      <c r="CLW583" s="1"/>
      <c r="CLX583" s="1"/>
      <c r="CLY583" s="1"/>
      <c r="CLZ583" s="1"/>
      <c r="CMA583" s="1"/>
      <c r="CMB583" s="1"/>
      <c r="CMC583" s="1"/>
      <c r="CMD583" s="1"/>
      <c r="CME583" s="1"/>
      <c r="CMF583" s="1"/>
      <c r="CMG583" s="1"/>
      <c r="CMH583" s="1"/>
      <c r="CMI583" s="1"/>
      <c r="CMJ583" s="1"/>
      <c r="CMK583" s="1"/>
      <c r="CML583" s="1"/>
      <c r="CMM583" s="1"/>
      <c r="CMN583" s="1"/>
      <c r="CMO583" s="1"/>
      <c r="CMP583" s="1"/>
      <c r="CMQ583" s="1"/>
      <c r="CMR583" s="1"/>
      <c r="CMS583" s="1"/>
      <c r="CMT583" s="1"/>
      <c r="CMU583" s="1"/>
      <c r="CMV583" s="1"/>
      <c r="CMW583" s="1"/>
      <c r="CMX583" s="1"/>
      <c r="CMY583" s="1"/>
      <c r="CMZ583" s="1"/>
      <c r="CNA583" s="1"/>
      <c r="CNB583" s="1"/>
      <c r="CNC583" s="1"/>
      <c r="CND583" s="1"/>
      <c r="CNE583" s="1"/>
      <c r="CNF583" s="1"/>
      <c r="CNG583" s="1"/>
      <c r="CNH583" s="1"/>
      <c r="CNI583" s="1"/>
      <c r="CNJ583" s="1"/>
      <c r="CNK583" s="1"/>
      <c r="CNL583" s="1"/>
      <c r="CNM583" s="1"/>
      <c r="CNN583" s="1"/>
      <c r="CNO583" s="1"/>
      <c r="CNP583" s="1"/>
      <c r="CNQ583" s="1"/>
      <c r="CNR583" s="1"/>
      <c r="CNS583" s="1"/>
      <c r="CNT583" s="1"/>
      <c r="CNU583" s="1"/>
      <c r="CNV583" s="1"/>
      <c r="CNW583" s="1"/>
      <c r="CNX583" s="1"/>
      <c r="CNY583" s="1"/>
      <c r="CNZ583" s="1"/>
      <c r="COA583" s="1"/>
      <c r="COB583" s="1"/>
      <c r="COC583" s="1"/>
      <c r="COD583" s="1"/>
      <c r="COE583" s="1"/>
      <c r="COF583" s="1"/>
      <c r="COG583" s="1"/>
      <c r="COH583" s="1"/>
      <c r="COI583" s="1"/>
      <c r="COJ583" s="1"/>
      <c r="COK583" s="1"/>
      <c r="COL583" s="1"/>
      <c r="COM583" s="1"/>
      <c r="CON583" s="1"/>
      <c r="COO583" s="1"/>
      <c r="COP583" s="1"/>
      <c r="COQ583" s="1"/>
      <c r="COR583" s="1"/>
      <c r="COS583" s="1"/>
      <c r="COT583" s="1"/>
      <c r="COU583" s="1"/>
      <c r="COV583" s="1"/>
      <c r="COW583" s="1"/>
      <c r="COX583" s="1"/>
      <c r="COY583" s="1"/>
      <c r="COZ583" s="1"/>
      <c r="CPA583" s="1"/>
      <c r="CPB583" s="1"/>
      <c r="CPC583" s="1"/>
      <c r="CPD583" s="1"/>
      <c r="CPE583" s="1"/>
      <c r="CPF583" s="1"/>
      <c r="CPG583" s="1"/>
      <c r="CPH583" s="1"/>
      <c r="CPI583" s="1"/>
      <c r="CPJ583" s="1"/>
      <c r="CPK583" s="1"/>
      <c r="CPL583" s="1"/>
      <c r="CPM583" s="1"/>
      <c r="CPN583" s="1"/>
      <c r="CPO583" s="1"/>
      <c r="CPP583" s="1"/>
      <c r="CPQ583" s="1"/>
      <c r="CPR583" s="1"/>
      <c r="CPS583" s="1"/>
      <c r="CPT583" s="1"/>
      <c r="CPU583" s="1"/>
      <c r="CPV583" s="1"/>
      <c r="CPW583" s="1"/>
      <c r="CPX583" s="1"/>
      <c r="CPY583" s="1"/>
      <c r="CPZ583" s="1"/>
      <c r="CQA583" s="1"/>
      <c r="CQB583" s="1"/>
      <c r="CQC583" s="1"/>
      <c r="CQD583" s="1"/>
      <c r="CQE583" s="1"/>
      <c r="CQF583" s="1"/>
      <c r="CQG583" s="1"/>
      <c r="CQH583" s="1"/>
      <c r="CQI583" s="1"/>
      <c r="CQJ583" s="1"/>
      <c r="CQK583" s="1"/>
      <c r="CQL583" s="1"/>
      <c r="CQM583" s="1"/>
      <c r="CQN583" s="1"/>
      <c r="CQO583" s="1"/>
      <c r="CQP583" s="1"/>
      <c r="CQQ583" s="1"/>
      <c r="CQR583" s="1"/>
      <c r="CQS583" s="1"/>
      <c r="CQT583" s="1"/>
      <c r="CQU583" s="1"/>
      <c r="CQV583" s="1"/>
      <c r="CQW583" s="1"/>
      <c r="CQX583" s="1"/>
      <c r="CQY583" s="1"/>
      <c r="CQZ583" s="1"/>
      <c r="CRA583" s="1"/>
      <c r="CRB583" s="1"/>
      <c r="CRC583" s="1"/>
      <c r="CRD583" s="1"/>
      <c r="CRE583" s="1"/>
      <c r="CRF583" s="1"/>
      <c r="CRG583" s="1"/>
      <c r="CRH583" s="1"/>
      <c r="CRI583" s="1"/>
      <c r="CRJ583" s="1"/>
      <c r="CRK583" s="1"/>
      <c r="CRL583" s="1"/>
      <c r="CRM583" s="1"/>
      <c r="CRN583" s="1"/>
      <c r="CRO583" s="1"/>
      <c r="CRP583" s="1"/>
      <c r="CRQ583" s="1"/>
      <c r="CRR583" s="1"/>
      <c r="CRS583" s="1"/>
      <c r="CRT583" s="1"/>
      <c r="CRU583" s="1"/>
      <c r="CRV583" s="1"/>
      <c r="CRW583" s="1"/>
      <c r="CRX583" s="1"/>
      <c r="CRY583" s="1"/>
      <c r="CRZ583" s="1"/>
      <c r="CSA583" s="1"/>
      <c r="CSB583" s="1"/>
      <c r="CSC583" s="1"/>
      <c r="CSD583" s="1"/>
      <c r="CSE583" s="1"/>
      <c r="CSF583" s="1"/>
      <c r="CSG583" s="1"/>
      <c r="CSH583" s="1"/>
      <c r="CSI583" s="1"/>
      <c r="CSJ583" s="1"/>
      <c r="CSK583" s="1"/>
      <c r="CSL583" s="1"/>
      <c r="CSM583" s="1"/>
      <c r="CSN583" s="1"/>
      <c r="CSO583" s="1"/>
      <c r="CSP583" s="1"/>
      <c r="CSQ583" s="1"/>
      <c r="CSR583" s="1"/>
      <c r="CSS583" s="1"/>
      <c r="CST583" s="1"/>
      <c r="CSU583" s="1"/>
      <c r="CSV583" s="1"/>
      <c r="CSW583" s="1"/>
      <c r="CSX583" s="1"/>
      <c r="CSY583" s="1"/>
      <c r="CSZ583" s="1"/>
      <c r="CTA583" s="1"/>
      <c r="CTB583" s="1"/>
      <c r="CTC583" s="1"/>
      <c r="CTD583" s="1"/>
      <c r="CTE583" s="1"/>
      <c r="CTF583" s="1"/>
      <c r="CTG583" s="1"/>
      <c r="CTH583" s="1"/>
      <c r="CTI583" s="1"/>
      <c r="CTJ583" s="1"/>
      <c r="CTK583" s="1"/>
      <c r="CTL583" s="1"/>
      <c r="CTM583" s="1"/>
      <c r="CTN583" s="1"/>
      <c r="CTO583" s="1"/>
      <c r="CTP583" s="1"/>
      <c r="CTQ583" s="1"/>
      <c r="CTR583" s="1"/>
      <c r="CTS583" s="1"/>
      <c r="CTT583" s="1"/>
      <c r="CTU583" s="1"/>
      <c r="CTV583" s="1"/>
      <c r="CTW583" s="1"/>
      <c r="CTX583" s="1"/>
      <c r="CTY583" s="1"/>
      <c r="CTZ583" s="1"/>
      <c r="CUA583" s="1"/>
      <c r="CUB583" s="1"/>
      <c r="CUC583" s="1"/>
      <c r="CUD583" s="1"/>
      <c r="CUE583" s="1"/>
      <c r="CUF583" s="1"/>
      <c r="CUG583" s="1"/>
      <c r="CUH583" s="1"/>
      <c r="CUI583" s="1"/>
      <c r="CUJ583" s="1"/>
      <c r="CUK583" s="1"/>
      <c r="CUL583" s="1"/>
      <c r="CUM583" s="1"/>
      <c r="CUN583" s="1"/>
      <c r="CUO583" s="1"/>
      <c r="CUP583" s="1"/>
      <c r="CUQ583" s="1"/>
      <c r="CUR583" s="1"/>
      <c r="CUS583" s="1"/>
      <c r="CUT583" s="1"/>
      <c r="CUU583" s="1"/>
      <c r="CUV583" s="1"/>
      <c r="CUW583" s="1"/>
      <c r="CUX583" s="1"/>
      <c r="CUY583" s="1"/>
      <c r="CUZ583" s="1"/>
      <c r="CVA583" s="1"/>
      <c r="CVB583" s="1"/>
      <c r="CVC583" s="1"/>
      <c r="CVD583" s="1"/>
      <c r="CVE583" s="1"/>
      <c r="CVF583" s="1"/>
      <c r="CVG583" s="1"/>
      <c r="CVH583" s="1"/>
      <c r="CVI583" s="1"/>
      <c r="CVJ583" s="1"/>
      <c r="CVK583" s="1"/>
      <c r="CVL583" s="1"/>
      <c r="CVM583" s="1"/>
      <c r="CVN583" s="1"/>
      <c r="CVO583" s="1"/>
      <c r="CVP583" s="1"/>
      <c r="CVQ583" s="1"/>
      <c r="CVR583" s="1"/>
      <c r="CVS583" s="1"/>
      <c r="CVT583" s="1"/>
      <c r="CVU583" s="1"/>
      <c r="CVV583" s="1"/>
      <c r="CVW583" s="1"/>
      <c r="CVX583" s="1"/>
      <c r="CVY583" s="1"/>
      <c r="CVZ583" s="1"/>
      <c r="CWA583" s="1"/>
      <c r="CWB583" s="1"/>
      <c r="CWC583" s="1"/>
      <c r="CWD583" s="1"/>
      <c r="CWE583" s="1"/>
      <c r="CWF583" s="1"/>
      <c r="CWG583" s="1"/>
      <c r="CWH583" s="1"/>
      <c r="CWI583" s="1"/>
      <c r="CWJ583" s="1"/>
      <c r="CWK583" s="1"/>
      <c r="CWL583" s="1"/>
      <c r="CWM583" s="1"/>
      <c r="CWN583" s="1"/>
      <c r="CWO583" s="1"/>
      <c r="CWP583" s="1"/>
      <c r="CWQ583" s="1"/>
      <c r="CWR583" s="1"/>
      <c r="CWS583" s="1"/>
      <c r="CWT583" s="1"/>
      <c r="CWU583" s="1"/>
      <c r="CWV583" s="1"/>
      <c r="CWW583" s="1"/>
      <c r="CWX583" s="1"/>
      <c r="CWY583" s="1"/>
      <c r="CWZ583" s="1"/>
      <c r="CXA583" s="1"/>
      <c r="CXB583" s="1"/>
      <c r="CXC583" s="1"/>
      <c r="CXD583" s="1"/>
      <c r="CXE583" s="1"/>
      <c r="CXF583" s="1"/>
      <c r="CXG583" s="1"/>
      <c r="CXH583" s="1"/>
      <c r="CXI583" s="1"/>
      <c r="CXJ583" s="1"/>
      <c r="CXK583" s="1"/>
      <c r="CXL583" s="1"/>
      <c r="CXM583" s="1"/>
      <c r="CXN583" s="1"/>
      <c r="CXO583" s="1"/>
      <c r="CXP583" s="1"/>
      <c r="CXQ583" s="1"/>
      <c r="CXR583" s="1"/>
      <c r="CXS583" s="1"/>
      <c r="CXT583" s="1"/>
      <c r="CXU583" s="1"/>
      <c r="CXV583" s="1"/>
      <c r="CXW583" s="1"/>
      <c r="CXX583" s="1"/>
      <c r="CXY583" s="1"/>
      <c r="CXZ583" s="1"/>
      <c r="CYA583" s="1"/>
      <c r="CYB583" s="1"/>
      <c r="CYC583" s="1"/>
      <c r="CYD583" s="1"/>
      <c r="CYE583" s="1"/>
      <c r="CYF583" s="1"/>
      <c r="CYG583" s="1"/>
      <c r="CYH583" s="1"/>
      <c r="CYI583" s="1"/>
      <c r="CYJ583" s="1"/>
      <c r="CYK583" s="1"/>
      <c r="CYL583" s="1"/>
      <c r="CYM583" s="1"/>
      <c r="CYN583" s="1"/>
      <c r="CYO583" s="1"/>
      <c r="CYP583" s="1"/>
      <c r="CYQ583" s="1"/>
      <c r="CYR583" s="1"/>
      <c r="CYS583" s="1"/>
      <c r="CYT583" s="1"/>
      <c r="CYU583" s="1"/>
      <c r="CYV583" s="1"/>
      <c r="CYW583" s="1"/>
      <c r="CYX583" s="1"/>
      <c r="CYY583" s="1"/>
      <c r="CYZ583" s="1"/>
      <c r="CZA583" s="1"/>
      <c r="CZB583" s="1"/>
      <c r="CZC583" s="1"/>
      <c r="CZD583" s="1"/>
      <c r="CZE583" s="1"/>
      <c r="CZF583" s="1"/>
      <c r="CZG583" s="1"/>
      <c r="CZH583" s="1"/>
      <c r="CZI583" s="1"/>
      <c r="CZJ583" s="1"/>
      <c r="CZK583" s="1"/>
      <c r="CZL583" s="1"/>
      <c r="CZM583" s="1"/>
      <c r="CZN583" s="1"/>
      <c r="CZO583" s="1"/>
      <c r="CZP583" s="1"/>
      <c r="CZQ583" s="1"/>
      <c r="CZR583" s="1"/>
      <c r="CZS583" s="1"/>
      <c r="CZT583" s="1"/>
      <c r="CZU583" s="1"/>
      <c r="CZV583" s="1"/>
      <c r="CZW583" s="1"/>
      <c r="CZX583" s="1"/>
      <c r="CZY583" s="1"/>
      <c r="CZZ583" s="1"/>
      <c r="DAA583" s="1"/>
      <c r="DAB583" s="1"/>
      <c r="DAC583" s="1"/>
      <c r="DAD583" s="1"/>
      <c r="DAE583" s="1"/>
      <c r="DAF583" s="1"/>
      <c r="DAG583" s="1"/>
      <c r="DAH583" s="1"/>
      <c r="DAI583" s="1"/>
      <c r="DAJ583" s="1"/>
      <c r="DAK583" s="1"/>
      <c r="DAL583" s="1"/>
      <c r="DAM583" s="1"/>
      <c r="DAN583" s="1"/>
      <c r="DAO583" s="1"/>
      <c r="DAP583" s="1"/>
      <c r="DAQ583" s="1"/>
      <c r="DAR583" s="1"/>
      <c r="DAS583" s="1"/>
      <c r="DAT583" s="1"/>
      <c r="DAU583" s="1"/>
      <c r="DAV583" s="1"/>
      <c r="DAW583" s="1"/>
      <c r="DAX583" s="1"/>
      <c r="DAY583" s="1"/>
      <c r="DAZ583" s="1"/>
      <c r="DBA583" s="1"/>
      <c r="DBB583" s="1"/>
      <c r="DBC583" s="1"/>
      <c r="DBD583" s="1"/>
      <c r="DBE583" s="1"/>
      <c r="DBF583" s="1"/>
      <c r="DBG583" s="1"/>
      <c r="DBH583" s="1"/>
      <c r="DBI583" s="1"/>
      <c r="DBJ583" s="1"/>
      <c r="DBK583" s="1"/>
      <c r="DBL583" s="1"/>
      <c r="DBM583" s="1"/>
      <c r="DBN583" s="1"/>
      <c r="DBO583" s="1"/>
      <c r="DBP583" s="1"/>
      <c r="DBQ583" s="1"/>
      <c r="DBR583" s="1"/>
      <c r="DBS583" s="1"/>
      <c r="DBT583" s="1"/>
      <c r="DBU583" s="1"/>
      <c r="DBV583" s="1"/>
      <c r="DBW583" s="1"/>
      <c r="DBX583" s="1"/>
      <c r="DBY583" s="1"/>
      <c r="DBZ583" s="1"/>
      <c r="DCA583" s="1"/>
      <c r="DCB583" s="1"/>
      <c r="DCC583" s="1"/>
      <c r="DCD583" s="1"/>
      <c r="DCE583" s="1"/>
      <c r="DCF583" s="1"/>
      <c r="DCG583" s="1"/>
      <c r="DCH583" s="1"/>
      <c r="DCI583" s="1"/>
      <c r="DCJ583" s="1"/>
      <c r="DCK583" s="1"/>
      <c r="DCL583" s="1"/>
      <c r="DCM583" s="1"/>
      <c r="DCN583" s="1"/>
      <c r="DCO583" s="1"/>
      <c r="DCP583" s="1"/>
      <c r="DCQ583" s="1"/>
      <c r="DCR583" s="1"/>
      <c r="DCS583" s="1"/>
      <c r="DCT583" s="1"/>
      <c r="DCU583" s="1"/>
      <c r="DCV583" s="1"/>
      <c r="DCW583" s="1"/>
      <c r="DCX583" s="1"/>
      <c r="DCY583" s="1"/>
      <c r="DCZ583" s="1"/>
      <c r="DDA583" s="1"/>
      <c r="DDB583" s="1"/>
      <c r="DDC583" s="1"/>
      <c r="DDD583" s="1"/>
      <c r="DDE583" s="1"/>
      <c r="DDF583" s="1"/>
      <c r="DDG583" s="1"/>
      <c r="DDH583" s="1"/>
      <c r="DDI583" s="1"/>
      <c r="DDJ583" s="1"/>
      <c r="DDK583" s="1"/>
      <c r="DDL583" s="1"/>
      <c r="DDM583" s="1"/>
      <c r="DDN583" s="1"/>
      <c r="DDO583" s="1"/>
      <c r="DDP583" s="1"/>
      <c r="DDQ583" s="1"/>
      <c r="DDR583" s="1"/>
      <c r="DDS583" s="1"/>
      <c r="DDT583" s="1"/>
      <c r="DDU583" s="1"/>
      <c r="DDV583" s="1"/>
      <c r="DDW583" s="1"/>
      <c r="DDX583" s="1"/>
      <c r="DDY583" s="1"/>
      <c r="DDZ583" s="1"/>
      <c r="DEA583" s="1"/>
      <c r="DEB583" s="1"/>
      <c r="DEC583" s="1"/>
      <c r="DED583" s="1"/>
      <c r="DEE583" s="1"/>
      <c r="DEF583" s="1"/>
      <c r="DEG583" s="1"/>
      <c r="DEH583" s="1"/>
      <c r="DEI583" s="1"/>
      <c r="DEJ583" s="1"/>
      <c r="DEK583" s="1"/>
      <c r="DEL583" s="1"/>
      <c r="DEM583" s="1"/>
      <c r="DEN583" s="1"/>
      <c r="DEO583" s="1"/>
      <c r="DEP583" s="1"/>
      <c r="DEQ583" s="1"/>
      <c r="DER583" s="1"/>
      <c r="DES583" s="1"/>
      <c r="DET583" s="1"/>
      <c r="DEU583" s="1"/>
      <c r="DEV583" s="1"/>
      <c r="DEW583" s="1"/>
      <c r="DEX583" s="1"/>
      <c r="DEY583" s="1"/>
      <c r="DEZ583" s="1"/>
      <c r="DFA583" s="1"/>
      <c r="DFB583" s="1"/>
      <c r="DFC583" s="1"/>
      <c r="DFD583" s="1"/>
      <c r="DFE583" s="1"/>
      <c r="DFF583" s="1"/>
      <c r="DFG583" s="1"/>
      <c r="DFH583" s="1"/>
      <c r="DFI583" s="1"/>
      <c r="DFJ583" s="1"/>
      <c r="DFK583" s="1"/>
      <c r="DFL583" s="1"/>
      <c r="DFM583" s="1"/>
      <c r="DFN583" s="1"/>
      <c r="DFO583" s="1"/>
      <c r="DFP583" s="1"/>
      <c r="DFQ583" s="1"/>
      <c r="DFR583" s="1"/>
      <c r="DFS583" s="1"/>
      <c r="DFT583" s="1"/>
      <c r="DFU583" s="1"/>
      <c r="DFV583" s="1"/>
      <c r="DFW583" s="1"/>
      <c r="DFX583" s="1"/>
      <c r="DFY583" s="1"/>
      <c r="DFZ583" s="1"/>
      <c r="DGA583" s="1"/>
      <c r="DGB583" s="1"/>
      <c r="DGC583" s="1"/>
      <c r="DGD583" s="1"/>
      <c r="DGE583" s="1"/>
      <c r="DGF583" s="1"/>
      <c r="DGG583" s="1"/>
      <c r="DGH583" s="1"/>
      <c r="DGI583" s="1"/>
      <c r="DGJ583" s="1"/>
      <c r="DGK583" s="1"/>
      <c r="DGL583" s="1"/>
      <c r="DGM583" s="1"/>
      <c r="DGN583" s="1"/>
      <c r="DGO583" s="1"/>
      <c r="DGP583" s="1"/>
      <c r="DGQ583" s="1"/>
      <c r="DGR583" s="1"/>
      <c r="DGS583" s="1"/>
      <c r="DGT583" s="1"/>
      <c r="DGU583" s="1"/>
      <c r="DGV583" s="1"/>
      <c r="DGW583" s="1"/>
      <c r="DGX583" s="1"/>
      <c r="DGY583" s="1"/>
      <c r="DGZ583" s="1"/>
      <c r="DHA583" s="1"/>
      <c r="DHB583" s="1"/>
      <c r="DHC583" s="1"/>
      <c r="DHD583" s="1"/>
      <c r="DHE583" s="1"/>
      <c r="DHF583" s="1"/>
      <c r="DHG583" s="1"/>
      <c r="DHH583" s="1"/>
      <c r="DHI583" s="1"/>
      <c r="DHJ583" s="1"/>
      <c r="DHK583" s="1"/>
      <c r="DHL583" s="1"/>
      <c r="DHM583" s="1"/>
      <c r="DHN583" s="1"/>
      <c r="DHO583" s="1"/>
      <c r="DHP583" s="1"/>
      <c r="DHQ583" s="1"/>
      <c r="DHR583" s="1"/>
      <c r="DHS583" s="1"/>
      <c r="DHT583" s="1"/>
      <c r="DHU583" s="1"/>
      <c r="DHV583" s="1"/>
      <c r="DHW583" s="1"/>
      <c r="DHX583" s="1"/>
      <c r="DHY583" s="1"/>
      <c r="DHZ583" s="1"/>
      <c r="DIA583" s="1"/>
      <c r="DIB583" s="1"/>
      <c r="DIC583" s="1"/>
      <c r="DID583" s="1"/>
      <c r="DIE583" s="1"/>
      <c r="DIF583" s="1"/>
      <c r="DIG583" s="1"/>
      <c r="DIH583" s="1"/>
      <c r="DII583" s="1"/>
      <c r="DIJ583" s="1"/>
      <c r="DIK583" s="1"/>
      <c r="DIL583" s="1"/>
      <c r="DIM583" s="1"/>
      <c r="DIN583" s="1"/>
      <c r="DIO583" s="1"/>
      <c r="DIP583" s="1"/>
      <c r="DIQ583" s="1"/>
      <c r="DIR583" s="1"/>
      <c r="DIS583" s="1"/>
      <c r="DIT583" s="1"/>
      <c r="DIU583" s="1"/>
      <c r="DIV583" s="1"/>
      <c r="DIW583" s="1"/>
      <c r="DIX583" s="1"/>
      <c r="DIY583" s="1"/>
      <c r="DIZ583" s="1"/>
      <c r="DJA583" s="1"/>
      <c r="DJB583" s="1"/>
      <c r="DJC583" s="1"/>
      <c r="DJD583" s="1"/>
      <c r="DJE583" s="1"/>
      <c r="DJF583" s="1"/>
      <c r="DJG583" s="1"/>
      <c r="DJH583" s="1"/>
      <c r="DJI583" s="1"/>
      <c r="DJJ583" s="1"/>
      <c r="DJK583" s="1"/>
      <c r="DJL583" s="1"/>
      <c r="DJM583" s="1"/>
      <c r="DJN583" s="1"/>
      <c r="DJO583" s="1"/>
      <c r="DJP583" s="1"/>
      <c r="DJQ583" s="1"/>
      <c r="DJR583" s="1"/>
      <c r="DJS583" s="1"/>
      <c r="DJT583" s="1"/>
      <c r="DJU583" s="1"/>
      <c r="DJV583" s="1"/>
      <c r="DJW583" s="1"/>
      <c r="DJX583" s="1"/>
      <c r="DJY583" s="1"/>
      <c r="DJZ583" s="1"/>
      <c r="DKA583" s="1"/>
      <c r="DKB583" s="1"/>
      <c r="DKC583" s="1"/>
      <c r="DKD583" s="1"/>
      <c r="DKE583" s="1"/>
      <c r="DKF583" s="1"/>
      <c r="DKG583" s="1"/>
      <c r="DKH583" s="1"/>
      <c r="DKI583" s="1"/>
      <c r="DKJ583" s="1"/>
      <c r="DKK583" s="1"/>
      <c r="DKL583" s="1"/>
      <c r="DKM583" s="1"/>
      <c r="DKN583" s="1"/>
      <c r="DKO583" s="1"/>
      <c r="DKP583" s="1"/>
      <c r="DKQ583" s="1"/>
      <c r="DKR583" s="1"/>
      <c r="DKS583" s="1"/>
      <c r="DKT583" s="1"/>
      <c r="DKU583" s="1"/>
      <c r="DKV583" s="1"/>
      <c r="DKW583" s="1"/>
      <c r="DKX583" s="1"/>
      <c r="DKY583" s="1"/>
      <c r="DKZ583" s="1"/>
      <c r="DLA583" s="1"/>
      <c r="DLB583" s="1"/>
      <c r="DLC583" s="1"/>
      <c r="DLD583" s="1"/>
      <c r="DLE583" s="1"/>
      <c r="DLF583" s="1"/>
      <c r="DLG583" s="1"/>
      <c r="DLH583" s="1"/>
      <c r="DLI583" s="1"/>
      <c r="DLJ583" s="1"/>
      <c r="DLK583" s="1"/>
      <c r="DLL583" s="1"/>
      <c r="DLM583" s="1"/>
      <c r="DLN583" s="1"/>
      <c r="DLO583" s="1"/>
      <c r="DLP583" s="1"/>
      <c r="DLQ583" s="1"/>
      <c r="DLR583" s="1"/>
      <c r="DLS583" s="1"/>
      <c r="DLT583" s="1"/>
      <c r="DLU583" s="1"/>
      <c r="DLV583" s="1"/>
      <c r="DLW583" s="1"/>
      <c r="DLX583" s="1"/>
      <c r="DLY583" s="1"/>
      <c r="DLZ583" s="1"/>
      <c r="DMA583" s="1"/>
      <c r="DMB583" s="1"/>
      <c r="DMC583" s="1"/>
      <c r="DMD583" s="1"/>
      <c r="DME583" s="1"/>
      <c r="DMF583" s="1"/>
      <c r="DMG583" s="1"/>
      <c r="DMH583" s="1"/>
      <c r="DMI583" s="1"/>
      <c r="DMJ583" s="1"/>
      <c r="DMK583" s="1"/>
      <c r="DML583" s="1"/>
      <c r="DMM583" s="1"/>
      <c r="DMN583" s="1"/>
      <c r="DMO583" s="1"/>
      <c r="DMP583" s="1"/>
      <c r="DMQ583" s="1"/>
      <c r="DMR583" s="1"/>
      <c r="DMS583" s="1"/>
      <c r="DMT583" s="1"/>
      <c r="DMU583" s="1"/>
      <c r="DMV583" s="1"/>
      <c r="DMW583" s="1"/>
      <c r="DMX583" s="1"/>
      <c r="DMY583" s="1"/>
      <c r="DMZ583" s="1"/>
      <c r="DNA583" s="1"/>
      <c r="DNB583" s="1"/>
      <c r="DNC583" s="1"/>
      <c r="DND583" s="1"/>
      <c r="DNE583" s="1"/>
      <c r="DNF583" s="1"/>
      <c r="DNG583" s="1"/>
      <c r="DNH583" s="1"/>
      <c r="DNI583" s="1"/>
      <c r="DNJ583" s="1"/>
      <c r="DNK583" s="1"/>
      <c r="DNL583" s="1"/>
      <c r="DNM583" s="1"/>
      <c r="DNN583" s="1"/>
      <c r="DNO583" s="1"/>
      <c r="DNP583" s="1"/>
      <c r="DNQ583" s="1"/>
      <c r="DNR583" s="1"/>
      <c r="DNS583" s="1"/>
      <c r="DNT583" s="1"/>
      <c r="DNU583" s="1"/>
      <c r="DNV583" s="1"/>
      <c r="DNW583" s="1"/>
      <c r="DNX583" s="1"/>
      <c r="DNY583" s="1"/>
      <c r="DNZ583" s="1"/>
      <c r="DOA583" s="1"/>
      <c r="DOB583" s="1"/>
      <c r="DOC583" s="1"/>
      <c r="DOD583" s="1"/>
      <c r="DOE583" s="1"/>
      <c r="DOF583" s="1"/>
      <c r="DOG583" s="1"/>
      <c r="DOH583" s="1"/>
      <c r="DOI583" s="1"/>
      <c r="DOJ583" s="1"/>
      <c r="DOK583" s="1"/>
      <c r="DOL583" s="1"/>
      <c r="DOM583" s="1"/>
      <c r="DON583" s="1"/>
      <c r="DOO583" s="1"/>
      <c r="DOP583" s="1"/>
      <c r="DOQ583" s="1"/>
      <c r="DOR583" s="1"/>
      <c r="DOS583" s="1"/>
      <c r="DOT583" s="1"/>
      <c r="DOU583" s="1"/>
      <c r="DOV583" s="1"/>
      <c r="DOW583" s="1"/>
      <c r="DOX583" s="1"/>
      <c r="DOY583" s="1"/>
      <c r="DOZ583" s="1"/>
      <c r="DPA583" s="1"/>
      <c r="DPB583" s="1"/>
      <c r="DPC583" s="1"/>
      <c r="DPD583" s="1"/>
      <c r="DPE583" s="1"/>
      <c r="DPF583" s="1"/>
      <c r="DPG583" s="1"/>
      <c r="DPH583" s="1"/>
      <c r="DPI583" s="1"/>
      <c r="DPJ583" s="1"/>
      <c r="DPK583" s="1"/>
      <c r="DPL583" s="1"/>
      <c r="DPM583" s="1"/>
      <c r="DPN583" s="1"/>
      <c r="DPO583" s="1"/>
      <c r="DPP583" s="1"/>
      <c r="DPQ583" s="1"/>
      <c r="DPR583" s="1"/>
      <c r="DPS583" s="1"/>
      <c r="DPT583" s="1"/>
      <c r="DPU583" s="1"/>
      <c r="DPV583" s="1"/>
      <c r="DPW583" s="1"/>
      <c r="DPX583" s="1"/>
      <c r="DPY583" s="1"/>
      <c r="DPZ583" s="1"/>
      <c r="DQA583" s="1"/>
      <c r="DQB583" s="1"/>
      <c r="DQC583" s="1"/>
      <c r="DQD583" s="1"/>
      <c r="DQE583" s="1"/>
      <c r="DQF583" s="1"/>
      <c r="DQG583" s="1"/>
      <c r="DQH583" s="1"/>
      <c r="DQI583" s="1"/>
      <c r="DQJ583" s="1"/>
      <c r="DQK583" s="1"/>
      <c r="DQL583" s="1"/>
      <c r="DQM583" s="1"/>
      <c r="DQN583" s="1"/>
      <c r="DQO583" s="1"/>
      <c r="DQP583" s="1"/>
      <c r="DQQ583" s="1"/>
      <c r="DQR583" s="1"/>
      <c r="DQS583" s="1"/>
      <c r="DQT583" s="1"/>
      <c r="DQU583" s="1"/>
      <c r="DQV583" s="1"/>
      <c r="DQW583" s="1"/>
      <c r="DQX583" s="1"/>
      <c r="DQY583" s="1"/>
      <c r="DQZ583" s="1"/>
      <c r="DRA583" s="1"/>
      <c r="DRB583" s="1"/>
      <c r="DRC583" s="1"/>
      <c r="DRD583" s="1"/>
      <c r="DRE583" s="1"/>
      <c r="DRF583" s="1"/>
      <c r="DRG583" s="1"/>
      <c r="DRH583" s="1"/>
      <c r="DRI583" s="1"/>
      <c r="DRJ583" s="1"/>
      <c r="DRK583" s="1"/>
      <c r="DRL583" s="1"/>
      <c r="DRM583" s="1"/>
      <c r="DRN583" s="1"/>
      <c r="DRO583" s="1"/>
      <c r="DRP583" s="1"/>
      <c r="DRQ583" s="1"/>
      <c r="DRR583" s="1"/>
      <c r="DRS583" s="1"/>
      <c r="DRT583" s="1"/>
      <c r="DRU583" s="1"/>
      <c r="DRV583" s="1"/>
      <c r="DRW583" s="1"/>
      <c r="DRX583" s="1"/>
      <c r="DRY583" s="1"/>
      <c r="DRZ583" s="1"/>
      <c r="DSA583" s="1"/>
      <c r="DSB583" s="1"/>
      <c r="DSC583" s="1"/>
      <c r="DSD583" s="1"/>
      <c r="DSE583" s="1"/>
      <c r="DSF583" s="1"/>
      <c r="DSG583" s="1"/>
      <c r="DSH583" s="1"/>
      <c r="DSI583" s="1"/>
      <c r="DSJ583" s="1"/>
      <c r="DSK583" s="1"/>
      <c r="DSL583" s="1"/>
      <c r="DSM583" s="1"/>
      <c r="DSN583" s="1"/>
      <c r="DSO583" s="1"/>
      <c r="DSP583" s="1"/>
      <c r="DSQ583" s="1"/>
      <c r="DSR583" s="1"/>
      <c r="DSS583" s="1"/>
      <c r="DST583" s="1"/>
      <c r="DSU583" s="1"/>
      <c r="DSV583" s="1"/>
      <c r="DSW583" s="1"/>
      <c r="DSX583" s="1"/>
      <c r="DSY583" s="1"/>
      <c r="DSZ583" s="1"/>
      <c r="DTA583" s="1"/>
      <c r="DTB583" s="1"/>
      <c r="DTC583" s="1"/>
      <c r="DTD583" s="1"/>
      <c r="DTE583" s="1"/>
      <c r="DTF583" s="1"/>
      <c r="DTG583" s="1"/>
      <c r="DTH583" s="1"/>
      <c r="DTI583" s="1"/>
      <c r="DTJ583" s="1"/>
      <c r="DTK583" s="1"/>
      <c r="DTL583" s="1"/>
      <c r="DTM583" s="1"/>
      <c r="DTN583" s="1"/>
      <c r="DTO583" s="1"/>
      <c r="DTP583" s="1"/>
      <c r="DTQ583" s="1"/>
      <c r="DTR583" s="1"/>
      <c r="DTS583" s="1"/>
      <c r="DTT583" s="1"/>
      <c r="DTU583" s="1"/>
      <c r="DTV583" s="1"/>
      <c r="DTW583" s="1"/>
      <c r="DTX583" s="1"/>
      <c r="DTY583" s="1"/>
      <c r="DTZ583" s="1"/>
      <c r="DUA583" s="1"/>
      <c r="DUB583" s="1"/>
      <c r="DUC583" s="1"/>
      <c r="DUD583" s="1"/>
      <c r="DUE583" s="1"/>
      <c r="DUF583" s="1"/>
      <c r="DUG583" s="1"/>
      <c r="DUH583" s="1"/>
      <c r="DUI583" s="1"/>
      <c r="DUJ583" s="1"/>
      <c r="DUK583" s="1"/>
      <c r="DUL583" s="1"/>
      <c r="DUM583" s="1"/>
      <c r="DUN583" s="1"/>
      <c r="DUO583" s="1"/>
      <c r="DUP583" s="1"/>
      <c r="DUQ583" s="1"/>
      <c r="DUR583" s="1"/>
      <c r="DUS583" s="1"/>
      <c r="DUT583" s="1"/>
      <c r="DUU583" s="1"/>
      <c r="DUV583" s="1"/>
      <c r="DUW583" s="1"/>
      <c r="DUX583" s="1"/>
      <c r="DUY583" s="1"/>
      <c r="DUZ583" s="1"/>
      <c r="DVA583" s="1"/>
      <c r="DVB583" s="1"/>
      <c r="DVC583" s="1"/>
      <c r="DVD583" s="1"/>
      <c r="DVE583" s="1"/>
      <c r="DVF583" s="1"/>
      <c r="DVG583" s="1"/>
      <c r="DVH583" s="1"/>
      <c r="DVI583" s="1"/>
      <c r="DVJ583" s="1"/>
      <c r="DVK583" s="1"/>
      <c r="DVL583" s="1"/>
      <c r="DVM583" s="1"/>
      <c r="DVN583" s="1"/>
      <c r="DVO583" s="1"/>
      <c r="DVP583" s="1"/>
      <c r="DVQ583" s="1"/>
      <c r="DVR583" s="1"/>
      <c r="DVS583" s="1"/>
      <c r="DVT583" s="1"/>
      <c r="DVU583" s="1"/>
      <c r="DVV583" s="1"/>
      <c r="DVW583" s="1"/>
      <c r="DVX583" s="1"/>
      <c r="DVY583" s="1"/>
      <c r="DVZ583" s="1"/>
      <c r="DWA583" s="1"/>
      <c r="DWB583" s="1"/>
      <c r="DWC583" s="1"/>
      <c r="DWD583" s="1"/>
      <c r="DWE583" s="1"/>
      <c r="DWF583" s="1"/>
      <c r="DWG583" s="1"/>
      <c r="DWH583" s="1"/>
      <c r="DWI583" s="1"/>
      <c r="DWJ583" s="1"/>
      <c r="DWK583" s="1"/>
      <c r="DWL583" s="1"/>
      <c r="DWM583" s="1"/>
      <c r="DWN583" s="1"/>
      <c r="DWO583" s="1"/>
      <c r="DWP583" s="1"/>
      <c r="DWQ583" s="1"/>
      <c r="DWR583" s="1"/>
      <c r="DWS583" s="1"/>
      <c r="DWT583" s="1"/>
      <c r="DWU583" s="1"/>
      <c r="DWV583" s="1"/>
      <c r="DWW583" s="1"/>
      <c r="DWX583" s="1"/>
      <c r="DWY583" s="1"/>
      <c r="DWZ583" s="1"/>
      <c r="DXA583" s="1"/>
      <c r="DXB583" s="1"/>
      <c r="DXC583" s="1"/>
      <c r="DXD583" s="1"/>
      <c r="DXE583" s="1"/>
      <c r="DXF583" s="1"/>
      <c r="DXG583" s="1"/>
      <c r="DXH583" s="1"/>
      <c r="DXI583" s="1"/>
      <c r="DXJ583" s="1"/>
      <c r="DXK583" s="1"/>
      <c r="DXL583" s="1"/>
      <c r="DXM583" s="1"/>
      <c r="DXN583" s="1"/>
      <c r="DXO583" s="1"/>
      <c r="DXP583" s="1"/>
      <c r="DXQ583" s="1"/>
      <c r="DXR583" s="1"/>
      <c r="DXS583" s="1"/>
      <c r="DXT583" s="1"/>
      <c r="DXU583" s="1"/>
      <c r="DXV583" s="1"/>
      <c r="DXW583" s="1"/>
      <c r="DXX583" s="1"/>
      <c r="DXY583" s="1"/>
      <c r="DXZ583" s="1"/>
      <c r="DYA583" s="1"/>
      <c r="DYB583" s="1"/>
      <c r="DYC583" s="1"/>
      <c r="DYD583" s="1"/>
      <c r="DYE583" s="1"/>
      <c r="DYF583" s="1"/>
      <c r="DYG583" s="1"/>
      <c r="DYH583" s="1"/>
      <c r="DYI583" s="1"/>
      <c r="DYJ583" s="1"/>
      <c r="DYK583" s="1"/>
      <c r="DYL583" s="1"/>
      <c r="DYM583" s="1"/>
      <c r="DYN583" s="1"/>
      <c r="DYO583" s="1"/>
      <c r="DYP583" s="1"/>
      <c r="DYQ583" s="1"/>
      <c r="DYR583" s="1"/>
      <c r="DYS583" s="1"/>
      <c r="DYT583" s="1"/>
      <c r="DYU583" s="1"/>
      <c r="DYV583" s="1"/>
      <c r="DYW583" s="1"/>
      <c r="DYX583" s="1"/>
      <c r="DYY583" s="1"/>
      <c r="DYZ583" s="1"/>
      <c r="DZA583" s="1"/>
      <c r="DZB583" s="1"/>
      <c r="DZC583" s="1"/>
      <c r="DZD583" s="1"/>
      <c r="DZE583" s="1"/>
      <c r="DZF583" s="1"/>
      <c r="DZG583" s="1"/>
      <c r="DZH583" s="1"/>
      <c r="DZI583" s="1"/>
      <c r="DZJ583" s="1"/>
      <c r="DZK583" s="1"/>
      <c r="DZL583" s="1"/>
      <c r="DZM583" s="1"/>
      <c r="DZN583" s="1"/>
      <c r="DZO583" s="1"/>
      <c r="DZP583" s="1"/>
      <c r="DZQ583" s="1"/>
      <c r="DZR583" s="1"/>
      <c r="DZS583" s="1"/>
      <c r="DZT583" s="1"/>
      <c r="DZU583" s="1"/>
      <c r="DZV583" s="1"/>
      <c r="DZW583" s="1"/>
      <c r="DZX583" s="1"/>
      <c r="DZY583" s="1"/>
      <c r="DZZ583" s="1"/>
      <c r="EAA583" s="1"/>
      <c r="EAB583" s="1"/>
      <c r="EAC583" s="1"/>
      <c r="EAD583" s="1"/>
      <c r="EAE583" s="1"/>
      <c r="EAF583" s="1"/>
      <c r="EAG583" s="1"/>
      <c r="EAH583" s="1"/>
      <c r="EAI583" s="1"/>
      <c r="EAJ583" s="1"/>
      <c r="EAK583" s="1"/>
      <c r="EAL583" s="1"/>
      <c r="EAM583" s="1"/>
      <c r="EAN583" s="1"/>
      <c r="EAO583" s="1"/>
      <c r="EAP583" s="1"/>
      <c r="EAQ583" s="1"/>
      <c r="EAR583" s="1"/>
      <c r="EAS583" s="1"/>
      <c r="EAT583" s="1"/>
      <c r="EAU583" s="1"/>
      <c r="EAV583" s="1"/>
      <c r="EAW583" s="1"/>
      <c r="EAX583" s="1"/>
      <c r="EAY583" s="1"/>
      <c r="EAZ583" s="1"/>
      <c r="EBA583" s="1"/>
      <c r="EBB583" s="1"/>
      <c r="EBC583" s="1"/>
      <c r="EBD583" s="1"/>
      <c r="EBE583" s="1"/>
      <c r="EBF583" s="1"/>
      <c r="EBG583" s="1"/>
      <c r="EBH583" s="1"/>
      <c r="EBI583" s="1"/>
      <c r="EBJ583" s="1"/>
      <c r="EBK583" s="1"/>
      <c r="EBL583" s="1"/>
      <c r="EBM583" s="1"/>
      <c r="EBN583" s="1"/>
      <c r="EBO583" s="1"/>
      <c r="EBP583" s="1"/>
      <c r="EBQ583" s="1"/>
      <c r="EBR583" s="1"/>
      <c r="EBS583" s="1"/>
      <c r="EBT583" s="1"/>
      <c r="EBU583" s="1"/>
      <c r="EBV583" s="1"/>
      <c r="EBW583" s="1"/>
      <c r="EBX583" s="1"/>
      <c r="EBY583" s="1"/>
      <c r="EBZ583" s="1"/>
      <c r="ECA583" s="1"/>
      <c r="ECB583" s="1"/>
      <c r="ECC583" s="1"/>
      <c r="ECD583" s="1"/>
      <c r="ECE583" s="1"/>
      <c r="ECF583" s="1"/>
      <c r="ECG583" s="1"/>
      <c r="ECH583" s="1"/>
      <c r="ECI583" s="1"/>
      <c r="ECJ583" s="1"/>
      <c r="ECK583" s="1"/>
      <c r="ECL583" s="1"/>
      <c r="ECM583" s="1"/>
      <c r="ECN583" s="1"/>
      <c r="ECO583" s="1"/>
      <c r="ECP583" s="1"/>
      <c r="ECQ583" s="1"/>
      <c r="ECR583" s="1"/>
      <c r="ECS583" s="1"/>
      <c r="ECT583" s="1"/>
      <c r="ECU583" s="1"/>
      <c r="ECV583" s="1"/>
      <c r="ECW583" s="1"/>
      <c r="ECX583" s="1"/>
      <c r="ECY583" s="1"/>
      <c r="ECZ583" s="1"/>
      <c r="EDA583" s="1"/>
      <c r="EDB583" s="1"/>
      <c r="EDC583" s="1"/>
      <c r="EDD583" s="1"/>
      <c r="EDE583" s="1"/>
      <c r="EDF583" s="1"/>
      <c r="EDG583" s="1"/>
      <c r="EDH583" s="1"/>
      <c r="EDI583" s="1"/>
      <c r="EDJ583" s="1"/>
      <c r="EDK583" s="1"/>
      <c r="EDL583" s="1"/>
      <c r="EDM583" s="1"/>
      <c r="EDN583" s="1"/>
      <c r="EDO583" s="1"/>
      <c r="EDP583" s="1"/>
      <c r="EDQ583" s="1"/>
      <c r="EDR583" s="1"/>
      <c r="EDS583" s="1"/>
      <c r="EDT583" s="1"/>
      <c r="EDU583" s="1"/>
      <c r="EDV583" s="1"/>
      <c r="EDW583" s="1"/>
      <c r="EDX583" s="1"/>
      <c r="EDY583" s="1"/>
      <c r="EDZ583" s="1"/>
      <c r="EEA583" s="1"/>
      <c r="EEB583" s="1"/>
      <c r="EEC583" s="1"/>
      <c r="EED583" s="1"/>
      <c r="EEE583" s="1"/>
      <c r="EEF583" s="1"/>
      <c r="EEG583" s="1"/>
      <c r="EEH583" s="1"/>
      <c r="EEI583" s="1"/>
      <c r="EEJ583" s="1"/>
      <c r="EEK583" s="1"/>
      <c r="EEL583" s="1"/>
      <c r="EEM583" s="1"/>
      <c r="EEN583" s="1"/>
      <c r="EEO583" s="1"/>
      <c r="EEP583" s="1"/>
      <c r="EEQ583" s="1"/>
      <c r="EER583" s="1"/>
      <c r="EES583" s="1"/>
      <c r="EET583" s="1"/>
      <c r="EEU583" s="1"/>
      <c r="EEV583" s="1"/>
      <c r="EEW583" s="1"/>
      <c r="EEX583" s="1"/>
      <c r="EEY583" s="1"/>
      <c r="EEZ583" s="1"/>
      <c r="EFA583" s="1"/>
      <c r="EFB583" s="1"/>
      <c r="EFC583" s="1"/>
      <c r="EFD583" s="1"/>
      <c r="EFE583" s="1"/>
      <c r="EFF583" s="1"/>
      <c r="EFG583" s="1"/>
      <c r="EFH583" s="1"/>
      <c r="EFI583" s="1"/>
      <c r="EFJ583" s="1"/>
      <c r="EFK583" s="1"/>
      <c r="EFL583" s="1"/>
      <c r="EFM583" s="1"/>
      <c r="EFN583" s="1"/>
      <c r="EFO583" s="1"/>
      <c r="EFP583" s="1"/>
      <c r="EFQ583" s="1"/>
      <c r="EFR583" s="1"/>
      <c r="EFS583" s="1"/>
      <c r="EFT583" s="1"/>
      <c r="EFU583" s="1"/>
      <c r="EFV583" s="1"/>
      <c r="EFW583" s="1"/>
      <c r="EFX583" s="1"/>
      <c r="EFY583" s="1"/>
      <c r="EFZ583" s="1"/>
      <c r="EGA583" s="1"/>
      <c r="EGB583" s="1"/>
      <c r="EGC583" s="1"/>
      <c r="EGD583" s="1"/>
      <c r="EGE583" s="1"/>
      <c r="EGF583" s="1"/>
      <c r="EGG583" s="1"/>
      <c r="EGH583" s="1"/>
      <c r="EGI583" s="1"/>
      <c r="EGJ583" s="1"/>
      <c r="EGK583" s="1"/>
      <c r="EGL583" s="1"/>
      <c r="EGM583" s="1"/>
      <c r="EGN583" s="1"/>
      <c r="EGO583" s="1"/>
      <c r="EGP583" s="1"/>
      <c r="EGQ583" s="1"/>
      <c r="EGR583" s="1"/>
      <c r="EGS583" s="1"/>
      <c r="EGT583" s="1"/>
      <c r="EGU583" s="1"/>
      <c r="EGV583" s="1"/>
      <c r="EGW583" s="1"/>
      <c r="EGX583" s="1"/>
      <c r="EGY583" s="1"/>
      <c r="EGZ583" s="1"/>
      <c r="EHA583" s="1"/>
      <c r="EHB583" s="1"/>
      <c r="EHC583" s="1"/>
      <c r="EHD583" s="1"/>
      <c r="EHE583" s="1"/>
      <c r="EHF583" s="1"/>
      <c r="EHG583" s="1"/>
      <c r="EHH583" s="1"/>
      <c r="EHI583" s="1"/>
      <c r="EHJ583" s="1"/>
      <c r="EHK583" s="1"/>
      <c r="EHL583" s="1"/>
      <c r="EHM583" s="1"/>
      <c r="EHN583" s="1"/>
      <c r="EHO583" s="1"/>
      <c r="EHP583" s="1"/>
      <c r="EHQ583" s="1"/>
      <c r="EHR583" s="1"/>
      <c r="EHS583" s="1"/>
      <c r="EHT583" s="1"/>
      <c r="EHU583" s="1"/>
      <c r="EHV583" s="1"/>
      <c r="EHW583" s="1"/>
      <c r="EHX583" s="1"/>
      <c r="EHY583" s="1"/>
      <c r="EHZ583" s="1"/>
      <c r="EIA583" s="1"/>
      <c r="EIB583" s="1"/>
      <c r="EIC583" s="1"/>
      <c r="EID583" s="1"/>
      <c r="EIE583" s="1"/>
      <c r="EIF583" s="1"/>
      <c r="EIG583" s="1"/>
      <c r="EIH583" s="1"/>
      <c r="EII583" s="1"/>
      <c r="EIJ583" s="1"/>
      <c r="EIK583" s="1"/>
      <c r="EIL583" s="1"/>
      <c r="EIM583" s="1"/>
      <c r="EIN583" s="1"/>
      <c r="EIO583" s="1"/>
      <c r="EIP583" s="1"/>
      <c r="EIQ583" s="1"/>
      <c r="EIR583" s="1"/>
      <c r="EIS583" s="1"/>
      <c r="EIT583" s="1"/>
      <c r="EIU583" s="1"/>
      <c r="EIV583" s="1"/>
      <c r="EIW583" s="1"/>
      <c r="EIX583" s="1"/>
      <c r="EIY583" s="1"/>
      <c r="EIZ583" s="1"/>
      <c r="EJA583" s="1"/>
      <c r="EJB583" s="1"/>
      <c r="EJC583" s="1"/>
      <c r="EJD583" s="1"/>
      <c r="EJE583" s="1"/>
      <c r="EJF583" s="1"/>
      <c r="EJG583" s="1"/>
      <c r="EJH583" s="1"/>
      <c r="EJI583" s="1"/>
      <c r="EJJ583" s="1"/>
      <c r="EJK583" s="1"/>
      <c r="EJL583" s="1"/>
      <c r="EJM583" s="1"/>
      <c r="EJN583" s="1"/>
      <c r="EJO583" s="1"/>
      <c r="EJP583" s="1"/>
      <c r="EJQ583" s="1"/>
      <c r="EJR583" s="1"/>
      <c r="EJS583" s="1"/>
      <c r="EJT583" s="1"/>
      <c r="EJU583" s="1"/>
      <c r="EJV583" s="1"/>
      <c r="EJW583" s="1"/>
      <c r="EJX583" s="1"/>
      <c r="EJY583" s="1"/>
      <c r="EJZ583" s="1"/>
      <c r="EKA583" s="1"/>
      <c r="EKB583" s="1"/>
      <c r="EKC583" s="1"/>
      <c r="EKD583" s="1"/>
      <c r="EKE583" s="1"/>
      <c r="EKF583" s="1"/>
      <c r="EKG583" s="1"/>
      <c r="EKH583" s="1"/>
      <c r="EKI583" s="1"/>
      <c r="EKJ583" s="1"/>
      <c r="EKK583" s="1"/>
      <c r="EKL583" s="1"/>
      <c r="EKM583" s="1"/>
      <c r="EKN583" s="1"/>
      <c r="EKO583" s="1"/>
      <c r="EKP583" s="1"/>
      <c r="EKQ583" s="1"/>
      <c r="EKR583" s="1"/>
      <c r="EKS583" s="1"/>
      <c r="EKT583" s="1"/>
      <c r="EKU583" s="1"/>
      <c r="EKV583" s="1"/>
      <c r="EKW583" s="1"/>
      <c r="EKX583" s="1"/>
      <c r="EKY583" s="1"/>
      <c r="EKZ583" s="1"/>
      <c r="ELA583" s="1"/>
      <c r="ELB583" s="1"/>
      <c r="ELC583" s="1"/>
      <c r="ELD583" s="1"/>
      <c r="ELE583" s="1"/>
      <c r="ELF583" s="1"/>
      <c r="ELG583" s="1"/>
      <c r="ELH583" s="1"/>
      <c r="ELI583" s="1"/>
      <c r="ELJ583" s="1"/>
      <c r="ELK583" s="1"/>
      <c r="ELL583" s="1"/>
      <c r="ELM583" s="1"/>
      <c r="ELN583" s="1"/>
      <c r="ELO583" s="1"/>
      <c r="ELP583" s="1"/>
      <c r="ELQ583" s="1"/>
      <c r="ELR583" s="1"/>
      <c r="ELS583" s="1"/>
      <c r="ELT583" s="1"/>
      <c r="ELU583" s="1"/>
      <c r="ELV583" s="1"/>
      <c r="ELW583" s="1"/>
      <c r="ELX583" s="1"/>
      <c r="ELY583" s="1"/>
      <c r="ELZ583" s="1"/>
      <c r="EMA583" s="1"/>
      <c r="EMB583" s="1"/>
      <c r="EMC583" s="1"/>
      <c r="EMD583" s="1"/>
      <c r="EME583" s="1"/>
      <c r="EMF583" s="1"/>
      <c r="EMG583" s="1"/>
      <c r="EMH583" s="1"/>
      <c r="EMI583" s="1"/>
      <c r="EMJ583" s="1"/>
      <c r="EMK583" s="1"/>
      <c r="EML583" s="1"/>
      <c r="EMM583" s="1"/>
      <c r="EMN583" s="1"/>
      <c r="EMO583" s="1"/>
      <c r="EMP583" s="1"/>
      <c r="EMQ583" s="1"/>
      <c r="EMR583" s="1"/>
      <c r="EMS583" s="1"/>
      <c r="EMT583" s="1"/>
      <c r="EMU583" s="1"/>
      <c r="EMV583" s="1"/>
      <c r="EMW583" s="1"/>
      <c r="EMX583" s="1"/>
      <c r="EMY583" s="1"/>
      <c r="EMZ583" s="1"/>
      <c r="ENA583" s="1"/>
      <c r="ENB583" s="1"/>
      <c r="ENC583" s="1"/>
      <c r="END583" s="1"/>
      <c r="ENE583" s="1"/>
      <c r="ENF583" s="1"/>
      <c r="ENG583" s="1"/>
      <c r="ENH583" s="1"/>
      <c r="ENI583" s="1"/>
      <c r="ENJ583" s="1"/>
      <c r="ENK583" s="1"/>
      <c r="ENL583" s="1"/>
      <c r="ENM583" s="1"/>
      <c r="ENN583" s="1"/>
      <c r="ENO583" s="1"/>
      <c r="ENP583" s="1"/>
      <c r="ENQ583" s="1"/>
      <c r="ENR583" s="1"/>
      <c r="ENS583" s="1"/>
      <c r="ENT583" s="1"/>
      <c r="ENU583" s="1"/>
      <c r="ENV583" s="1"/>
      <c r="ENW583" s="1"/>
      <c r="ENX583" s="1"/>
      <c r="ENY583" s="1"/>
      <c r="ENZ583" s="1"/>
      <c r="EOA583" s="1"/>
      <c r="EOB583" s="1"/>
      <c r="EOC583" s="1"/>
      <c r="EOD583" s="1"/>
      <c r="EOE583" s="1"/>
      <c r="EOF583" s="1"/>
      <c r="EOG583" s="1"/>
      <c r="EOH583" s="1"/>
      <c r="EOI583" s="1"/>
      <c r="EOJ583" s="1"/>
      <c r="EOK583" s="1"/>
      <c r="EOL583" s="1"/>
      <c r="EOM583" s="1"/>
      <c r="EON583" s="1"/>
      <c r="EOO583" s="1"/>
      <c r="EOP583" s="1"/>
      <c r="EOQ583" s="1"/>
      <c r="EOR583" s="1"/>
      <c r="EOS583" s="1"/>
      <c r="EOT583" s="1"/>
      <c r="EOU583" s="1"/>
      <c r="EOV583" s="1"/>
      <c r="EOW583" s="1"/>
      <c r="EOX583" s="1"/>
      <c r="EOY583" s="1"/>
      <c r="EOZ583" s="1"/>
      <c r="EPA583" s="1"/>
      <c r="EPB583" s="1"/>
      <c r="EPC583" s="1"/>
      <c r="EPD583" s="1"/>
      <c r="EPE583" s="1"/>
      <c r="EPF583" s="1"/>
      <c r="EPG583" s="1"/>
      <c r="EPH583" s="1"/>
      <c r="EPI583" s="1"/>
      <c r="EPJ583" s="1"/>
      <c r="EPK583" s="1"/>
      <c r="EPL583" s="1"/>
      <c r="EPM583" s="1"/>
      <c r="EPN583" s="1"/>
      <c r="EPO583" s="1"/>
      <c r="EPP583" s="1"/>
      <c r="EPQ583" s="1"/>
      <c r="EPR583" s="1"/>
      <c r="EPS583" s="1"/>
      <c r="EPT583" s="1"/>
      <c r="EPU583" s="1"/>
      <c r="EPV583" s="1"/>
      <c r="EPW583" s="1"/>
      <c r="EPX583" s="1"/>
      <c r="EPY583" s="1"/>
      <c r="EPZ583" s="1"/>
      <c r="EQA583" s="1"/>
      <c r="EQB583" s="1"/>
      <c r="EQC583" s="1"/>
      <c r="EQD583" s="1"/>
      <c r="EQE583" s="1"/>
      <c r="EQF583" s="1"/>
      <c r="EQG583" s="1"/>
      <c r="EQH583" s="1"/>
      <c r="EQI583" s="1"/>
      <c r="EQJ583" s="1"/>
      <c r="EQK583" s="1"/>
      <c r="EQL583" s="1"/>
      <c r="EQM583" s="1"/>
      <c r="EQN583" s="1"/>
      <c r="EQO583" s="1"/>
      <c r="EQP583" s="1"/>
      <c r="EQQ583" s="1"/>
      <c r="EQR583" s="1"/>
      <c r="EQS583" s="1"/>
      <c r="EQT583" s="1"/>
      <c r="EQU583" s="1"/>
      <c r="EQV583" s="1"/>
      <c r="EQW583" s="1"/>
      <c r="EQX583" s="1"/>
      <c r="EQY583" s="1"/>
      <c r="EQZ583" s="1"/>
      <c r="ERA583" s="1"/>
      <c r="ERB583" s="1"/>
      <c r="ERC583" s="1"/>
      <c r="ERD583" s="1"/>
      <c r="ERE583" s="1"/>
      <c r="ERF583" s="1"/>
      <c r="ERG583" s="1"/>
      <c r="ERH583" s="1"/>
      <c r="ERI583" s="1"/>
      <c r="ERJ583" s="1"/>
      <c r="ERK583" s="1"/>
      <c r="ERL583" s="1"/>
      <c r="ERM583" s="1"/>
      <c r="ERN583" s="1"/>
      <c r="ERO583" s="1"/>
      <c r="ERP583" s="1"/>
      <c r="ERQ583" s="1"/>
      <c r="ERR583" s="1"/>
      <c r="ERS583" s="1"/>
      <c r="ERT583" s="1"/>
      <c r="ERU583" s="1"/>
      <c r="ERV583" s="1"/>
      <c r="ERW583" s="1"/>
      <c r="ERX583" s="1"/>
      <c r="ERY583" s="1"/>
      <c r="ERZ583" s="1"/>
      <c r="ESA583" s="1"/>
      <c r="ESB583" s="1"/>
      <c r="ESC583" s="1"/>
      <c r="ESD583" s="1"/>
      <c r="ESE583" s="1"/>
      <c r="ESF583" s="1"/>
      <c r="ESG583" s="1"/>
      <c r="ESH583" s="1"/>
      <c r="ESI583" s="1"/>
      <c r="ESJ583" s="1"/>
      <c r="ESK583" s="1"/>
      <c r="ESL583" s="1"/>
      <c r="ESM583" s="1"/>
      <c r="ESN583" s="1"/>
      <c r="ESO583" s="1"/>
      <c r="ESP583" s="1"/>
      <c r="ESQ583" s="1"/>
      <c r="ESR583" s="1"/>
      <c r="ESS583" s="1"/>
      <c r="EST583" s="1"/>
      <c r="ESU583" s="1"/>
      <c r="ESV583" s="1"/>
      <c r="ESW583" s="1"/>
      <c r="ESX583" s="1"/>
      <c r="ESY583" s="1"/>
      <c r="ESZ583" s="1"/>
      <c r="ETA583" s="1"/>
      <c r="ETB583" s="1"/>
      <c r="ETC583" s="1"/>
      <c r="ETD583" s="1"/>
      <c r="ETE583" s="1"/>
      <c r="ETF583" s="1"/>
      <c r="ETG583" s="1"/>
      <c r="ETH583" s="1"/>
      <c r="ETI583" s="1"/>
      <c r="ETJ583" s="1"/>
      <c r="ETK583" s="1"/>
      <c r="ETL583" s="1"/>
      <c r="ETM583" s="1"/>
      <c r="ETN583" s="1"/>
      <c r="ETO583" s="1"/>
      <c r="ETP583" s="1"/>
      <c r="ETQ583" s="1"/>
      <c r="ETR583" s="1"/>
      <c r="ETS583" s="1"/>
      <c r="ETT583" s="1"/>
      <c r="ETU583" s="1"/>
      <c r="ETV583" s="1"/>
      <c r="ETW583" s="1"/>
      <c r="ETX583" s="1"/>
      <c r="ETY583" s="1"/>
      <c r="ETZ583" s="1"/>
      <c r="EUA583" s="1"/>
      <c r="EUB583" s="1"/>
      <c r="EUC583" s="1"/>
      <c r="EUD583" s="1"/>
      <c r="EUE583" s="1"/>
      <c r="EUF583" s="1"/>
      <c r="EUG583" s="1"/>
      <c r="EUH583" s="1"/>
      <c r="EUI583" s="1"/>
      <c r="EUJ583" s="1"/>
      <c r="EUK583" s="1"/>
      <c r="EUL583" s="1"/>
      <c r="EUM583" s="1"/>
      <c r="EUN583" s="1"/>
      <c r="EUO583" s="1"/>
      <c r="EUP583" s="1"/>
      <c r="EUQ583" s="1"/>
      <c r="EUR583" s="1"/>
      <c r="EUS583" s="1"/>
      <c r="EUT583" s="1"/>
      <c r="EUU583" s="1"/>
      <c r="EUV583" s="1"/>
      <c r="EUW583" s="1"/>
      <c r="EUX583" s="1"/>
      <c r="EUY583" s="1"/>
      <c r="EUZ583" s="1"/>
      <c r="EVA583" s="1"/>
      <c r="EVB583" s="1"/>
      <c r="EVC583" s="1"/>
      <c r="EVD583" s="1"/>
      <c r="EVE583" s="1"/>
      <c r="EVF583" s="1"/>
      <c r="EVG583" s="1"/>
      <c r="EVH583" s="1"/>
      <c r="EVI583" s="1"/>
      <c r="EVJ583" s="1"/>
      <c r="EVK583" s="1"/>
      <c r="EVL583" s="1"/>
      <c r="EVM583" s="1"/>
      <c r="EVN583" s="1"/>
      <c r="EVO583" s="1"/>
      <c r="EVP583" s="1"/>
      <c r="EVQ583" s="1"/>
      <c r="EVR583" s="1"/>
      <c r="EVS583" s="1"/>
      <c r="EVT583" s="1"/>
      <c r="EVU583" s="1"/>
      <c r="EVV583" s="1"/>
      <c r="EVW583" s="1"/>
      <c r="EVX583" s="1"/>
      <c r="EVY583" s="1"/>
      <c r="EVZ583" s="1"/>
      <c r="EWA583" s="1"/>
      <c r="EWB583" s="1"/>
      <c r="EWC583" s="1"/>
      <c r="EWD583" s="1"/>
      <c r="EWE583" s="1"/>
      <c r="EWF583" s="1"/>
      <c r="EWG583" s="1"/>
      <c r="EWH583" s="1"/>
      <c r="EWI583" s="1"/>
      <c r="EWJ583" s="1"/>
      <c r="EWK583" s="1"/>
      <c r="EWL583" s="1"/>
      <c r="EWM583" s="1"/>
      <c r="EWN583" s="1"/>
      <c r="EWO583" s="1"/>
      <c r="EWP583" s="1"/>
      <c r="EWQ583" s="1"/>
      <c r="EWR583" s="1"/>
      <c r="EWS583" s="1"/>
      <c r="EWT583" s="1"/>
      <c r="EWU583" s="1"/>
      <c r="EWV583" s="1"/>
      <c r="EWW583" s="1"/>
      <c r="EWX583" s="1"/>
      <c r="EWY583" s="1"/>
      <c r="EWZ583" s="1"/>
      <c r="EXA583" s="1"/>
      <c r="EXB583" s="1"/>
      <c r="EXC583" s="1"/>
      <c r="EXD583" s="1"/>
      <c r="EXE583" s="1"/>
      <c r="EXF583" s="1"/>
      <c r="EXG583" s="1"/>
      <c r="EXH583" s="1"/>
      <c r="EXI583" s="1"/>
      <c r="EXJ583" s="1"/>
      <c r="EXK583" s="1"/>
      <c r="EXL583" s="1"/>
      <c r="EXM583" s="1"/>
      <c r="EXN583" s="1"/>
      <c r="EXO583" s="1"/>
      <c r="EXP583" s="1"/>
      <c r="EXQ583" s="1"/>
      <c r="EXR583" s="1"/>
      <c r="EXS583" s="1"/>
      <c r="EXT583" s="1"/>
      <c r="EXU583" s="1"/>
      <c r="EXV583" s="1"/>
      <c r="EXW583" s="1"/>
      <c r="EXX583" s="1"/>
      <c r="EXY583" s="1"/>
      <c r="EXZ583" s="1"/>
      <c r="EYA583" s="1"/>
      <c r="EYB583" s="1"/>
      <c r="EYC583" s="1"/>
      <c r="EYD583" s="1"/>
      <c r="EYE583" s="1"/>
      <c r="EYF583" s="1"/>
      <c r="EYG583" s="1"/>
      <c r="EYH583" s="1"/>
      <c r="EYI583" s="1"/>
      <c r="EYJ583" s="1"/>
      <c r="EYK583" s="1"/>
      <c r="EYL583" s="1"/>
      <c r="EYM583" s="1"/>
      <c r="EYN583" s="1"/>
      <c r="EYO583" s="1"/>
      <c r="EYP583" s="1"/>
      <c r="EYQ583" s="1"/>
      <c r="EYR583" s="1"/>
      <c r="EYS583" s="1"/>
      <c r="EYT583" s="1"/>
      <c r="EYU583" s="1"/>
      <c r="EYV583" s="1"/>
      <c r="EYW583" s="1"/>
      <c r="EYX583" s="1"/>
      <c r="EYY583" s="1"/>
      <c r="EYZ583" s="1"/>
      <c r="EZA583" s="1"/>
      <c r="EZB583" s="1"/>
      <c r="EZC583" s="1"/>
      <c r="EZD583" s="1"/>
      <c r="EZE583" s="1"/>
      <c r="EZF583" s="1"/>
      <c r="EZG583" s="1"/>
      <c r="EZH583" s="1"/>
      <c r="EZI583" s="1"/>
      <c r="EZJ583" s="1"/>
      <c r="EZK583" s="1"/>
      <c r="EZL583" s="1"/>
      <c r="EZM583" s="1"/>
      <c r="EZN583" s="1"/>
      <c r="EZO583" s="1"/>
      <c r="EZP583" s="1"/>
      <c r="EZQ583" s="1"/>
      <c r="EZR583" s="1"/>
      <c r="EZS583" s="1"/>
      <c r="EZT583" s="1"/>
      <c r="EZU583" s="1"/>
      <c r="EZV583" s="1"/>
      <c r="EZW583" s="1"/>
      <c r="EZX583" s="1"/>
      <c r="EZY583" s="1"/>
      <c r="EZZ583" s="1"/>
      <c r="FAA583" s="1"/>
      <c r="FAB583" s="1"/>
      <c r="FAC583" s="1"/>
      <c r="FAD583" s="1"/>
      <c r="FAE583" s="1"/>
      <c r="FAF583" s="1"/>
      <c r="FAG583" s="1"/>
      <c r="FAH583" s="1"/>
      <c r="FAI583" s="1"/>
      <c r="FAJ583" s="1"/>
      <c r="FAK583" s="1"/>
      <c r="FAL583" s="1"/>
      <c r="FAM583" s="1"/>
      <c r="FAN583" s="1"/>
      <c r="FAO583" s="1"/>
      <c r="FAP583" s="1"/>
      <c r="FAQ583" s="1"/>
      <c r="FAR583" s="1"/>
      <c r="FAS583" s="1"/>
      <c r="FAT583" s="1"/>
      <c r="FAU583" s="1"/>
      <c r="FAV583" s="1"/>
      <c r="FAW583" s="1"/>
      <c r="FAX583" s="1"/>
      <c r="FAY583" s="1"/>
      <c r="FAZ583" s="1"/>
      <c r="FBA583" s="1"/>
      <c r="FBB583" s="1"/>
      <c r="FBC583" s="1"/>
      <c r="FBD583" s="1"/>
      <c r="FBE583" s="1"/>
      <c r="FBF583" s="1"/>
      <c r="FBG583" s="1"/>
      <c r="FBH583" s="1"/>
      <c r="FBI583" s="1"/>
      <c r="FBJ583" s="1"/>
      <c r="FBK583" s="1"/>
      <c r="FBL583" s="1"/>
      <c r="FBM583" s="1"/>
      <c r="FBN583" s="1"/>
      <c r="FBO583" s="1"/>
      <c r="FBP583" s="1"/>
      <c r="FBQ583" s="1"/>
      <c r="FBR583" s="1"/>
      <c r="FBS583" s="1"/>
      <c r="FBT583" s="1"/>
      <c r="FBU583" s="1"/>
      <c r="FBV583" s="1"/>
      <c r="FBW583" s="1"/>
      <c r="FBX583" s="1"/>
      <c r="FBY583" s="1"/>
      <c r="FBZ583" s="1"/>
      <c r="FCA583" s="1"/>
      <c r="FCB583" s="1"/>
      <c r="FCC583" s="1"/>
      <c r="FCD583" s="1"/>
      <c r="FCE583" s="1"/>
      <c r="FCF583" s="1"/>
      <c r="FCG583" s="1"/>
      <c r="FCH583" s="1"/>
      <c r="FCI583" s="1"/>
      <c r="FCJ583" s="1"/>
      <c r="FCK583" s="1"/>
      <c r="FCL583" s="1"/>
      <c r="FCM583" s="1"/>
      <c r="FCN583" s="1"/>
      <c r="FCO583" s="1"/>
      <c r="FCP583" s="1"/>
      <c r="FCQ583" s="1"/>
      <c r="FCR583" s="1"/>
      <c r="FCS583" s="1"/>
      <c r="FCT583" s="1"/>
      <c r="FCU583" s="1"/>
      <c r="FCV583" s="1"/>
      <c r="FCW583" s="1"/>
      <c r="FCX583" s="1"/>
      <c r="FCY583" s="1"/>
      <c r="FCZ583" s="1"/>
      <c r="FDA583" s="1"/>
      <c r="FDB583" s="1"/>
      <c r="FDC583" s="1"/>
      <c r="FDD583" s="1"/>
      <c r="FDE583" s="1"/>
      <c r="FDF583" s="1"/>
      <c r="FDG583" s="1"/>
      <c r="FDH583" s="1"/>
      <c r="FDI583" s="1"/>
      <c r="FDJ583" s="1"/>
      <c r="FDK583" s="1"/>
      <c r="FDL583" s="1"/>
      <c r="FDM583" s="1"/>
      <c r="FDN583" s="1"/>
      <c r="FDO583" s="1"/>
      <c r="FDP583" s="1"/>
      <c r="FDQ583" s="1"/>
      <c r="FDR583" s="1"/>
      <c r="FDS583" s="1"/>
      <c r="FDT583" s="1"/>
      <c r="FDU583" s="1"/>
      <c r="FDV583" s="1"/>
      <c r="FDW583" s="1"/>
      <c r="FDX583" s="1"/>
      <c r="FDY583" s="1"/>
      <c r="FDZ583" s="1"/>
      <c r="FEA583" s="1"/>
      <c r="FEB583" s="1"/>
      <c r="FEC583" s="1"/>
      <c r="FED583" s="1"/>
      <c r="FEE583" s="1"/>
      <c r="FEF583" s="1"/>
      <c r="FEG583" s="1"/>
      <c r="FEH583" s="1"/>
      <c r="FEI583" s="1"/>
      <c r="FEJ583" s="1"/>
      <c r="FEK583" s="1"/>
      <c r="FEL583" s="1"/>
      <c r="FEM583" s="1"/>
      <c r="FEN583" s="1"/>
      <c r="FEO583" s="1"/>
      <c r="FEP583" s="1"/>
      <c r="FEQ583" s="1"/>
      <c r="FER583" s="1"/>
      <c r="FES583" s="1"/>
      <c r="FET583" s="1"/>
      <c r="FEU583" s="1"/>
      <c r="FEV583" s="1"/>
      <c r="FEW583" s="1"/>
      <c r="FEX583" s="1"/>
      <c r="FEY583" s="1"/>
      <c r="FEZ583" s="1"/>
      <c r="FFA583" s="1"/>
      <c r="FFB583" s="1"/>
      <c r="FFC583" s="1"/>
      <c r="FFD583" s="1"/>
      <c r="FFE583" s="1"/>
      <c r="FFF583" s="1"/>
      <c r="FFG583" s="1"/>
      <c r="FFH583" s="1"/>
      <c r="FFI583" s="1"/>
      <c r="FFJ583" s="1"/>
      <c r="FFK583" s="1"/>
      <c r="FFL583" s="1"/>
      <c r="FFM583" s="1"/>
      <c r="FFN583" s="1"/>
      <c r="FFO583" s="1"/>
      <c r="FFP583" s="1"/>
      <c r="FFQ583" s="1"/>
      <c r="FFR583" s="1"/>
      <c r="FFS583" s="1"/>
      <c r="FFT583" s="1"/>
      <c r="FFU583" s="1"/>
      <c r="FFV583" s="1"/>
      <c r="FFW583" s="1"/>
      <c r="FFX583" s="1"/>
      <c r="FFY583" s="1"/>
      <c r="FFZ583" s="1"/>
      <c r="FGA583" s="1"/>
      <c r="FGB583" s="1"/>
      <c r="FGC583" s="1"/>
      <c r="FGD583" s="1"/>
      <c r="FGE583" s="1"/>
      <c r="FGF583" s="1"/>
      <c r="FGG583" s="1"/>
      <c r="FGH583" s="1"/>
      <c r="FGI583" s="1"/>
      <c r="FGJ583" s="1"/>
      <c r="FGK583" s="1"/>
      <c r="FGL583" s="1"/>
      <c r="FGM583" s="1"/>
      <c r="FGN583" s="1"/>
      <c r="FGO583" s="1"/>
      <c r="FGP583" s="1"/>
      <c r="FGQ583" s="1"/>
      <c r="FGR583" s="1"/>
      <c r="FGS583" s="1"/>
      <c r="FGT583" s="1"/>
      <c r="FGU583" s="1"/>
      <c r="FGV583" s="1"/>
      <c r="FGW583" s="1"/>
      <c r="FGX583" s="1"/>
      <c r="FGY583" s="1"/>
      <c r="FGZ583" s="1"/>
      <c r="FHA583" s="1"/>
      <c r="FHB583" s="1"/>
      <c r="FHC583" s="1"/>
      <c r="FHD583" s="1"/>
      <c r="FHE583" s="1"/>
      <c r="FHF583" s="1"/>
      <c r="FHG583" s="1"/>
      <c r="FHH583" s="1"/>
      <c r="FHI583" s="1"/>
      <c r="FHJ583" s="1"/>
      <c r="FHK583" s="1"/>
      <c r="FHL583" s="1"/>
      <c r="FHM583" s="1"/>
      <c r="FHN583" s="1"/>
      <c r="FHO583" s="1"/>
      <c r="FHP583" s="1"/>
      <c r="FHQ583" s="1"/>
      <c r="FHR583" s="1"/>
      <c r="FHS583" s="1"/>
      <c r="FHT583" s="1"/>
      <c r="FHU583" s="1"/>
      <c r="FHV583" s="1"/>
      <c r="FHW583" s="1"/>
      <c r="FHX583" s="1"/>
      <c r="FHY583" s="1"/>
      <c r="FHZ583" s="1"/>
      <c r="FIA583" s="1"/>
      <c r="FIB583" s="1"/>
      <c r="FIC583" s="1"/>
      <c r="FID583" s="1"/>
      <c r="FIE583" s="1"/>
      <c r="FIF583" s="1"/>
      <c r="FIG583" s="1"/>
      <c r="FIH583" s="1"/>
      <c r="FII583" s="1"/>
      <c r="FIJ583" s="1"/>
      <c r="FIK583" s="1"/>
      <c r="FIL583" s="1"/>
      <c r="FIM583" s="1"/>
      <c r="FIN583" s="1"/>
      <c r="FIO583" s="1"/>
      <c r="FIP583" s="1"/>
      <c r="FIQ583" s="1"/>
      <c r="FIR583" s="1"/>
      <c r="FIS583" s="1"/>
      <c r="FIT583" s="1"/>
      <c r="FIU583" s="1"/>
      <c r="FIV583" s="1"/>
      <c r="FIW583" s="1"/>
      <c r="FIX583" s="1"/>
      <c r="FIY583" s="1"/>
      <c r="FIZ583" s="1"/>
      <c r="FJA583" s="1"/>
      <c r="FJB583" s="1"/>
      <c r="FJC583" s="1"/>
      <c r="FJD583" s="1"/>
      <c r="FJE583" s="1"/>
      <c r="FJF583" s="1"/>
      <c r="FJG583" s="1"/>
      <c r="FJH583" s="1"/>
      <c r="FJI583" s="1"/>
      <c r="FJJ583" s="1"/>
      <c r="FJK583" s="1"/>
      <c r="FJL583" s="1"/>
      <c r="FJM583" s="1"/>
      <c r="FJN583" s="1"/>
      <c r="FJO583" s="1"/>
      <c r="FJP583" s="1"/>
      <c r="FJQ583" s="1"/>
      <c r="FJR583" s="1"/>
      <c r="FJS583" s="1"/>
      <c r="FJT583" s="1"/>
      <c r="FJU583" s="1"/>
      <c r="FJV583" s="1"/>
      <c r="FJW583" s="1"/>
      <c r="FJX583" s="1"/>
      <c r="FJY583" s="1"/>
      <c r="FJZ583" s="1"/>
      <c r="FKA583" s="1"/>
      <c r="FKB583" s="1"/>
      <c r="FKC583" s="1"/>
      <c r="FKD583" s="1"/>
      <c r="FKE583" s="1"/>
      <c r="FKF583" s="1"/>
      <c r="FKG583" s="1"/>
      <c r="FKH583" s="1"/>
      <c r="FKI583" s="1"/>
      <c r="FKJ583" s="1"/>
      <c r="FKK583" s="1"/>
      <c r="FKL583" s="1"/>
      <c r="FKM583" s="1"/>
      <c r="FKN583" s="1"/>
      <c r="FKO583" s="1"/>
      <c r="FKP583" s="1"/>
      <c r="FKQ583" s="1"/>
      <c r="FKR583" s="1"/>
      <c r="FKS583" s="1"/>
      <c r="FKT583" s="1"/>
      <c r="FKU583" s="1"/>
      <c r="FKV583" s="1"/>
      <c r="FKW583" s="1"/>
      <c r="FKX583" s="1"/>
      <c r="FKY583" s="1"/>
      <c r="FKZ583" s="1"/>
      <c r="FLA583" s="1"/>
      <c r="FLB583" s="1"/>
      <c r="FLC583" s="1"/>
      <c r="FLD583" s="1"/>
      <c r="FLE583" s="1"/>
      <c r="FLF583" s="1"/>
      <c r="FLG583" s="1"/>
      <c r="FLH583" s="1"/>
      <c r="FLI583" s="1"/>
      <c r="FLJ583" s="1"/>
      <c r="FLK583" s="1"/>
      <c r="FLL583" s="1"/>
      <c r="FLM583" s="1"/>
      <c r="FLN583" s="1"/>
      <c r="FLO583" s="1"/>
      <c r="FLP583" s="1"/>
      <c r="FLQ583" s="1"/>
      <c r="FLR583" s="1"/>
      <c r="FLS583" s="1"/>
      <c r="FLT583" s="1"/>
      <c r="FLU583" s="1"/>
      <c r="FLV583" s="1"/>
      <c r="FLW583" s="1"/>
      <c r="FLX583" s="1"/>
      <c r="FLY583" s="1"/>
      <c r="FLZ583" s="1"/>
      <c r="FMA583" s="1"/>
      <c r="FMB583" s="1"/>
      <c r="FMC583" s="1"/>
      <c r="FMD583" s="1"/>
      <c r="FME583" s="1"/>
      <c r="FMF583" s="1"/>
      <c r="FMG583" s="1"/>
      <c r="FMH583" s="1"/>
      <c r="FMI583" s="1"/>
      <c r="FMJ583" s="1"/>
      <c r="FMK583" s="1"/>
      <c r="FML583" s="1"/>
      <c r="FMM583" s="1"/>
      <c r="FMN583" s="1"/>
      <c r="FMO583" s="1"/>
      <c r="FMP583" s="1"/>
      <c r="FMQ583" s="1"/>
      <c r="FMR583" s="1"/>
      <c r="FMS583" s="1"/>
      <c r="FMT583" s="1"/>
      <c r="FMU583" s="1"/>
      <c r="FMV583" s="1"/>
      <c r="FMW583" s="1"/>
      <c r="FMX583" s="1"/>
      <c r="FMY583" s="1"/>
      <c r="FMZ583" s="1"/>
      <c r="FNA583" s="1"/>
      <c r="FNB583" s="1"/>
      <c r="FNC583" s="1"/>
      <c r="FND583" s="1"/>
      <c r="FNE583" s="1"/>
      <c r="FNF583" s="1"/>
      <c r="FNG583" s="1"/>
      <c r="FNH583" s="1"/>
      <c r="FNI583" s="1"/>
      <c r="FNJ583" s="1"/>
      <c r="FNK583" s="1"/>
      <c r="FNL583" s="1"/>
      <c r="FNM583" s="1"/>
      <c r="FNN583" s="1"/>
      <c r="FNO583" s="1"/>
      <c r="FNP583" s="1"/>
      <c r="FNQ583" s="1"/>
      <c r="FNR583" s="1"/>
      <c r="FNS583" s="1"/>
      <c r="FNT583" s="1"/>
      <c r="FNU583" s="1"/>
      <c r="FNV583" s="1"/>
      <c r="FNW583" s="1"/>
      <c r="FNX583" s="1"/>
      <c r="FNY583" s="1"/>
      <c r="FNZ583" s="1"/>
      <c r="FOA583" s="1"/>
      <c r="FOB583" s="1"/>
      <c r="FOC583" s="1"/>
      <c r="FOD583" s="1"/>
      <c r="FOE583" s="1"/>
      <c r="FOF583" s="1"/>
      <c r="FOG583" s="1"/>
      <c r="FOH583" s="1"/>
      <c r="FOI583" s="1"/>
      <c r="FOJ583" s="1"/>
      <c r="FOK583" s="1"/>
      <c r="FOL583" s="1"/>
      <c r="FOM583" s="1"/>
      <c r="FON583" s="1"/>
      <c r="FOO583" s="1"/>
      <c r="FOP583" s="1"/>
      <c r="FOQ583" s="1"/>
      <c r="FOR583" s="1"/>
      <c r="FOS583" s="1"/>
      <c r="FOT583" s="1"/>
      <c r="FOU583" s="1"/>
      <c r="FOV583" s="1"/>
      <c r="FOW583" s="1"/>
      <c r="FOX583" s="1"/>
      <c r="FOY583" s="1"/>
      <c r="FOZ583" s="1"/>
      <c r="FPA583" s="1"/>
      <c r="FPB583" s="1"/>
      <c r="FPC583" s="1"/>
      <c r="FPD583" s="1"/>
      <c r="FPE583" s="1"/>
      <c r="FPF583" s="1"/>
      <c r="FPG583" s="1"/>
      <c r="FPH583" s="1"/>
      <c r="FPI583" s="1"/>
      <c r="FPJ583" s="1"/>
      <c r="FPK583" s="1"/>
      <c r="FPL583" s="1"/>
      <c r="FPM583" s="1"/>
      <c r="FPN583" s="1"/>
      <c r="FPO583" s="1"/>
      <c r="FPP583" s="1"/>
      <c r="FPQ583" s="1"/>
      <c r="FPR583" s="1"/>
      <c r="FPS583" s="1"/>
      <c r="FPT583" s="1"/>
      <c r="FPU583" s="1"/>
      <c r="FPV583" s="1"/>
      <c r="FPW583" s="1"/>
      <c r="FPX583" s="1"/>
      <c r="FPY583" s="1"/>
      <c r="FPZ583" s="1"/>
      <c r="FQA583" s="1"/>
      <c r="FQB583" s="1"/>
      <c r="FQC583" s="1"/>
      <c r="FQD583" s="1"/>
      <c r="FQE583" s="1"/>
      <c r="FQF583" s="1"/>
      <c r="FQG583" s="1"/>
      <c r="FQH583" s="1"/>
      <c r="FQI583" s="1"/>
      <c r="FQJ583" s="1"/>
      <c r="FQK583" s="1"/>
      <c r="FQL583" s="1"/>
      <c r="FQM583" s="1"/>
      <c r="FQN583" s="1"/>
      <c r="FQO583" s="1"/>
      <c r="FQP583" s="1"/>
      <c r="FQQ583" s="1"/>
      <c r="FQR583" s="1"/>
      <c r="FQS583" s="1"/>
      <c r="FQT583" s="1"/>
      <c r="FQU583" s="1"/>
      <c r="FQV583" s="1"/>
      <c r="FQW583" s="1"/>
      <c r="FQX583" s="1"/>
      <c r="FQY583" s="1"/>
      <c r="FQZ583" s="1"/>
      <c r="FRA583" s="1"/>
      <c r="FRB583" s="1"/>
      <c r="FRC583" s="1"/>
      <c r="FRD583" s="1"/>
      <c r="FRE583" s="1"/>
      <c r="FRF583" s="1"/>
      <c r="FRG583" s="1"/>
      <c r="FRH583" s="1"/>
      <c r="FRI583" s="1"/>
      <c r="FRJ583" s="1"/>
      <c r="FRK583" s="1"/>
      <c r="FRL583" s="1"/>
      <c r="FRM583" s="1"/>
      <c r="FRN583" s="1"/>
      <c r="FRO583" s="1"/>
      <c r="FRP583" s="1"/>
      <c r="FRQ583" s="1"/>
      <c r="FRR583" s="1"/>
      <c r="FRS583" s="1"/>
      <c r="FRT583" s="1"/>
      <c r="FRU583" s="1"/>
      <c r="FRV583" s="1"/>
      <c r="FRW583" s="1"/>
      <c r="FRX583" s="1"/>
      <c r="FRY583" s="1"/>
      <c r="FRZ583" s="1"/>
      <c r="FSA583" s="1"/>
      <c r="FSB583" s="1"/>
      <c r="FSC583" s="1"/>
      <c r="FSD583" s="1"/>
      <c r="FSE583" s="1"/>
      <c r="FSF583" s="1"/>
      <c r="FSG583" s="1"/>
      <c r="FSH583" s="1"/>
      <c r="FSI583" s="1"/>
      <c r="FSJ583" s="1"/>
      <c r="FSK583" s="1"/>
      <c r="FSL583" s="1"/>
      <c r="FSM583" s="1"/>
      <c r="FSN583" s="1"/>
      <c r="FSO583" s="1"/>
      <c r="FSP583" s="1"/>
      <c r="FSQ583" s="1"/>
      <c r="FSR583" s="1"/>
      <c r="FSS583" s="1"/>
      <c r="FST583" s="1"/>
      <c r="FSU583" s="1"/>
      <c r="FSV583" s="1"/>
      <c r="FSW583" s="1"/>
      <c r="FSX583" s="1"/>
      <c r="FSY583" s="1"/>
      <c r="FSZ583" s="1"/>
      <c r="FTA583" s="1"/>
      <c r="FTB583" s="1"/>
      <c r="FTC583" s="1"/>
      <c r="FTD583" s="1"/>
      <c r="FTE583" s="1"/>
      <c r="FTF583" s="1"/>
      <c r="FTG583" s="1"/>
      <c r="FTH583" s="1"/>
      <c r="FTI583" s="1"/>
      <c r="FTJ583" s="1"/>
      <c r="FTK583" s="1"/>
      <c r="FTL583" s="1"/>
      <c r="FTM583" s="1"/>
      <c r="FTN583" s="1"/>
      <c r="FTO583" s="1"/>
      <c r="FTP583" s="1"/>
      <c r="FTQ583" s="1"/>
      <c r="FTR583" s="1"/>
      <c r="FTS583" s="1"/>
      <c r="FTT583" s="1"/>
      <c r="FTU583" s="1"/>
      <c r="FTV583" s="1"/>
      <c r="FTW583" s="1"/>
      <c r="FTX583" s="1"/>
      <c r="FTY583" s="1"/>
      <c r="FTZ583" s="1"/>
      <c r="FUA583" s="1"/>
      <c r="FUB583" s="1"/>
      <c r="FUC583" s="1"/>
      <c r="FUD583" s="1"/>
      <c r="FUE583" s="1"/>
      <c r="FUF583" s="1"/>
      <c r="FUG583" s="1"/>
      <c r="FUH583" s="1"/>
      <c r="FUI583" s="1"/>
      <c r="FUJ583" s="1"/>
      <c r="FUK583" s="1"/>
      <c r="FUL583" s="1"/>
      <c r="FUM583" s="1"/>
      <c r="FUN583" s="1"/>
      <c r="FUO583" s="1"/>
      <c r="FUP583" s="1"/>
      <c r="FUQ583" s="1"/>
      <c r="FUR583" s="1"/>
      <c r="FUS583" s="1"/>
      <c r="FUT583" s="1"/>
      <c r="FUU583" s="1"/>
      <c r="FUV583" s="1"/>
      <c r="FUW583" s="1"/>
      <c r="FUX583" s="1"/>
      <c r="FUY583" s="1"/>
      <c r="FUZ583" s="1"/>
      <c r="FVA583" s="1"/>
      <c r="FVB583" s="1"/>
      <c r="FVC583" s="1"/>
      <c r="FVD583" s="1"/>
      <c r="FVE583" s="1"/>
      <c r="FVF583" s="1"/>
      <c r="FVG583" s="1"/>
      <c r="FVH583" s="1"/>
      <c r="FVI583" s="1"/>
      <c r="FVJ583" s="1"/>
      <c r="FVK583" s="1"/>
      <c r="FVL583" s="1"/>
      <c r="FVM583" s="1"/>
      <c r="FVN583" s="1"/>
      <c r="FVO583" s="1"/>
      <c r="FVP583" s="1"/>
      <c r="FVQ583" s="1"/>
      <c r="FVR583" s="1"/>
      <c r="FVS583" s="1"/>
      <c r="FVT583" s="1"/>
      <c r="FVU583" s="1"/>
      <c r="FVV583" s="1"/>
      <c r="FVW583" s="1"/>
      <c r="FVX583" s="1"/>
      <c r="FVY583" s="1"/>
      <c r="FVZ583" s="1"/>
      <c r="FWA583" s="1"/>
      <c r="FWB583" s="1"/>
      <c r="FWC583" s="1"/>
      <c r="FWD583" s="1"/>
      <c r="FWE583" s="1"/>
      <c r="FWF583" s="1"/>
      <c r="FWG583" s="1"/>
      <c r="FWH583" s="1"/>
      <c r="FWI583" s="1"/>
      <c r="FWJ583" s="1"/>
      <c r="FWK583" s="1"/>
      <c r="FWL583" s="1"/>
      <c r="FWM583" s="1"/>
      <c r="FWN583" s="1"/>
      <c r="FWO583" s="1"/>
      <c r="FWP583" s="1"/>
      <c r="FWQ583" s="1"/>
      <c r="FWR583" s="1"/>
      <c r="FWS583" s="1"/>
      <c r="FWT583" s="1"/>
      <c r="FWU583" s="1"/>
      <c r="FWV583" s="1"/>
      <c r="FWW583" s="1"/>
      <c r="FWX583" s="1"/>
      <c r="FWY583" s="1"/>
      <c r="FWZ583" s="1"/>
      <c r="FXA583" s="1"/>
      <c r="FXB583" s="1"/>
      <c r="FXC583" s="1"/>
      <c r="FXD583" s="1"/>
      <c r="FXE583" s="1"/>
      <c r="FXF583" s="1"/>
      <c r="FXG583" s="1"/>
      <c r="FXH583" s="1"/>
      <c r="FXI583" s="1"/>
      <c r="FXJ583" s="1"/>
      <c r="FXK583" s="1"/>
      <c r="FXL583" s="1"/>
      <c r="FXM583" s="1"/>
      <c r="FXN583" s="1"/>
      <c r="FXO583" s="1"/>
      <c r="FXP583" s="1"/>
      <c r="FXQ583" s="1"/>
      <c r="FXR583" s="1"/>
      <c r="FXS583" s="1"/>
      <c r="FXT583" s="1"/>
      <c r="FXU583" s="1"/>
      <c r="FXV583" s="1"/>
      <c r="FXW583" s="1"/>
      <c r="FXX583" s="1"/>
      <c r="FXY583" s="1"/>
      <c r="FXZ583" s="1"/>
      <c r="FYA583" s="1"/>
      <c r="FYB583" s="1"/>
      <c r="FYC583" s="1"/>
      <c r="FYD583" s="1"/>
      <c r="FYE583" s="1"/>
      <c r="FYF583" s="1"/>
      <c r="FYG583" s="1"/>
      <c r="FYH583" s="1"/>
      <c r="FYI583" s="1"/>
      <c r="FYJ583" s="1"/>
      <c r="FYK583" s="1"/>
      <c r="FYL583" s="1"/>
      <c r="FYM583" s="1"/>
      <c r="FYN583" s="1"/>
      <c r="FYO583" s="1"/>
      <c r="FYP583" s="1"/>
      <c r="FYQ583" s="1"/>
      <c r="FYR583" s="1"/>
      <c r="FYS583" s="1"/>
      <c r="FYT583" s="1"/>
      <c r="FYU583" s="1"/>
      <c r="FYV583" s="1"/>
      <c r="FYW583" s="1"/>
      <c r="FYX583" s="1"/>
      <c r="FYY583" s="1"/>
      <c r="FYZ583" s="1"/>
      <c r="FZA583" s="1"/>
      <c r="FZB583" s="1"/>
      <c r="FZC583" s="1"/>
      <c r="FZD583" s="1"/>
      <c r="FZE583" s="1"/>
      <c r="FZF583" s="1"/>
      <c r="FZG583" s="1"/>
      <c r="FZH583" s="1"/>
      <c r="FZI583" s="1"/>
      <c r="FZJ583" s="1"/>
      <c r="FZK583" s="1"/>
      <c r="FZL583" s="1"/>
      <c r="FZM583" s="1"/>
      <c r="FZN583" s="1"/>
      <c r="FZO583" s="1"/>
      <c r="FZP583" s="1"/>
      <c r="FZQ583" s="1"/>
      <c r="FZR583" s="1"/>
      <c r="FZS583" s="1"/>
      <c r="FZT583" s="1"/>
      <c r="FZU583" s="1"/>
      <c r="FZV583" s="1"/>
      <c r="FZW583" s="1"/>
      <c r="FZX583" s="1"/>
      <c r="FZY583" s="1"/>
      <c r="FZZ583" s="1"/>
      <c r="GAA583" s="1"/>
      <c r="GAB583" s="1"/>
      <c r="GAC583" s="1"/>
      <c r="GAD583" s="1"/>
      <c r="GAE583" s="1"/>
      <c r="GAF583" s="1"/>
      <c r="GAG583" s="1"/>
      <c r="GAH583" s="1"/>
      <c r="GAI583" s="1"/>
      <c r="GAJ583" s="1"/>
      <c r="GAK583" s="1"/>
      <c r="GAL583" s="1"/>
      <c r="GAM583" s="1"/>
      <c r="GAN583" s="1"/>
      <c r="GAO583" s="1"/>
      <c r="GAP583" s="1"/>
      <c r="GAQ583" s="1"/>
      <c r="GAR583" s="1"/>
      <c r="GAS583" s="1"/>
      <c r="GAT583" s="1"/>
      <c r="GAU583" s="1"/>
      <c r="GAV583" s="1"/>
      <c r="GAW583" s="1"/>
      <c r="GAX583" s="1"/>
      <c r="GAY583" s="1"/>
      <c r="GAZ583" s="1"/>
      <c r="GBA583" s="1"/>
      <c r="GBB583" s="1"/>
      <c r="GBC583" s="1"/>
      <c r="GBD583" s="1"/>
      <c r="GBE583" s="1"/>
      <c r="GBF583" s="1"/>
      <c r="GBG583" s="1"/>
      <c r="GBH583" s="1"/>
      <c r="GBI583" s="1"/>
      <c r="GBJ583" s="1"/>
      <c r="GBK583" s="1"/>
      <c r="GBL583" s="1"/>
      <c r="GBM583" s="1"/>
      <c r="GBN583" s="1"/>
      <c r="GBO583" s="1"/>
      <c r="GBP583" s="1"/>
      <c r="GBQ583" s="1"/>
      <c r="GBR583" s="1"/>
      <c r="GBS583" s="1"/>
      <c r="GBT583" s="1"/>
      <c r="GBU583" s="1"/>
      <c r="GBV583" s="1"/>
      <c r="GBW583" s="1"/>
      <c r="GBX583" s="1"/>
      <c r="GBY583" s="1"/>
      <c r="GBZ583" s="1"/>
      <c r="GCA583" s="1"/>
      <c r="GCB583" s="1"/>
      <c r="GCC583" s="1"/>
      <c r="GCD583" s="1"/>
      <c r="GCE583" s="1"/>
      <c r="GCF583" s="1"/>
      <c r="GCG583" s="1"/>
      <c r="GCH583" s="1"/>
      <c r="GCI583" s="1"/>
      <c r="GCJ583" s="1"/>
      <c r="GCK583" s="1"/>
      <c r="GCL583" s="1"/>
      <c r="GCM583" s="1"/>
      <c r="GCN583" s="1"/>
      <c r="GCO583" s="1"/>
      <c r="GCP583" s="1"/>
      <c r="GCQ583" s="1"/>
      <c r="GCR583" s="1"/>
      <c r="GCS583" s="1"/>
      <c r="GCT583" s="1"/>
      <c r="GCU583" s="1"/>
      <c r="GCV583" s="1"/>
      <c r="GCW583" s="1"/>
      <c r="GCX583" s="1"/>
      <c r="GCY583" s="1"/>
      <c r="GCZ583" s="1"/>
      <c r="GDA583" s="1"/>
      <c r="GDB583" s="1"/>
      <c r="GDC583" s="1"/>
      <c r="GDD583" s="1"/>
      <c r="GDE583" s="1"/>
      <c r="GDF583" s="1"/>
      <c r="GDG583" s="1"/>
      <c r="GDH583" s="1"/>
      <c r="GDI583" s="1"/>
      <c r="GDJ583" s="1"/>
      <c r="GDK583" s="1"/>
      <c r="GDL583" s="1"/>
      <c r="GDM583" s="1"/>
      <c r="GDN583" s="1"/>
      <c r="GDO583" s="1"/>
      <c r="GDP583" s="1"/>
      <c r="GDQ583" s="1"/>
      <c r="GDR583" s="1"/>
      <c r="GDS583" s="1"/>
      <c r="GDT583" s="1"/>
      <c r="GDU583" s="1"/>
      <c r="GDV583" s="1"/>
      <c r="GDW583" s="1"/>
      <c r="GDX583" s="1"/>
      <c r="GDY583" s="1"/>
      <c r="GDZ583" s="1"/>
      <c r="GEA583" s="1"/>
      <c r="GEB583" s="1"/>
      <c r="GEC583" s="1"/>
      <c r="GED583" s="1"/>
      <c r="GEE583" s="1"/>
      <c r="GEF583" s="1"/>
      <c r="GEG583" s="1"/>
      <c r="GEH583" s="1"/>
      <c r="GEI583" s="1"/>
      <c r="GEJ583" s="1"/>
      <c r="GEK583" s="1"/>
      <c r="GEL583" s="1"/>
      <c r="GEM583" s="1"/>
      <c r="GEN583" s="1"/>
      <c r="GEO583" s="1"/>
      <c r="GEP583" s="1"/>
      <c r="GEQ583" s="1"/>
      <c r="GER583" s="1"/>
      <c r="GES583" s="1"/>
      <c r="GET583" s="1"/>
      <c r="GEU583" s="1"/>
      <c r="GEV583" s="1"/>
      <c r="GEW583" s="1"/>
      <c r="GEX583" s="1"/>
      <c r="GEY583" s="1"/>
      <c r="GEZ583" s="1"/>
      <c r="GFA583" s="1"/>
      <c r="GFB583" s="1"/>
      <c r="GFC583" s="1"/>
      <c r="GFD583" s="1"/>
      <c r="GFE583" s="1"/>
      <c r="GFF583" s="1"/>
      <c r="GFG583" s="1"/>
      <c r="GFH583" s="1"/>
      <c r="GFI583" s="1"/>
      <c r="GFJ583" s="1"/>
      <c r="GFK583" s="1"/>
      <c r="GFL583" s="1"/>
      <c r="GFM583" s="1"/>
      <c r="GFN583" s="1"/>
      <c r="GFO583" s="1"/>
      <c r="GFP583" s="1"/>
      <c r="GFQ583" s="1"/>
      <c r="GFR583" s="1"/>
      <c r="GFS583" s="1"/>
      <c r="GFT583" s="1"/>
      <c r="GFU583" s="1"/>
      <c r="GFV583" s="1"/>
      <c r="GFW583" s="1"/>
      <c r="GFX583" s="1"/>
      <c r="GFY583" s="1"/>
      <c r="GFZ583" s="1"/>
      <c r="GGA583" s="1"/>
      <c r="GGB583" s="1"/>
      <c r="GGC583" s="1"/>
      <c r="GGD583" s="1"/>
      <c r="GGE583" s="1"/>
      <c r="GGF583" s="1"/>
      <c r="GGG583" s="1"/>
      <c r="GGH583" s="1"/>
      <c r="GGI583" s="1"/>
      <c r="GGJ583" s="1"/>
      <c r="GGK583" s="1"/>
      <c r="GGL583" s="1"/>
      <c r="GGM583" s="1"/>
      <c r="GGN583" s="1"/>
      <c r="GGO583" s="1"/>
      <c r="GGP583" s="1"/>
      <c r="GGQ583" s="1"/>
      <c r="GGR583" s="1"/>
      <c r="GGS583" s="1"/>
      <c r="GGT583" s="1"/>
      <c r="GGU583" s="1"/>
      <c r="GGV583" s="1"/>
      <c r="GGW583" s="1"/>
      <c r="GGX583" s="1"/>
      <c r="GGY583" s="1"/>
      <c r="GGZ583" s="1"/>
      <c r="GHA583" s="1"/>
      <c r="GHB583" s="1"/>
      <c r="GHC583" s="1"/>
      <c r="GHD583" s="1"/>
      <c r="GHE583" s="1"/>
      <c r="GHF583" s="1"/>
      <c r="GHG583" s="1"/>
      <c r="GHH583" s="1"/>
      <c r="GHI583" s="1"/>
      <c r="GHJ583" s="1"/>
      <c r="GHK583" s="1"/>
      <c r="GHL583" s="1"/>
      <c r="GHM583" s="1"/>
      <c r="GHN583" s="1"/>
      <c r="GHO583" s="1"/>
      <c r="GHP583" s="1"/>
      <c r="GHQ583" s="1"/>
      <c r="GHR583" s="1"/>
      <c r="GHS583" s="1"/>
      <c r="GHT583" s="1"/>
      <c r="GHU583" s="1"/>
      <c r="GHV583" s="1"/>
      <c r="GHW583" s="1"/>
      <c r="GHX583" s="1"/>
      <c r="GHY583" s="1"/>
      <c r="GHZ583" s="1"/>
      <c r="GIA583" s="1"/>
      <c r="GIB583" s="1"/>
      <c r="GIC583" s="1"/>
      <c r="GID583" s="1"/>
      <c r="GIE583" s="1"/>
      <c r="GIF583" s="1"/>
      <c r="GIG583" s="1"/>
      <c r="GIH583" s="1"/>
      <c r="GII583" s="1"/>
      <c r="GIJ583" s="1"/>
      <c r="GIK583" s="1"/>
      <c r="GIL583" s="1"/>
      <c r="GIM583" s="1"/>
      <c r="GIN583" s="1"/>
      <c r="GIO583" s="1"/>
      <c r="GIP583" s="1"/>
      <c r="GIQ583" s="1"/>
      <c r="GIR583" s="1"/>
      <c r="GIS583" s="1"/>
      <c r="GIT583" s="1"/>
      <c r="GIU583" s="1"/>
      <c r="GIV583" s="1"/>
      <c r="GIW583" s="1"/>
      <c r="GIX583" s="1"/>
      <c r="GIY583" s="1"/>
      <c r="GIZ583" s="1"/>
      <c r="GJA583" s="1"/>
      <c r="GJB583" s="1"/>
      <c r="GJC583" s="1"/>
      <c r="GJD583" s="1"/>
      <c r="GJE583" s="1"/>
      <c r="GJF583" s="1"/>
      <c r="GJG583" s="1"/>
      <c r="GJH583" s="1"/>
      <c r="GJI583" s="1"/>
      <c r="GJJ583" s="1"/>
      <c r="GJK583" s="1"/>
      <c r="GJL583" s="1"/>
      <c r="GJM583" s="1"/>
      <c r="GJN583" s="1"/>
      <c r="GJO583" s="1"/>
      <c r="GJP583" s="1"/>
      <c r="GJQ583" s="1"/>
      <c r="GJR583" s="1"/>
      <c r="GJS583" s="1"/>
      <c r="GJT583" s="1"/>
      <c r="GJU583" s="1"/>
      <c r="GJV583" s="1"/>
      <c r="GJW583" s="1"/>
      <c r="GJX583" s="1"/>
      <c r="GJY583" s="1"/>
      <c r="GJZ583" s="1"/>
      <c r="GKA583" s="1"/>
      <c r="GKB583" s="1"/>
      <c r="GKC583" s="1"/>
      <c r="GKD583" s="1"/>
      <c r="GKE583" s="1"/>
      <c r="GKF583" s="1"/>
      <c r="GKG583" s="1"/>
      <c r="GKH583" s="1"/>
      <c r="GKI583" s="1"/>
      <c r="GKJ583" s="1"/>
      <c r="GKK583" s="1"/>
      <c r="GKL583" s="1"/>
      <c r="GKM583" s="1"/>
      <c r="GKN583" s="1"/>
      <c r="GKO583" s="1"/>
      <c r="GKP583" s="1"/>
      <c r="GKQ583" s="1"/>
      <c r="GKR583" s="1"/>
      <c r="GKS583" s="1"/>
      <c r="GKT583" s="1"/>
      <c r="GKU583" s="1"/>
      <c r="GKV583" s="1"/>
      <c r="GKW583" s="1"/>
      <c r="GKX583" s="1"/>
      <c r="GKY583" s="1"/>
      <c r="GKZ583" s="1"/>
      <c r="GLA583" s="1"/>
      <c r="GLB583" s="1"/>
      <c r="GLC583" s="1"/>
      <c r="GLD583" s="1"/>
      <c r="GLE583" s="1"/>
      <c r="GLF583" s="1"/>
      <c r="GLG583" s="1"/>
      <c r="GLH583" s="1"/>
      <c r="GLI583" s="1"/>
      <c r="GLJ583" s="1"/>
      <c r="GLK583" s="1"/>
      <c r="GLL583" s="1"/>
      <c r="GLM583" s="1"/>
      <c r="GLN583" s="1"/>
      <c r="GLO583" s="1"/>
      <c r="GLP583" s="1"/>
      <c r="GLQ583" s="1"/>
      <c r="GLR583" s="1"/>
      <c r="GLS583" s="1"/>
      <c r="GLT583" s="1"/>
      <c r="GLU583" s="1"/>
      <c r="GLV583" s="1"/>
      <c r="GLW583" s="1"/>
      <c r="GLX583" s="1"/>
      <c r="GLY583" s="1"/>
      <c r="GLZ583" s="1"/>
      <c r="GMA583" s="1"/>
      <c r="GMB583" s="1"/>
      <c r="GMC583" s="1"/>
      <c r="GMD583" s="1"/>
      <c r="GME583" s="1"/>
      <c r="GMF583" s="1"/>
      <c r="GMG583" s="1"/>
      <c r="GMH583" s="1"/>
      <c r="GMI583" s="1"/>
      <c r="GMJ583" s="1"/>
      <c r="GMK583" s="1"/>
      <c r="GML583" s="1"/>
      <c r="GMM583" s="1"/>
      <c r="GMN583" s="1"/>
      <c r="GMO583" s="1"/>
      <c r="GMP583" s="1"/>
      <c r="GMQ583" s="1"/>
      <c r="GMR583" s="1"/>
      <c r="GMS583" s="1"/>
      <c r="GMT583" s="1"/>
      <c r="GMU583" s="1"/>
      <c r="GMV583" s="1"/>
      <c r="GMW583" s="1"/>
      <c r="GMX583" s="1"/>
      <c r="GMY583" s="1"/>
      <c r="GMZ583" s="1"/>
      <c r="GNA583" s="1"/>
      <c r="GNB583" s="1"/>
      <c r="GNC583" s="1"/>
      <c r="GND583" s="1"/>
      <c r="GNE583" s="1"/>
      <c r="GNF583" s="1"/>
      <c r="GNG583" s="1"/>
      <c r="GNH583" s="1"/>
      <c r="GNI583" s="1"/>
      <c r="GNJ583" s="1"/>
      <c r="GNK583" s="1"/>
      <c r="GNL583" s="1"/>
      <c r="GNM583" s="1"/>
      <c r="GNN583" s="1"/>
      <c r="GNO583" s="1"/>
      <c r="GNP583" s="1"/>
      <c r="GNQ583" s="1"/>
      <c r="GNR583" s="1"/>
      <c r="GNS583" s="1"/>
      <c r="GNT583" s="1"/>
      <c r="GNU583" s="1"/>
      <c r="GNV583" s="1"/>
      <c r="GNW583" s="1"/>
      <c r="GNX583" s="1"/>
      <c r="GNY583" s="1"/>
      <c r="GNZ583" s="1"/>
      <c r="GOA583" s="1"/>
      <c r="GOB583" s="1"/>
      <c r="GOC583" s="1"/>
      <c r="GOD583" s="1"/>
      <c r="GOE583" s="1"/>
      <c r="GOF583" s="1"/>
      <c r="GOG583" s="1"/>
      <c r="GOH583" s="1"/>
      <c r="GOI583" s="1"/>
      <c r="GOJ583" s="1"/>
      <c r="GOK583" s="1"/>
      <c r="GOL583" s="1"/>
      <c r="GOM583" s="1"/>
      <c r="GON583" s="1"/>
      <c r="GOO583" s="1"/>
      <c r="GOP583" s="1"/>
      <c r="GOQ583" s="1"/>
      <c r="GOR583" s="1"/>
      <c r="GOS583" s="1"/>
      <c r="GOT583" s="1"/>
      <c r="GOU583" s="1"/>
      <c r="GOV583" s="1"/>
      <c r="GOW583" s="1"/>
      <c r="GOX583" s="1"/>
      <c r="GOY583" s="1"/>
      <c r="GOZ583" s="1"/>
      <c r="GPA583" s="1"/>
      <c r="GPB583" s="1"/>
      <c r="GPC583" s="1"/>
      <c r="GPD583" s="1"/>
      <c r="GPE583" s="1"/>
      <c r="GPF583" s="1"/>
      <c r="GPG583" s="1"/>
      <c r="GPH583" s="1"/>
      <c r="GPI583" s="1"/>
      <c r="GPJ583" s="1"/>
      <c r="GPK583" s="1"/>
      <c r="GPL583" s="1"/>
      <c r="GPM583" s="1"/>
      <c r="GPN583" s="1"/>
      <c r="GPO583" s="1"/>
      <c r="GPP583" s="1"/>
      <c r="GPQ583" s="1"/>
      <c r="GPR583" s="1"/>
      <c r="GPS583" s="1"/>
      <c r="GPT583" s="1"/>
      <c r="GPU583" s="1"/>
      <c r="GPV583" s="1"/>
      <c r="GPW583" s="1"/>
      <c r="GPX583" s="1"/>
      <c r="GPY583" s="1"/>
      <c r="GPZ583" s="1"/>
      <c r="GQA583" s="1"/>
      <c r="GQB583" s="1"/>
      <c r="GQC583" s="1"/>
      <c r="GQD583" s="1"/>
      <c r="GQE583" s="1"/>
      <c r="GQF583" s="1"/>
      <c r="GQG583" s="1"/>
      <c r="GQH583" s="1"/>
      <c r="GQI583" s="1"/>
      <c r="GQJ583" s="1"/>
      <c r="GQK583" s="1"/>
      <c r="GQL583" s="1"/>
      <c r="GQM583" s="1"/>
      <c r="GQN583" s="1"/>
      <c r="GQO583" s="1"/>
      <c r="GQP583" s="1"/>
      <c r="GQQ583" s="1"/>
      <c r="GQR583" s="1"/>
      <c r="GQS583" s="1"/>
      <c r="GQT583" s="1"/>
      <c r="GQU583" s="1"/>
      <c r="GQV583" s="1"/>
      <c r="GQW583" s="1"/>
      <c r="GQX583" s="1"/>
      <c r="GQY583" s="1"/>
      <c r="GQZ583" s="1"/>
      <c r="GRA583" s="1"/>
      <c r="GRB583" s="1"/>
      <c r="GRC583" s="1"/>
      <c r="GRD583" s="1"/>
      <c r="GRE583" s="1"/>
      <c r="GRF583" s="1"/>
      <c r="GRG583" s="1"/>
      <c r="GRH583" s="1"/>
      <c r="GRI583" s="1"/>
      <c r="GRJ583" s="1"/>
      <c r="GRK583" s="1"/>
      <c r="GRL583" s="1"/>
      <c r="GRM583" s="1"/>
      <c r="GRN583" s="1"/>
      <c r="GRO583" s="1"/>
      <c r="GRP583" s="1"/>
      <c r="GRQ583" s="1"/>
      <c r="GRR583" s="1"/>
      <c r="GRS583" s="1"/>
      <c r="GRT583" s="1"/>
      <c r="GRU583" s="1"/>
      <c r="GRV583" s="1"/>
      <c r="GRW583" s="1"/>
      <c r="GRX583" s="1"/>
      <c r="GRY583" s="1"/>
      <c r="GRZ583" s="1"/>
      <c r="GSA583" s="1"/>
      <c r="GSB583" s="1"/>
      <c r="GSC583" s="1"/>
      <c r="GSD583" s="1"/>
      <c r="GSE583" s="1"/>
      <c r="GSF583" s="1"/>
      <c r="GSG583" s="1"/>
      <c r="GSH583" s="1"/>
      <c r="GSI583" s="1"/>
      <c r="GSJ583" s="1"/>
      <c r="GSK583" s="1"/>
      <c r="GSL583" s="1"/>
      <c r="GSM583" s="1"/>
      <c r="GSN583" s="1"/>
      <c r="GSO583" s="1"/>
      <c r="GSP583" s="1"/>
      <c r="GSQ583" s="1"/>
      <c r="GSR583" s="1"/>
      <c r="GSS583" s="1"/>
      <c r="GST583" s="1"/>
      <c r="GSU583" s="1"/>
      <c r="GSV583" s="1"/>
      <c r="GSW583" s="1"/>
      <c r="GSX583" s="1"/>
      <c r="GSY583" s="1"/>
      <c r="GSZ583" s="1"/>
      <c r="GTA583" s="1"/>
      <c r="GTB583" s="1"/>
      <c r="GTC583" s="1"/>
      <c r="GTD583" s="1"/>
      <c r="GTE583" s="1"/>
      <c r="GTF583" s="1"/>
      <c r="GTG583" s="1"/>
      <c r="GTH583" s="1"/>
      <c r="GTI583" s="1"/>
      <c r="GTJ583" s="1"/>
      <c r="GTK583" s="1"/>
      <c r="GTL583" s="1"/>
      <c r="GTM583" s="1"/>
      <c r="GTN583" s="1"/>
      <c r="GTO583" s="1"/>
      <c r="GTP583" s="1"/>
      <c r="GTQ583" s="1"/>
      <c r="GTR583" s="1"/>
      <c r="GTS583" s="1"/>
      <c r="GTT583" s="1"/>
      <c r="GTU583" s="1"/>
      <c r="GTV583" s="1"/>
      <c r="GTW583" s="1"/>
      <c r="GTX583" s="1"/>
      <c r="GTY583" s="1"/>
      <c r="GTZ583" s="1"/>
      <c r="GUA583" s="1"/>
      <c r="GUB583" s="1"/>
      <c r="GUC583" s="1"/>
      <c r="GUD583" s="1"/>
      <c r="GUE583" s="1"/>
      <c r="GUF583" s="1"/>
      <c r="GUG583" s="1"/>
      <c r="GUH583" s="1"/>
      <c r="GUI583" s="1"/>
      <c r="GUJ583" s="1"/>
      <c r="GUK583" s="1"/>
      <c r="GUL583" s="1"/>
      <c r="GUM583" s="1"/>
      <c r="GUN583" s="1"/>
      <c r="GUO583" s="1"/>
      <c r="GUP583" s="1"/>
      <c r="GUQ583" s="1"/>
      <c r="GUR583" s="1"/>
      <c r="GUS583" s="1"/>
      <c r="GUT583" s="1"/>
      <c r="GUU583" s="1"/>
      <c r="GUV583" s="1"/>
      <c r="GUW583" s="1"/>
      <c r="GUX583" s="1"/>
      <c r="GUY583" s="1"/>
      <c r="GUZ583" s="1"/>
      <c r="GVA583" s="1"/>
      <c r="GVB583" s="1"/>
      <c r="GVC583" s="1"/>
      <c r="GVD583" s="1"/>
      <c r="GVE583" s="1"/>
      <c r="GVF583" s="1"/>
      <c r="GVG583" s="1"/>
      <c r="GVH583" s="1"/>
      <c r="GVI583" s="1"/>
      <c r="GVJ583" s="1"/>
      <c r="GVK583" s="1"/>
      <c r="GVL583" s="1"/>
      <c r="GVM583" s="1"/>
      <c r="GVN583" s="1"/>
      <c r="GVO583" s="1"/>
      <c r="GVP583" s="1"/>
      <c r="GVQ583" s="1"/>
      <c r="GVR583" s="1"/>
      <c r="GVS583" s="1"/>
      <c r="GVT583" s="1"/>
      <c r="GVU583" s="1"/>
      <c r="GVV583" s="1"/>
      <c r="GVW583" s="1"/>
      <c r="GVX583" s="1"/>
      <c r="GVY583" s="1"/>
      <c r="GVZ583" s="1"/>
      <c r="GWA583" s="1"/>
      <c r="GWB583" s="1"/>
      <c r="GWC583" s="1"/>
      <c r="GWD583" s="1"/>
      <c r="GWE583" s="1"/>
      <c r="GWF583" s="1"/>
      <c r="GWG583" s="1"/>
      <c r="GWH583" s="1"/>
      <c r="GWI583" s="1"/>
      <c r="GWJ583" s="1"/>
      <c r="GWK583" s="1"/>
      <c r="GWL583" s="1"/>
      <c r="GWM583" s="1"/>
      <c r="GWN583" s="1"/>
      <c r="GWO583" s="1"/>
      <c r="GWP583" s="1"/>
      <c r="GWQ583" s="1"/>
      <c r="GWR583" s="1"/>
      <c r="GWS583" s="1"/>
      <c r="GWT583" s="1"/>
      <c r="GWU583" s="1"/>
      <c r="GWV583" s="1"/>
      <c r="GWW583" s="1"/>
      <c r="GWX583" s="1"/>
      <c r="GWY583" s="1"/>
      <c r="GWZ583" s="1"/>
      <c r="GXA583" s="1"/>
      <c r="GXB583" s="1"/>
      <c r="GXC583" s="1"/>
      <c r="GXD583" s="1"/>
      <c r="GXE583" s="1"/>
      <c r="GXF583" s="1"/>
      <c r="GXG583" s="1"/>
      <c r="GXH583" s="1"/>
      <c r="GXI583" s="1"/>
      <c r="GXJ583" s="1"/>
      <c r="GXK583" s="1"/>
      <c r="GXL583" s="1"/>
      <c r="GXM583" s="1"/>
      <c r="GXN583" s="1"/>
      <c r="GXO583" s="1"/>
      <c r="GXP583" s="1"/>
      <c r="GXQ583" s="1"/>
      <c r="GXR583" s="1"/>
      <c r="GXS583" s="1"/>
      <c r="GXT583" s="1"/>
      <c r="GXU583" s="1"/>
      <c r="GXV583" s="1"/>
      <c r="GXW583" s="1"/>
      <c r="GXX583" s="1"/>
      <c r="GXY583" s="1"/>
      <c r="GXZ583" s="1"/>
      <c r="GYA583" s="1"/>
      <c r="GYB583" s="1"/>
      <c r="GYC583" s="1"/>
      <c r="GYD583" s="1"/>
      <c r="GYE583" s="1"/>
      <c r="GYF583" s="1"/>
      <c r="GYG583" s="1"/>
      <c r="GYH583" s="1"/>
      <c r="GYI583" s="1"/>
      <c r="GYJ583" s="1"/>
      <c r="GYK583" s="1"/>
      <c r="GYL583" s="1"/>
      <c r="GYM583" s="1"/>
      <c r="GYN583" s="1"/>
      <c r="GYO583" s="1"/>
      <c r="GYP583" s="1"/>
      <c r="GYQ583" s="1"/>
      <c r="GYR583" s="1"/>
      <c r="GYS583" s="1"/>
      <c r="GYT583" s="1"/>
      <c r="GYU583" s="1"/>
      <c r="GYV583" s="1"/>
      <c r="GYW583" s="1"/>
      <c r="GYX583" s="1"/>
      <c r="GYY583" s="1"/>
      <c r="GYZ583" s="1"/>
      <c r="GZA583" s="1"/>
      <c r="GZB583" s="1"/>
      <c r="GZC583" s="1"/>
      <c r="GZD583" s="1"/>
      <c r="GZE583" s="1"/>
      <c r="GZF583" s="1"/>
      <c r="GZG583" s="1"/>
      <c r="GZH583" s="1"/>
      <c r="GZI583" s="1"/>
      <c r="GZJ583" s="1"/>
      <c r="GZK583" s="1"/>
      <c r="GZL583" s="1"/>
      <c r="GZM583" s="1"/>
      <c r="GZN583" s="1"/>
      <c r="GZO583" s="1"/>
      <c r="GZP583" s="1"/>
      <c r="GZQ583" s="1"/>
      <c r="GZR583" s="1"/>
      <c r="GZS583" s="1"/>
      <c r="GZT583" s="1"/>
      <c r="GZU583" s="1"/>
      <c r="GZV583" s="1"/>
      <c r="GZW583" s="1"/>
      <c r="GZX583" s="1"/>
      <c r="GZY583" s="1"/>
      <c r="GZZ583" s="1"/>
      <c r="HAA583" s="1"/>
      <c r="HAB583" s="1"/>
      <c r="HAC583" s="1"/>
      <c r="HAD583" s="1"/>
      <c r="HAE583" s="1"/>
      <c r="HAF583" s="1"/>
      <c r="HAG583" s="1"/>
      <c r="HAH583" s="1"/>
      <c r="HAI583" s="1"/>
      <c r="HAJ583" s="1"/>
      <c r="HAK583" s="1"/>
      <c r="HAL583" s="1"/>
      <c r="HAM583" s="1"/>
      <c r="HAN583" s="1"/>
      <c r="HAO583" s="1"/>
      <c r="HAP583" s="1"/>
      <c r="HAQ583" s="1"/>
      <c r="HAR583" s="1"/>
      <c r="HAS583" s="1"/>
      <c r="HAT583" s="1"/>
      <c r="HAU583" s="1"/>
      <c r="HAV583" s="1"/>
      <c r="HAW583" s="1"/>
      <c r="HAX583" s="1"/>
      <c r="HAY583" s="1"/>
      <c r="HAZ583" s="1"/>
      <c r="HBA583" s="1"/>
      <c r="HBB583" s="1"/>
      <c r="HBC583" s="1"/>
      <c r="HBD583" s="1"/>
      <c r="HBE583" s="1"/>
      <c r="HBF583" s="1"/>
      <c r="HBG583" s="1"/>
      <c r="HBH583" s="1"/>
      <c r="HBI583" s="1"/>
      <c r="HBJ583" s="1"/>
      <c r="HBK583" s="1"/>
      <c r="HBL583" s="1"/>
      <c r="HBM583" s="1"/>
      <c r="HBN583" s="1"/>
      <c r="HBO583" s="1"/>
      <c r="HBP583" s="1"/>
      <c r="HBQ583" s="1"/>
      <c r="HBR583" s="1"/>
      <c r="HBS583" s="1"/>
      <c r="HBT583" s="1"/>
      <c r="HBU583" s="1"/>
      <c r="HBV583" s="1"/>
      <c r="HBW583" s="1"/>
      <c r="HBX583" s="1"/>
      <c r="HBY583" s="1"/>
      <c r="HBZ583" s="1"/>
      <c r="HCA583" s="1"/>
      <c r="HCB583" s="1"/>
      <c r="HCC583" s="1"/>
      <c r="HCD583" s="1"/>
      <c r="HCE583" s="1"/>
      <c r="HCF583" s="1"/>
      <c r="HCG583" s="1"/>
      <c r="HCH583" s="1"/>
      <c r="HCI583" s="1"/>
      <c r="HCJ583" s="1"/>
      <c r="HCK583" s="1"/>
      <c r="HCL583" s="1"/>
      <c r="HCM583" s="1"/>
      <c r="HCN583" s="1"/>
      <c r="HCO583" s="1"/>
      <c r="HCP583" s="1"/>
      <c r="HCQ583" s="1"/>
      <c r="HCR583" s="1"/>
      <c r="HCS583" s="1"/>
      <c r="HCT583" s="1"/>
      <c r="HCU583" s="1"/>
      <c r="HCV583" s="1"/>
      <c r="HCW583" s="1"/>
      <c r="HCX583" s="1"/>
      <c r="HCY583" s="1"/>
      <c r="HCZ583" s="1"/>
      <c r="HDA583" s="1"/>
      <c r="HDB583" s="1"/>
      <c r="HDC583" s="1"/>
      <c r="HDD583" s="1"/>
      <c r="HDE583" s="1"/>
      <c r="HDF583" s="1"/>
      <c r="HDG583" s="1"/>
      <c r="HDH583" s="1"/>
      <c r="HDI583" s="1"/>
      <c r="HDJ583" s="1"/>
      <c r="HDK583" s="1"/>
      <c r="HDL583" s="1"/>
      <c r="HDM583" s="1"/>
      <c r="HDN583" s="1"/>
      <c r="HDO583" s="1"/>
      <c r="HDP583" s="1"/>
      <c r="HDQ583" s="1"/>
      <c r="HDR583" s="1"/>
      <c r="HDS583" s="1"/>
      <c r="HDT583" s="1"/>
      <c r="HDU583" s="1"/>
      <c r="HDV583" s="1"/>
      <c r="HDW583" s="1"/>
      <c r="HDX583" s="1"/>
      <c r="HDY583" s="1"/>
      <c r="HDZ583" s="1"/>
      <c r="HEA583" s="1"/>
      <c r="HEB583" s="1"/>
      <c r="HEC583" s="1"/>
      <c r="HED583" s="1"/>
      <c r="HEE583" s="1"/>
      <c r="HEF583" s="1"/>
      <c r="HEG583" s="1"/>
      <c r="HEH583" s="1"/>
      <c r="HEI583" s="1"/>
      <c r="HEJ583" s="1"/>
      <c r="HEK583" s="1"/>
      <c r="HEL583" s="1"/>
      <c r="HEM583" s="1"/>
      <c r="HEN583" s="1"/>
      <c r="HEO583" s="1"/>
      <c r="HEP583" s="1"/>
      <c r="HEQ583" s="1"/>
      <c r="HER583" s="1"/>
      <c r="HES583" s="1"/>
      <c r="HET583" s="1"/>
      <c r="HEU583" s="1"/>
      <c r="HEV583" s="1"/>
      <c r="HEW583" s="1"/>
      <c r="HEX583" s="1"/>
      <c r="HEY583" s="1"/>
      <c r="HEZ583" s="1"/>
      <c r="HFA583" s="1"/>
      <c r="HFB583" s="1"/>
      <c r="HFC583" s="1"/>
      <c r="HFD583" s="1"/>
      <c r="HFE583" s="1"/>
      <c r="HFF583" s="1"/>
      <c r="HFG583" s="1"/>
      <c r="HFH583" s="1"/>
      <c r="HFI583" s="1"/>
      <c r="HFJ583" s="1"/>
      <c r="HFK583" s="1"/>
      <c r="HFL583" s="1"/>
      <c r="HFM583" s="1"/>
      <c r="HFN583" s="1"/>
      <c r="HFO583" s="1"/>
      <c r="HFP583" s="1"/>
      <c r="HFQ583" s="1"/>
      <c r="HFR583" s="1"/>
      <c r="HFS583" s="1"/>
      <c r="HFT583" s="1"/>
      <c r="HFU583" s="1"/>
      <c r="HFV583" s="1"/>
      <c r="HFW583" s="1"/>
      <c r="HFX583" s="1"/>
      <c r="HFY583" s="1"/>
      <c r="HFZ583" s="1"/>
      <c r="HGA583" s="1"/>
      <c r="HGB583" s="1"/>
      <c r="HGC583" s="1"/>
      <c r="HGD583" s="1"/>
      <c r="HGE583" s="1"/>
      <c r="HGF583" s="1"/>
      <c r="HGG583" s="1"/>
      <c r="HGH583" s="1"/>
      <c r="HGI583" s="1"/>
      <c r="HGJ583" s="1"/>
      <c r="HGK583" s="1"/>
      <c r="HGL583" s="1"/>
      <c r="HGM583" s="1"/>
      <c r="HGN583" s="1"/>
      <c r="HGO583" s="1"/>
      <c r="HGP583" s="1"/>
      <c r="HGQ583" s="1"/>
      <c r="HGR583" s="1"/>
      <c r="HGS583" s="1"/>
      <c r="HGT583" s="1"/>
      <c r="HGU583" s="1"/>
      <c r="HGV583" s="1"/>
      <c r="HGW583" s="1"/>
      <c r="HGX583" s="1"/>
      <c r="HGY583" s="1"/>
      <c r="HGZ583" s="1"/>
      <c r="HHA583" s="1"/>
      <c r="HHB583" s="1"/>
      <c r="HHC583" s="1"/>
      <c r="HHD583" s="1"/>
      <c r="HHE583" s="1"/>
      <c r="HHF583" s="1"/>
      <c r="HHG583" s="1"/>
      <c r="HHH583" s="1"/>
      <c r="HHI583" s="1"/>
      <c r="HHJ583" s="1"/>
      <c r="HHK583" s="1"/>
      <c r="HHL583" s="1"/>
      <c r="HHM583" s="1"/>
      <c r="HHN583" s="1"/>
      <c r="HHO583" s="1"/>
      <c r="HHP583" s="1"/>
      <c r="HHQ583" s="1"/>
      <c r="HHR583" s="1"/>
      <c r="HHS583" s="1"/>
      <c r="HHT583" s="1"/>
      <c r="HHU583" s="1"/>
      <c r="HHV583" s="1"/>
      <c r="HHW583" s="1"/>
      <c r="HHX583" s="1"/>
      <c r="HHY583" s="1"/>
      <c r="HHZ583" s="1"/>
      <c r="HIA583" s="1"/>
      <c r="HIB583" s="1"/>
      <c r="HIC583" s="1"/>
      <c r="HID583" s="1"/>
      <c r="HIE583" s="1"/>
      <c r="HIF583" s="1"/>
      <c r="HIG583" s="1"/>
      <c r="HIH583" s="1"/>
      <c r="HII583" s="1"/>
      <c r="HIJ583" s="1"/>
      <c r="HIK583" s="1"/>
      <c r="HIL583" s="1"/>
      <c r="HIM583" s="1"/>
      <c r="HIN583" s="1"/>
      <c r="HIO583" s="1"/>
      <c r="HIP583" s="1"/>
      <c r="HIQ583" s="1"/>
      <c r="HIR583" s="1"/>
      <c r="HIS583" s="1"/>
      <c r="HIT583" s="1"/>
      <c r="HIU583" s="1"/>
      <c r="HIV583" s="1"/>
      <c r="HIW583" s="1"/>
      <c r="HIX583" s="1"/>
      <c r="HIY583" s="1"/>
      <c r="HIZ583" s="1"/>
      <c r="HJA583" s="1"/>
      <c r="HJB583" s="1"/>
      <c r="HJC583" s="1"/>
      <c r="HJD583" s="1"/>
      <c r="HJE583" s="1"/>
      <c r="HJF583" s="1"/>
      <c r="HJG583" s="1"/>
      <c r="HJH583" s="1"/>
      <c r="HJI583" s="1"/>
      <c r="HJJ583" s="1"/>
      <c r="HJK583" s="1"/>
      <c r="HJL583" s="1"/>
      <c r="HJM583" s="1"/>
      <c r="HJN583" s="1"/>
      <c r="HJO583" s="1"/>
      <c r="HJP583" s="1"/>
      <c r="HJQ583" s="1"/>
      <c r="HJR583" s="1"/>
      <c r="HJS583" s="1"/>
      <c r="HJT583" s="1"/>
      <c r="HJU583" s="1"/>
      <c r="HJV583" s="1"/>
      <c r="HJW583" s="1"/>
      <c r="HJX583" s="1"/>
      <c r="HJY583" s="1"/>
      <c r="HJZ583" s="1"/>
      <c r="HKA583" s="1"/>
      <c r="HKB583" s="1"/>
      <c r="HKC583" s="1"/>
      <c r="HKD583" s="1"/>
      <c r="HKE583" s="1"/>
      <c r="HKF583" s="1"/>
      <c r="HKG583" s="1"/>
      <c r="HKH583" s="1"/>
      <c r="HKI583" s="1"/>
      <c r="HKJ583" s="1"/>
      <c r="HKK583" s="1"/>
      <c r="HKL583" s="1"/>
      <c r="HKM583" s="1"/>
      <c r="HKN583" s="1"/>
      <c r="HKO583" s="1"/>
      <c r="HKP583" s="1"/>
      <c r="HKQ583" s="1"/>
      <c r="HKR583" s="1"/>
      <c r="HKS583" s="1"/>
      <c r="HKT583" s="1"/>
      <c r="HKU583" s="1"/>
      <c r="HKV583" s="1"/>
      <c r="HKW583" s="1"/>
      <c r="HKX583" s="1"/>
      <c r="HKY583" s="1"/>
      <c r="HKZ583" s="1"/>
      <c r="HLA583" s="1"/>
      <c r="HLB583" s="1"/>
      <c r="HLC583" s="1"/>
      <c r="HLD583" s="1"/>
      <c r="HLE583" s="1"/>
      <c r="HLF583" s="1"/>
      <c r="HLG583" s="1"/>
      <c r="HLH583" s="1"/>
      <c r="HLI583" s="1"/>
      <c r="HLJ583" s="1"/>
      <c r="HLK583" s="1"/>
      <c r="HLL583" s="1"/>
      <c r="HLM583" s="1"/>
      <c r="HLN583" s="1"/>
      <c r="HLO583" s="1"/>
      <c r="HLP583" s="1"/>
      <c r="HLQ583" s="1"/>
      <c r="HLR583" s="1"/>
      <c r="HLS583" s="1"/>
      <c r="HLT583" s="1"/>
      <c r="HLU583" s="1"/>
      <c r="HLV583" s="1"/>
      <c r="HLW583" s="1"/>
      <c r="HLX583" s="1"/>
      <c r="HLY583" s="1"/>
      <c r="HLZ583" s="1"/>
      <c r="HMA583" s="1"/>
      <c r="HMB583" s="1"/>
      <c r="HMC583" s="1"/>
      <c r="HMD583" s="1"/>
      <c r="HME583" s="1"/>
      <c r="HMF583" s="1"/>
      <c r="HMG583" s="1"/>
      <c r="HMH583" s="1"/>
      <c r="HMI583" s="1"/>
      <c r="HMJ583" s="1"/>
      <c r="HMK583" s="1"/>
      <c r="HML583" s="1"/>
      <c r="HMM583" s="1"/>
      <c r="HMN583" s="1"/>
      <c r="HMO583" s="1"/>
      <c r="HMP583" s="1"/>
      <c r="HMQ583" s="1"/>
      <c r="HMR583" s="1"/>
      <c r="HMS583" s="1"/>
      <c r="HMT583" s="1"/>
      <c r="HMU583" s="1"/>
      <c r="HMV583" s="1"/>
      <c r="HMW583" s="1"/>
      <c r="HMX583" s="1"/>
      <c r="HMY583" s="1"/>
      <c r="HMZ583" s="1"/>
      <c r="HNA583" s="1"/>
      <c r="HNB583" s="1"/>
      <c r="HNC583" s="1"/>
      <c r="HND583" s="1"/>
      <c r="HNE583" s="1"/>
      <c r="HNF583" s="1"/>
      <c r="HNG583" s="1"/>
      <c r="HNH583" s="1"/>
      <c r="HNI583" s="1"/>
      <c r="HNJ583" s="1"/>
      <c r="HNK583" s="1"/>
      <c r="HNL583" s="1"/>
      <c r="HNM583" s="1"/>
      <c r="HNN583" s="1"/>
      <c r="HNO583" s="1"/>
      <c r="HNP583" s="1"/>
      <c r="HNQ583" s="1"/>
      <c r="HNR583" s="1"/>
      <c r="HNS583" s="1"/>
      <c r="HNT583" s="1"/>
      <c r="HNU583" s="1"/>
      <c r="HNV583" s="1"/>
      <c r="HNW583" s="1"/>
      <c r="HNX583" s="1"/>
      <c r="HNY583" s="1"/>
      <c r="HNZ583" s="1"/>
      <c r="HOA583" s="1"/>
      <c r="HOB583" s="1"/>
      <c r="HOC583" s="1"/>
      <c r="HOD583" s="1"/>
      <c r="HOE583" s="1"/>
      <c r="HOF583" s="1"/>
      <c r="HOG583" s="1"/>
      <c r="HOH583" s="1"/>
      <c r="HOI583" s="1"/>
      <c r="HOJ583" s="1"/>
      <c r="HOK583" s="1"/>
      <c r="HOL583" s="1"/>
      <c r="HOM583" s="1"/>
      <c r="HON583" s="1"/>
      <c r="HOO583" s="1"/>
      <c r="HOP583" s="1"/>
      <c r="HOQ583" s="1"/>
      <c r="HOR583" s="1"/>
      <c r="HOS583" s="1"/>
      <c r="HOT583" s="1"/>
      <c r="HOU583" s="1"/>
      <c r="HOV583" s="1"/>
      <c r="HOW583" s="1"/>
      <c r="HOX583" s="1"/>
      <c r="HOY583" s="1"/>
      <c r="HOZ583" s="1"/>
      <c r="HPA583" s="1"/>
      <c r="HPB583" s="1"/>
      <c r="HPC583" s="1"/>
      <c r="HPD583" s="1"/>
      <c r="HPE583" s="1"/>
      <c r="HPF583" s="1"/>
      <c r="HPG583" s="1"/>
      <c r="HPH583" s="1"/>
      <c r="HPI583" s="1"/>
      <c r="HPJ583" s="1"/>
      <c r="HPK583" s="1"/>
      <c r="HPL583" s="1"/>
      <c r="HPM583" s="1"/>
      <c r="HPN583" s="1"/>
      <c r="HPO583" s="1"/>
      <c r="HPP583" s="1"/>
      <c r="HPQ583" s="1"/>
      <c r="HPR583" s="1"/>
      <c r="HPS583" s="1"/>
      <c r="HPT583" s="1"/>
      <c r="HPU583" s="1"/>
      <c r="HPV583" s="1"/>
      <c r="HPW583" s="1"/>
      <c r="HPX583" s="1"/>
      <c r="HPY583" s="1"/>
      <c r="HPZ583" s="1"/>
      <c r="HQA583" s="1"/>
      <c r="HQB583" s="1"/>
      <c r="HQC583" s="1"/>
      <c r="HQD583" s="1"/>
      <c r="HQE583" s="1"/>
      <c r="HQF583" s="1"/>
      <c r="HQG583" s="1"/>
      <c r="HQH583" s="1"/>
      <c r="HQI583" s="1"/>
      <c r="HQJ583" s="1"/>
      <c r="HQK583" s="1"/>
      <c r="HQL583" s="1"/>
      <c r="HQM583" s="1"/>
      <c r="HQN583" s="1"/>
      <c r="HQO583" s="1"/>
      <c r="HQP583" s="1"/>
      <c r="HQQ583" s="1"/>
      <c r="HQR583" s="1"/>
      <c r="HQS583" s="1"/>
      <c r="HQT583" s="1"/>
      <c r="HQU583" s="1"/>
      <c r="HQV583" s="1"/>
      <c r="HQW583" s="1"/>
      <c r="HQX583" s="1"/>
      <c r="HQY583" s="1"/>
      <c r="HQZ583" s="1"/>
      <c r="HRA583" s="1"/>
      <c r="HRB583" s="1"/>
      <c r="HRC583" s="1"/>
      <c r="HRD583" s="1"/>
      <c r="HRE583" s="1"/>
      <c r="HRF583" s="1"/>
      <c r="HRG583" s="1"/>
      <c r="HRH583" s="1"/>
      <c r="HRI583" s="1"/>
      <c r="HRJ583" s="1"/>
      <c r="HRK583" s="1"/>
      <c r="HRL583" s="1"/>
      <c r="HRM583" s="1"/>
      <c r="HRN583" s="1"/>
      <c r="HRO583" s="1"/>
      <c r="HRP583" s="1"/>
      <c r="HRQ583" s="1"/>
      <c r="HRR583" s="1"/>
      <c r="HRS583" s="1"/>
      <c r="HRT583" s="1"/>
      <c r="HRU583" s="1"/>
      <c r="HRV583" s="1"/>
      <c r="HRW583" s="1"/>
      <c r="HRX583" s="1"/>
      <c r="HRY583" s="1"/>
      <c r="HRZ583" s="1"/>
      <c r="HSA583" s="1"/>
      <c r="HSB583" s="1"/>
      <c r="HSC583" s="1"/>
      <c r="HSD583" s="1"/>
      <c r="HSE583" s="1"/>
      <c r="HSF583" s="1"/>
      <c r="HSG583" s="1"/>
      <c r="HSH583" s="1"/>
      <c r="HSI583" s="1"/>
      <c r="HSJ583" s="1"/>
      <c r="HSK583" s="1"/>
      <c r="HSL583" s="1"/>
      <c r="HSM583" s="1"/>
      <c r="HSN583" s="1"/>
      <c r="HSO583" s="1"/>
      <c r="HSP583" s="1"/>
      <c r="HSQ583" s="1"/>
      <c r="HSR583" s="1"/>
      <c r="HSS583" s="1"/>
      <c r="HST583" s="1"/>
      <c r="HSU583" s="1"/>
      <c r="HSV583" s="1"/>
      <c r="HSW583" s="1"/>
      <c r="HSX583" s="1"/>
      <c r="HSY583" s="1"/>
      <c r="HSZ583" s="1"/>
      <c r="HTA583" s="1"/>
      <c r="HTB583" s="1"/>
      <c r="HTC583" s="1"/>
      <c r="HTD583" s="1"/>
      <c r="HTE583" s="1"/>
      <c r="HTF583" s="1"/>
      <c r="HTG583" s="1"/>
      <c r="HTH583" s="1"/>
      <c r="HTI583" s="1"/>
      <c r="HTJ583" s="1"/>
      <c r="HTK583" s="1"/>
      <c r="HTL583" s="1"/>
      <c r="HTM583" s="1"/>
      <c r="HTN583" s="1"/>
      <c r="HTO583" s="1"/>
      <c r="HTP583" s="1"/>
      <c r="HTQ583" s="1"/>
      <c r="HTR583" s="1"/>
      <c r="HTS583" s="1"/>
      <c r="HTT583" s="1"/>
      <c r="HTU583" s="1"/>
      <c r="HTV583" s="1"/>
      <c r="HTW583" s="1"/>
      <c r="HTX583" s="1"/>
      <c r="HTY583" s="1"/>
      <c r="HTZ583" s="1"/>
      <c r="HUA583" s="1"/>
      <c r="HUB583" s="1"/>
      <c r="HUC583" s="1"/>
      <c r="HUD583" s="1"/>
      <c r="HUE583" s="1"/>
      <c r="HUF583" s="1"/>
      <c r="HUG583" s="1"/>
      <c r="HUH583" s="1"/>
      <c r="HUI583" s="1"/>
      <c r="HUJ583" s="1"/>
      <c r="HUK583" s="1"/>
      <c r="HUL583" s="1"/>
      <c r="HUM583" s="1"/>
      <c r="HUN583" s="1"/>
      <c r="HUO583" s="1"/>
      <c r="HUP583" s="1"/>
      <c r="HUQ583" s="1"/>
      <c r="HUR583" s="1"/>
      <c r="HUS583" s="1"/>
      <c r="HUT583" s="1"/>
      <c r="HUU583" s="1"/>
      <c r="HUV583" s="1"/>
      <c r="HUW583" s="1"/>
      <c r="HUX583" s="1"/>
      <c r="HUY583" s="1"/>
      <c r="HUZ583" s="1"/>
      <c r="HVA583" s="1"/>
      <c r="HVB583" s="1"/>
      <c r="HVC583" s="1"/>
      <c r="HVD583" s="1"/>
      <c r="HVE583" s="1"/>
      <c r="HVF583" s="1"/>
      <c r="HVG583" s="1"/>
      <c r="HVH583" s="1"/>
      <c r="HVI583" s="1"/>
      <c r="HVJ583" s="1"/>
      <c r="HVK583" s="1"/>
      <c r="HVL583" s="1"/>
      <c r="HVM583" s="1"/>
      <c r="HVN583" s="1"/>
      <c r="HVO583" s="1"/>
      <c r="HVP583" s="1"/>
      <c r="HVQ583" s="1"/>
      <c r="HVR583" s="1"/>
      <c r="HVS583" s="1"/>
      <c r="HVT583" s="1"/>
      <c r="HVU583" s="1"/>
      <c r="HVV583" s="1"/>
      <c r="HVW583" s="1"/>
      <c r="HVX583" s="1"/>
      <c r="HVY583" s="1"/>
      <c r="HVZ583" s="1"/>
      <c r="HWA583" s="1"/>
      <c r="HWB583" s="1"/>
      <c r="HWC583" s="1"/>
      <c r="HWD583" s="1"/>
      <c r="HWE583" s="1"/>
      <c r="HWF583" s="1"/>
      <c r="HWG583" s="1"/>
      <c r="HWH583" s="1"/>
      <c r="HWI583" s="1"/>
      <c r="HWJ583" s="1"/>
      <c r="HWK583" s="1"/>
      <c r="HWL583" s="1"/>
      <c r="HWM583" s="1"/>
      <c r="HWN583" s="1"/>
      <c r="HWO583" s="1"/>
      <c r="HWP583" s="1"/>
      <c r="HWQ583" s="1"/>
      <c r="HWR583" s="1"/>
      <c r="HWS583" s="1"/>
      <c r="HWT583" s="1"/>
      <c r="HWU583" s="1"/>
      <c r="HWV583" s="1"/>
      <c r="HWW583" s="1"/>
      <c r="HWX583" s="1"/>
      <c r="HWY583" s="1"/>
      <c r="HWZ583" s="1"/>
      <c r="HXA583" s="1"/>
      <c r="HXB583" s="1"/>
      <c r="HXC583" s="1"/>
      <c r="HXD583" s="1"/>
      <c r="HXE583" s="1"/>
      <c r="HXF583" s="1"/>
      <c r="HXG583" s="1"/>
      <c r="HXH583" s="1"/>
      <c r="HXI583" s="1"/>
      <c r="HXJ583" s="1"/>
      <c r="HXK583" s="1"/>
      <c r="HXL583" s="1"/>
      <c r="HXM583" s="1"/>
      <c r="HXN583" s="1"/>
      <c r="HXO583" s="1"/>
      <c r="HXP583" s="1"/>
      <c r="HXQ583" s="1"/>
      <c r="HXR583" s="1"/>
      <c r="HXS583" s="1"/>
      <c r="HXT583" s="1"/>
      <c r="HXU583" s="1"/>
      <c r="HXV583" s="1"/>
      <c r="HXW583" s="1"/>
      <c r="HXX583" s="1"/>
      <c r="HXY583" s="1"/>
      <c r="HXZ583" s="1"/>
      <c r="HYA583" s="1"/>
      <c r="HYB583" s="1"/>
      <c r="HYC583" s="1"/>
      <c r="HYD583" s="1"/>
      <c r="HYE583" s="1"/>
      <c r="HYF583" s="1"/>
      <c r="HYG583" s="1"/>
      <c r="HYH583" s="1"/>
      <c r="HYI583" s="1"/>
      <c r="HYJ583" s="1"/>
      <c r="HYK583" s="1"/>
      <c r="HYL583" s="1"/>
      <c r="HYM583" s="1"/>
      <c r="HYN583" s="1"/>
      <c r="HYO583" s="1"/>
      <c r="HYP583" s="1"/>
      <c r="HYQ583" s="1"/>
      <c r="HYR583" s="1"/>
      <c r="HYS583" s="1"/>
      <c r="HYT583" s="1"/>
      <c r="HYU583" s="1"/>
      <c r="HYV583" s="1"/>
      <c r="HYW583" s="1"/>
      <c r="HYX583" s="1"/>
      <c r="HYY583" s="1"/>
      <c r="HYZ583" s="1"/>
      <c r="HZA583" s="1"/>
      <c r="HZB583" s="1"/>
      <c r="HZC583" s="1"/>
      <c r="HZD583" s="1"/>
      <c r="HZE583" s="1"/>
      <c r="HZF583" s="1"/>
      <c r="HZG583" s="1"/>
      <c r="HZH583" s="1"/>
      <c r="HZI583" s="1"/>
      <c r="HZJ583" s="1"/>
      <c r="HZK583" s="1"/>
      <c r="HZL583" s="1"/>
      <c r="HZM583" s="1"/>
      <c r="HZN583" s="1"/>
      <c r="HZO583" s="1"/>
      <c r="HZP583" s="1"/>
      <c r="HZQ583" s="1"/>
      <c r="HZR583" s="1"/>
      <c r="HZS583" s="1"/>
      <c r="HZT583" s="1"/>
      <c r="HZU583" s="1"/>
      <c r="HZV583" s="1"/>
      <c r="HZW583" s="1"/>
      <c r="HZX583" s="1"/>
      <c r="HZY583" s="1"/>
      <c r="HZZ583" s="1"/>
      <c r="IAA583" s="1"/>
      <c r="IAB583" s="1"/>
      <c r="IAC583" s="1"/>
      <c r="IAD583" s="1"/>
      <c r="IAE583" s="1"/>
      <c r="IAF583" s="1"/>
      <c r="IAG583" s="1"/>
      <c r="IAH583" s="1"/>
      <c r="IAI583" s="1"/>
      <c r="IAJ583" s="1"/>
      <c r="IAK583" s="1"/>
      <c r="IAL583" s="1"/>
      <c r="IAM583" s="1"/>
      <c r="IAN583" s="1"/>
      <c r="IAO583" s="1"/>
      <c r="IAP583" s="1"/>
      <c r="IAQ583" s="1"/>
      <c r="IAR583" s="1"/>
      <c r="IAS583" s="1"/>
      <c r="IAT583" s="1"/>
      <c r="IAU583" s="1"/>
      <c r="IAV583" s="1"/>
      <c r="IAW583" s="1"/>
      <c r="IAX583" s="1"/>
      <c r="IAY583" s="1"/>
      <c r="IAZ583" s="1"/>
      <c r="IBA583" s="1"/>
      <c r="IBB583" s="1"/>
      <c r="IBC583" s="1"/>
      <c r="IBD583" s="1"/>
      <c r="IBE583" s="1"/>
      <c r="IBF583" s="1"/>
      <c r="IBG583" s="1"/>
      <c r="IBH583" s="1"/>
      <c r="IBI583" s="1"/>
      <c r="IBJ583" s="1"/>
      <c r="IBK583" s="1"/>
      <c r="IBL583" s="1"/>
      <c r="IBM583" s="1"/>
      <c r="IBN583" s="1"/>
      <c r="IBO583" s="1"/>
      <c r="IBP583" s="1"/>
      <c r="IBQ583" s="1"/>
      <c r="IBR583" s="1"/>
      <c r="IBS583" s="1"/>
      <c r="IBT583" s="1"/>
      <c r="IBU583" s="1"/>
      <c r="IBV583" s="1"/>
      <c r="IBW583" s="1"/>
      <c r="IBX583" s="1"/>
      <c r="IBY583" s="1"/>
      <c r="IBZ583" s="1"/>
      <c r="ICA583" s="1"/>
      <c r="ICB583" s="1"/>
      <c r="ICC583" s="1"/>
      <c r="ICD583" s="1"/>
      <c r="ICE583" s="1"/>
      <c r="ICF583" s="1"/>
      <c r="ICG583" s="1"/>
      <c r="ICH583" s="1"/>
      <c r="ICI583" s="1"/>
      <c r="ICJ583" s="1"/>
      <c r="ICK583" s="1"/>
      <c r="ICL583" s="1"/>
      <c r="ICM583" s="1"/>
      <c r="ICN583" s="1"/>
      <c r="ICO583" s="1"/>
      <c r="ICP583" s="1"/>
      <c r="ICQ583" s="1"/>
      <c r="ICR583" s="1"/>
      <c r="ICS583" s="1"/>
      <c r="ICT583" s="1"/>
      <c r="ICU583" s="1"/>
      <c r="ICV583" s="1"/>
      <c r="ICW583" s="1"/>
      <c r="ICX583" s="1"/>
      <c r="ICY583" s="1"/>
      <c r="ICZ583" s="1"/>
      <c r="IDA583" s="1"/>
      <c r="IDB583" s="1"/>
      <c r="IDC583" s="1"/>
      <c r="IDD583" s="1"/>
      <c r="IDE583" s="1"/>
      <c r="IDF583" s="1"/>
      <c r="IDG583" s="1"/>
      <c r="IDH583" s="1"/>
      <c r="IDI583" s="1"/>
      <c r="IDJ583" s="1"/>
      <c r="IDK583" s="1"/>
      <c r="IDL583" s="1"/>
      <c r="IDM583" s="1"/>
      <c r="IDN583" s="1"/>
      <c r="IDO583" s="1"/>
      <c r="IDP583" s="1"/>
      <c r="IDQ583" s="1"/>
      <c r="IDR583" s="1"/>
      <c r="IDS583" s="1"/>
      <c r="IDT583" s="1"/>
      <c r="IDU583" s="1"/>
      <c r="IDV583" s="1"/>
      <c r="IDW583" s="1"/>
      <c r="IDX583" s="1"/>
      <c r="IDY583" s="1"/>
      <c r="IDZ583" s="1"/>
      <c r="IEA583" s="1"/>
      <c r="IEB583" s="1"/>
      <c r="IEC583" s="1"/>
      <c r="IED583" s="1"/>
      <c r="IEE583" s="1"/>
      <c r="IEF583" s="1"/>
      <c r="IEG583" s="1"/>
      <c r="IEH583" s="1"/>
      <c r="IEI583" s="1"/>
      <c r="IEJ583" s="1"/>
      <c r="IEK583" s="1"/>
      <c r="IEL583" s="1"/>
      <c r="IEM583" s="1"/>
      <c r="IEN583" s="1"/>
      <c r="IEO583" s="1"/>
      <c r="IEP583" s="1"/>
      <c r="IEQ583" s="1"/>
      <c r="IER583" s="1"/>
      <c r="IES583" s="1"/>
      <c r="IET583" s="1"/>
      <c r="IEU583" s="1"/>
      <c r="IEV583" s="1"/>
      <c r="IEW583" s="1"/>
      <c r="IEX583" s="1"/>
      <c r="IEY583" s="1"/>
      <c r="IEZ583" s="1"/>
      <c r="IFA583" s="1"/>
      <c r="IFB583" s="1"/>
      <c r="IFC583" s="1"/>
      <c r="IFD583" s="1"/>
      <c r="IFE583" s="1"/>
      <c r="IFF583" s="1"/>
      <c r="IFG583" s="1"/>
      <c r="IFH583" s="1"/>
      <c r="IFI583" s="1"/>
      <c r="IFJ583" s="1"/>
      <c r="IFK583" s="1"/>
      <c r="IFL583" s="1"/>
      <c r="IFM583" s="1"/>
      <c r="IFN583" s="1"/>
      <c r="IFO583" s="1"/>
      <c r="IFP583" s="1"/>
      <c r="IFQ583" s="1"/>
      <c r="IFR583" s="1"/>
      <c r="IFS583" s="1"/>
      <c r="IFT583" s="1"/>
      <c r="IFU583" s="1"/>
      <c r="IFV583" s="1"/>
      <c r="IFW583" s="1"/>
      <c r="IFX583" s="1"/>
      <c r="IFY583" s="1"/>
      <c r="IFZ583" s="1"/>
      <c r="IGA583" s="1"/>
      <c r="IGB583" s="1"/>
      <c r="IGC583" s="1"/>
      <c r="IGD583" s="1"/>
      <c r="IGE583" s="1"/>
      <c r="IGF583" s="1"/>
      <c r="IGG583" s="1"/>
      <c r="IGH583" s="1"/>
      <c r="IGI583" s="1"/>
      <c r="IGJ583" s="1"/>
      <c r="IGK583" s="1"/>
      <c r="IGL583" s="1"/>
      <c r="IGM583" s="1"/>
      <c r="IGN583" s="1"/>
      <c r="IGO583" s="1"/>
      <c r="IGP583" s="1"/>
      <c r="IGQ583" s="1"/>
      <c r="IGR583" s="1"/>
      <c r="IGS583" s="1"/>
      <c r="IGT583" s="1"/>
      <c r="IGU583" s="1"/>
      <c r="IGV583" s="1"/>
      <c r="IGW583" s="1"/>
      <c r="IGX583" s="1"/>
      <c r="IGY583" s="1"/>
      <c r="IGZ583" s="1"/>
      <c r="IHA583" s="1"/>
      <c r="IHB583" s="1"/>
      <c r="IHC583" s="1"/>
      <c r="IHD583" s="1"/>
      <c r="IHE583" s="1"/>
      <c r="IHF583" s="1"/>
      <c r="IHG583" s="1"/>
      <c r="IHH583" s="1"/>
      <c r="IHI583" s="1"/>
      <c r="IHJ583" s="1"/>
      <c r="IHK583" s="1"/>
      <c r="IHL583" s="1"/>
      <c r="IHM583" s="1"/>
      <c r="IHN583" s="1"/>
      <c r="IHO583" s="1"/>
      <c r="IHP583" s="1"/>
      <c r="IHQ583" s="1"/>
      <c r="IHR583" s="1"/>
      <c r="IHS583" s="1"/>
      <c r="IHT583" s="1"/>
      <c r="IHU583" s="1"/>
      <c r="IHV583" s="1"/>
      <c r="IHW583" s="1"/>
      <c r="IHX583" s="1"/>
      <c r="IHY583" s="1"/>
      <c r="IHZ583" s="1"/>
      <c r="IIA583" s="1"/>
      <c r="IIB583" s="1"/>
      <c r="IIC583" s="1"/>
      <c r="IID583" s="1"/>
      <c r="IIE583" s="1"/>
      <c r="IIF583" s="1"/>
      <c r="IIG583" s="1"/>
      <c r="IIH583" s="1"/>
      <c r="III583" s="1"/>
      <c r="IIJ583" s="1"/>
      <c r="IIK583" s="1"/>
      <c r="IIL583" s="1"/>
      <c r="IIM583" s="1"/>
      <c r="IIN583" s="1"/>
      <c r="IIO583" s="1"/>
      <c r="IIP583" s="1"/>
      <c r="IIQ583" s="1"/>
      <c r="IIR583" s="1"/>
      <c r="IIS583" s="1"/>
      <c r="IIT583" s="1"/>
      <c r="IIU583" s="1"/>
      <c r="IIV583" s="1"/>
      <c r="IIW583" s="1"/>
      <c r="IIX583" s="1"/>
      <c r="IIY583" s="1"/>
      <c r="IIZ583" s="1"/>
      <c r="IJA583" s="1"/>
      <c r="IJB583" s="1"/>
      <c r="IJC583" s="1"/>
      <c r="IJD583" s="1"/>
      <c r="IJE583" s="1"/>
      <c r="IJF583" s="1"/>
      <c r="IJG583" s="1"/>
      <c r="IJH583" s="1"/>
      <c r="IJI583" s="1"/>
      <c r="IJJ583" s="1"/>
      <c r="IJK583" s="1"/>
      <c r="IJL583" s="1"/>
      <c r="IJM583" s="1"/>
      <c r="IJN583" s="1"/>
      <c r="IJO583" s="1"/>
      <c r="IJP583" s="1"/>
      <c r="IJQ583" s="1"/>
      <c r="IJR583" s="1"/>
      <c r="IJS583" s="1"/>
      <c r="IJT583" s="1"/>
      <c r="IJU583" s="1"/>
      <c r="IJV583" s="1"/>
      <c r="IJW583" s="1"/>
      <c r="IJX583" s="1"/>
      <c r="IJY583" s="1"/>
      <c r="IJZ583" s="1"/>
      <c r="IKA583" s="1"/>
      <c r="IKB583" s="1"/>
      <c r="IKC583" s="1"/>
      <c r="IKD583" s="1"/>
      <c r="IKE583" s="1"/>
      <c r="IKF583" s="1"/>
      <c r="IKG583" s="1"/>
      <c r="IKH583" s="1"/>
      <c r="IKI583" s="1"/>
      <c r="IKJ583" s="1"/>
      <c r="IKK583" s="1"/>
      <c r="IKL583" s="1"/>
      <c r="IKM583" s="1"/>
      <c r="IKN583" s="1"/>
      <c r="IKO583" s="1"/>
      <c r="IKP583" s="1"/>
      <c r="IKQ583" s="1"/>
      <c r="IKR583" s="1"/>
      <c r="IKS583" s="1"/>
      <c r="IKT583" s="1"/>
      <c r="IKU583" s="1"/>
      <c r="IKV583" s="1"/>
      <c r="IKW583" s="1"/>
      <c r="IKX583" s="1"/>
      <c r="IKY583" s="1"/>
      <c r="IKZ583" s="1"/>
      <c r="ILA583" s="1"/>
      <c r="ILB583" s="1"/>
      <c r="ILC583" s="1"/>
      <c r="ILD583" s="1"/>
      <c r="ILE583" s="1"/>
      <c r="ILF583" s="1"/>
      <c r="ILG583" s="1"/>
      <c r="ILH583" s="1"/>
      <c r="ILI583" s="1"/>
      <c r="ILJ583" s="1"/>
      <c r="ILK583" s="1"/>
      <c r="ILL583" s="1"/>
      <c r="ILM583" s="1"/>
      <c r="ILN583" s="1"/>
      <c r="ILO583" s="1"/>
      <c r="ILP583" s="1"/>
      <c r="ILQ583" s="1"/>
      <c r="ILR583" s="1"/>
      <c r="ILS583" s="1"/>
      <c r="ILT583" s="1"/>
      <c r="ILU583" s="1"/>
      <c r="ILV583" s="1"/>
      <c r="ILW583" s="1"/>
      <c r="ILX583" s="1"/>
      <c r="ILY583" s="1"/>
      <c r="ILZ583" s="1"/>
      <c r="IMA583" s="1"/>
      <c r="IMB583" s="1"/>
      <c r="IMC583" s="1"/>
      <c r="IMD583" s="1"/>
      <c r="IME583" s="1"/>
      <c r="IMF583" s="1"/>
      <c r="IMG583" s="1"/>
      <c r="IMH583" s="1"/>
      <c r="IMI583" s="1"/>
      <c r="IMJ583" s="1"/>
      <c r="IMK583" s="1"/>
      <c r="IML583" s="1"/>
      <c r="IMM583" s="1"/>
      <c r="IMN583" s="1"/>
      <c r="IMO583" s="1"/>
      <c r="IMP583" s="1"/>
      <c r="IMQ583" s="1"/>
      <c r="IMR583" s="1"/>
      <c r="IMS583" s="1"/>
      <c r="IMT583" s="1"/>
      <c r="IMU583" s="1"/>
      <c r="IMV583" s="1"/>
      <c r="IMW583" s="1"/>
      <c r="IMX583" s="1"/>
      <c r="IMY583" s="1"/>
      <c r="IMZ583" s="1"/>
      <c r="INA583" s="1"/>
      <c r="INB583" s="1"/>
      <c r="INC583" s="1"/>
      <c r="IND583" s="1"/>
      <c r="INE583" s="1"/>
      <c r="INF583" s="1"/>
      <c r="ING583" s="1"/>
      <c r="INH583" s="1"/>
      <c r="INI583" s="1"/>
      <c r="INJ583" s="1"/>
      <c r="INK583" s="1"/>
      <c r="INL583" s="1"/>
      <c r="INM583" s="1"/>
      <c r="INN583" s="1"/>
      <c r="INO583" s="1"/>
      <c r="INP583" s="1"/>
      <c r="INQ583" s="1"/>
      <c r="INR583" s="1"/>
      <c r="INS583" s="1"/>
      <c r="INT583" s="1"/>
      <c r="INU583" s="1"/>
      <c r="INV583" s="1"/>
      <c r="INW583" s="1"/>
      <c r="INX583" s="1"/>
      <c r="INY583" s="1"/>
      <c r="INZ583" s="1"/>
      <c r="IOA583" s="1"/>
      <c r="IOB583" s="1"/>
      <c r="IOC583" s="1"/>
      <c r="IOD583" s="1"/>
      <c r="IOE583" s="1"/>
      <c r="IOF583" s="1"/>
      <c r="IOG583" s="1"/>
      <c r="IOH583" s="1"/>
      <c r="IOI583" s="1"/>
      <c r="IOJ583" s="1"/>
      <c r="IOK583" s="1"/>
      <c r="IOL583" s="1"/>
      <c r="IOM583" s="1"/>
      <c r="ION583" s="1"/>
      <c r="IOO583" s="1"/>
      <c r="IOP583" s="1"/>
      <c r="IOQ583" s="1"/>
      <c r="IOR583" s="1"/>
      <c r="IOS583" s="1"/>
      <c r="IOT583" s="1"/>
      <c r="IOU583" s="1"/>
      <c r="IOV583" s="1"/>
      <c r="IOW583" s="1"/>
      <c r="IOX583" s="1"/>
      <c r="IOY583" s="1"/>
      <c r="IOZ583" s="1"/>
      <c r="IPA583" s="1"/>
      <c r="IPB583" s="1"/>
      <c r="IPC583" s="1"/>
      <c r="IPD583" s="1"/>
      <c r="IPE583" s="1"/>
      <c r="IPF583" s="1"/>
      <c r="IPG583" s="1"/>
      <c r="IPH583" s="1"/>
      <c r="IPI583" s="1"/>
      <c r="IPJ583" s="1"/>
      <c r="IPK583" s="1"/>
      <c r="IPL583" s="1"/>
      <c r="IPM583" s="1"/>
      <c r="IPN583" s="1"/>
      <c r="IPO583" s="1"/>
      <c r="IPP583" s="1"/>
      <c r="IPQ583" s="1"/>
      <c r="IPR583" s="1"/>
      <c r="IPS583" s="1"/>
      <c r="IPT583" s="1"/>
      <c r="IPU583" s="1"/>
      <c r="IPV583" s="1"/>
      <c r="IPW583" s="1"/>
      <c r="IPX583" s="1"/>
      <c r="IPY583" s="1"/>
      <c r="IPZ583" s="1"/>
      <c r="IQA583" s="1"/>
      <c r="IQB583" s="1"/>
      <c r="IQC583" s="1"/>
      <c r="IQD583" s="1"/>
      <c r="IQE583" s="1"/>
      <c r="IQF583" s="1"/>
      <c r="IQG583" s="1"/>
      <c r="IQH583" s="1"/>
      <c r="IQI583" s="1"/>
      <c r="IQJ583" s="1"/>
      <c r="IQK583" s="1"/>
      <c r="IQL583" s="1"/>
      <c r="IQM583" s="1"/>
      <c r="IQN583" s="1"/>
      <c r="IQO583" s="1"/>
      <c r="IQP583" s="1"/>
      <c r="IQQ583" s="1"/>
      <c r="IQR583" s="1"/>
      <c r="IQS583" s="1"/>
      <c r="IQT583" s="1"/>
      <c r="IQU583" s="1"/>
      <c r="IQV583" s="1"/>
      <c r="IQW583" s="1"/>
      <c r="IQX583" s="1"/>
      <c r="IQY583" s="1"/>
      <c r="IQZ583" s="1"/>
      <c r="IRA583" s="1"/>
      <c r="IRB583" s="1"/>
      <c r="IRC583" s="1"/>
      <c r="IRD583" s="1"/>
      <c r="IRE583" s="1"/>
      <c r="IRF583" s="1"/>
      <c r="IRG583" s="1"/>
      <c r="IRH583" s="1"/>
      <c r="IRI583" s="1"/>
      <c r="IRJ583" s="1"/>
      <c r="IRK583" s="1"/>
      <c r="IRL583" s="1"/>
      <c r="IRM583" s="1"/>
      <c r="IRN583" s="1"/>
      <c r="IRO583" s="1"/>
      <c r="IRP583" s="1"/>
      <c r="IRQ583" s="1"/>
      <c r="IRR583" s="1"/>
      <c r="IRS583" s="1"/>
      <c r="IRT583" s="1"/>
      <c r="IRU583" s="1"/>
      <c r="IRV583" s="1"/>
      <c r="IRW583" s="1"/>
      <c r="IRX583" s="1"/>
      <c r="IRY583" s="1"/>
      <c r="IRZ583" s="1"/>
      <c r="ISA583" s="1"/>
      <c r="ISB583" s="1"/>
      <c r="ISC583" s="1"/>
      <c r="ISD583" s="1"/>
      <c r="ISE583" s="1"/>
      <c r="ISF583" s="1"/>
      <c r="ISG583" s="1"/>
      <c r="ISH583" s="1"/>
      <c r="ISI583" s="1"/>
      <c r="ISJ583" s="1"/>
      <c r="ISK583" s="1"/>
      <c r="ISL583" s="1"/>
      <c r="ISM583" s="1"/>
      <c r="ISN583" s="1"/>
      <c r="ISO583" s="1"/>
      <c r="ISP583" s="1"/>
      <c r="ISQ583" s="1"/>
      <c r="ISR583" s="1"/>
      <c r="ISS583" s="1"/>
      <c r="IST583" s="1"/>
      <c r="ISU583" s="1"/>
      <c r="ISV583" s="1"/>
      <c r="ISW583" s="1"/>
      <c r="ISX583" s="1"/>
      <c r="ISY583" s="1"/>
      <c r="ISZ583" s="1"/>
      <c r="ITA583" s="1"/>
      <c r="ITB583" s="1"/>
      <c r="ITC583" s="1"/>
      <c r="ITD583" s="1"/>
      <c r="ITE583" s="1"/>
      <c r="ITF583" s="1"/>
      <c r="ITG583" s="1"/>
      <c r="ITH583" s="1"/>
      <c r="ITI583" s="1"/>
      <c r="ITJ583" s="1"/>
      <c r="ITK583" s="1"/>
      <c r="ITL583" s="1"/>
      <c r="ITM583" s="1"/>
      <c r="ITN583" s="1"/>
      <c r="ITO583" s="1"/>
      <c r="ITP583" s="1"/>
      <c r="ITQ583" s="1"/>
      <c r="ITR583" s="1"/>
      <c r="ITS583" s="1"/>
      <c r="ITT583" s="1"/>
      <c r="ITU583" s="1"/>
      <c r="ITV583" s="1"/>
      <c r="ITW583" s="1"/>
      <c r="ITX583" s="1"/>
      <c r="ITY583" s="1"/>
      <c r="ITZ583" s="1"/>
      <c r="IUA583" s="1"/>
      <c r="IUB583" s="1"/>
      <c r="IUC583" s="1"/>
      <c r="IUD583" s="1"/>
      <c r="IUE583" s="1"/>
      <c r="IUF583" s="1"/>
      <c r="IUG583" s="1"/>
      <c r="IUH583" s="1"/>
      <c r="IUI583" s="1"/>
      <c r="IUJ583" s="1"/>
      <c r="IUK583" s="1"/>
      <c r="IUL583" s="1"/>
      <c r="IUM583" s="1"/>
      <c r="IUN583" s="1"/>
      <c r="IUO583" s="1"/>
      <c r="IUP583" s="1"/>
      <c r="IUQ583" s="1"/>
      <c r="IUR583" s="1"/>
      <c r="IUS583" s="1"/>
      <c r="IUT583" s="1"/>
      <c r="IUU583" s="1"/>
      <c r="IUV583" s="1"/>
      <c r="IUW583" s="1"/>
      <c r="IUX583" s="1"/>
      <c r="IUY583" s="1"/>
      <c r="IUZ583" s="1"/>
      <c r="IVA583" s="1"/>
      <c r="IVB583" s="1"/>
      <c r="IVC583" s="1"/>
      <c r="IVD583" s="1"/>
      <c r="IVE583" s="1"/>
      <c r="IVF583" s="1"/>
      <c r="IVG583" s="1"/>
      <c r="IVH583" s="1"/>
      <c r="IVI583" s="1"/>
      <c r="IVJ583" s="1"/>
      <c r="IVK583" s="1"/>
      <c r="IVL583" s="1"/>
      <c r="IVM583" s="1"/>
      <c r="IVN583" s="1"/>
      <c r="IVO583" s="1"/>
      <c r="IVP583" s="1"/>
      <c r="IVQ583" s="1"/>
      <c r="IVR583" s="1"/>
      <c r="IVS583" s="1"/>
      <c r="IVT583" s="1"/>
      <c r="IVU583" s="1"/>
      <c r="IVV583" s="1"/>
      <c r="IVW583" s="1"/>
      <c r="IVX583" s="1"/>
      <c r="IVY583" s="1"/>
      <c r="IVZ583" s="1"/>
      <c r="IWA583" s="1"/>
      <c r="IWB583" s="1"/>
      <c r="IWC583" s="1"/>
      <c r="IWD583" s="1"/>
      <c r="IWE583" s="1"/>
      <c r="IWF583" s="1"/>
      <c r="IWG583" s="1"/>
      <c r="IWH583" s="1"/>
      <c r="IWI583" s="1"/>
      <c r="IWJ583" s="1"/>
      <c r="IWK583" s="1"/>
      <c r="IWL583" s="1"/>
      <c r="IWM583" s="1"/>
      <c r="IWN583" s="1"/>
      <c r="IWO583" s="1"/>
      <c r="IWP583" s="1"/>
      <c r="IWQ583" s="1"/>
      <c r="IWR583" s="1"/>
      <c r="IWS583" s="1"/>
      <c r="IWT583" s="1"/>
      <c r="IWU583" s="1"/>
      <c r="IWV583" s="1"/>
      <c r="IWW583" s="1"/>
      <c r="IWX583" s="1"/>
      <c r="IWY583" s="1"/>
      <c r="IWZ583" s="1"/>
      <c r="IXA583" s="1"/>
      <c r="IXB583" s="1"/>
      <c r="IXC583" s="1"/>
      <c r="IXD583" s="1"/>
      <c r="IXE583" s="1"/>
      <c r="IXF583" s="1"/>
      <c r="IXG583" s="1"/>
      <c r="IXH583" s="1"/>
      <c r="IXI583" s="1"/>
      <c r="IXJ583" s="1"/>
      <c r="IXK583" s="1"/>
      <c r="IXL583" s="1"/>
      <c r="IXM583" s="1"/>
      <c r="IXN583" s="1"/>
      <c r="IXO583" s="1"/>
      <c r="IXP583" s="1"/>
      <c r="IXQ583" s="1"/>
      <c r="IXR583" s="1"/>
      <c r="IXS583" s="1"/>
      <c r="IXT583" s="1"/>
      <c r="IXU583" s="1"/>
      <c r="IXV583" s="1"/>
      <c r="IXW583" s="1"/>
      <c r="IXX583" s="1"/>
      <c r="IXY583" s="1"/>
      <c r="IXZ583" s="1"/>
      <c r="IYA583" s="1"/>
      <c r="IYB583" s="1"/>
      <c r="IYC583" s="1"/>
      <c r="IYD583" s="1"/>
      <c r="IYE583" s="1"/>
      <c r="IYF583" s="1"/>
      <c r="IYG583" s="1"/>
      <c r="IYH583" s="1"/>
      <c r="IYI583" s="1"/>
      <c r="IYJ583" s="1"/>
      <c r="IYK583" s="1"/>
      <c r="IYL583" s="1"/>
      <c r="IYM583" s="1"/>
      <c r="IYN583" s="1"/>
      <c r="IYO583" s="1"/>
      <c r="IYP583" s="1"/>
      <c r="IYQ583" s="1"/>
      <c r="IYR583" s="1"/>
      <c r="IYS583" s="1"/>
      <c r="IYT583" s="1"/>
      <c r="IYU583" s="1"/>
      <c r="IYV583" s="1"/>
      <c r="IYW583" s="1"/>
      <c r="IYX583" s="1"/>
      <c r="IYY583" s="1"/>
      <c r="IYZ583" s="1"/>
      <c r="IZA583" s="1"/>
      <c r="IZB583" s="1"/>
      <c r="IZC583" s="1"/>
      <c r="IZD583" s="1"/>
      <c r="IZE583" s="1"/>
      <c r="IZF583" s="1"/>
      <c r="IZG583" s="1"/>
      <c r="IZH583" s="1"/>
      <c r="IZI583" s="1"/>
      <c r="IZJ583" s="1"/>
      <c r="IZK583" s="1"/>
      <c r="IZL583" s="1"/>
      <c r="IZM583" s="1"/>
      <c r="IZN583" s="1"/>
      <c r="IZO583" s="1"/>
      <c r="IZP583" s="1"/>
      <c r="IZQ583" s="1"/>
      <c r="IZR583" s="1"/>
      <c r="IZS583" s="1"/>
      <c r="IZT583" s="1"/>
      <c r="IZU583" s="1"/>
      <c r="IZV583" s="1"/>
      <c r="IZW583" s="1"/>
      <c r="IZX583" s="1"/>
      <c r="IZY583" s="1"/>
      <c r="IZZ583" s="1"/>
      <c r="JAA583" s="1"/>
      <c r="JAB583" s="1"/>
      <c r="JAC583" s="1"/>
      <c r="JAD583" s="1"/>
      <c r="JAE583" s="1"/>
      <c r="JAF583" s="1"/>
      <c r="JAG583" s="1"/>
      <c r="JAH583" s="1"/>
      <c r="JAI583" s="1"/>
      <c r="JAJ583" s="1"/>
      <c r="JAK583" s="1"/>
      <c r="JAL583" s="1"/>
      <c r="JAM583" s="1"/>
      <c r="JAN583" s="1"/>
      <c r="JAO583" s="1"/>
      <c r="JAP583" s="1"/>
      <c r="JAQ583" s="1"/>
      <c r="JAR583" s="1"/>
      <c r="JAS583" s="1"/>
      <c r="JAT583" s="1"/>
      <c r="JAU583" s="1"/>
      <c r="JAV583" s="1"/>
      <c r="JAW583" s="1"/>
      <c r="JAX583" s="1"/>
      <c r="JAY583" s="1"/>
      <c r="JAZ583" s="1"/>
      <c r="JBA583" s="1"/>
      <c r="JBB583" s="1"/>
      <c r="JBC583" s="1"/>
      <c r="JBD583" s="1"/>
      <c r="JBE583" s="1"/>
      <c r="JBF583" s="1"/>
      <c r="JBG583" s="1"/>
      <c r="JBH583" s="1"/>
      <c r="JBI583" s="1"/>
      <c r="JBJ583" s="1"/>
      <c r="JBK583" s="1"/>
      <c r="JBL583" s="1"/>
      <c r="JBM583" s="1"/>
      <c r="JBN583" s="1"/>
      <c r="JBO583" s="1"/>
      <c r="JBP583" s="1"/>
      <c r="JBQ583" s="1"/>
      <c r="JBR583" s="1"/>
      <c r="JBS583" s="1"/>
      <c r="JBT583" s="1"/>
      <c r="JBU583" s="1"/>
      <c r="JBV583" s="1"/>
      <c r="JBW583" s="1"/>
      <c r="JBX583" s="1"/>
      <c r="JBY583" s="1"/>
      <c r="JBZ583" s="1"/>
      <c r="JCA583" s="1"/>
      <c r="JCB583" s="1"/>
      <c r="JCC583" s="1"/>
      <c r="JCD583" s="1"/>
      <c r="JCE583" s="1"/>
      <c r="JCF583" s="1"/>
      <c r="JCG583" s="1"/>
      <c r="JCH583" s="1"/>
      <c r="JCI583" s="1"/>
      <c r="JCJ583" s="1"/>
      <c r="JCK583" s="1"/>
      <c r="JCL583" s="1"/>
      <c r="JCM583" s="1"/>
      <c r="JCN583" s="1"/>
      <c r="JCO583" s="1"/>
      <c r="JCP583" s="1"/>
      <c r="JCQ583" s="1"/>
      <c r="JCR583" s="1"/>
      <c r="JCS583" s="1"/>
      <c r="JCT583" s="1"/>
      <c r="JCU583" s="1"/>
      <c r="JCV583" s="1"/>
      <c r="JCW583" s="1"/>
      <c r="JCX583" s="1"/>
      <c r="JCY583" s="1"/>
      <c r="JCZ583" s="1"/>
      <c r="JDA583" s="1"/>
      <c r="JDB583" s="1"/>
      <c r="JDC583" s="1"/>
      <c r="JDD583" s="1"/>
      <c r="JDE583" s="1"/>
      <c r="JDF583" s="1"/>
      <c r="JDG583" s="1"/>
      <c r="JDH583" s="1"/>
      <c r="JDI583" s="1"/>
      <c r="JDJ583" s="1"/>
      <c r="JDK583" s="1"/>
      <c r="JDL583" s="1"/>
      <c r="JDM583" s="1"/>
      <c r="JDN583" s="1"/>
      <c r="JDO583" s="1"/>
      <c r="JDP583" s="1"/>
      <c r="JDQ583" s="1"/>
      <c r="JDR583" s="1"/>
      <c r="JDS583" s="1"/>
      <c r="JDT583" s="1"/>
      <c r="JDU583" s="1"/>
      <c r="JDV583" s="1"/>
      <c r="JDW583" s="1"/>
      <c r="JDX583" s="1"/>
      <c r="JDY583" s="1"/>
      <c r="JDZ583" s="1"/>
      <c r="JEA583" s="1"/>
      <c r="JEB583" s="1"/>
      <c r="JEC583" s="1"/>
      <c r="JED583" s="1"/>
      <c r="JEE583" s="1"/>
      <c r="JEF583" s="1"/>
      <c r="JEG583" s="1"/>
      <c r="JEH583" s="1"/>
      <c r="JEI583" s="1"/>
      <c r="JEJ583" s="1"/>
      <c r="JEK583" s="1"/>
      <c r="JEL583" s="1"/>
      <c r="JEM583" s="1"/>
      <c r="JEN583" s="1"/>
      <c r="JEO583" s="1"/>
      <c r="JEP583" s="1"/>
      <c r="JEQ583" s="1"/>
      <c r="JER583" s="1"/>
      <c r="JES583" s="1"/>
      <c r="JET583" s="1"/>
      <c r="JEU583" s="1"/>
      <c r="JEV583" s="1"/>
      <c r="JEW583" s="1"/>
      <c r="JEX583" s="1"/>
      <c r="JEY583" s="1"/>
      <c r="JEZ583" s="1"/>
      <c r="JFA583" s="1"/>
      <c r="JFB583" s="1"/>
      <c r="JFC583" s="1"/>
      <c r="JFD583" s="1"/>
      <c r="JFE583" s="1"/>
      <c r="JFF583" s="1"/>
      <c r="JFG583" s="1"/>
      <c r="JFH583" s="1"/>
      <c r="JFI583" s="1"/>
      <c r="JFJ583" s="1"/>
      <c r="JFK583" s="1"/>
      <c r="JFL583" s="1"/>
      <c r="JFM583" s="1"/>
      <c r="JFN583" s="1"/>
      <c r="JFO583" s="1"/>
      <c r="JFP583" s="1"/>
      <c r="JFQ583" s="1"/>
      <c r="JFR583" s="1"/>
      <c r="JFS583" s="1"/>
      <c r="JFT583" s="1"/>
      <c r="JFU583" s="1"/>
      <c r="JFV583" s="1"/>
      <c r="JFW583" s="1"/>
      <c r="JFX583" s="1"/>
      <c r="JFY583" s="1"/>
      <c r="JFZ583" s="1"/>
      <c r="JGA583" s="1"/>
      <c r="JGB583" s="1"/>
      <c r="JGC583" s="1"/>
      <c r="JGD583" s="1"/>
      <c r="JGE583" s="1"/>
      <c r="JGF583" s="1"/>
      <c r="JGG583" s="1"/>
      <c r="JGH583" s="1"/>
      <c r="JGI583" s="1"/>
      <c r="JGJ583" s="1"/>
      <c r="JGK583" s="1"/>
      <c r="JGL583" s="1"/>
      <c r="JGM583" s="1"/>
      <c r="JGN583" s="1"/>
      <c r="JGO583" s="1"/>
      <c r="JGP583" s="1"/>
      <c r="JGQ583" s="1"/>
      <c r="JGR583" s="1"/>
      <c r="JGS583" s="1"/>
      <c r="JGT583" s="1"/>
      <c r="JGU583" s="1"/>
      <c r="JGV583" s="1"/>
      <c r="JGW583" s="1"/>
      <c r="JGX583" s="1"/>
      <c r="JGY583" s="1"/>
      <c r="JGZ583" s="1"/>
      <c r="JHA583" s="1"/>
      <c r="JHB583" s="1"/>
      <c r="JHC583" s="1"/>
      <c r="JHD583" s="1"/>
      <c r="JHE583" s="1"/>
      <c r="JHF583" s="1"/>
      <c r="JHG583" s="1"/>
      <c r="JHH583" s="1"/>
      <c r="JHI583" s="1"/>
      <c r="JHJ583" s="1"/>
      <c r="JHK583" s="1"/>
      <c r="JHL583" s="1"/>
      <c r="JHM583" s="1"/>
      <c r="JHN583" s="1"/>
      <c r="JHO583" s="1"/>
      <c r="JHP583" s="1"/>
      <c r="JHQ583" s="1"/>
      <c r="JHR583" s="1"/>
      <c r="JHS583" s="1"/>
      <c r="JHT583" s="1"/>
      <c r="JHU583" s="1"/>
      <c r="JHV583" s="1"/>
      <c r="JHW583" s="1"/>
      <c r="JHX583" s="1"/>
      <c r="JHY583" s="1"/>
      <c r="JHZ583" s="1"/>
      <c r="JIA583" s="1"/>
      <c r="JIB583" s="1"/>
      <c r="JIC583" s="1"/>
      <c r="JID583" s="1"/>
      <c r="JIE583" s="1"/>
      <c r="JIF583" s="1"/>
      <c r="JIG583" s="1"/>
      <c r="JIH583" s="1"/>
      <c r="JII583" s="1"/>
      <c r="JIJ583" s="1"/>
      <c r="JIK583" s="1"/>
      <c r="JIL583" s="1"/>
      <c r="JIM583" s="1"/>
      <c r="JIN583" s="1"/>
      <c r="JIO583" s="1"/>
      <c r="JIP583" s="1"/>
      <c r="JIQ583" s="1"/>
      <c r="JIR583" s="1"/>
      <c r="JIS583" s="1"/>
      <c r="JIT583" s="1"/>
      <c r="JIU583" s="1"/>
      <c r="JIV583" s="1"/>
      <c r="JIW583" s="1"/>
      <c r="JIX583" s="1"/>
      <c r="JIY583" s="1"/>
      <c r="JIZ583" s="1"/>
      <c r="JJA583" s="1"/>
      <c r="JJB583" s="1"/>
      <c r="JJC583" s="1"/>
      <c r="JJD583" s="1"/>
      <c r="JJE583" s="1"/>
      <c r="JJF583" s="1"/>
      <c r="JJG583" s="1"/>
      <c r="JJH583" s="1"/>
      <c r="JJI583" s="1"/>
      <c r="JJJ583" s="1"/>
      <c r="JJK583" s="1"/>
      <c r="JJL583" s="1"/>
      <c r="JJM583" s="1"/>
      <c r="JJN583" s="1"/>
      <c r="JJO583" s="1"/>
      <c r="JJP583" s="1"/>
      <c r="JJQ583" s="1"/>
      <c r="JJR583" s="1"/>
      <c r="JJS583" s="1"/>
      <c r="JJT583" s="1"/>
      <c r="JJU583" s="1"/>
      <c r="JJV583" s="1"/>
      <c r="JJW583" s="1"/>
      <c r="JJX583" s="1"/>
      <c r="JJY583" s="1"/>
      <c r="JJZ583" s="1"/>
      <c r="JKA583" s="1"/>
      <c r="JKB583" s="1"/>
      <c r="JKC583" s="1"/>
      <c r="JKD583" s="1"/>
      <c r="JKE583" s="1"/>
      <c r="JKF583" s="1"/>
      <c r="JKG583" s="1"/>
      <c r="JKH583" s="1"/>
      <c r="JKI583" s="1"/>
      <c r="JKJ583" s="1"/>
      <c r="JKK583" s="1"/>
      <c r="JKL583" s="1"/>
      <c r="JKM583" s="1"/>
      <c r="JKN583" s="1"/>
      <c r="JKO583" s="1"/>
      <c r="JKP583" s="1"/>
      <c r="JKQ583" s="1"/>
      <c r="JKR583" s="1"/>
      <c r="JKS583" s="1"/>
      <c r="JKT583" s="1"/>
      <c r="JKU583" s="1"/>
      <c r="JKV583" s="1"/>
      <c r="JKW583" s="1"/>
      <c r="JKX583" s="1"/>
      <c r="JKY583" s="1"/>
      <c r="JKZ583" s="1"/>
      <c r="JLA583" s="1"/>
      <c r="JLB583" s="1"/>
      <c r="JLC583" s="1"/>
      <c r="JLD583" s="1"/>
      <c r="JLE583" s="1"/>
      <c r="JLF583" s="1"/>
      <c r="JLG583" s="1"/>
      <c r="JLH583" s="1"/>
      <c r="JLI583" s="1"/>
      <c r="JLJ583" s="1"/>
      <c r="JLK583" s="1"/>
      <c r="JLL583" s="1"/>
      <c r="JLM583" s="1"/>
      <c r="JLN583" s="1"/>
      <c r="JLO583" s="1"/>
      <c r="JLP583" s="1"/>
      <c r="JLQ583" s="1"/>
      <c r="JLR583" s="1"/>
      <c r="JLS583" s="1"/>
      <c r="JLT583" s="1"/>
      <c r="JLU583" s="1"/>
      <c r="JLV583" s="1"/>
      <c r="JLW583" s="1"/>
      <c r="JLX583" s="1"/>
      <c r="JLY583" s="1"/>
      <c r="JLZ583" s="1"/>
      <c r="JMA583" s="1"/>
      <c r="JMB583" s="1"/>
      <c r="JMC583" s="1"/>
      <c r="JMD583" s="1"/>
      <c r="JME583" s="1"/>
      <c r="JMF583" s="1"/>
      <c r="JMG583" s="1"/>
      <c r="JMH583" s="1"/>
      <c r="JMI583" s="1"/>
      <c r="JMJ583" s="1"/>
      <c r="JMK583" s="1"/>
      <c r="JML583" s="1"/>
      <c r="JMM583" s="1"/>
      <c r="JMN583" s="1"/>
      <c r="JMO583" s="1"/>
      <c r="JMP583" s="1"/>
      <c r="JMQ583" s="1"/>
      <c r="JMR583" s="1"/>
      <c r="JMS583" s="1"/>
      <c r="JMT583" s="1"/>
      <c r="JMU583" s="1"/>
      <c r="JMV583" s="1"/>
      <c r="JMW583" s="1"/>
      <c r="JMX583" s="1"/>
      <c r="JMY583" s="1"/>
      <c r="JMZ583" s="1"/>
      <c r="JNA583" s="1"/>
      <c r="JNB583" s="1"/>
      <c r="JNC583" s="1"/>
      <c r="JND583" s="1"/>
      <c r="JNE583" s="1"/>
      <c r="JNF583" s="1"/>
      <c r="JNG583" s="1"/>
      <c r="JNH583" s="1"/>
      <c r="JNI583" s="1"/>
      <c r="JNJ583" s="1"/>
      <c r="JNK583" s="1"/>
      <c r="JNL583" s="1"/>
      <c r="JNM583" s="1"/>
      <c r="JNN583" s="1"/>
      <c r="JNO583" s="1"/>
      <c r="JNP583" s="1"/>
      <c r="JNQ583" s="1"/>
      <c r="JNR583" s="1"/>
      <c r="JNS583" s="1"/>
      <c r="JNT583" s="1"/>
      <c r="JNU583" s="1"/>
      <c r="JNV583" s="1"/>
      <c r="JNW583" s="1"/>
      <c r="JNX583" s="1"/>
      <c r="JNY583" s="1"/>
      <c r="JNZ583" s="1"/>
      <c r="JOA583" s="1"/>
      <c r="JOB583" s="1"/>
      <c r="JOC583" s="1"/>
      <c r="JOD583" s="1"/>
      <c r="JOE583" s="1"/>
      <c r="JOF583" s="1"/>
      <c r="JOG583" s="1"/>
      <c r="JOH583" s="1"/>
      <c r="JOI583" s="1"/>
      <c r="JOJ583" s="1"/>
      <c r="JOK583" s="1"/>
      <c r="JOL583" s="1"/>
      <c r="JOM583" s="1"/>
      <c r="JON583" s="1"/>
      <c r="JOO583" s="1"/>
      <c r="JOP583" s="1"/>
      <c r="JOQ583" s="1"/>
      <c r="JOR583" s="1"/>
      <c r="JOS583" s="1"/>
      <c r="JOT583" s="1"/>
      <c r="JOU583" s="1"/>
      <c r="JOV583" s="1"/>
      <c r="JOW583" s="1"/>
      <c r="JOX583" s="1"/>
      <c r="JOY583" s="1"/>
      <c r="JOZ583" s="1"/>
      <c r="JPA583" s="1"/>
      <c r="JPB583" s="1"/>
      <c r="JPC583" s="1"/>
      <c r="JPD583" s="1"/>
      <c r="JPE583" s="1"/>
      <c r="JPF583" s="1"/>
      <c r="JPG583" s="1"/>
      <c r="JPH583" s="1"/>
      <c r="JPI583" s="1"/>
      <c r="JPJ583" s="1"/>
      <c r="JPK583" s="1"/>
      <c r="JPL583" s="1"/>
      <c r="JPM583" s="1"/>
      <c r="JPN583" s="1"/>
      <c r="JPO583" s="1"/>
      <c r="JPP583" s="1"/>
      <c r="JPQ583" s="1"/>
      <c r="JPR583" s="1"/>
      <c r="JPS583" s="1"/>
      <c r="JPT583" s="1"/>
      <c r="JPU583" s="1"/>
      <c r="JPV583" s="1"/>
      <c r="JPW583" s="1"/>
      <c r="JPX583" s="1"/>
      <c r="JPY583" s="1"/>
      <c r="JPZ583" s="1"/>
      <c r="JQA583" s="1"/>
      <c r="JQB583" s="1"/>
      <c r="JQC583" s="1"/>
      <c r="JQD583" s="1"/>
      <c r="JQE583" s="1"/>
      <c r="JQF583" s="1"/>
      <c r="JQG583" s="1"/>
      <c r="JQH583" s="1"/>
      <c r="JQI583" s="1"/>
      <c r="JQJ583" s="1"/>
      <c r="JQK583" s="1"/>
      <c r="JQL583" s="1"/>
      <c r="JQM583" s="1"/>
      <c r="JQN583" s="1"/>
      <c r="JQO583" s="1"/>
      <c r="JQP583" s="1"/>
      <c r="JQQ583" s="1"/>
      <c r="JQR583" s="1"/>
      <c r="JQS583" s="1"/>
      <c r="JQT583" s="1"/>
      <c r="JQU583" s="1"/>
      <c r="JQV583" s="1"/>
      <c r="JQW583" s="1"/>
      <c r="JQX583" s="1"/>
      <c r="JQY583" s="1"/>
      <c r="JQZ583" s="1"/>
      <c r="JRA583" s="1"/>
      <c r="JRB583" s="1"/>
      <c r="JRC583" s="1"/>
      <c r="JRD583" s="1"/>
      <c r="JRE583" s="1"/>
      <c r="JRF583" s="1"/>
      <c r="JRG583" s="1"/>
      <c r="JRH583" s="1"/>
      <c r="JRI583" s="1"/>
      <c r="JRJ583" s="1"/>
      <c r="JRK583" s="1"/>
      <c r="JRL583" s="1"/>
      <c r="JRM583" s="1"/>
      <c r="JRN583" s="1"/>
      <c r="JRO583" s="1"/>
      <c r="JRP583" s="1"/>
      <c r="JRQ583" s="1"/>
      <c r="JRR583" s="1"/>
      <c r="JRS583" s="1"/>
      <c r="JRT583" s="1"/>
      <c r="JRU583" s="1"/>
      <c r="JRV583" s="1"/>
      <c r="JRW583" s="1"/>
      <c r="JRX583" s="1"/>
      <c r="JRY583" s="1"/>
      <c r="JRZ583" s="1"/>
      <c r="JSA583" s="1"/>
      <c r="JSB583" s="1"/>
      <c r="JSC583" s="1"/>
      <c r="JSD583" s="1"/>
      <c r="JSE583" s="1"/>
      <c r="JSF583" s="1"/>
      <c r="JSG583" s="1"/>
      <c r="JSH583" s="1"/>
      <c r="JSI583" s="1"/>
      <c r="JSJ583" s="1"/>
      <c r="JSK583" s="1"/>
      <c r="JSL583" s="1"/>
      <c r="JSM583" s="1"/>
      <c r="JSN583" s="1"/>
      <c r="JSO583" s="1"/>
      <c r="JSP583" s="1"/>
      <c r="JSQ583" s="1"/>
      <c r="JSR583" s="1"/>
      <c r="JSS583" s="1"/>
      <c r="JST583" s="1"/>
      <c r="JSU583" s="1"/>
      <c r="JSV583" s="1"/>
      <c r="JSW583" s="1"/>
      <c r="JSX583" s="1"/>
      <c r="JSY583" s="1"/>
      <c r="JSZ583" s="1"/>
      <c r="JTA583" s="1"/>
      <c r="JTB583" s="1"/>
      <c r="JTC583" s="1"/>
      <c r="JTD583" s="1"/>
      <c r="JTE583" s="1"/>
      <c r="JTF583" s="1"/>
      <c r="JTG583" s="1"/>
      <c r="JTH583" s="1"/>
      <c r="JTI583" s="1"/>
      <c r="JTJ583" s="1"/>
      <c r="JTK583" s="1"/>
      <c r="JTL583" s="1"/>
      <c r="JTM583" s="1"/>
      <c r="JTN583" s="1"/>
      <c r="JTO583" s="1"/>
      <c r="JTP583" s="1"/>
      <c r="JTQ583" s="1"/>
      <c r="JTR583" s="1"/>
      <c r="JTS583" s="1"/>
      <c r="JTT583" s="1"/>
      <c r="JTU583" s="1"/>
      <c r="JTV583" s="1"/>
      <c r="JTW583" s="1"/>
      <c r="JTX583" s="1"/>
      <c r="JTY583" s="1"/>
      <c r="JTZ583" s="1"/>
      <c r="JUA583" s="1"/>
      <c r="JUB583" s="1"/>
      <c r="JUC583" s="1"/>
      <c r="JUD583" s="1"/>
      <c r="JUE583" s="1"/>
      <c r="JUF583" s="1"/>
      <c r="JUG583" s="1"/>
      <c r="JUH583" s="1"/>
      <c r="JUI583" s="1"/>
      <c r="JUJ583" s="1"/>
      <c r="JUK583" s="1"/>
      <c r="JUL583" s="1"/>
      <c r="JUM583" s="1"/>
      <c r="JUN583" s="1"/>
      <c r="JUO583" s="1"/>
      <c r="JUP583" s="1"/>
      <c r="JUQ583" s="1"/>
      <c r="JUR583" s="1"/>
      <c r="JUS583" s="1"/>
      <c r="JUT583" s="1"/>
      <c r="JUU583" s="1"/>
      <c r="JUV583" s="1"/>
      <c r="JUW583" s="1"/>
      <c r="JUX583" s="1"/>
      <c r="JUY583" s="1"/>
      <c r="JUZ583" s="1"/>
      <c r="JVA583" s="1"/>
      <c r="JVB583" s="1"/>
      <c r="JVC583" s="1"/>
      <c r="JVD583" s="1"/>
      <c r="JVE583" s="1"/>
      <c r="JVF583" s="1"/>
      <c r="JVG583" s="1"/>
      <c r="JVH583" s="1"/>
      <c r="JVI583" s="1"/>
      <c r="JVJ583" s="1"/>
      <c r="JVK583" s="1"/>
      <c r="JVL583" s="1"/>
      <c r="JVM583" s="1"/>
      <c r="JVN583" s="1"/>
      <c r="JVO583" s="1"/>
      <c r="JVP583" s="1"/>
      <c r="JVQ583" s="1"/>
      <c r="JVR583" s="1"/>
      <c r="JVS583" s="1"/>
      <c r="JVT583" s="1"/>
      <c r="JVU583" s="1"/>
      <c r="JVV583" s="1"/>
      <c r="JVW583" s="1"/>
      <c r="JVX583" s="1"/>
      <c r="JVY583" s="1"/>
      <c r="JVZ583" s="1"/>
      <c r="JWA583" s="1"/>
      <c r="JWB583" s="1"/>
      <c r="JWC583" s="1"/>
      <c r="JWD583" s="1"/>
      <c r="JWE583" s="1"/>
      <c r="JWF583" s="1"/>
      <c r="JWG583" s="1"/>
      <c r="JWH583" s="1"/>
      <c r="JWI583" s="1"/>
      <c r="JWJ583" s="1"/>
      <c r="JWK583" s="1"/>
      <c r="JWL583" s="1"/>
      <c r="JWM583" s="1"/>
      <c r="JWN583" s="1"/>
      <c r="JWO583" s="1"/>
      <c r="JWP583" s="1"/>
      <c r="JWQ583" s="1"/>
      <c r="JWR583" s="1"/>
      <c r="JWS583" s="1"/>
      <c r="JWT583" s="1"/>
      <c r="JWU583" s="1"/>
      <c r="JWV583" s="1"/>
      <c r="JWW583" s="1"/>
      <c r="JWX583" s="1"/>
      <c r="JWY583" s="1"/>
      <c r="JWZ583" s="1"/>
      <c r="JXA583" s="1"/>
      <c r="JXB583" s="1"/>
      <c r="JXC583" s="1"/>
      <c r="JXD583" s="1"/>
      <c r="JXE583" s="1"/>
      <c r="JXF583" s="1"/>
      <c r="JXG583" s="1"/>
      <c r="JXH583" s="1"/>
      <c r="JXI583" s="1"/>
      <c r="JXJ583" s="1"/>
      <c r="JXK583" s="1"/>
      <c r="JXL583" s="1"/>
      <c r="JXM583" s="1"/>
      <c r="JXN583" s="1"/>
      <c r="JXO583" s="1"/>
      <c r="JXP583" s="1"/>
      <c r="JXQ583" s="1"/>
      <c r="JXR583" s="1"/>
      <c r="JXS583" s="1"/>
      <c r="JXT583" s="1"/>
      <c r="JXU583" s="1"/>
      <c r="JXV583" s="1"/>
      <c r="JXW583" s="1"/>
      <c r="JXX583" s="1"/>
      <c r="JXY583" s="1"/>
      <c r="JXZ583" s="1"/>
      <c r="JYA583" s="1"/>
      <c r="JYB583" s="1"/>
      <c r="JYC583" s="1"/>
      <c r="JYD583" s="1"/>
      <c r="JYE583" s="1"/>
      <c r="JYF583" s="1"/>
      <c r="JYG583" s="1"/>
      <c r="JYH583" s="1"/>
      <c r="JYI583" s="1"/>
      <c r="JYJ583" s="1"/>
      <c r="JYK583" s="1"/>
      <c r="JYL583" s="1"/>
      <c r="JYM583" s="1"/>
      <c r="JYN583" s="1"/>
      <c r="JYO583" s="1"/>
      <c r="JYP583" s="1"/>
      <c r="JYQ583" s="1"/>
      <c r="JYR583" s="1"/>
      <c r="JYS583" s="1"/>
      <c r="JYT583" s="1"/>
      <c r="JYU583" s="1"/>
      <c r="JYV583" s="1"/>
      <c r="JYW583" s="1"/>
      <c r="JYX583" s="1"/>
      <c r="JYY583" s="1"/>
      <c r="JYZ583" s="1"/>
      <c r="JZA583" s="1"/>
      <c r="JZB583" s="1"/>
      <c r="JZC583" s="1"/>
      <c r="JZD583" s="1"/>
      <c r="JZE583" s="1"/>
      <c r="JZF583" s="1"/>
      <c r="JZG583" s="1"/>
      <c r="JZH583" s="1"/>
      <c r="JZI583" s="1"/>
      <c r="JZJ583" s="1"/>
      <c r="JZK583" s="1"/>
      <c r="JZL583" s="1"/>
      <c r="JZM583" s="1"/>
      <c r="JZN583" s="1"/>
      <c r="JZO583" s="1"/>
      <c r="JZP583" s="1"/>
      <c r="JZQ583" s="1"/>
      <c r="JZR583" s="1"/>
      <c r="JZS583" s="1"/>
      <c r="JZT583" s="1"/>
      <c r="JZU583" s="1"/>
      <c r="JZV583" s="1"/>
      <c r="JZW583" s="1"/>
      <c r="JZX583" s="1"/>
      <c r="JZY583" s="1"/>
      <c r="JZZ583" s="1"/>
      <c r="KAA583" s="1"/>
      <c r="KAB583" s="1"/>
      <c r="KAC583" s="1"/>
      <c r="KAD583" s="1"/>
      <c r="KAE583" s="1"/>
      <c r="KAF583" s="1"/>
      <c r="KAG583" s="1"/>
      <c r="KAH583" s="1"/>
      <c r="KAI583" s="1"/>
      <c r="KAJ583" s="1"/>
      <c r="KAK583" s="1"/>
      <c r="KAL583" s="1"/>
      <c r="KAM583" s="1"/>
      <c r="KAN583" s="1"/>
      <c r="KAO583" s="1"/>
      <c r="KAP583" s="1"/>
      <c r="KAQ583" s="1"/>
      <c r="KAR583" s="1"/>
      <c r="KAS583" s="1"/>
      <c r="KAT583" s="1"/>
      <c r="KAU583" s="1"/>
      <c r="KAV583" s="1"/>
      <c r="KAW583" s="1"/>
      <c r="KAX583" s="1"/>
      <c r="KAY583" s="1"/>
      <c r="KAZ583" s="1"/>
      <c r="KBA583" s="1"/>
      <c r="KBB583" s="1"/>
      <c r="KBC583" s="1"/>
      <c r="KBD583" s="1"/>
      <c r="KBE583" s="1"/>
      <c r="KBF583" s="1"/>
      <c r="KBG583" s="1"/>
      <c r="KBH583" s="1"/>
      <c r="KBI583" s="1"/>
      <c r="KBJ583" s="1"/>
      <c r="KBK583" s="1"/>
      <c r="KBL583" s="1"/>
      <c r="KBM583" s="1"/>
      <c r="KBN583" s="1"/>
      <c r="KBO583" s="1"/>
      <c r="KBP583" s="1"/>
      <c r="KBQ583" s="1"/>
      <c r="KBR583" s="1"/>
      <c r="KBS583" s="1"/>
      <c r="KBT583" s="1"/>
      <c r="KBU583" s="1"/>
      <c r="KBV583" s="1"/>
      <c r="KBW583" s="1"/>
      <c r="KBX583" s="1"/>
      <c r="KBY583" s="1"/>
      <c r="KBZ583" s="1"/>
      <c r="KCA583" s="1"/>
      <c r="KCB583" s="1"/>
      <c r="KCC583" s="1"/>
      <c r="KCD583" s="1"/>
      <c r="KCE583" s="1"/>
      <c r="KCF583" s="1"/>
      <c r="KCG583" s="1"/>
      <c r="KCH583" s="1"/>
      <c r="KCI583" s="1"/>
      <c r="KCJ583" s="1"/>
      <c r="KCK583" s="1"/>
      <c r="KCL583" s="1"/>
      <c r="KCM583" s="1"/>
      <c r="KCN583" s="1"/>
      <c r="KCO583" s="1"/>
      <c r="KCP583" s="1"/>
      <c r="KCQ583" s="1"/>
      <c r="KCR583" s="1"/>
      <c r="KCS583" s="1"/>
      <c r="KCT583" s="1"/>
      <c r="KCU583" s="1"/>
      <c r="KCV583" s="1"/>
      <c r="KCW583" s="1"/>
      <c r="KCX583" s="1"/>
      <c r="KCY583" s="1"/>
      <c r="KCZ583" s="1"/>
      <c r="KDA583" s="1"/>
      <c r="KDB583" s="1"/>
      <c r="KDC583" s="1"/>
      <c r="KDD583" s="1"/>
      <c r="KDE583" s="1"/>
      <c r="KDF583" s="1"/>
      <c r="KDG583" s="1"/>
      <c r="KDH583" s="1"/>
      <c r="KDI583" s="1"/>
      <c r="KDJ583" s="1"/>
      <c r="KDK583" s="1"/>
      <c r="KDL583" s="1"/>
      <c r="KDM583" s="1"/>
      <c r="KDN583" s="1"/>
      <c r="KDO583" s="1"/>
      <c r="KDP583" s="1"/>
      <c r="KDQ583" s="1"/>
      <c r="KDR583" s="1"/>
      <c r="KDS583" s="1"/>
      <c r="KDT583" s="1"/>
      <c r="KDU583" s="1"/>
      <c r="KDV583" s="1"/>
      <c r="KDW583" s="1"/>
      <c r="KDX583" s="1"/>
      <c r="KDY583" s="1"/>
      <c r="KDZ583" s="1"/>
      <c r="KEA583" s="1"/>
      <c r="KEB583" s="1"/>
      <c r="KEC583" s="1"/>
      <c r="KED583" s="1"/>
      <c r="KEE583" s="1"/>
      <c r="KEF583" s="1"/>
      <c r="KEG583" s="1"/>
      <c r="KEH583" s="1"/>
      <c r="KEI583" s="1"/>
      <c r="KEJ583" s="1"/>
      <c r="KEK583" s="1"/>
      <c r="KEL583" s="1"/>
      <c r="KEM583" s="1"/>
      <c r="KEN583" s="1"/>
      <c r="KEO583" s="1"/>
      <c r="KEP583" s="1"/>
      <c r="KEQ583" s="1"/>
      <c r="KER583" s="1"/>
      <c r="KES583" s="1"/>
      <c r="KET583" s="1"/>
      <c r="KEU583" s="1"/>
      <c r="KEV583" s="1"/>
      <c r="KEW583" s="1"/>
      <c r="KEX583" s="1"/>
      <c r="KEY583" s="1"/>
      <c r="KEZ583" s="1"/>
      <c r="KFA583" s="1"/>
      <c r="KFB583" s="1"/>
      <c r="KFC583" s="1"/>
      <c r="KFD583" s="1"/>
      <c r="KFE583" s="1"/>
      <c r="KFF583" s="1"/>
      <c r="KFG583" s="1"/>
      <c r="KFH583" s="1"/>
      <c r="KFI583" s="1"/>
      <c r="KFJ583" s="1"/>
      <c r="KFK583" s="1"/>
      <c r="KFL583" s="1"/>
      <c r="KFM583" s="1"/>
      <c r="KFN583" s="1"/>
      <c r="KFO583" s="1"/>
      <c r="KFP583" s="1"/>
      <c r="KFQ583" s="1"/>
      <c r="KFR583" s="1"/>
      <c r="KFS583" s="1"/>
      <c r="KFT583" s="1"/>
      <c r="KFU583" s="1"/>
      <c r="KFV583" s="1"/>
      <c r="KFW583" s="1"/>
      <c r="KFX583" s="1"/>
      <c r="KFY583" s="1"/>
      <c r="KFZ583" s="1"/>
      <c r="KGA583" s="1"/>
      <c r="KGB583" s="1"/>
      <c r="KGC583" s="1"/>
      <c r="KGD583" s="1"/>
      <c r="KGE583" s="1"/>
      <c r="KGF583" s="1"/>
      <c r="KGG583" s="1"/>
      <c r="KGH583" s="1"/>
      <c r="KGI583" s="1"/>
      <c r="KGJ583" s="1"/>
      <c r="KGK583" s="1"/>
      <c r="KGL583" s="1"/>
      <c r="KGM583" s="1"/>
      <c r="KGN583" s="1"/>
      <c r="KGO583" s="1"/>
      <c r="KGP583" s="1"/>
      <c r="KGQ583" s="1"/>
      <c r="KGR583" s="1"/>
      <c r="KGS583" s="1"/>
      <c r="KGT583" s="1"/>
      <c r="KGU583" s="1"/>
      <c r="KGV583" s="1"/>
      <c r="KGW583" s="1"/>
      <c r="KGX583" s="1"/>
      <c r="KGY583" s="1"/>
      <c r="KGZ583" s="1"/>
      <c r="KHA583" s="1"/>
      <c r="KHB583" s="1"/>
      <c r="KHC583" s="1"/>
      <c r="KHD583" s="1"/>
      <c r="KHE583" s="1"/>
      <c r="KHF583" s="1"/>
      <c r="KHG583" s="1"/>
      <c r="KHH583" s="1"/>
      <c r="KHI583" s="1"/>
      <c r="KHJ583" s="1"/>
      <c r="KHK583" s="1"/>
      <c r="KHL583" s="1"/>
      <c r="KHM583" s="1"/>
      <c r="KHN583" s="1"/>
      <c r="KHO583" s="1"/>
      <c r="KHP583" s="1"/>
      <c r="KHQ583" s="1"/>
      <c r="KHR583" s="1"/>
      <c r="KHS583" s="1"/>
      <c r="KHT583" s="1"/>
      <c r="KHU583" s="1"/>
      <c r="KHV583" s="1"/>
      <c r="KHW583" s="1"/>
      <c r="KHX583" s="1"/>
      <c r="KHY583" s="1"/>
      <c r="KHZ583" s="1"/>
      <c r="KIA583" s="1"/>
      <c r="KIB583" s="1"/>
      <c r="KIC583" s="1"/>
      <c r="KID583" s="1"/>
      <c r="KIE583" s="1"/>
      <c r="KIF583" s="1"/>
      <c r="KIG583" s="1"/>
      <c r="KIH583" s="1"/>
      <c r="KII583" s="1"/>
      <c r="KIJ583" s="1"/>
      <c r="KIK583" s="1"/>
      <c r="KIL583" s="1"/>
      <c r="KIM583" s="1"/>
      <c r="KIN583" s="1"/>
      <c r="KIO583" s="1"/>
      <c r="KIP583" s="1"/>
      <c r="KIQ583" s="1"/>
      <c r="KIR583" s="1"/>
      <c r="KIS583" s="1"/>
      <c r="KIT583" s="1"/>
      <c r="KIU583" s="1"/>
      <c r="KIV583" s="1"/>
      <c r="KIW583" s="1"/>
      <c r="KIX583" s="1"/>
      <c r="KIY583" s="1"/>
      <c r="KIZ583" s="1"/>
      <c r="KJA583" s="1"/>
      <c r="KJB583" s="1"/>
      <c r="KJC583" s="1"/>
      <c r="KJD583" s="1"/>
      <c r="KJE583" s="1"/>
      <c r="KJF583" s="1"/>
      <c r="KJG583" s="1"/>
      <c r="KJH583" s="1"/>
      <c r="KJI583" s="1"/>
      <c r="KJJ583" s="1"/>
      <c r="KJK583" s="1"/>
      <c r="KJL583" s="1"/>
      <c r="KJM583" s="1"/>
      <c r="KJN583" s="1"/>
      <c r="KJO583" s="1"/>
      <c r="KJP583" s="1"/>
      <c r="KJQ583" s="1"/>
      <c r="KJR583" s="1"/>
      <c r="KJS583" s="1"/>
      <c r="KJT583" s="1"/>
      <c r="KJU583" s="1"/>
      <c r="KJV583" s="1"/>
      <c r="KJW583" s="1"/>
      <c r="KJX583" s="1"/>
      <c r="KJY583" s="1"/>
      <c r="KJZ583" s="1"/>
      <c r="KKA583" s="1"/>
      <c r="KKB583" s="1"/>
      <c r="KKC583" s="1"/>
      <c r="KKD583" s="1"/>
      <c r="KKE583" s="1"/>
      <c r="KKF583" s="1"/>
      <c r="KKG583" s="1"/>
      <c r="KKH583" s="1"/>
      <c r="KKI583" s="1"/>
      <c r="KKJ583" s="1"/>
      <c r="KKK583" s="1"/>
      <c r="KKL583" s="1"/>
      <c r="KKM583" s="1"/>
      <c r="KKN583" s="1"/>
      <c r="KKO583" s="1"/>
      <c r="KKP583" s="1"/>
      <c r="KKQ583" s="1"/>
      <c r="KKR583" s="1"/>
      <c r="KKS583" s="1"/>
      <c r="KKT583" s="1"/>
      <c r="KKU583" s="1"/>
      <c r="KKV583" s="1"/>
      <c r="KKW583" s="1"/>
      <c r="KKX583" s="1"/>
      <c r="KKY583" s="1"/>
      <c r="KKZ583" s="1"/>
      <c r="KLA583" s="1"/>
      <c r="KLB583" s="1"/>
      <c r="KLC583" s="1"/>
      <c r="KLD583" s="1"/>
      <c r="KLE583" s="1"/>
      <c r="KLF583" s="1"/>
      <c r="KLG583" s="1"/>
      <c r="KLH583" s="1"/>
      <c r="KLI583" s="1"/>
      <c r="KLJ583" s="1"/>
      <c r="KLK583" s="1"/>
      <c r="KLL583" s="1"/>
      <c r="KLM583" s="1"/>
      <c r="KLN583" s="1"/>
      <c r="KLO583" s="1"/>
      <c r="KLP583" s="1"/>
      <c r="KLQ583" s="1"/>
      <c r="KLR583" s="1"/>
      <c r="KLS583" s="1"/>
      <c r="KLT583" s="1"/>
      <c r="KLU583" s="1"/>
      <c r="KLV583" s="1"/>
      <c r="KLW583" s="1"/>
      <c r="KLX583" s="1"/>
      <c r="KLY583" s="1"/>
      <c r="KLZ583" s="1"/>
      <c r="KMA583" s="1"/>
      <c r="KMB583" s="1"/>
      <c r="KMC583" s="1"/>
      <c r="KMD583" s="1"/>
      <c r="KME583" s="1"/>
      <c r="KMF583" s="1"/>
      <c r="KMG583" s="1"/>
      <c r="KMH583" s="1"/>
      <c r="KMI583" s="1"/>
      <c r="KMJ583" s="1"/>
      <c r="KMK583" s="1"/>
      <c r="KML583" s="1"/>
      <c r="KMM583" s="1"/>
      <c r="KMN583" s="1"/>
      <c r="KMO583" s="1"/>
      <c r="KMP583" s="1"/>
      <c r="KMQ583" s="1"/>
      <c r="KMR583" s="1"/>
      <c r="KMS583" s="1"/>
      <c r="KMT583" s="1"/>
      <c r="KMU583" s="1"/>
      <c r="KMV583" s="1"/>
      <c r="KMW583" s="1"/>
      <c r="KMX583" s="1"/>
      <c r="KMY583" s="1"/>
      <c r="KMZ583" s="1"/>
      <c r="KNA583" s="1"/>
      <c r="KNB583" s="1"/>
      <c r="KNC583" s="1"/>
      <c r="KND583" s="1"/>
      <c r="KNE583" s="1"/>
      <c r="KNF583" s="1"/>
      <c r="KNG583" s="1"/>
      <c r="KNH583" s="1"/>
      <c r="KNI583" s="1"/>
      <c r="KNJ583" s="1"/>
      <c r="KNK583" s="1"/>
      <c r="KNL583" s="1"/>
      <c r="KNM583" s="1"/>
      <c r="KNN583" s="1"/>
      <c r="KNO583" s="1"/>
      <c r="KNP583" s="1"/>
      <c r="KNQ583" s="1"/>
      <c r="KNR583" s="1"/>
      <c r="KNS583" s="1"/>
      <c r="KNT583" s="1"/>
      <c r="KNU583" s="1"/>
      <c r="KNV583" s="1"/>
      <c r="KNW583" s="1"/>
      <c r="KNX583" s="1"/>
      <c r="KNY583" s="1"/>
      <c r="KNZ583" s="1"/>
      <c r="KOA583" s="1"/>
      <c r="KOB583" s="1"/>
      <c r="KOC583" s="1"/>
      <c r="KOD583" s="1"/>
      <c r="KOE583" s="1"/>
      <c r="KOF583" s="1"/>
      <c r="KOG583" s="1"/>
      <c r="KOH583" s="1"/>
      <c r="KOI583" s="1"/>
      <c r="KOJ583" s="1"/>
      <c r="KOK583" s="1"/>
      <c r="KOL583" s="1"/>
      <c r="KOM583" s="1"/>
      <c r="KON583" s="1"/>
      <c r="KOO583" s="1"/>
      <c r="KOP583" s="1"/>
      <c r="KOQ583" s="1"/>
      <c r="KOR583" s="1"/>
      <c r="KOS583" s="1"/>
      <c r="KOT583" s="1"/>
      <c r="KOU583" s="1"/>
      <c r="KOV583" s="1"/>
      <c r="KOW583" s="1"/>
      <c r="KOX583" s="1"/>
      <c r="KOY583" s="1"/>
      <c r="KOZ583" s="1"/>
      <c r="KPA583" s="1"/>
      <c r="KPB583" s="1"/>
      <c r="KPC583" s="1"/>
      <c r="KPD583" s="1"/>
      <c r="KPE583" s="1"/>
      <c r="KPF583" s="1"/>
      <c r="KPG583" s="1"/>
      <c r="KPH583" s="1"/>
      <c r="KPI583" s="1"/>
      <c r="KPJ583" s="1"/>
      <c r="KPK583" s="1"/>
      <c r="KPL583" s="1"/>
      <c r="KPM583" s="1"/>
      <c r="KPN583" s="1"/>
      <c r="KPO583" s="1"/>
      <c r="KPP583" s="1"/>
      <c r="KPQ583" s="1"/>
      <c r="KPR583" s="1"/>
      <c r="KPS583" s="1"/>
      <c r="KPT583" s="1"/>
      <c r="KPU583" s="1"/>
      <c r="KPV583" s="1"/>
      <c r="KPW583" s="1"/>
      <c r="KPX583" s="1"/>
      <c r="KPY583" s="1"/>
      <c r="KPZ583" s="1"/>
      <c r="KQA583" s="1"/>
      <c r="KQB583" s="1"/>
      <c r="KQC583" s="1"/>
      <c r="KQD583" s="1"/>
      <c r="KQE583" s="1"/>
      <c r="KQF583" s="1"/>
      <c r="KQG583" s="1"/>
      <c r="KQH583" s="1"/>
      <c r="KQI583" s="1"/>
      <c r="KQJ583" s="1"/>
      <c r="KQK583" s="1"/>
      <c r="KQL583" s="1"/>
      <c r="KQM583" s="1"/>
      <c r="KQN583" s="1"/>
      <c r="KQO583" s="1"/>
      <c r="KQP583" s="1"/>
      <c r="KQQ583" s="1"/>
      <c r="KQR583" s="1"/>
      <c r="KQS583" s="1"/>
      <c r="KQT583" s="1"/>
      <c r="KQU583" s="1"/>
      <c r="KQV583" s="1"/>
      <c r="KQW583" s="1"/>
      <c r="KQX583" s="1"/>
      <c r="KQY583" s="1"/>
      <c r="KQZ583" s="1"/>
      <c r="KRA583" s="1"/>
      <c r="KRB583" s="1"/>
      <c r="KRC583" s="1"/>
      <c r="KRD583" s="1"/>
      <c r="KRE583" s="1"/>
      <c r="KRF583" s="1"/>
      <c r="KRG583" s="1"/>
      <c r="KRH583" s="1"/>
      <c r="KRI583" s="1"/>
      <c r="KRJ583" s="1"/>
      <c r="KRK583" s="1"/>
      <c r="KRL583" s="1"/>
      <c r="KRM583" s="1"/>
      <c r="KRN583" s="1"/>
      <c r="KRO583" s="1"/>
      <c r="KRP583" s="1"/>
      <c r="KRQ583" s="1"/>
      <c r="KRR583" s="1"/>
      <c r="KRS583" s="1"/>
      <c r="KRT583" s="1"/>
      <c r="KRU583" s="1"/>
      <c r="KRV583" s="1"/>
      <c r="KRW583" s="1"/>
      <c r="KRX583" s="1"/>
      <c r="KRY583" s="1"/>
      <c r="KRZ583" s="1"/>
      <c r="KSA583" s="1"/>
      <c r="KSB583" s="1"/>
      <c r="KSC583" s="1"/>
      <c r="KSD583" s="1"/>
      <c r="KSE583" s="1"/>
      <c r="KSF583" s="1"/>
      <c r="KSG583" s="1"/>
      <c r="KSH583" s="1"/>
      <c r="KSI583" s="1"/>
      <c r="KSJ583" s="1"/>
      <c r="KSK583" s="1"/>
      <c r="KSL583" s="1"/>
      <c r="KSM583" s="1"/>
      <c r="KSN583" s="1"/>
      <c r="KSO583" s="1"/>
      <c r="KSP583" s="1"/>
      <c r="KSQ583" s="1"/>
      <c r="KSR583" s="1"/>
      <c r="KSS583" s="1"/>
      <c r="KST583" s="1"/>
      <c r="KSU583" s="1"/>
      <c r="KSV583" s="1"/>
      <c r="KSW583" s="1"/>
      <c r="KSX583" s="1"/>
      <c r="KSY583" s="1"/>
      <c r="KSZ583" s="1"/>
      <c r="KTA583" s="1"/>
      <c r="KTB583" s="1"/>
      <c r="KTC583" s="1"/>
      <c r="KTD583" s="1"/>
      <c r="KTE583" s="1"/>
      <c r="KTF583" s="1"/>
      <c r="KTG583" s="1"/>
      <c r="KTH583" s="1"/>
      <c r="KTI583" s="1"/>
      <c r="KTJ583" s="1"/>
      <c r="KTK583" s="1"/>
      <c r="KTL583" s="1"/>
      <c r="KTM583" s="1"/>
      <c r="KTN583" s="1"/>
      <c r="KTO583" s="1"/>
      <c r="KTP583" s="1"/>
      <c r="KTQ583" s="1"/>
      <c r="KTR583" s="1"/>
      <c r="KTS583" s="1"/>
      <c r="KTT583" s="1"/>
      <c r="KTU583" s="1"/>
      <c r="KTV583" s="1"/>
      <c r="KTW583" s="1"/>
      <c r="KTX583" s="1"/>
      <c r="KTY583" s="1"/>
      <c r="KTZ583" s="1"/>
      <c r="KUA583" s="1"/>
      <c r="KUB583" s="1"/>
      <c r="KUC583" s="1"/>
      <c r="KUD583" s="1"/>
      <c r="KUE583" s="1"/>
      <c r="KUF583" s="1"/>
      <c r="KUG583" s="1"/>
      <c r="KUH583" s="1"/>
      <c r="KUI583" s="1"/>
      <c r="KUJ583" s="1"/>
      <c r="KUK583" s="1"/>
      <c r="KUL583" s="1"/>
      <c r="KUM583" s="1"/>
      <c r="KUN583" s="1"/>
      <c r="KUO583" s="1"/>
      <c r="KUP583" s="1"/>
      <c r="KUQ583" s="1"/>
      <c r="KUR583" s="1"/>
      <c r="KUS583" s="1"/>
      <c r="KUT583" s="1"/>
      <c r="KUU583" s="1"/>
      <c r="KUV583" s="1"/>
      <c r="KUW583" s="1"/>
      <c r="KUX583" s="1"/>
      <c r="KUY583" s="1"/>
      <c r="KUZ583" s="1"/>
      <c r="KVA583" s="1"/>
      <c r="KVB583" s="1"/>
      <c r="KVC583" s="1"/>
      <c r="KVD583" s="1"/>
      <c r="KVE583" s="1"/>
      <c r="KVF583" s="1"/>
      <c r="KVG583" s="1"/>
      <c r="KVH583" s="1"/>
      <c r="KVI583" s="1"/>
      <c r="KVJ583" s="1"/>
      <c r="KVK583" s="1"/>
      <c r="KVL583" s="1"/>
      <c r="KVM583" s="1"/>
      <c r="KVN583" s="1"/>
      <c r="KVO583" s="1"/>
      <c r="KVP583" s="1"/>
      <c r="KVQ583" s="1"/>
      <c r="KVR583" s="1"/>
      <c r="KVS583" s="1"/>
      <c r="KVT583" s="1"/>
      <c r="KVU583" s="1"/>
      <c r="KVV583" s="1"/>
      <c r="KVW583" s="1"/>
      <c r="KVX583" s="1"/>
      <c r="KVY583" s="1"/>
      <c r="KVZ583" s="1"/>
      <c r="KWA583" s="1"/>
      <c r="KWB583" s="1"/>
      <c r="KWC583" s="1"/>
      <c r="KWD583" s="1"/>
      <c r="KWE583" s="1"/>
      <c r="KWF583" s="1"/>
      <c r="KWG583" s="1"/>
      <c r="KWH583" s="1"/>
      <c r="KWI583" s="1"/>
      <c r="KWJ583" s="1"/>
      <c r="KWK583" s="1"/>
      <c r="KWL583" s="1"/>
      <c r="KWM583" s="1"/>
      <c r="KWN583" s="1"/>
      <c r="KWO583" s="1"/>
      <c r="KWP583" s="1"/>
      <c r="KWQ583" s="1"/>
      <c r="KWR583" s="1"/>
      <c r="KWS583" s="1"/>
      <c r="KWT583" s="1"/>
      <c r="KWU583" s="1"/>
      <c r="KWV583" s="1"/>
      <c r="KWW583" s="1"/>
      <c r="KWX583" s="1"/>
      <c r="KWY583" s="1"/>
      <c r="KWZ583" s="1"/>
      <c r="KXA583" s="1"/>
      <c r="KXB583" s="1"/>
      <c r="KXC583" s="1"/>
      <c r="KXD583" s="1"/>
      <c r="KXE583" s="1"/>
      <c r="KXF583" s="1"/>
      <c r="KXG583" s="1"/>
      <c r="KXH583" s="1"/>
      <c r="KXI583" s="1"/>
      <c r="KXJ583" s="1"/>
      <c r="KXK583" s="1"/>
      <c r="KXL583" s="1"/>
      <c r="KXM583" s="1"/>
      <c r="KXN583" s="1"/>
      <c r="KXO583" s="1"/>
      <c r="KXP583" s="1"/>
      <c r="KXQ583" s="1"/>
      <c r="KXR583" s="1"/>
      <c r="KXS583" s="1"/>
      <c r="KXT583" s="1"/>
      <c r="KXU583" s="1"/>
      <c r="KXV583" s="1"/>
      <c r="KXW583" s="1"/>
      <c r="KXX583" s="1"/>
      <c r="KXY583" s="1"/>
      <c r="KXZ583" s="1"/>
      <c r="KYA583" s="1"/>
      <c r="KYB583" s="1"/>
      <c r="KYC583" s="1"/>
      <c r="KYD583" s="1"/>
      <c r="KYE583" s="1"/>
      <c r="KYF583" s="1"/>
      <c r="KYG583" s="1"/>
      <c r="KYH583" s="1"/>
      <c r="KYI583" s="1"/>
      <c r="KYJ583" s="1"/>
      <c r="KYK583" s="1"/>
      <c r="KYL583" s="1"/>
      <c r="KYM583" s="1"/>
      <c r="KYN583" s="1"/>
      <c r="KYO583" s="1"/>
      <c r="KYP583" s="1"/>
      <c r="KYQ583" s="1"/>
      <c r="KYR583" s="1"/>
      <c r="KYS583" s="1"/>
      <c r="KYT583" s="1"/>
      <c r="KYU583" s="1"/>
      <c r="KYV583" s="1"/>
      <c r="KYW583" s="1"/>
      <c r="KYX583" s="1"/>
      <c r="KYY583" s="1"/>
      <c r="KYZ583" s="1"/>
      <c r="KZA583" s="1"/>
      <c r="KZB583" s="1"/>
      <c r="KZC583" s="1"/>
      <c r="KZD583" s="1"/>
      <c r="KZE583" s="1"/>
      <c r="KZF583" s="1"/>
      <c r="KZG583" s="1"/>
      <c r="KZH583" s="1"/>
      <c r="KZI583" s="1"/>
      <c r="KZJ583" s="1"/>
      <c r="KZK583" s="1"/>
      <c r="KZL583" s="1"/>
      <c r="KZM583" s="1"/>
      <c r="KZN583" s="1"/>
      <c r="KZO583" s="1"/>
      <c r="KZP583" s="1"/>
      <c r="KZQ583" s="1"/>
      <c r="KZR583" s="1"/>
      <c r="KZS583" s="1"/>
      <c r="KZT583" s="1"/>
      <c r="KZU583" s="1"/>
      <c r="KZV583" s="1"/>
      <c r="KZW583" s="1"/>
      <c r="KZX583" s="1"/>
      <c r="KZY583" s="1"/>
      <c r="KZZ583" s="1"/>
      <c r="LAA583" s="1"/>
      <c r="LAB583" s="1"/>
      <c r="LAC583" s="1"/>
      <c r="LAD583" s="1"/>
      <c r="LAE583" s="1"/>
      <c r="LAF583" s="1"/>
      <c r="LAG583" s="1"/>
      <c r="LAH583" s="1"/>
      <c r="LAI583" s="1"/>
      <c r="LAJ583" s="1"/>
      <c r="LAK583" s="1"/>
      <c r="LAL583" s="1"/>
      <c r="LAM583" s="1"/>
      <c r="LAN583" s="1"/>
      <c r="LAO583" s="1"/>
      <c r="LAP583" s="1"/>
      <c r="LAQ583" s="1"/>
      <c r="LAR583" s="1"/>
      <c r="LAS583" s="1"/>
      <c r="LAT583" s="1"/>
      <c r="LAU583" s="1"/>
      <c r="LAV583" s="1"/>
      <c r="LAW583" s="1"/>
      <c r="LAX583" s="1"/>
      <c r="LAY583" s="1"/>
      <c r="LAZ583" s="1"/>
      <c r="LBA583" s="1"/>
      <c r="LBB583" s="1"/>
      <c r="LBC583" s="1"/>
      <c r="LBD583" s="1"/>
      <c r="LBE583" s="1"/>
      <c r="LBF583" s="1"/>
      <c r="LBG583" s="1"/>
      <c r="LBH583" s="1"/>
      <c r="LBI583" s="1"/>
      <c r="LBJ583" s="1"/>
      <c r="LBK583" s="1"/>
      <c r="LBL583" s="1"/>
      <c r="LBM583" s="1"/>
      <c r="LBN583" s="1"/>
      <c r="LBO583" s="1"/>
      <c r="LBP583" s="1"/>
      <c r="LBQ583" s="1"/>
      <c r="LBR583" s="1"/>
      <c r="LBS583" s="1"/>
      <c r="LBT583" s="1"/>
      <c r="LBU583" s="1"/>
      <c r="LBV583" s="1"/>
      <c r="LBW583" s="1"/>
      <c r="LBX583" s="1"/>
      <c r="LBY583" s="1"/>
      <c r="LBZ583" s="1"/>
      <c r="LCA583" s="1"/>
      <c r="LCB583" s="1"/>
      <c r="LCC583" s="1"/>
      <c r="LCD583" s="1"/>
      <c r="LCE583" s="1"/>
      <c r="LCF583" s="1"/>
      <c r="LCG583" s="1"/>
      <c r="LCH583" s="1"/>
      <c r="LCI583" s="1"/>
      <c r="LCJ583" s="1"/>
      <c r="LCK583" s="1"/>
      <c r="LCL583" s="1"/>
      <c r="LCM583" s="1"/>
      <c r="LCN583" s="1"/>
      <c r="LCO583" s="1"/>
      <c r="LCP583" s="1"/>
      <c r="LCQ583" s="1"/>
      <c r="LCR583" s="1"/>
      <c r="LCS583" s="1"/>
      <c r="LCT583" s="1"/>
      <c r="LCU583" s="1"/>
      <c r="LCV583" s="1"/>
      <c r="LCW583" s="1"/>
      <c r="LCX583" s="1"/>
      <c r="LCY583" s="1"/>
      <c r="LCZ583" s="1"/>
      <c r="LDA583" s="1"/>
      <c r="LDB583" s="1"/>
      <c r="LDC583" s="1"/>
      <c r="LDD583" s="1"/>
      <c r="LDE583" s="1"/>
      <c r="LDF583" s="1"/>
      <c r="LDG583" s="1"/>
      <c r="LDH583" s="1"/>
      <c r="LDI583" s="1"/>
      <c r="LDJ583" s="1"/>
      <c r="LDK583" s="1"/>
      <c r="LDL583" s="1"/>
      <c r="LDM583" s="1"/>
      <c r="LDN583" s="1"/>
      <c r="LDO583" s="1"/>
      <c r="LDP583" s="1"/>
      <c r="LDQ583" s="1"/>
      <c r="LDR583" s="1"/>
      <c r="LDS583" s="1"/>
      <c r="LDT583" s="1"/>
      <c r="LDU583" s="1"/>
      <c r="LDV583" s="1"/>
      <c r="LDW583" s="1"/>
      <c r="LDX583" s="1"/>
      <c r="LDY583" s="1"/>
      <c r="LDZ583" s="1"/>
      <c r="LEA583" s="1"/>
      <c r="LEB583" s="1"/>
      <c r="LEC583" s="1"/>
      <c r="LED583" s="1"/>
      <c r="LEE583" s="1"/>
      <c r="LEF583" s="1"/>
      <c r="LEG583" s="1"/>
      <c r="LEH583" s="1"/>
      <c r="LEI583" s="1"/>
      <c r="LEJ583" s="1"/>
      <c r="LEK583" s="1"/>
      <c r="LEL583" s="1"/>
      <c r="LEM583" s="1"/>
      <c r="LEN583" s="1"/>
      <c r="LEO583" s="1"/>
      <c r="LEP583" s="1"/>
      <c r="LEQ583" s="1"/>
      <c r="LER583" s="1"/>
      <c r="LES583" s="1"/>
      <c r="LET583" s="1"/>
      <c r="LEU583" s="1"/>
      <c r="LEV583" s="1"/>
      <c r="LEW583" s="1"/>
      <c r="LEX583" s="1"/>
      <c r="LEY583" s="1"/>
      <c r="LEZ583" s="1"/>
      <c r="LFA583" s="1"/>
      <c r="LFB583" s="1"/>
      <c r="LFC583" s="1"/>
      <c r="LFD583" s="1"/>
      <c r="LFE583" s="1"/>
      <c r="LFF583" s="1"/>
      <c r="LFG583" s="1"/>
      <c r="LFH583" s="1"/>
      <c r="LFI583" s="1"/>
      <c r="LFJ583" s="1"/>
      <c r="LFK583" s="1"/>
      <c r="LFL583" s="1"/>
      <c r="LFM583" s="1"/>
      <c r="LFN583" s="1"/>
      <c r="LFO583" s="1"/>
      <c r="LFP583" s="1"/>
      <c r="LFQ583" s="1"/>
      <c r="LFR583" s="1"/>
      <c r="LFS583" s="1"/>
      <c r="LFT583" s="1"/>
      <c r="LFU583" s="1"/>
      <c r="LFV583" s="1"/>
      <c r="LFW583" s="1"/>
      <c r="LFX583" s="1"/>
      <c r="LFY583" s="1"/>
      <c r="LFZ583" s="1"/>
      <c r="LGA583" s="1"/>
      <c r="LGB583" s="1"/>
      <c r="LGC583" s="1"/>
      <c r="LGD583" s="1"/>
      <c r="LGE583" s="1"/>
      <c r="LGF583" s="1"/>
      <c r="LGG583" s="1"/>
      <c r="LGH583" s="1"/>
      <c r="LGI583" s="1"/>
      <c r="LGJ583" s="1"/>
      <c r="LGK583" s="1"/>
      <c r="LGL583" s="1"/>
      <c r="LGM583" s="1"/>
      <c r="LGN583" s="1"/>
      <c r="LGO583" s="1"/>
      <c r="LGP583" s="1"/>
      <c r="LGQ583" s="1"/>
      <c r="LGR583" s="1"/>
      <c r="LGS583" s="1"/>
      <c r="LGT583" s="1"/>
      <c r="LGU583" s="1"/>
      <c r="LGV583" s="1"/>
      <c r="LGW583" s="1"/>
      <c r="LGX583" s="1"/>
      <c r="LGY583" s="1"/>
      <c r="LGZ583" s="1"/>
      <c r="LHA583" s="1"/>
      <c r="LHB583" s="1"/>
      <c r="LHC583" s="1"/>
      <c r="LHD583" s="1"/>
      <c r="LHE583" s="1"/>
      <c r="LHF583" s="1"/>
      <c r="LHG583" s="1"/>
      <c r="LHH583" s="1"/>
      <c r="LHI583" s="1"/>
      <c r="LHJ583" s="1"/>
      <c r="LHK583" s="1"/>
      <c r="LHL583" s="1"/>
      <c r="LHM583" s="1"/>
      <c r="LHN583" s="1"/>
      <c r="LHO583" s="1"/>
      <c r="LHP583" s="1"/>
      <c r="LHQ583" s="1"/>
      <c r="LHR583" s="1"/>
      <c r="LHS583" s="1"/>
      <c r="LHT583" s="1"/>
      <c r="LHU583" s="1"/>
      <c r="LHV583" s="1"/>
      <c r="LHW583" s="1"/>
      <c r="LHX583" s="1"/>
      <c r="LHY583" s="1"/>
      <c r="LHZ583" s="1"/>
      <c r="LIA583" s="1"/>
      <c r="LIB583" s="1"/>
      <c r="LIC583" s="1"/>
      <c r="LID583" s="1"/>
      <c r="LIE583" s="1"/>
      <c r="LIF583" s="1"/>
      <c r="LIG583" s="1"/>
      <c r="LIH583" s="1"/>
      <c r="LII583" s="1"/>
      <c r="LIJ583" s="1"/>
      <c r="LIK583" s="1"/>
      <c r="LIL583" s="1"/>
      <c r="LIM583" s="1"/>
      <c r="LIN583" s="1"/>
      <c r="LIO583" s="1"/>
      <c r="LIP583" s="1"/>
      <c r="LIQ583" s="1"/>
      <c r="LIR583" s="1"/>
      <c r="LIS583" s="1"/>
      <c r="LIT583" s="1"/>
      <c r="LIU583" s="1"/>
      <c r="LIV583" s="1"/>
      <c r="LIW583" s="1"/>
      <c r="LIX583" s="1"/>
      <c r="LIY583" s="1"/>
      <c r="LIZ583" s="1"/>
      <c r="LJA583" s="1"/>
      <c r="LJB583" s="1"/>
      <c r="LJC583" s="1"/>
      <c r="LJD583" s="1"/>
      <c r="LJE583" s="1"/>
      <c r="LJF583" s="1"/>
      <c r="LJG583" s="1"/>
      <c r="LJH583" s="1"/>
      <c r="LJI583" s="1"/>
      <c r="LJJ583" s="1"/>
      <c r="LJK583" s="1"/>
      <c r="LJL583" s="1"/>
      <c r="LJM583" s="1"/>
      <c r="LJN583" s="1"/>
      <c r="LJO583" s="1"/>
      <c r="LJP583" s="1"/>
      <c r="LJQ583" s="1"/>
      <c r="LJR583" s="1"/>
      <c r="LJS583" s="1"/>
      <c r="LJT583" s="1"/>
      <c r="LJU583" s="1"/>
      <c r="LJV583" s="1"/>
      <c r="LJW583" s="1"/>
      <c r="LJX583" s="1"/>
      <c r="LJY583" s="1"/>
      <c r="LJZ583" s="1"/>
      <c r="LKA583" s="1"/>
      <c r="LKB583" s="1"/>
      <c r="LKC583" s="1"/>
      <c r="LKD583" s="1"/>
      <c r="LKE583" s="1"/>
      <c r="LKF583" s="1"/>
      <c r="LKG583" s="1"/>
      <c r="LKH583" s="1"/>
      <c r="LKI583" s="1"/>
      <c r="LKJ583" s="1"/>
      <c r="LKK583" s="1"/>
      <c r="LKL583" s="1"/>
      <c r="LKM583" s="1"/>
      <c r="LKN583" s="1"/>
      <c r="LKO583" s="1"/>
      <c r="LKP583" s="1"/>
      <c r="LKQ583" s="1"/>
      <c r="LKR583" s="1"/>
      <c r="LKS583" s="1"/>
      <c r="LKT583" s="1"/>
      <c r="LKU583" s="1"/>
      <c r="LKV583" s="1"/>
      <c r="LKW583" s="1"/>
      <c r="LKX583" s="1"/>
      <c r="LKY583" s="1"/>
      <c r="LKZ583" s="1"/>
      <c r="LLA583" s="1"/>
      <c r="LLB583" s="1"/>
      <c r="LLC583" s="1"/>
      <c r="LLD583" s="1"/>
      <c r="LLE583" s="1"/>
      <c r="LLF583" s="1"/>
      <c r="LLG583" s="1"/>
      <c r="LLH583" s="1"/>
      <c r="LLI583" s="1"/>
      <c r="LLJ583" s="1"/>
      <c r="LLK583" s="1"/>
      <c r="LLL583" s="1"/>
      <c r="LLM583" s="1"/>
      <c r="LLN583" s="1"/>
      <c r="LLO583" s="1"/>
      <c r="LLP583" s="1"/>
      <c r="LLQ583" s="1"/>
      <c r="LLR583" s="1"/>
      <c r="LLS583" s="1"/>
      <c r="LLT583" s="1"/>
      <c r="LLU583" s="1"/>
      <c r="LLV583" s="1"/>
      <c r="LLW583" s="1"/>
      <c r="LLX583" s="1"/>
      <c r="LLY583" s="1"/>
      <c r="LLZ583" s="1"/>
      <c r="LMA583" s="1"/>
      <c r="LMB583" s="1"/>
      <c r="LMC583" s="1"/>
      <c r="LMD583" s="1"/>
      <c r="LME583" s="1"/>
      <c r="LMF583" s="1"/>
      <c r="LMG583" s="1"/>
      <c r="LMH583" s="1"/>
      <c r="LMI583" s="1"/>
      <c r="LMJ583" s="1"/>
      <c r="LMK583" s="1"/>
      <c r="LML583" s="1"/>
      <c r="LMM583" s="1"/>
      <c r="LMN583" s="1"/>
      <c r="LMO583" s="1"/>
      <c r="LMP583" s="1"/>
      <c r="LMQ583" s="1"/>
      <c r="LMR583" s="1"/>
      <c r="LMS583" s="1"/>
      <c r="LMT583" s="1"/>
      <c r="LMU583" s="1"/>
      <c r="LMV583" s="1"/>
      <c r="LMW583" s="1"/>
      <c r="LMX583" s="1"/>
      <c r="LMY583" s="1"/>
      <c r="LMZ583" s="1"/>
      <c r="LNA583" s="1"/>
      <c r="LNB583" s="1"/>
      <c r="LNC583" s="1"/>
      <c r="LND583" s="1"/>
      <c r="LNE583" s="1"/>
      <c r="LNF583" s="1"/>
      <c r="LNG583" s="1"/>
      <c r="LNH583" s="1"/>
      <c r="LNI583" s="1"/>
      <c r="LNJ583" s="1"/>
      <c r="LNK583" s="1"/>
      <c r="LNL583" s="1"/>
      <c r="LNM583" s="1"/>
      <c r="LNN583" s="1"/>
      <c r="LNO583" s="1"/>
      <c r="LNP583" s="1"/>
      <c r="LNQ583" s="1"/>
      <c r="LNR583" s="1"/>
      <c r="LNS583" s="1"/>
      <c r="LNT583" s="1"/>
      <c r="LNU583" s="1"/>
      <c r="LNV583" s="1"/>
      <c r="LNW583" s="1"/>
      <c r="LNX583" s="1"/>
      <c r="LNY583" s="1"/>
      <c r="LNZ583" s="1"/>
      <c r="LOA583" s="1"/>
      <c r="LOB583" s="1"/>
      <c r="LOC583" s="1"/>
      <c r="LOD583" s="1"/>
      <c r="LOE583" s="1"/>
      <c r="LOF583" s="1"/>
      <c r="LOG583" s="1"/>
      <c r="LOH583" s="1"/>
      <c r="LOI583" s="1"/>
      <c r="LOJ583" s="1"/>
      <c r="LOK583" s="1"/>
      <c r="LOL583" s="1"/>
      <c r="LOM583" s="1"/>
      <c r="LON583" s="1"/>
      <c r="LOO583" s="1"/>
      <c r="LOP583" s="1"/>
      <c r="LOQ583" s="1"/>
      <c r="LOR583" s="1"/>
      <c r="LOS583" s="1"/>
      <c r="LOT583" s="1"/>
      <c r="LOU583" s="1"/>
      <c r="LOV583" s="1"/>
      <c r="LOW583" s="1"/>
      <c r="LOX583" s="1"/>
      <c r="LOY583" s="1"/>
      <c r="LOZ583" s="1"/>
      <c r="LPA583" s="1"/>
      <c r="LPB583" s="1"/>
      <c r="LPC583" s="1"/>
      <c r="LPD583" s="1"/>
      <c r="LPE583" s="1"/>
      <c r="LPF583" s="1"/>
      <c r="LPG583" s="1"/>
      <c r="LPH583" s="1"/>
      <c r="LPI583" s="1"/>
      <c r="LPJ583" s="1"/>
      <c r="LPK583" s="1"/>
      <c r="LPL583" s="1"/>
      <c r="LPM583" s="1"/>
      <c r="LPN583" s="1"/>
      <c r="LPO583" s="1"/>
      <c r="LPP583" s="1"/>
      <c r="LPQ583" s="1"/>
      <c r="LPR583" s="1"/>
      <c r="LPS583" s="1"/>
      <c r="LPT583" s="1"/>
      <c r="LPU583" s="1"/>
      <c r="LPV583" s="1"/>
      <c r="LPW583" s="1"/>
      <c r="LPX583" s="1"/>
      <c r="LPY583" s="1"/>
      <c r="LPZ583" s="1"/>
      <c r="LQA583" s="1"/>
      <c r="LQB583" s="1"/>
      <c r="LQC583" s="1"/>
      <c r="LQD583" s="1"/>
      <c r="LQE583" s="1"/>
      <c r="LQF583" s="1"/>
      <c r="LQG583" s="1"/>
      <c r="LQH583" s="1"/>
      <c r="LQI583" s="1"/>
      <c r="LQJ583" s="1"/>
      <c r="LQK583" s="1"/>
      <c r="LQL583" s="1"/>
      <c r="LQM583" s="1"/>
      <c r="LQN583" s="1"/>
      <c r="LQO583" s="1"/>
      <c r="LQP583" s="1"/>
      <c r="LQQ583" s="1"/>
      <c r="LQR583" s="1"/>
      <c r="LQS583" s="1"/>
      <c r="LQT583" s="1"/>
      <c r="LQU583" s="1"/>
      <c r="LQV583" s="1"/>
      <c r="LQW583" s="1"/>
      <c r="LQX583" s="1"/>
      <c r="LQY583" s="1"/>
      <c r="LQZ583" s="1"/>
      <c r="LRA583" s="1"/>
      <c r="LRB583" s="1"/>
      <c r="LRC583" s="1"/>
      <c r="LRD583" s="1"/>
      <c r="LRE583" s="1"/>
      <c r="LRF583" s="1"/>
      <c r="LRG583" s="1"/>
      <c r="LRH583" s="1"/>
      <c r="LRI583" s="1"/>
      <c r="LRJ583" s="1"/>
      <c r="LRK583" s="1"/>
      <c r="LRL583" s="1"/>
      <c r="LRM583" s="1"/>
      <c r="LRN583" s="1"/>
      <c r="LRO583" s="1"/>
      <c r="LRP583" s="1"/>
      <c r="LRQ583" s="1"/>
      <c r="LRR583" s="1"/>
      <c r="LRS583" s="1"/>
      <c r="LRT583" s="1"/>
      <c r="LRU583" s="1"/>
      <c r="LRV583" s="1"/>
      <c r="LRW583" s="1"/>
      <c r="LRX583" s="1"/>
      <c r="LRY583" s="1"/>
      <c r="LRZ583" s="1"/>
      <c r="LSA583" s="1"/>
      <c r="LSB583" s="1"/>
      <c r="LSC583" s="1"/>
      <c r="LSD583" s="1"/>
      <c r="LSE583" s="1"/>
      <c r="LSF583" s="1"/>
      <c r="LSG583" s="1"/>
      <c r="LSH583" s="1"/>
      <c r="LSI583" s="1"/>
      <c r="LSJ583" s="1"/>
      <c r="LSK583" s="1"/>
      <c r="LSL583" s="1"/>
      <c r="LSM583" s="1"/>
      <c r="LSN583" s="1"/>
      <c r="LSO583" s="1"/>
      <c r="LSP583" s="1"/>
      <c r="LSQ583" s="1"/>
      <c r="LSR583" s="1"/>
      <c r="LSS583" s="1"/>
      <c r="LST583" s="1"/>
      <c r="LSU583" s="1"/>
      <c r="LSV583" s="1"/>
      <c r="LSW583" s="1"/>
      <c r="LSX583" s="1"/>
      <c r="LSY583" s="1"/>
      <c r="LSZ583" s="1"/>
      <c r="LTA583" s="1"/>
      <c r="LTB583" s="1"/>
      <c r="LTC583" s="1"/>
      <c r="LTD583" s="1"/>
      <c r="LTE583" s="1"/>
      <c r="LTF583" s="1"/>
      <c r="LTG583" s="1"/>
      <c r="LTH583" s="1"/>
      <c r="LTI583" s="1"/>
      <c r="LTJ583" s="1"/>
      <c r="LTK583" s="1"/>
      <c r="LTL583" s="1"/>
      <c r="LTM583" s="1"/>
      <c r="LTN583" s="1"/>
      <c r="LTO583" s="1"/>
      <c r="LTP583" s="1"/>
      <c r="LTQ583" s="1"/>
      <c r="LTR583" s="1"/>
      <c r="LTS583" s="1"/>
      <c r="LTT583" s="1"/>
      <c r="LTU583" s="1"/>
      <c r="LTV583" s="1"/>
      <c r="LTW583" s="1"/>
      <c r="LTX583" s="1"/>
      <c r="LTY583" s="1"/>
      <c r="LTZ583" s="1"/>
      <c r="LUA583" s="1"/>
      <c r="LUB583" s="1"/>
      <c r="LUC583" s="1"/>
      <c r="LUD583" s="1"/>
      <c r="LUE583" s="1"/>
      <c r="LUF583" s="1"/>
      <c r="LUG583" s="1"/>
      <c r="LUH583" s="1"/>
      <c r="LUI583" s="1"/>
      <c r="LUJ583" s="1"/>
      <c r="LUK583" s="1"/>
      <c r="LUL583" s="1"/>
      <c r="LUM583" s="1"/>
      <c r="LUN583" s="1"/>
      <c r="LUO583" s="1"/>
      <c r="LUP583" s="1"/>
      <c r="LUQ583" s="1"/>
      <c r="LUR583" s="1"/>
      <c r="LUS583" s="1"/>
      <c r="LUT583" s="1"/>
      <c r="LUU583" s="1"/>
      <c r="LUV583" s="1"/>
      <c r="LUW583" s="1"/>
      <c r="LUX583" s="1"/>
      <c r="LUY583" s="1"/>
      <c r="LUZ583" s="1"/>
      <c r="LVA583" s="1"/>
      <c r="LVB583" s="1"/>
      <c r="LVC583" s="1"/>
      <c r="LVD583" s="1"/>
      <c r="LVE583" s="1"/>
      <c r="LVF583" s="1"/>
      <c r="LVG583" s="1"/>
      <c r="LVH583" s="1"/>
      <c r="LVI583" s="1"/>
      <c r="LVJ583" s="1"/>
      <c r="LVK583" s="1"/>
      <c r="LVL583" s="1"/>
      <c r="LVM583" s="1"/>
      <c r="LVN583" s="1"/>
      <c r="LVO583" s="1"/>
      <c r="LVP583" s="1"/>
      <c r="LVQ583" s="1"/>
      <c r="LVR583" s="1"/>
      <c r="LVS583" s="1"/>
      <c r="LVT583" s="1"/>
      <c r="LVU583" s="1"/>
      <c r="LVV583" s="1"/>
      <c r="LVW583" s="1"/>
      <c r="LVX583" s="1"/>
      <c r="LVY583" s="1"/>
      <c r="LVZ583" s="1"/>
      <c r="LWA583" s="1"/>
      <c r="LWB583" s="1"/>
      <c r="LWC583" s="1"/>
      <c r="LWD583" s="1"/>
      <c r="LWE583" s="1"/>
      <c r="LWF583" s="1"/>
      <c r="LWG583" s="1"/>
      <c r="LWH583" s="1"/>
      <c r="LWI583" s="1"/>
      <c r="LWJ583" s="1"/>
      <c r="LWK583" s="1"/>
      <c r="LWL583" s="1"/>
      <c r="LWM583" s="1"/>
      <c r="LWN583" s="1"/>
      <c r="LWO583" s="1"/>
      <c r="LWP583" s="1"/>
      <c r="LWQ583" s="1"/>
      <c r="LWR583" s="1"/>
      <c r="LWS583" s="1"/>
      <c r="LWT583" s="1"/>
      <c r="LWU583" s="1"/>
      <c r="LWV583" s="1"/>
      <c r="LWW583" s="1"/>
      <c r="LWX583" s="1"/>
      <c r="LWY583" s="1"/>
      <c r="LWZ583" s="1"/>
      <c r="LXA583" s="1"/>
      <c r="LXB583" s="1"/>
      <c r="LXC583" s="1"/>
      <c r="LXD583" s="1"/>
      <c r="LXE583" s="1"/>
      <c r="LXF583" s="1"/>
      <c r="LXG583" s="1"/>
      <c r="LXH583" s="1"/>
      <c r="LXI583" s="1"/>
      <c r="LXJ583" s="1"/>
      <c r="LXK583" s="1"/>
      <c r="LXL583" s="1"/>
      <c r="LXM583" s="1"/>
      <c r="LXN583" s="1"/>
      <c r="LXO583" s="1"/>
      <c r="LXP583" s="1"/>
      <c r="LXQ583" s="1"/>
      <c r="LXR583" s="1"/>
      <c r="LXS583" s="1"/>
      <c r="LXT583" s="1"/>
      <c r="LXU583" s="1"/>
      <c r="LXV583" s="1"/>
      <c r="LXW583" s="1"/>
      <c r="LXX583" s="1"/>
      <c r="LXY583" s="1"/>
      <c r="LXZ583" s="1"/>
      <c r="LYA583" s="1"/>
      <c r="LYB583" s="1"/>
      <c r="LYC583" s="1"/>
      <c r="LYD583" s="1"/>
      <c r="LYE583" s="1"/>
      <c r="LYF583" s="1"/>
      <c r="LYG583" s="1"/>
      <c r="LYH583" s="1"/>
      <c r="LYI583" s="1"/>
      <c r="LYJ583" s="1"/>
      <c r="LYK583" s="1"/>
      <c r="LYL583" s="1"/>
      <c r="LYM583" s="1"/>
      <c r="LYN583" s="1"/>
      <c r="LYO583" s="1"/>
      <c r="LYP583" s="1"/>
      <c r="LYQ583" s="1"/>
      <c r="LYR583" s="1"/>
      <c r="LYS583" s="1"/>
      <c r="LYT583" s="1"/>
      <c r="LYU583" s="1"/>
      <c r="LYV583" s="1"/>
      <c r="LYW583" s="1"/>
      <c r="LYX583" s="1"/>
      <c r="LYY583" s="1"/>
      <c r="LYZ583" s="1"/>
      <c r="LZA583" s="1"/>
      <c r="LZB583" s="1"/>
      <c r="LZC583" s="1"/>
      <c r="LZD583" s="1"/>
      <c r="LZE583" s="1"/>
      <c r="LZF583" s="1"/>
      <c r="LZG583" s="1"/>
      <c r="LZH583" s="1"/>
      <c r="LZI583" s="1"/>
      <c r="LZJ583" s="1"/>
      <c r="LZK583" s="1"/>
      <c r="LZL583" s="1"/>
      <c r="LZM583" s="1"/>
      <c r="LZN583" s="1"/>
      <c r="LZO583" s="1"/>
      <c r="LZP583" s="1"/>
      <c r="LZQ583" s="1"/>
      <c r="LZR583" s="1"/>
      <c r="LZS583" s="1"/>
      <c r="LZT583" s="1"/>
      <c r="LZU583" s="1"/>
      <c r="LZV583" s="1"/>
      <c r="LZW583" s="1"/>
      <c r="LZX583" s="1"/>
      <c r="LZY583" s="1"/>
      <c r="LZZ583" s="1"/>
      <c r="MAA583" s="1"/>
      <c r="MAB583" s="1"/>
      <c r="MAC583" s="1"/>
      <c r="MAD583" s="1"/>
      <c r="MAE583" s="1"/>
      <c r="MAF583" s="1"/>
      <c r="MAG583" s="1"/>
      <c r="MAH583" s="1"/>
      <c r="MAI583" s="1"/>
      <c r="MAJ583" s="1"/>
      <c r="MAK583" s="1"/>
      <c r="MAL583" s="1"/>
      <c r="MAM583" s="1"/>
      <c r="MAN583" s="1"/>
      <c r="MAO583" s="1"/>
      <c r="MAP583" s="1"/>
      <c r="MAQ583" s="1"/>
      <c r="MAR583" s="1"/>
      <c r="MAS583" s="1"/>
      <c r="MAT583" s="1"/>
      <c r="MAU583" s="1"/>
      <c r="MAV583" s="1"/>
      <c r="MAW583" s="1"/>
      <c r="MAX583" s="1"/>
      <c r="MAY583" s="1"/>
      <c r="MAZ583" s="1"/>
      <c r="MBA583" s="1"/>
      <c r="MBB583" s="1"/>
      <c r="MBC583" s="1"/>
      <c r="MBD583" s="1"/>
      <c r="MBE583" s="1"/>
      <c r="MBF583" s="1"/>
      <c r="MBG583" s="1"/>
      <c r="MBH583" s="1"/>
      <c r="MBI583" s="1"/>
      <c r="MBJ583" s="1"/>
      <c r="MBK583" s="1"/>
      <c r="MBL583" s="1"/>
      <c r="MBM583" s="1"/>
      <c r="MBN583" s="1"/>
      <c r="MBO583" s="1"/>
      <c r="MBP583" s="1"/>
      <c r="MBQ583" s="1"/>
      <c r="MBR583" s="1"/>
      <c r="MBS583" s="1"/>
      <c r="MBT583" s="1"/>
      <c r="MBU583" s="1"/>
      <c r="MBV583" s="1"/>
      <c r="MBW583" s="1"/>
      <c r="MBX583" s="1"/>
      <c r="MBY583" s="1"/>
      <c r="MBZ583" s="1"/>
      <c r="MCA583" s="1"/>
      <c r="MCB583" s="1"/>
      <c r="MCC583" s="1"/>
      <c r="MCD583" s="1"/>
      <c r="MCE583" s="1"/>
      <c r="MCF583" s="1"/>
      <c r="MCG583" s="1"/>
      <c r="MCH583" s="1"/>
      <c r="MCI583" s="1"/>
      <c r="MCJ583" s="1"/>
      <c r="MCK583" s="1"/>
      <c r="MCL583" s="1"/>
      <c r="MCM583" s="1"/>
      <c r="MCN583" s="1"/>
      <c r="MCO583" s="1"/>
      <c r="MCP583" s="1"/>
      <c r="MCQ583" s="1"/>
      <c r="MCR583" s="1"/>
      <c r="MCS583" s="1"/>
      <c r="MCT583" s="1"/>
      <c r="MCU583" s="1"/>
      <c r="MCV583" s="1"/>
      <c r="MCW583" s="1"/>
      <c r="MCX583" s="1"/>
      <c r="MCY583" s="1"/>
      <c r="MCZ583" s="1"/>
      <c r="MDA583" s="1"/>
      <c r="MDB583" s="1"/>
      <c r="MDC583" s="1"/>
      <c r="MDD583" s="1"/>
      <c r="MDE583" s="1"/>
      <c r="MDF583" s="1"/>
      <c r="MDG583" s="1"/>
      <c r="MDH583" s="1"/>
      <c r="MDI583" s="1"/>
      <c r="MDJ583" s="1"/>
      <c r="MDK583" s="1"/>
      <c r="MDL583" s="1"/>
      <c r="MDM583" s="1"/>
      <c r="MDN583" s="1"/>
      <c r="MDO583" s="1"/>
      <c r="MDP583" s="1"/>
      <c r="MDQ583" s="1"/>
      <c r="MDR583" s="1"/>
      <c r="MDS583" s="1"/>
      <c r="MDT583" s="1"/>
      <c r="MDU583" s="1"/>
      <c r="MDV583" s="1"/>
      <c r="MDW583" s="1"/>
      <c r="MDX583" s="1"/>
      <c r="MDY583" s="1"/>
      <c r="MDZ583" s="1"/>
      <c r="MEA583" s="1"/>
      <c r="MEB583" s="1"/>
      <c r="MEC583" s="1"/>
      <c r="MED583" s="1"/>
      <c r="MEE583" s="1"/>
      <c r="MEF583" s="1"/>
      <c r="MEG583" s="1"/>
      <c r="MEH583" s="1"/>
      <c r="MEI583" s="1"/>
      <c r="MEJ583" s="1"/>
      <c r="MEK583" s="1"/>
      <c r="MEL583" s="1"/>
      <c r="MEM583" s="1"/>
      <c r="MEN583" s="1"/>
      <c r="MEO583" s="1"/>
      <c r="MEP583" s="1"/>
      <c r="MEQ583" s="1"/>
      <c r="MER583" s="1"/>
      <c r="MES583" s="1"/>
      <c r="MET583" s="1"/>
      <c r="MEU583" s="1"/>
      <c r="MEV583" s="1"/>
      <c r="MEW583" s="1"/>
      <c r="MEX583" s="1"/>
      <c r="MEY583" s="1"/>
      <c r="MEZ583" s="1"/>
      <c r="MFA583" s="1"/>
      <c r="MFB583" s="1"/>
      <c r="MFC583" s="1"/>
      <c r="MFD583" s="1"/>
      <c r="MFE583" s="1"/>
      <c r="MFF583" s="1"/>
      <c r="MFG583" s="1"/>
      <c r="MFH583" s="1"/>
      <c r="MFI583" s="1"/>
      <c r="MFJ583" s="1"/>
      <c r="MFK583" s="1"/>
      <c r="MFL583" s="1"/>
      <c r="MFM583" s="1"/>
      <c r="MFN583" s="1"/>
      <c r="MFO583" s="1"/>
      <c r="MFP583" s="1"/>
      <c r="MFQ583" s="1"/>
      <c r="MFR583" s="1"/>
      <c r="MFS583" s="1"/>
      <c r="MFT583" s="1"/>
      <c r="MFU583" s="1"/>
      <c r="MFV583" s="1"/>
      <c r="MFW583" s="1"/>
      <c r="MFX583" s="1"/>
      <c r="MFY583" s="1"/>
      <c r="MFZ583" s="1"/>
      <c r="MGA583" s="1"/>
      <c r="MGB583" s="1"/>
      <c r="MGC583" s="1"/>
      <c r="MGD583" s="1"/>
      <c r="MGE583" s="1"/>
      <c r="MGF583" s="1"/>
      <c r="MGG583" s="1"/>
      <c r="MGH583" s="1"/>
      <c r="MGI583" s="1"/>
      <c r="MGJ583" s="1"/>
      <c r="MGK583" s="1"/>
      <c r="MGL583" s="1"/>
      <c r="MGM583" s="1"/>
      <c r="MGN583" s="1"/>
      <c r="MGO583" s="1"/>
      <c r="MGP583" s="1"/>
      <c r="MGQ583" s="1"/>
      <c r="MGR583" s="1"/>
      <c r="MGS583" s="1"/>
      <c r="MGT583" s="1"/>
      <c r="MGU583" s="1"/>
      <c r="MGV583" s="1"/>
      <c r="MGW583" s="1"/>
      <c r="MGX583" s="1"/>
      <c r="MGY583" s="1"/>
      <c r="MGZ583" s="1"/>
      <c r="MHA583" s="1"/>
      <c r="MHB583" s="1"/>
      <c r="MHC583" s="1"/>
      <c r="MHD583" s="1"/>
      <c r="MHE583" s="1"/>
      <c r="MHF583" s="1"/>
      <c r="MHG583" s="1"/>
      <c r="MHH583" s="1"/>
      <c r="MHI583" s="1"/>
      <c r="MHJ583" s="1"/>
      <c r="MHK583" s="1"/>
      <c r="MHL583" s="1"/>
      <c r="MHM583" s="1"/>
      <c r="MHN583" s="1"/>
      <c r="MHO583" s="1"/>
      <c r="MHP583" s="1"/>
      <c r="MHQ583" s="1"/>
      <c r="MHR583" s="1"/>
      <c r="MHS583" s="1"/>
      <c r="MHT583" s="1"/>
      <c r="MHU583" s="1"/>
      <c r="MHV583" s="1"/>
      <c r="MHW583" s="1"/>
      <c r="MHX583" s="1"/>
      <c r="MHY583" s="1"/>
      <c r="MHZ583" s="1"/>
      <c r="MIA583" s="1"/>
      <c r="MIB583" s="1"/>
      <c r="MIC583" s="1"/>
      <c r="MID583" s="1"/>
      <c r="MIE583" s="1"/>
      <c r="MIF583" s="1"/>
      <c r="MIG583" s="1"/>
      <c r="MIH583" s="1"/>
      <c r="MII583" s="1"/>
      <c r="MIJ583" s="1"/>
      <c r="MIK583" s="1"/>
      <c r="MIL583" s="1"/>
      <c r="MIM583" s="1"/>
      <c r="MIN583" s="1"/>
      <c r="MIO583" s="1"/>
      <c r="MIP583" s="1"/>
      <c r="MIQ583" s="1"/>
      <c r="MIR583" s="1"/>
      <c r="MIS583" s="1"/>
      <c r="MIT583" s="1"/>
      <c r="MIU583" s="1"/>
      <c r="MIV583" s="1"/>
      <c r="MIW583" s="1"/>
      <c r="MIX583" s="1"/>
      <c r="MIY583" s="1"/>
      <c r="MIZ583" s="1"/>
      <c r="MJA583" s="1"/>
      <c r="MJB583" s="1"/>
      <c r="MJC583" s="1"/>
      <c r="MJD583" s="1"/>
      <c r="MJE583" s="1"/>
      <c r="MJF583" s="1"/>
      <c r="MJG583" s="1"/>
      <c r="MJH583" s="1"/>
      <c r="MJI583" s="1"/>
      <c r="MJJ583" s="1"/>
      <c r="MJK583" s="1"/>
      <c r="MJL583" s="1"/>
      <c r="MJM583" s="1"/>
      <c r="MJN583" s="1"/>
      <c r="MJO583" s="1"/>
      <c r="MJP583" s="1"/>
      <c r="MJQ583" s="1"/>
      <c r="MJR583" s="1"/>
      <c r="MJS583" s="1"/>
      <c r="MJT583" s="1"/>
      <c r="MJU583" s="1"/>
      <c r="MJV583" s="1"/>
      <c r="MJW583" s="1"/>
      <c r="MJX583" s="1"/>
      <c r="MJY583" s="1"/>
      <c r="MJZ583" s="1"/>
      <c r="MKA583" s="1"/>
      <c r="MKB583" s="1"/>
      <c r="MKC583" s="1"/>
      <c r="MKD583" s="1"/>
      <c r="MKE583" s="1"/>
      <c r="MKF583" s="1"/>
      <c r="MKG583" s="1"/>
      <c r="MKH583" s="1"/>
      <c r="MKI583" s="1"/>
      <c r="MKJ583" s="1"/>
      <c r="MKK583" s="1"/>
      <c r="MKL583" s="1"/>
      <c r="MKM583" s="1"/>
      <c r="MKN583" s="1"/>
      <c r="MKO583" s="1"/>
      <c r="MKP583" s="1"/>
      <c r="MKQ583" s="1"/>
      <c r="MKR583" s="1"/>
      <c r="MKS583" s="1"/>
      <c r="MKT583" s="1"/>
      <c r="MKU583" s="1"/>
      <c r="MKV583" s="1"/>
      <c r="MKW583" s="1"/>
      <c r="MKX583" s="1"/>
      <c r="MKY583" s="1"/>
      <c r="MKZ583" s="1"/>
      <c r="MLA583" s="1"/>
      <c r="MLB583" s="1"/>
      <c r="MLC583" s="1"/>
      <c r="MLD583" s="1"/>
      <c r="MLE583" s="1"/>
      <c r="MLF583" s="1"/>
      <c r="MLG583" s="1"/>
      <c r="MLH583" s="1"/>
      <c r="MLI583" s="1"/>
      <c r="MLJ583" s="1"/>
      <c r="MLK583" s="1"/>
      <c r="MLL583" s="1"/>
      <c r="MLM583" s="1"/>
      <c r="MLN583" s="1"/>
      <c r="MLO583" s="1"/>
      <c r="MLP583" s="1"/>
      <c r="MLQ583" s="1"/>
      <c r="MLR583" s="1"/>
      <c r="MLS583" s="1"/>
      <c r="MLT583" s="1"/>
      <c r="MLU583" s="1"/>
      <c r="MLV583" s="1"/>
      <c r="MLW583" s="1"/>
      <c r="MLX583" s="1"/>
      <c r="MLY583" s="1"/>
      <c r="MLZ583" s="1"/>
      <c r="MMA583" s="1"/>
      <c r="MMB583" s="1"/>
      <c r="MMC583" s="1"/>
      <c r="MMD583" s="1"/>
      <c r="MME583" s="1"/>
      <c r="MMF583" s="1"/>
      <c r="MMG583" s="1"/>
      <c r="MMH583" s="1"/>
      <c r="MMI583" s="1"/>
      <c r="MMJ583" s="1"/>
      <c r="MMK583" s="1"/>
      <c r="MML583" s="1"/>
      <c r="MMM583" s="1"/>
      <c r="MMN583" s="1"/>
      <c r="MMO583" s="1"/>
      <c r="MMP583" s="1"/>
      <c r="MMQ583" s="1"/>
      <c r="MMR583" s="1"/>
      <c r="MMS583" s="1"/>
      <c r="MMT583" s="1"/>
      <c r="MMU583" s="1"/>
      <c r="MMV583" s="1"/>
      <c r="MMW583" s="1"/>
      <c r="MMX583" s="1"/>
      <c r="MMY583" s="1"/>
      <c r="MMZ583" s="1"/>
      <c r="MNA583" s="1"/>
      <c r="MNB583" s="1"/>
      <c r="MNC583" s="1"/>
      <c r="MND583" s="1"/>
      <c r="MNE583" s="1"/>
      <c r="MNF583" s="1"/>
      <c r="MNG583" s="1"/>
      <c r="MNH583" s="1"/>
      <c r="MNI583" s="1"/>
      <c r="MNJ583" s="1"/>
      <c r="MNK583" s="1"/>
      <c r="MNL583" s="1"/>
      <c r="MNM583" s="1"/>
      <c r="MNN583" s="1"/>
      <c r="MNO583" s="1"/>
      <c r="MNP583" s="1"/>
      <c r="MNQ583" s="1"/>
      <c r="MNR583" s="1"/>
      <c r="MNS583" s="1"/>
      <c r="MNT583" s="1"/>
      <c r="MNU583" s="1"/>
      <c r="MNV583" s="1"/>
      <c r="MNW583" s="1"/>
      <c r="MNX583" s="1"/>
      <c r="MNY583" s="1"/>
      <c r="MNZ583" s="1"/>
      <c r="MOA583" s="1"/>
      <c r="MOB583" s="1"/>
      <c r="MOC583" s="1"/>
      <c r="MOD583" s="1"/>
      <c r="MOE583" s="1"/>
      <c r="MOF583" s="1"/>
      <c r="MOG583" s="1"/>
      <c r="MOH583" s="1"/>
      <c r="MOI583" s="1"/>
      <c r="MOJ583" s="1"/>
      <c r="MOK583" s="1"/>
      <c r="MOL583" s="1"/>
      <c r="MOM583" s="1"/>
      <c r="MON583" s="1"/>
      <c r="MOO583" s="1"/>
      <c r="MOP583" s="1"/>
      <c r="MOQ583" s="1"/>
      <c r="MOR583" s="1"/>
      <c r="MOS583" s="1"/>
      <c r="MOT583" s="1"/>
      <c r="MOU583" s="1"/>
      <c r="MOV583" s="1"/>
      <c r="MOW583" s="1"/>
      <c r="MOX583" s="1"/>
      <c r="MOY583" s="1"/>
      <c r="MOZ583" s="1"/>
      <c r="MPA583" s="1"/>
      <c r="MPB583" s="1"/>
      <c r="MPC583" s="1"/>
      <c r="MPD583" s="1"/>
      <c r="MPE583" s="1"/>
      <c r="MPF583" s="1"/>
      <c r="MPG583" s="1"/>
      <c r="MPH583" s="1"/>
      <c r="MPI583" s="1"/>
      <c r="MPJ583" s="1"/>
      <c r="MPK583" s="1"/>
      <c r="MPL583" s="1"/>
      <c r="MPM583" s="1"/>
      <c r="MPN583" s="1"/>
      <c r="MPO583" s="1"/>
      <c r="MPP583" s="1"/>
      <c r="MPQ583" s="1"/>
      <c r="MPR583" s="1"/>
      <c r="MPS583" s="1"/>
      <c r="MPT583" s="1"/>
      <c r="MPU583" s="1"/>
      <c r="MPV583" s="1"/>
      <c r="MPW583" s="1"/>
      <c r="MPX583" s="1"/>
      <c r="MPY583" s="1"/>
      <c r="MPZ583" s="1"/>
      <c r="MQA583" s="1"/>
      <c r="MQB583" s="1"/>
      <c r="MQC583" s="1"/>
      <c r="MQD583" s="1"/>
      <c r="MQE583" s="1"/>
      <c r="MQF583" s="1"/>
      <c r="MQG583" s="1"/>
      <c r="MQH583" s="1"/>
      <c r="MQI583" s="1"/>
      <c r="MQJ583" s="1"/>
      <c r="MQK583" s="1"/>
      <c r="MQL583" s="1"/>
      <c r="MQM583" s="1"/>
      <c r="MQN583" s="1"/>
      <c r="MQO583" s="1"/>
      <c r="MQP583" s="1"/>
      <c r="MQQ583" s="1"/>
      <c r="MQR583" s="1"/>
      <c r="MQS583" s="1"/>
      <c r="MQT583" s="1"/>
      <c r="MQU583" s="1"/>
      <c r="MQV583" s="1"/>
      <c r="MQW583" s="1"/>
      <c r="MQX583" s="1"/>
      <c r="MQY583" s="1"/>
      <c r="MQZ583" s="1"/>
      <c r="MRA583" s="1"/>
      <c r="MRB583" s="1"/>
      <c r="MRC583" s="1"/>
      <c r="MRD583" s="1"/>
      <c r="MRE583" s="1"/>
      <c r="MRF583" s="1"/>
      <c r="MRG583" s="1"/>
      <c r="MRH583" s="1"/>
      <c r="MRI583" s="1"/>
      <c r="MRJ583" s="1"/>
      <c r="MRK583" s="1"/>
      <c r="MRL583" s="1"/>
      <c r="MRM583" s="1"/>
      <c r="MRN583" s="1"/>
      <c r="MRO583" s="1"/>
      <c r="MRP583" s="1"/>
      <c r="MRQ583" s="1"/>
      <c r="MRR583" s="1"/>
      <c r="MRS583" s="1"/>
      <c r="MRT583" s="1"/>
      <c r="MRU583" s="1"/>
      <c r="MRV583" s="1"/>
      <c r="MRW583" s="1"/>
      <c r="MRX583" s="1"/>
      <c r="MRY583" s="1"/>
      <c r="MRZ583" s="1"/>
      <c r="MSA583" s="1"/>
      <c r="MSB583" s="1"/>
      <c r="MSC583" s="1"/>
      <c r="MSD583" s="1"/>
      <c r="MSE583" s="1"/>
      <c r="MSF583" s="1"/>
      <c r="MSG583" s="1"/>
      <c r="MSH583" s="1"/>
      <c r="MSI583" s="1"/>
      <c r="MSJ583" s="1"/>
      <c r="MSK583" s="1"/>
      <c r="MSL583" s="1"/>
      <c r="MSM583" s="1"/>
      <c r="MSN583" s="1"/>
      <c r="MSO583" s="1"/>
      <c r="MSP583" s="1"/>
      <c r="MSQ583" s="1"/>
      <c r="MSR583" s="1"/>
      <c r="MSS583" s="1"/>
      <c r="MST583" s="1"/>
      <c r="MSU583" s="1"/>
      <c r="MSV583" s="1"/>
      <c r="MSW583" s="1"/>
      <c r="MSX583" s="1"/>
      <c r="MSY583" s="1"/>
      <c r="MSZ583" s="1"/>
      <c r="MTA583" s="1"/>
      <c r="MTB583" s="1"/>
      <c r="MTC583" s="1"/>
      <c r="MTD583" s="1"/>
      <c r="MTE583" s="1"/>
      <c r="MTF583" s="1"/>
      <c r="MTG583" s="1"/>
      <c r="MTH583" s="1"/>
      <c r="MTI583" s="1"/>
      <c r="MTJ583" s="1"/>
      <c r="MTK583" s="1"/>
      <c r="MTL583" s="1"/>
      <c r="MTM583" s="1"/>
      <c r="MTN583" s="1"/>
      <c r="MTO583" s="1"/>
      <c r="MTP583" s="1"/>
      <c r="MTQ583" s="1"/>
      <c r="MTR583" s="1"/>
      <c r="MTS583" s="1"/>
      <c r="MTT583" s="1"/>
      <c r="MTU583" s="1"/>
      <c r="MTV583" s="1"/>
      <c r="MTW583" s="1"/>
      <c r="MTX583" s="1"/>
      <c r="MTY583" s="1"/>
      <c r="MTZ583" s="1"/>
      <c r="MUA583" s="1"/>
      <c r="MUB583" s="1"/>
      <c r="MUC583" s="1"/>
      <c r="MUD583" s="1"/>
      <c r="MUE583" s="1"/>
      <c r="MUF583" s="1"/>
      <c r="MUG583" s="1"/>
      <c r="MUH583" s="1"/>
      <c r="MUI583" s="1"/>
      <c r="MUJ583" s="1"/>
      <c r="MUK583" s="1"/>
      <c r="MUL583" s="1"/>
      <c r="MUM583" s="1"/>
      <c r="MUN583" s="1"/>
      <c r="MUO583" s="1"/>
      <c r="MUP583" s="1"/>
      <c r="MUQ583" s="1"/>
      <c r="MUR583" s="1"/>
      <c r="MUS583" s="1"/>
      <c r="MUT583" s="1"/>
      <c r="MUU583" s="1"/>
      <c r="MUV583" s="1"/>
      <c r="MUW583" s="1"/>
      <c r="MUX583" s="1"/>
      <c r="MUY583" s="1"/>
      <c r="MUZ583" s="1"/>
      <c r="MVA583" s="1"/>
      <c r="MVB583" s="1"/>
      <c r="MVC583" s="1"/>
      <c r="MVD583" s="1"/>
      <c r="MVE583" s="1"/>
      <c r="MVF583" s="1"/>
      <c r="MVG583" s="1"/>
      <c r="MVH583" s="1"/>
      <c r="MVI583" s="1"/>
      <c r="MVJ583" s="1"/>
      <c r="MVK583" s="1"/>
      <c r="MVL583" s="1"/>
      <c r="MVM583" s="1"/>
      <c r="MVN583" s="1"/>
      <c r="MVO583" s="1"/>
      <c r="MVP583" s="1"/>
      <c r="MVQ583" s="1"/>
      <c r="MVR583" s="1"/>
      <c r="MVS583" s="1"/>
      <c r="MVT583" s="1"/>
      <c r="MVU583" s="1"/>
      <c r="MVV583" s="1"/>
      <c r="MVW583" s="1"/>
      <c r="MVX583" s="1"/>
      <c r="MVY583" s="1"/>
      <c r="MVZ583" s="1"/>
      <c r="MWA583" s="1"/>
      <c r="MWB583" s="1"/>
      <c r="MWC583" s="1"/>
      <c r="MWD583" s="1"/>
      <c r="MWE583" s="1"/>
      <c r="MWF583" s="1"/>
      <c r="MWG583" s="1"/>
      <c r="MWH583" s="1"/>
      <c r="MWI583" s="1"/>
      <c r="MWJ583" s="1"/>
      <c r="MWK583" s="1"/>
      <c r="MWL583" s="1"/>
      <c r="MWM583" s="1"/>
      <c r="MWN583" s="1"/>
      <c r="MWO583" s="1"/>
      <c r="MWP583" s="1"/>
      <c r="MWQ583" s="1"/>
      <c r="MWR583" s="1"/>
      <c r="MWS583" s="1"/>
      <c r="MWT583" s="1"/>
      <c r="MWU583" s="1"/>
      <c r="MWV583" s="1"/>
      <c r="MWW583" s="1"/>
      <c r="MWX583" s="1"/>
      <c r="MWY583" s="1"/>
      <c r="MWZ583" s="1"/>
      <c r="MXA583" s="1"/>
      <c r="MXB583" s="1"/>
      <c r="MXC583" s="1"/>
      <c r="MXD583" s="1"/>
      <c r="MXE583" s="1"/>
      <c r="MXF583" s="1"/>
      <c r="MXG583" s="1"/>
      <c r="MXH583" s="1"/>
      <c r="MXI583" s="1"/>
      <c r="MXJ583" s="1"/>
      <c r="MXK583" s="1"/>
      <c r="MXL583" s="1"/>
      <c r="MXM583" s="1"/>
      <c r="MXN583" s="1"/>
      <c r="MXO583" s="1"/>
      <c r="MXP583" s="1"/>
      <c r="MXQ583" s="1"/>
      <c r="MXR583" s="1"/>
      <c r="MXS583" s="1"/>
      <c r="MXT583" s="1"/>
      <c r="MXU583" s="1"/>
      <c r="MXV583" s="1"/>
      <c r="MXW583" s="1"/>
      <c r="MXX583" s="1"/>
      <c r="MXY583" s="1"/>
      <c r="MXZ583" s="1"/>
      <c r="MYA583" s="1"/>
      <c r="MYB583" s="1"/>
      <c r="MYC583" s="1"/>
      <c r="MYD583" s="1"/>
      <c r="MYE583" s="1"/>
      <c r="MYF583" s="1"/>
      <c r="MYG583" s="1"/>
      <c r="MYH583" s="1"/>
      <c r="MYI583" s="1"/>
      <c r="MYJ583" s="1"/>
      <c r="MYK583" s="1"/>
      <c r="MYL583" s="1"/>
      <c r="MYM583" s="1"/>
      <c r="MYN583" s="1"/>
      <c r="MYO583" s="1"/>
      <c r="MYP583" s="1"/>
      <c r="MYQ583" s="1"/>
      <c r="MYR583" s="1"/>
      <c r="MYS583" s="1"/>
      <c r="MYT583" s="1"/>
      <c r="MYU583" s="1"/>
      <c r="MYV583" s="1"/>
      <c r="MYW583" s="1"/>
      <c r="MYX583" s="1"/>
      <c r="MYY583" s="1"/>
      <c r="MYZ583" s="1"/>
      <c r="MZA583" s="1"/>
      <c r="MZB583" s="1"/>
      <c r="MZC583" s="1"/>
      <c r="MZD583" s="1"/>
      <c r="MZE583" s="1"/>
      <c r="MZF583" s="1"/>
      <c r="MZG583" s="1"/>
      <c r="MZH583" s="1"/>
      <c r="MZI583" s="1"/>
      <c r="MZJ583" s="1"/>
      <c r="MZK583" s="1"/>
      <c r="MZL583" s="1"/>
      <c r="MZM583" s="1"/>
      <c r="MZN583" s="1"/>
      <c r="MZO583" s="1"/>
      <c r="MZP583" s="1"/>
      <c r="MZQ583" s="1"/>
      <c r="MZR583" s="1"/>
      <c r="MZS583" s="1"/>
      <c r="MZT583" s="1"/>
      <c r="MZU583" s="1"/>
      <c r="MZV583" s="1"/>
      <c r="MZW583" s="1"/>
      <c r="MZX583" s="1"/>
      <c r="MZY583" s="1"/>
      <c r="MZZ583" s="1"/>
      <c r="NAA583" s="1"/>
      <c r="NAB583" s="1"/>
      <c r="NAC583" s="1"/>
      <c r="NAD583" s="1"/>
      <c r="NAE583" s="1"/>
      <c r="NAF583" s="1"/>
      <c r="NAG583" s="1"/>
      <c r="NAH583" s="1"/>
      <c r="NAI583" s="1"/>
      <c r="NAJ583" s="1"/>
      <c r="NAK583" s="1"/>
      <c r="NAL583" s="1"/>
      <c r="NAM583" s="1"/>
      <c r="NAN583" s="1"/>
      <c r="NAO583" s="1"/>
      <c r="NAP583" s="1"/>
      <c r="NAQ583" s="1"/>
      <c r="NAR583" s="1"/>
      <c r="NAS583" s="1"/>
      <c r="NAT583" s="1"/>
      <c r="NAU583" s="1"/>
      <c r="NAV583" s="1"/>
      <c r="NAW583" s="1"/>
      <c r="NAX583" s="1"/>
      <c r="NAY583" s="1"/>
      <c r="NAZ583" s="1"/>
      <c r="NBA583" s="1"/>
      <c r="NBB583" s="1"/>
      <c r="NBC583" s="1"/>
      <c r="NBD583" s="1"/>
      <c r="NBE583" s="1"/>
      <c r="NBF583" s="1"/>
      <c r="NBG583" s="1"/>
      <c r="NBH583" s="1"/>
      <c r="NBI583" s="1"/>
      <c r="NBJ583" s="1"/>
      <c r="NBK583" s="1"/>
      <c r="NBL583" s="1"/>
      <c r="NBM583" s="1"/>
      <c r="NBN583" s="1"/>
      <c r="NBO583" s="1"/>
      <c r="NBP583" s="1"/>
      <c r="NBQ583" s="1"/>
      <c r="NBR583" s="1"/>
      <c r="NBS583" s="1"/>
      <c r="NBT583" s="1"/>
      <c r="NBU583" s="1"/>
      <c r="NBV583" s="1"/>
      <c r="NBW583" s="1"/>
      <c r="NBX583" s="1"/>
      <c r="NBY583" s="1"/>
      <c r="NBZ583" s="1"/>
      <c r="NCA583" s="1"/>
      <c r="NCB583" s="1"/>
      <c r="NCC583" s="1"/>
      <c r="NCD583" s="1"/>
      <c r="NCE583" s="1"/>
      <c r="NCF583" s="1"/>
      <c r="NCG583" s="1"/>
      <c r="NCH583" s="1"/>
      <c r="NCI583" s="1"/>
      <c r="NCJ583" s="1"/>
      <c r="NCK583" s="1"/>
      <c r="NCL583" s="1"/>
      <c r="NCM583" s="1"/>
      <c r="NCN583" s="1"/>
      <c r="NCO583" s="1"/>
      <c r="NCP583" s="1"/>
      <c r="NCQ583" s="1"/>
      <c r="NCR583" s="1"/>
      <c r="NCS583" s="1"/>
      <c r="NCT583" s="1"/>
      <c r="NCU583" s="1"/>
      <c r="NCV583" s="1"/>
      <c r="NCW583" s="1"/>
      <c r="NCX583" s="1"/>
      <c r="NCY583" s="1"/>
      <c r="NCZ583" s="1"/>
      <c r="NDA583" s="1"/>
      <c r="NDB583" s="1"/>
      <c r="NDC583" s="1"/>
      <c r="NDD583" s="1"/>
      <c r="NDE583" s="1"/>
      <c r="NDF583" s="1"/>
      <c r="NDG583" s="1"/>
      <c r="NDH583" s="1"/>
      <c r="NDI583" s="1"/>
      <c r="NDJ583" s="1"/>
      <c r="NDK583" s="1"/>
      <c r="NDL583" s="1"/>
      <c r="NDM583" s="1"/>
      <c r="NDN583" s="1"/>
      <c r="NDO583" s="1"/>
      <c r="NDP583" s="1"/>
      <c r="NDQ583" s="1"/>
      <c r="NDR583" s="1"/>
      <c r="NDS583" s="1"/>
      <c r="NDT583" s="1"/>
      <c r="NDU583" s="1"/>
      <c r="NDV583" s="1"/>
      <c r="NDW583" s="1"/>
      <c r="NDX583" s="1"/>
      <c r="NDY583" s="1"/>
      <c r="NDZ583" s="1"/>
      <c r="NEA583" s="1"/>
      <c r="NEB583" s="1"/>
      <c r="NEC583" s="1"/>
      <c r="NED583" s="1"/>
      <c r="NEE583" s="1"/>
      <c r="NEF583" s="1"/>
      <c r="NEG583" s="1"/>
      <c r="NEH583" s="1"/>
      <c r="NEI583" s="1"/>
      <c r="NEJ583" s="1"/>
      <c r="NEK583" s="1"/>
      <c r="NEL583" s="1"/>
      <c r="NEM583" s="1"/>
      <c r="NEN583" s="1"/>
      <c r="NEO583" s="1"/>
      <c r="NEP583" s="1"/>
      <c r="NEQ583" s="1"/>
      <c r="NER583" s="1"/>
      <c r="NES583" s="1"/>
      <c r="NET583" s="1"/>
      <c r="NEU583" s="1"/>
      <c r="NEV583" s="1"/>
      <c r="NEW583" s="1"/>
      <c r="NEX583" s="1"/>
      <c r="NEY583" s="1"/>
      <c r="NEZ583" s="1"/>
      <c r="NFA583" s="1"/>
      <c r="NFB583" s="1"/>
      <c r="NFC583" s="1"/>
      <c r="NFD583" s="1"/>
      <c r="NFE583" s="1"/>
      <c r="NFF583" s="1"/>
      <c r="NFG583" s="1"/>
      <c r="NFH583" s="1"/>
      <c r="NFI583" s="1"/>
      <c r="NFJ583" s="1"/>
      <c r="NFK583" s="1"/>
      <c r="NFL583" s="1"/>
      <c r="NFM583" s="1"/>
      <c r="NFN583" s="1"/>
      <c r="NFO583" s="1"/>
      <c r="NFP583" s="1"/>
      <c r="NFQ583" s="1"/>
      <c r="NFR583" s="1"/>
      <c r="NFS583" s="1"/>
      <c r="NFT583" s="1"/>
      <c r="NFU583" s="1"/>
      <c r="NFV583" s="1"/>
      <c r="NFW583" s="1"/>
      <c r="NFX583" s="1"/>
      <c r="NFY583" s="1"/>
      <c r="NFZ583" s="1"/>
      <c r="NGA583" s="1"/>
      <c r="NGB583" s="1"/>
      <c r="NGC583" s="1"/>
      <c r="NGD583" s="1"/>
      <c r="NGE583" s="1"/>
      <c r="NGF583" s="1"/>
      <c r="NGG583" s="1"/>
      <c r="NGH583" s="1"/>
      <c r="NGI583" s="1"/>
      <c r="NGJ583" s="1"/>
      <c r="NGK583" s="1"/>
      <c r="NGL583" s="1"/>
      <c r="NGM583" s="1"/>
      <c r="NGN583" s="1"/>
      <c r="NGO583" s="1"/>
      <c r="NGP583" s="1"/>
      <c r="NGQ583" s="1"/>
      <c r="NGR583" s="1"/>
      <c r="NGS583" s="1"/>
      <c r="NGT583" s="1"/>
      <c r="NGU583" s="1"/>
      <c r="NGV583" s="1"/>
      <c r="NGW583" s="1"/>
      <c r="NGX583" s="1"/>
      <c r="NGY583" s="1"/>
      <c r="NGZ583" s="1"/>
      <c r="NHA583" s="1"/>
      <c r="NHB583" s="1"/>
      <c r="NHC583" s="1"/>
      <c r="NHD583" s="1"/>
      <c r="NHE583" s="1"/>
      <c r="NHF583" s="1"/>
      <c r="NHG583" s="1"/>
      <c r="NHH583" s="1"/>
      <c r="NHI583" s="1"/>
      <c r="NHJ583" s="1"/>
      <c r="NHK583" s="1"/>
      <c r="NHL583" s="1"/>
      <c r="NHM583" s="1"/>
      <c r="NHN583" s="1"/>
      <c r="NHO583" s="1"/>
      <c r="NHP583" s="1"/>
      <c r="NHQ583" s="1"/>
      <c r="NHR583" s="1"/>
      <c r="NHS583" s="1"/>
      <c r="NHT583" s="1"/>
      <c r="NHU583" s="1"/>
      <c r="NHV583" s="1"/>
      <c r="NHW583" s="1"/>
      <c r="NHX583" s="1"/>
      <c r="NHY583" s="1"/>
      <c r="NHZ583" s="1"/>
      <c r="NIA583" s="1"/>
      <c r="NIB583" s="1"/>
      <c r="NIC583" s="1"/>
      <c r="NID583" s="1"/>
      <c r="NIE583" s="1"/>
      <c r="NIF583" s="1"/>
      <c r="NIG583" s="1"/>
      <c r="NIH583" s="1"/>
      <c r="NII583" s="1"/>
      <c r="NIJ583" s="1"/>
      <c r="NIK583" s="1"/>
      <c r="NIL583" s="1"/>
      <c r="NIM583" s="1"/>
      <c r="NIN583" s="1"/>
      <c r="NIO583" s="1"/>
      <c r="NIP583" s="1"/>
      <c r="NIQ583" s="1"/>
      <c r="NIR583" s="1"/>
      <c r="NIS583" s="1"/>
      <c r="NIT583" s="1"/>
      <c r="NIU583" s="1"/>
      <c r="NIV583" s="1"/>
      <c r="NIW583" s="1"/>
      <c r="NIX583" s="1"/>
      <c r="NIY583" s="1"/>
      <c r="NIZ583" s="1"/>
      <c r="NJA583" s="1"/>
      <c r="NJB583" s="1"/>
      <c r="NJC583" s="1"/>
      <c r="NJD583" s="1"/>
      <c r="NJE583" s="1"/>
      <c r="NJF583" s="1"/>
      <c r="NJG583" s="1"/>
      <c r="NJH583" s="1"/>
      <c r="NJI583" s="1"/>
      <c r="NJJ583" s="1"/>
      <c r="NJK583" s="1"/>
      <c r="NJL583" s="1"/>
      <c r="NJM583" s="1"/>
      <c r="NJN583" s="1"/>
      <c r="NJO583" s="1"/>
      <c r="NJP583" s="1"/>
      <c r="NJQ583" s="1"/>
      <c r="NJR583" s="1"/>
      <c r="NJS583" s="1"/>
      <c r="NJT583" s="1"/>
      <c r="NJU583" s="1"/>
      <c r="NJV583" s="1"/>
      <c r="NJW583" s="1"/>
      <c r="NJX583" s="1"/>
      <c r="NJY583" s="1"/>
      <c r="NJZ583" s="1"/>
      <c r="NKA583" s="1"/>
      <c r="NKB583" s="1"/>
      <c r="NKC583" s="1"/>
      <c r="NKD583" s="1"/>
      <c r="NKE583" s="1"/>
      <c r="NKF583" s="1"/>
      <c r="NKG583" s="1"/>
      <c r="NKH583" s="1"/>
      <c r="NKI583" s="1"/>
      <c r="NKJ583" s="1"/>
      <c r="NKK583" s="1"/>
      <c r="NKL583" s="1"/>
      <c r="NKM583" s="1"/>
      <c r="NKN583" s="1"/>
      <c r="NKO583" s="1"/>
      <c r="NKP583" s="1"/>
      <c r="NKQ583" s="1"/>
      <c r="NKR583" s="1"/>
      <c r="NKS583" s="1"/>
      <c r="NKT583" s="1"/>
      <c r="NKU583" s="1"/>
      <c r="NKV583" s="1"/>
      <c r="NKW583" s="1"/>
      <c r="NKX583" s="1"/>
      <c r="NKY583" s="1"/>
      <c r="NKZ583" s="1"/>
      <c r="NLA583" s="1"/>
      <c r="NLB583" s="1"/>
      <c r="NLC583" s="1"/>
      <c r="NLD583" s="1"/>
      <c r="NLE583" s="1"/>
      <c r="NLF583" s="1"/>
      <c r="NLG583" s="1"/>
      <c r="NLH583" s="1"/>
      <c r="NLI583" s="1"/>
      <c r="NLJ583" s="1"/>
      <c r="NLK583" s="1"/>
      <c r="NLL583" s="1"/>
      <c r="NLM583" s="1"/>
      <c r="NLN583" s="1"/>
      <c r="NLO583" s="1"/>
      <c r="NLP583" s="1"/>
      <c r="NLQ583" s="1"/>
      <c r="NLR583" s="1"/>
      <c r="NLS583" s="1"/>
      <c r="NLT583" s="1"/>
      <c r="NLU583" s="1"/>
      <c r="NLV583" s="1"/>
      <c r="NLW583" s="1"/>
      <c r="NLX583" s="1"/>
      <c r="NLY583" s="1"/>
      <c r="NLZ583" s="1"/>
      <c r="NMA583" s="1"/>
      <c r="NMB583" s="1"/>
      <c r="NMC583" s="1"/>
      <c r="NMD583" s="1"/>
      <c r="NME583" s="1"/>
      <c r="NMF583" s="1"/>
      <c r="NMG583" s="1"/>
      <c r="NMH583" s="1"/>
      <c r="NMI583" s="1"/>
      <c r="NMJ583" s="1"/>
      <c r="NMK583" s="1"/>
      <c r="NML583" s="1"/>
      <c r="NMM583" s="1"/>
      <c r="NMN583" s="1"/>
      <c r="NMO583" s="1"/>
      <c r="NMP583" s="1"/>
      <c r="NMQ583" s="1"/>
      <c r="NMR583" s="1"/>
      <c r="NMS583" s="1"/>
      <c r="NMT583" s="1"/>
      <c r="NMU583" s="1"/>
      <c r="NMV583" s="1"/>
      <c r="NMW583" s="1"/>
      <c r="NMX583" s="1"/>
      <c r="NMY583" s="1"/>
      <c r="NMZ583" s="1"/>
      <c r="NNA583" s="1"/>
      <c r="NNB583" s="1"/>
      <c r="NNC583" s="1"/>
      <c r="NND583" s="1"/>
      <c r="NNE583" s="1"/>
      <c r="NNF583" s="1"/>
      <c r="NNG583" s="1"/>
      <c r="NNH583" s="1"/>
      <c r="NNI583" s="1"/>
      <c r="NNJ583" s="1"/>
      <c r="NNK583" s="1"/>
      <c r="NNL583" s="1"/>
      <c r="NNM583" s="1"/>
      <c r="NNN583" s="1"/>
      <c r="NNO583" s="1"/>
      <c r="NNP583" s="1"/>
      <c r="NNQ583" s="1"/>
      <c r="NNR583" s="1"/>
      <c r="NNS583" s="1"/>
      <c r="NNT583" s="1"/>
      <c r="NNU583" s="1"/>
      <c r="NNV583" s="1"/>
      <c r="NNW583" s="1"/>
      <c r="NNX583" s="1"/>
      <c r="NNY583" s="1"/>
      <c r="NNZ583" s="1"/>
      <c r="NOA583" s="1"/>
      <c r="NOB583" s="1"/>
      <c r="NOC583" s="1"/>
      <c r="NOD583" s="1"/>
      <c r="NOE583" s="1"/>
      <c r="NOF583" s="1"/>
      <c r="NOG583" s="1"/>
      <c r="NOH583" s="1"/>
      <c r="NOI583" s="1"/>
      <c r="NOJ583" s="1"/>
      <c r="NOK583" s="1"/>
      <c r="NOL583" s="1"/>
      <c r="NOM583" s="1"/>
      <c r="NON583" s="1"/>
      <c r="NOO583" s="1"/>
      <c r="NOP583" s="1"/>
      <c r="NOQ583" s="1"/>
      <c r="NOR583" s="1"/>
      <c r="NOS583" s="1"/>
      <c r="NOT583" s="1"/>
      <c r="NOU583" s="1"/>
      <c r="NOV583" s="1"/>
      <c r="NOW583" s="1"/>
      <c r="NOX583" s="1"/>
      <c r="NOY583" s="1"/>
      <c r="NOZ583" s="1"/>
      <c r="NPA583" s="1"/>
      <c r="NPB583" s="1"/>
      <c r="NPC583" s="1"/>
      <c r="NPD583" s="1"/>
      <c r="NPE583" s="1"/>
      <c r="NPF583" s="1"/>
      <c r="NPG583" s="1"/>
      <c r="NPH583" s="1"/>
      <c r="NPI583" s="1"/>
      <c r="NPJ583" s="1"/>
      <c r="NPK583" s="1"/>
      <c r="NPL583" s="1"/>
      <c r="NPM583" s="1"/>
      <c r="NPN583" s="1"/>
      <c r="NPO583" s="1"/>
      <c r="NPP583" s="1"/>
      <c r="NPQ583" s="1"/>
      <c r="NPR583" s="1"/>
      <c r="NPS583" s="1"/>
      <c r="NPT583" s="1"/>
      <c r="NPU583" s="1"/>
      <c r="NPV583" s="1"/>
      <c r="NPW583" s="1"/>
      <c r="NPX583" s="1"/>
      <c r="NPY583" s="1"/>
      <c r="NPZ583" s="1"/>
      <c r="NQA583" s="1"/>
      <c r="NQB583" s="1"/>
      <c r="NQC583" s="1"/>
      <c r="NQD583" s="1"/>
      <c r="NQE583" s="1"/>
      <c r="NQF583" s="1"/>
      <c r="NQG583" s="1"/>
      <c r="NQH583" s="1"/>
      <c r="NQI583" s="1"/>
      <c r="NQJ583" s="1"/>
      <c r="NQK583" s="1"/>
      <c r="NQL583" s="1"/>
      <c r="NQM583" s="1"/>
      <c r="NQN583" s="1"/>
      <c r="NQO583" s="1"/>
      <c r="NQP583" s="1"/>
      <c r="NQQ583" s="1"/>
      <c r="NQR583" s="1"/>
      <c r="NQS583" s="1"/>
      <c r="NQT583" s="1"/>
      <c r="NQU583" s="1"/>
      <c r="NQV583" s="1"/>
      <c r="NQW583" s="1"/>
      <c r="NQX583" s="1"/>
      <c r="NQY583" s="1"/>
      <c r="NQZ583" s="1"/>
      <c r="NRA583" s="1"/>
      <c r="NRB583" s="1"/>
      <c r="NRC583" s="1"/>
      <c r="NRD583" s="1"/>
      <c r="NRE583" s="1"/>
      <c r="NRF583" s="1"/>
      <c r="NRG583" s="1"/>
      <c r="NRH583" s="1"/>
      <c r="NRI583" s="1"/>
      <c r="NRJ583" s="1"/>
      <c r="NRK583" s="1"/>
      <c r="NRL583" s="1"/>
      <c r="NRM583" s="1"/>
      <c r="NRN583" s="1"/>
      <c r="NRO583" s="1"/>
      <c r="NRP583" s="1"/>
      <c r="NRQ583" s="1"/>
      <c r="NRR583" s="1"/>
      <c r="NRS583" s="1"/>
      <c r="NRT583" s="1"/>
      <c r="NRU583" s="1"/>
      <c r="NRV583" s="1"/>
      <c r="NRW583" s="1"/>
      <c r="NRX583" s="1"/>
      <c r="NRY583" s="1"/>
      <c r="NRZ583" s="1"/>
      <c r="NSA583" s="1"/>
      <c r="NSB583" s="1"/>
      <c r="NSC583" s="1"/>
      <c r="NSD583" s="1"/>
      <c r="NSE583" s="1"/>
      <c r="NSF583" s="1"/>
      <c r="NSG583" s="1"/>
      <c r="NSH583" s="1"/>
      <c r="NSI583" s="1"/>
      <c r="NSJ583" s="1"/>
      <c r="NSK583" s="1"/>
      <c r="NSL583" s="1"/>
      <c r="NSM583" s="1"/>
      <c r="NSN583" s="1"/>
      <c r="NSO583" s="1"/>
      <c r="NSP583" s="1"/>
      <c r="NSQ583" s="1"/>
      <c r="NSR583" s="1"/>
      <c r="NSS583" s="1"/>
      <c r="NST583" s="1"/>
      <c r="NSU583" s="1"/>
      <c r="NSV583" s="1"/>
      <c r="NSW583" s="1"/>
      <c r="NSX583" s="1"/>
      <c r="NSY583" s="1"/>
      <c r="NSZ583" s="1"/>
      <c r="NTA583" s="1"/>
      <c r="NTB583" s="1"/>
      <c r="NTC583" s="1"/>
      <c r="NTD583" s="1"/>
      <c r="NTE583" s="1"/>
      <c r="NTF583" s="1"/>
      <c r="NTG583" s="1"/>
      <c r="NTH583" s="1"/>
      <c r="NTI583" s="1"/>
      <c r="NTJ583" s="1"/>
      <c r="NTK583" s="1"/>
      <c r="NTL583" s="1"/>
      <c r="NTM583" s="1"/>
      <c r="NTN583" s="1"/>
      <c r="NTO583" s="1"/>
      <c r="NTP583" s="1"/>
      <c r="NTQ583" s="1"/>
      <c r="NTR583" s="1"/>
      <c r="NTS583" s="1"/>
      <c r="NTT583" s="1"/>
      <c r="NTU583" s="1"/>
      <c r="NTV583" s="1"/>
      <c r="NTW583" s="1"/>
      <c r="NTX583" s="1"/>
      <c r="NTY583" s="1"/>
      <c r="NTZ583" s="1"/>
      <c r="NUA583" s="1"/>
      <c r="NUB583" s="1"/>
      <c r="NUC583" s="1"/>
      <c r="NUD583" s="1"/>
      <c r="NUE583" s="1"/>
      <c r="NUF583" s="1"/>
      <c r="NUG583" s="1"/>
      <c r="NUH583" s="1"/>
      <c r="NUI583" s="1"/>
      <c r="NUJ583" s="1"/>
      <c r="NUK583" s="1"/>
      <c r="NUL583" s="1"/>
      <c r="NUM583" s="1"/>
      <c r="NUN583" s="1"/>
      <c r="NUO583" s="1"/>
      <c r="NUP583" s="1"/>
      <c r="NUQ583" s="1"/>
      <c r="NUR583" s="1"/>
      <c r="NUS583" s="1"/>
      <c r="NUT583" s="1"/>
      <c r="NUU583" s="1"/>
      <c r="NUV583" s="1"/>
      <c r="NUW583" s="1"/>
      <c r="NUX583" s="1"/>
      <c r="NUY583" s="1"/>
      <c r="NUZ583" s="1"/>
      <c r="NVA583" s="1"/>
      <c r="NVB583" s="1"/>
      <c r="NVC583" s="1"/>
      <c r="NVD583" s="1"/>
      <c r="NVE583" s="1"/>
      <c r="NVF583" s="1"/>
      <c r="NVG583" s="1"/>
      <c r="NVH583" s="1"/>
      <c r="NVI583" s="1"/>
      <c r="NVJ583" s="1"/>
      <c r="NVK583" s="1"/>
      <c r="NVL583" s="1"/>
      <c r="NVM583" s="1"/>
      <c r="NVN583" s="1"/>
      <c r="NVO583" s="1"/>
      <c r="NVP583" s="1"/>
      <c r="NVQ583" s="1"/>
      <c r="NVR583" s="1"/>
      <c r="NVS583" s="1"/>
      <c r="NVT583" s="1"/>
      <c r="NVU583" s="1"/>
      <c r="NVV583" s="1"/>
      <c r="NVW583" s="1"/>
      <c r="NVX583" s="1"/>
      <c r="NVY583" s="1"/>
      <c r="NVZ583" s="1"/>
      <c r="NWA583" s="1"/>
      <c r="NWB583" s="1"/>
      <c r="NWC583" s="1"/>
      <c r="NWD583" s="1"/>
      <c r="NWE583" s="1"/>
      <c r="NWF583" s="1"/>
      <c r="NWG583" s="1"/>
      <c r="NWH583" s="1"/>
      <c r="NWI583" s="1"/>
      <c r="NWJ583" s="1"/>
      <c r="NWK583" s="1"/>
      <c r="NWL583" s="1"/>
      <c r="NWM583" s="1"/>
      <c r="NWN583" s="1"/>
      <c r="NWO583" s="1"/>
      <c r="NWP583" s="1"/>
      <c r="NWQ583" s="1"/>
      <c r="NWR583" s="1"/>
      <c r="NWS583" s="1"/>
      <c r="NWT583" s="1"/>
      <c r="NWU583" s="1"/>
      <c r="NWV583" s="1"/>
      <c r="NWW583" s="1"/>
      <c r="NWX583" s="1"/>
      <c r="NWY583" s="1"/>
      <c r="NWZ583" s="1"/>
      <c r="NXA583" s="1"/>
      <c r="NXB583" s="1"/>
      <c r="NXC583" s="1"/>
      <c r="NXD583" s="1"/>
      <c r="NXE583" s="1"/>
      <c r="NXF583" s="1"/>
      <c r="NXG583" s="1"/>
      <c r="NXH583" s="1"/>
      <c r="NXI583" s="1"/>
      <c r="NXJ583" s="1"/>
      <c r="NXK583" s="1"/>
      <c r="NXL583" s="1"/>
      <c r="NXM583" s="1"/>
      <c r="NXN583" s="1"/>
      <c r="NXO583" s="1"/>
      <c r="NXP583" s="1"/>
      <c r="NXQ583" s="1"/>
      <c r="NXR583" s="1"/>
      <c r="NXS583" s="1"/>
      <c r="NXT583" s="1"/>
      <c r="NXU583" s="1"/>
      <c r="NXV583" s="1"/>
      <c r="NXW583" s="1"/>
      <c r="NXX583" s="1"/>
      <c r="NXY583" s="1"/>
      <c r="NXZ583" s="1"/>
      <c r="NYA583" s="1"/>
      <c r="NYB583" s="1"/>
      <c r="NYC583" s="1"/>
      <c r="NYD583" s="1"/>
      <c r="NYE583" s="1"/>
      <c r="NYF583" s="1"/>
      <c r="NYG583" s="1"/>
      <c r="NYH583" s="1"/>
      <c r="NYI583" s="1"/>
      <c r="NYJ583" s="1"/>
      <c r="NYK583" s="1"/>
      <c r="NYL583" s="1"/>
      <c r="NYM583" s="1"/>
      <c r="NYN583" s="1"/>
      <c r="NYO583" s="1"/>
      <c r="NYP583" s="1"/>
      <c r="NYQ583" s="1"/>
      <c r="NYR583" s="1"/>
      <c r="NYS583" s="1"/>
      <c r="NYT583" s="1"/>
      <c r="NYU583" s="1"/>
      <c r="NYV583" s="1"/>
      <c r="NYW583" s="1"/>
      <c r="NYX583" s="1"/>
      <c r="NYY583" s="1"/>
      <c r="NYZ583" s="1"/>
      <c r="NZA583" s="1"/>
      <c r="NZB583" s="1"/>
      <c r="NZC583" s="1"/>
      <c r="NZD583" s="1"/>
      <c r="NZE583" s="1"/>
      <c r="NZF583" s="1"/>
      <c r="NZG583" s="1"/>
      <c r="NZH583" s="1"/>
      <c r="NZI583" s="1"/>
      <c r="NZJ583" s="1"/>
      <c r="NZK583" s="1"/>
      <c r="NZL583" s="1"/>
      <c r="NZM583" s="1"/>
      <c r="NZN583" s="1"/>
      <c r="NZO583" s="1"/>
      <c r="NZP583" s="1"/>
      <c r="NZQ583" s="1"/>
      <c r="NZR583" s="1"/>
      <c r="NZS583" s="1"/>
      <c r="NZT583" s="1"/>
      <c r="NZU583" s="1"/>
      <c r="NZV583" s="1"/>
      <c r="NZW583" s="1"/>
      <c r="NZX583" s="1"/>
      <c r="NZY583" s="1"/>
      <c r="NZZ583" s="1"/>
      <c r="OAA583" s="1"/>
      <c r="OAB583" s="1"/>
      <c r="OAC583" s="1"/>
      <c r="OAD583" s="1"/>
      <c r="OAE583" s="1"/>
      <c r="OAF583" s="1"/>
      <c r="OAG583" s="1"/>
      <c r="OAH583" s="1"/>
      <c r="OAI583" s="1"/>
      <c r="OAJ583" s="1"/>
      <c r="OAK583" s="1"/>
      <c r="OAL583" s="1"/>
      <c r="OAM583" s="1"/>
      <c r="OAN583" s="1"/>
      <c r="OAO583" s="1"/>
      <c r="OAP583" s="1"/>
      <c r="OAQ583" s="1"/>
      <c r="OAR583" s="1"/>
      <c r="OAS583" s="1"/>
      <c r="OAT583" s="1"/>
      <c r="OAU583" s="1"/>
      <c r="OAV583" s="1"/>
      <c r="OAW583" s="1"/>
      <c r="OAX583" s="1"/>
      <c r="OAY583" s="1"/>
      <c r="OAZ583" s="1"/>
      <c r="OBA583" s="1"/>
      <c r="OBB583" s="1"/>
      <c r="OBC583" s="1"/>
      <c r="OBD583" s="1"/>
      <c r="OBE583" s="1"/>
      <c r="OBF583" s="1"/>
      <c r="OBG583" s="1"/>
      <c r="OBH583" s="1"/>
      <c r="OBI583" s="1"/>
      <c r="OBJ583" s="1"/>
      <c r="OBK583" s="1"/>
      <c r="OBL583" s="1"/>
      <c r="OBM583" s="1"/>
      <c r="OBN583" s="1"/>
      <c r="OBO583" s="1"/>
      <c r="OBP583" s="1"/>
      <c r="OBQ583" s="1"/>
      <c r="OBR583" s="1"/>
      <c r="OBS583" s="1"/>
      <c r="OBT583" s="1"/>
      <c r="OBU583" s="1"/>
      <c r="OBV583" s="1"/>
      <c r="OBW583" s="1"/>
      <c r="OBX583" s="1"/>
      <c r="OBY583" s="1"/>
      <c r="OBZ583" s="1"/>
      <c r="OCA583" s="1"/>
      <c r="OCB583" s="1"/>
      <c r="OCC583" s="1"/>
      <c r="OCD583" s="1"/>
      <c r="OCE583" s="1"/>
      <c r="OCF583" s="1"/>
      <c r="OCG583" s="1"/>
      <c r="OCH583" s="1"/>
      <c r="OCI583" s="1"/>
      <c r="OCJ583" s="1"/>
      <c r="OCK583" s="1"/>
      <c r="OCL583" s="1"/>
      <c r="OCM583" s="1"/>
      <c r="OCN583" s="1"/>
      <c r="OCO583" s="1"/>
      <c r="OCP583" s="1"/>
      <c r="OCQ583" s="1"/>
      <c r="OCR583" s="1"/>
      <c r="OCS583" s="1"/>
      <c r="OCT583" s="1"/>
      <c r="OCU583" s="1"/>
      <c r="OCV583" s="1"/>
      <c r="OCW583" s="1"/>
      <c r="OCX583" s="1"/>
      <c r="OCY583" s="1"/>
      <c r="OCZ583" s="1"/>
      <c r="ODA583" s="1"/>
      <c r="ODB583" s="1"/>
      <c r="ODC583" s="1"/>
      <c r="ODD583" s="1"/>
      <c r="ODE583" s="1"/>
      <c r="ODF583" s="1"/>
      <c r="ODG583" s="1"/>
      <c r="ODH583" s="1"/>
      <c r="ODI583" s="1"/>
      <c r="ODJ583" s="1"/>
      <c r="ODK583" s="1"/>
      <c r="ODL583" s="1"/>
      <c r="ODM583" s="1"/>
      <c r="ODN583" s="1"/>
      <c r="ODO583" s="1"/>
      <c r="ODP583" s="1"/>
      <c r="ODQ583" s="1"/>
      <c r="ODR583" s="1"/>
      <c r="ODS583" s="1"/>
      <c r="ODT583" s="1"/>
      <c r="ODU583" s="1"/>
      <c r="ODV583" s="1"/>
      <c r="ODW583" s="1"/>
      <c r="ODX583" s="1"/>
      <c r="ODY583" s="1"/>
      <c r="ODZ583" s="1"/>
      <c r="OEA583" s="1"/>
      <c r="OEB583" s="1"/>
      <c r="OEC583" s="1"/>
      <c r="OED583" s="1"/>
      <c r="OEE583" s="1"/>
      <c r="OEF583" s="1"/>
      <c r="OEG583" s="1"/>
      <c r="OEH583" s="1"/>
      <c r="OEI583" s="1"/>
      <c r="OEJ583" s="1"/>
      <c r="OEK583" s="1"/>
      <c r="OEL583" s="1"/>
      <c r="OEM583" s="1"/>
      <c r="OEN583" s="1"/>
      <c r="OEO583" s="1"/>
      <c r="OEP583" s="1"/>
      <c r="OEQ583" s="1"/>
      <c r="OER583" s="1"/>
      <c r="OES583" s="1"/>
      <c r="OET583" s="1"/>
      <c r="OEU583" s="1"/>
      <c r="OEV583" s="1"/>
      <c r="OEW583" s="1"/>
      <c r="OEX583" s="1"/>
      <c r="OEY583" s="1"/>
      <c r="OEZ583" s="1"/>
      <c r="OFA583" s="1"/>
      <c r="OFB583" s="1"/>
      <c r="OFC583" s="1"/>
      <c r="OFD583" s="1"/>
      <c r="OFE583" s="1"/>
      <c r="OFF583" s="1"/>
      <c r="OFG583" s="1"/>
      <c r="OFH583" s="1"/>
      <c r="OFI583" s="1"/>
      <c r="OFJ583" s="1"/>
      <c r="OFK583" s="1"/>
      <c r="OFL583" s="1"/>
      <c r="OFM583" s="1"/>
      <c r="OFN583" s="1"/>
      <c r="OFO583" s="1"/>
      <c r="OFP583" s="1"/>
      <c r="OFQ583" s="1"/>
      <c r="OFR583" s="1"/>
      <c r="OFS583" s="1"/>
      <c r="OFT583" s="1"/>
      <c r="OFU583" s="1"/>
      <c r="OFV583" s="1"/>
      <c r="OFW583" s="1"/>
      <c r="OFX583" s="1"/>
      <c r="OFY583" s="1"/>
      <c r="OFZ583" s="1"/>
      <c r="OGA583" s="1"/>
      <c r="OGB583" s="1"/>
      <c r="OGC583" s="1"/>
      <c r="OGD583" s="1"/>
      <c r="OGE583" s="1"/>
      <c r="OGF583" s="1"/>
      <c r="OGG583" s="1"/>
      <c r="OGH583" s="1"/>
      <c r="OGI583" s="1"/>
      <c r="OGJ583" s="1"/>
      <c r="OGK583" s="1"/>
      <c r="OGL583" s="1"/>
      <c r="OGM583" s="1"/>
      <c r="OGN583" s="1"/>
      <c r="OGO583" s="1"/>
      <c r="OGP583" s="1"/>
      <c r="OGQ583" s="1"/>
      <c r="OGR583" s="1"/>
      <c r="OGS583" s="1"/>
      <c r="OGT583" s="1"/>
      <c r="OGU583" s="1"/>
      <c r="OGV583" s="1"/>
      <c r="OGW583" s="1"/>
      <c r="OGX583" s="1"/>
      <c r="OGY583" s="1"/>
      <c r="OGZ583" s="1"/>
      <c r="OHA583" s="1"/>
      <c r="OHB583" s="1"/>
      <c r="OHC583" s="1"/>
      <c r="OHD583" s="1"/>
      <c r="OHE583" s="1"/>
      <c r="OHF583" s="1"/>
      <c r="OHG583" s="1"/>
      <c r="OHH583" s="1"/>
      <c r="OHI583" s="1"/>
      <c r="OHJ583" s="1"/>
      <c r="OHK583" s="1"/>
      <c r="OHL583" s="1"/>
      <c r="OHM583" s="1"/>
      <c r="OHN583" s="1"/>
      <c r="OHO583" s="1"/>
      <c r="OHP583" s="1"/>
      <c r="OHQ583" s="1"/>
      <c r="OHR583" s="1"/>
      <c r="OHS583" s="1"/>
      <c r="OHT583" s="1"/>
      <c r="OHU583" s="1"/>
      <c r="OHV583" s="1"/>
      <c r="OHW583" s="1"/>
      <c r="OHX583" s="1"/>
      <c r="OHY583" s="1"/>
      <c r="OHZ583" s="1"/>
      <c r="OIA583" s="1"/>
      <c r="OIB583" s="1"/>
      <c r="OIC583" s="1"/>
      <c r="OID583" s="1"/>
      <c r="OIE583" s="1"/>
      <c r="OIF583" s="1"/>
      <c r="OIG583" s="1"/>
      <c r="OIH583" s="1"/>
      <c r="OII583" s="1"/>
      <c r="OIJ583" s="1"/>
      <c r="OIK583" s="1"/>
      <c r="OIL583" s="1"/>
      <c r="OIM583" s="1"/>
      <c r="OIN583" s="1"/>
      <c r="OIO583" s="1"/>
      <c r="OIP583" s="1"/>
      <c r="OIQ583" s="1"/>
      <c r="OIR583" s="1"/>
      <c r="OIS583" s="1"/>
      <c r="OIT583" s="1"/>
      <c r="OIU583" s="1"/>
      <c r="OIV583" s="1"/>
      <c r="OIW583" s="1"/>
      <c r="OIX583" s="1"/>
      <c r="OIY583" s="1"/>
      <c r="OIZ583" s="1"/>
      <c r="OJA583" s="1"/>
      <c r="OJB583" s="1"/>
      <c r="OJC583" s="1"/>
      <c r="OJD583" s="1"/>
      <c r="OJE583" s="1"/>
      <c r="OJF583" s="1"/>
      <c r="OJG583" s="1"/>
      <c r="OJH583" s="1"/>
      <c r="OJI583" s="1"/>
      <c r="OJJ583" s="1"/>
      <c r="OJK583" s="1"/>
      <c r="OJL583" s="1"/>
      <c r="OJM583" s="1"/>
      <c r="OJN583" s="1"/>
      <c r="OJO583" s="1"/>
      <c r="OJP583" s="1"/>
      <c r="OJQ583" s="1"/>
      <c r="OJR583" s="1"/>
      <c r="OJS583" s="1"/>
      <c r="OJT583" s="1"/>
      <c r="OJU583" s="1"/>
      <c r="OJV583" s="1"/>
      <c r="OJW583" s="1"/>
      <c r="OJX583" s="1"/>
      <c r="OJY583" s="1"/>
      <c r="OJZ583" s="1"/>
      <c r="OKA583" s="1"/>
      <c r="OKB583" s="1"/>
      <c r="OKC583" s="1"/>
      <c r="OKD583" s="1"/>
      <c r="OKE583" s="1"/>
      <c r="OKF583" s="1"/>
      <c r="OKG583" s="1"/>
      <c r="OKH583" s="1"/>
      <c r="OKI583" s="1"/>
      <c r="OKJ583" s="1"/>
      <c r="OKK583" s="1"/>
      <c r="OKL583" s="1"/>
      <c r="OKM583" s="1"/>
      <c r="OKN583" s="1"/>
      <c r="OKO583" s="1"/>
      <c r="OKP583" s="1"/>
      <c r="OKQ583" s="1"/>
      <c r="OKR583" s="1"/>
      <c r="OKS583" s="1"/>
      <c r="OKT583" s="1"/>
      <c r="OKU583" s="1"/>
      <c r="OKV583" s="1"/>
      <c r="OKW583" s="1"/>
      <c r="OKX583" s="1"/>
      <c r="OKY583" s="1"/>
      <c r="OKZ583" s="1"/>
      <c r="OLA583" s="1"/>
      <c r="OLB583" s="1"/>
      <c r="OLC583" s="1"/>
      <c r="OLD583" s="1"/>
      <c r="OLE583" s="1"/>
      <c r="OLF583" s="1"/>
      <c r="OLG583" s="1"/>
      <c r="OLH583" s="1"/>
      <c r="OLI583" s="1"/>
      <c r="OLJ583" s="1"/>
      <c r="OLK583" s="1"/>
      <c r="OLL583" s="1"/>
      <c r="OLM583" s="1"/>
      <c r="OLN583" s="1"/>
      <c r="OLO583" s="1"/>
      <c r="OLP583" s="1"/>
      <c r="OLQ583" s="1"/>
      <c r="OLR583" s="1"/>
      <c r="OLS583" s="1"/>
      <c r="OLT583" s="1"/>
      <c r="OLU583" s="1"/>
      <c r="OLV583" s="1"/>
      <c r="OLW583" s="1"/>
      <c r="OLX583" s="1"/>
      <c r="OLY583" s="1"/>
      <c r="OLZ583" s="1"/>
      <c r="OMA583" s="1"/>
      <c r="OMB583" s="1"/>
      <c r="OMC583" s="1"/>
      <c r="OMD583" s="1"/>
      <c r="OME583" s="1"/>
      <c r="OMF583" s="1"/>
      <c r="OMG583" s="1"/>
      <c r="OMH583" s="1"/>
      <c r="OMI583" s="1"/>
      <c r="OMJ583" s="1"/>
      <c r="OMK583" s="1"/>
      <c r="OML583" s="1"/>
      <c r="OMM583" s="1"/>
      <c r="OMN583" s="1"/>
      <c r="OMO583" s="1"/>
      <c r="OMP583" s="1"/>
      <c r="OMQ583" s="1"/>
      <c r="OMR583" s="1"/>
      <c r="OMS583" s="1"/>
      <c r="OMT583" s="1"/>
      <c r="OMU583" s="1"/>
      <c r="OMV583" s="1"/>
      <c r="OMW583" s="1"/>
      <c r="OMX583" s="1"/>
      <c r="OMY583" s="1"/>
      <c r="OMZ583" s="1"/>
      <c r="ONA583" s="1"/>
      <c r="ONB583" s="1"/>
      <c r="ONC583" s="1"/>
      <c r="OND583" s="1"/>
      <c r="ONE583" s="1"/>
      <c r="ONF583" s="1"/>
      <c r="ONG583" s="1"/>
      <c r="ONH583" s="1"/>
      <c r="ONI583" s="1"/>
      <c r="ONJ583" s="1"/>
      <c r="ONK583" s="1"/>
      <c r="ONL583" s="1"/>
      <c r="ONM583" s="1"/>
      <c r="ONN583" s="1"/>
      <c r="ONO583" s="1"/>
      <c r="ONP583" s="1"/>
      <c r="ONQ583" s="1"/>
      <c r="ONR583" s="1"/>
      <c r="ONS583" s="1"/>
      <c r="ONT583" s="1"/>
      <c r="ONU583" s="1"/>
      <c r="ONV583" s="1"/>
      <c r="ONW583" s="1"/>
      <c r="ONX583" s="1"/>
      <c r="ONY583" s="1"/>
      <c r="ONZ583" s="1"/>
      <c r="OOA583" s="1"/>
      <c r="OOB583" s="1"/>
      <c r="OOC583" s="1"/>
      <c r="OOD583" s="1"/>
      <c r="OOE583" s="1"/>
      <c r="OOF583" s="1"/>
      <c r="OOG583" s="1"/>
      <c r="OOH583" s="1"/>
      <c r="OOI583" s="1"/>
      <c r="OOJ583" s="1"/>
      <c r="OOK583" s="1"/>
      <c r="OOL583" s="1"/>
      <c r="OOM583" s="1"/>
      <c r="OON583" s="1"/>
      <c r="OOO583" s="1"/>
      <c r="OOP583" s="1"/>
      <c r="OOQ583" s="1"/>
      <c r="OOR583" s="1"/>
      <c r="OOS583" s="1"/>
      <c r="OOT583" s="1"/>
      <c r="OOU583" s="1"/>
      <c r="OOV583" s="1"/>
      <c r="OOW583" s="1"/>
      <c r="OOX583" s="1"/>
      <c r="OOY583" s="1"/>
      <c r="OOZ583" s="1"/>
      <c r="OPA583" s="1"/>
      <c r="OPB583" s="1"/>
      <c r="OPC583" s="1"/>
      <c r="OPD583" s="1"/>
      <c r="OPE583" s="1"/>
      <c r="OPF583" s="1"/>
      <c r="OPG583" s="1"/>
      <c r="OPH583" s="1"/>
      <c r="OPI583" s="1"/>
      <c r="OPJ583" s="1"/>
      <c r="OPK583" s="1"/>
      <c r="OPL583" s="1"/>
      <c r="OPM583" s="1"/>
      <c r="OPN583" s="1"/>
      <c r="OPO583" s="1"/>
      <c r="OPP583" s="1"/>
      <c r="OPQ583" s="1"/>
      <c r="OPR583" s="1"/>
      <c r="OPS583" s="1"/>
      <c r="OPT583" s="1"/>
      <c r="OPU583" s="1"/>
      <c r="OPV583" s="1"/>
      <c r="OPW583" s="1"/>
      <c r="OPX583" s="1"/>
      <c r="OPY583" s="1"/>
      <c r="OPZ583" s="1"/>
      <c r="OQA583" s="1"/>
      <c r="OQB583" s="1"/>
      <c r="OQC583" s="1"/>
      <c r="OQD583" s="1"/>
      <c r="OQE583" s="1"/>
      <c r="OQF583" s="1"/>
      <c r="OQG583" s="1"/>
      <c r="OQH583" s="1"/>
      <c r="OQI583" s="1"/>
      <c r="OQJ583" s="1"/>
      <c r="OQK583" s="1"/>
      <c r="OQL583" s="1"/>
      <c r="OQM583" s="1"/>
      <c r="OQN583" s="1"/>
      <c r="OQO583" s="1"/>
      <c r="OQP583" s="1"/>
      <c r="OQQ583" s="1"/>
      <c r="OQR583" s="1"/>
      <c r="OQS583" s="1"/>
      <c r="OQT583" s="1"/>
      <c r="OQU583" s="1"/>
      <c r="OQV583" s="1"/>
      <c r="OQW583" s="1"/>
      <c r="OQX583" s="1"/>
      <c r="OQY583" s="1"/>
      <c r="OQZ583" s="1"/>
      <c r="ORA583" s="1"/>
      <c r="ORB583" s="1"/>
      <c r="ORC583" s="1"/>
      <c r="ORD583" s="1"/>
      <c r="ORE583" s="1"/>
      <c r="ORF583" s="1"/>
      <c r="ORG583" s="1"/>
      <c r="ORH583" s="1"/>
      <c r="ORI583" s="1"/>
      <c r="ORJ583" s="1"/>
      <c r="ORK583" s="1"/>
      <c r="ORL583" s="1"/>
      <c r="ORM583" s="1"/>
      <c r="ORN583" s="1"/>
      <c r="ORO583" s="1"/>
      <c r="ORP583" s="1"/>
      <c r="ORQ583" s="1"/>
      <c r="ORR583" s="1"/>
      <c r="ORS583" s="1"/>
      <c r="ORT583" s="1"/>
      <c r="ORU583" s="1"/>
      <c r="ORV583" s="1"/>
      <c r="ORW583" s="1"/>
      <c r="ORX583" s="1"/>
      <c r="ORY583" s="1"/>
      <c r="ORZ583" s="1"/>
      <c r="OSA583" s="1"/>
      <c r="OSB583" s="1"/>
      <c r="OSC583" s="1"/>
      <c r="OSD583" s="1"/>
      <c r="OSE583" s="1"/>
      <c r="OSF583" s="1"/>
      <c r="OSG583" s="1"/>
      <c r="OSH583" s="1"/>
      <c r="OSI583" s="1"/>
      <c r="OSJ583" s="1"/>
      <c r="OSK583" s="1"/>
      <c r="OSL583" s="1"/>
      <c r="OSM583" s="1"/>
      <c r="OSN583" s="1"/>
      <c r="OSO583" s="1"/>
      <c r="OSP583" s="1"/>
      <c r="OSQ583" s="1"/>
      <c r="OSR583" s="1"/>
      <c r="OSS583" s="1"/>
      <c r="OST583" s="1"/>
      <c r="OSU583" s="1"/>
      <c r="OSV583" s="1"/>
      <c r="OSW583" s="1"/>
      <c r="OSX583" s="1"/>
      <c r="OSY583" s="1"/>
      <c r="OSZ583" s="1"/>
      <c r="OTA583" s="1"/>
      <c r="OTB583" s="1"/>
      <c r="OTC583" s="1"/>
      <c r="OTD583" s="1"/>
      <c r="OTE583" s="1"/>
      <c r="OTF583" s="1"/>
      <c r="OTG583" s="1"/>
      <c r="OTH583" s="1"/>
      <c r="OTI583" s="1"/>
      <c r="OTJ583" s="1"/>
      <c r="OTK583" s="1"/>
      <c r="OTL583" s="1"/>
      <c r="OTM583" s="1"/>
      <c r="OTN583" s="1"/>
      <c r="OTO583" s="1"/>
      <c r="OTP583" s="1"/>
      <c r="OTQ583" s="1"/>
      <c r="OTR583" s="1"/>
      <c r="OTS583" s="1"/>
      <c r="OTT583" s="1"/>
      <c r="OTU583" s="1"/>
      <c r="OTV583" s="1"/>
      <c r="OTW583" s="1"/>
      <c r="OTX583" s="1"/>
      <c r="OTY583" s="1"/>
      <c r="OTZ583" s="1"/>
      <c r="OUA583" s="1"/>
      <c r="OUB583" s="1"/>
      <c r="OUC583" s="1"/>
      <c r="OUD583" s="1"/>
      <c r="OUE583" s="1"/>
      <c r="OUF583" s="1"/>
      <c r="OUG583" s="1"/>
      <c r="OUH583" s="1"/>
      <c r="OUI583" s="1"/>
      <c r="OUJ583" s="1"/>
      <c r="OUK583" s="1"/>
      <c r="OUL583" s="1"/>
      <c r="OUM583" s="1"/>
      <c r="OUN583" s="1"/>
      <c r="OUO583" s="1"/>
      <c r="OUP583" s="1"/>
      <c r="OUQ583" s="1"/>
      <c r="OUR583" s="1"/>
      <c r="OUS583" s="1"/>
      <c r="OUT583" s="1"/>
      <c r="OUU583" s="1"/>
      <c r="OUV583" s="1"/>
      <c r="OUW583" s="1"/>
      <c r="OUX583" s="1"/>
      <c r="OUY583" s="1"/>
      <c r="OUZ583" s="1"/>
      <c r="OVA583" s="1"/>
      <c r="OVB583" s="1"/>
      <c r="OVC583" s="1"/>
      <c r="OVD583" s="1"/>
      <c r="OVE583" s="1"/>
      <c r="OVF583" s="1"/>
      <c r="OVG583" s="1"/>
      <c r="OVH583" s="1"/>
      <c r="OVI583" s="1"/>
      <c r="OVJ583" s="1"/>
      <c r="OVK583" s="1"/>
      <c r="OVL583" s="1"/>
      <c r="OVM583" s="1"/>
      <c r="OVN583" s="1"/>
      <c r="OVO583" s="1"/>
      <c r="OVP583" s="1"/>
      <c r="OVQ583" s="1"/>
      <c r="OVR583" s="1"/>
      <c r="OVS583" s="1"/>
      <c r="OVT583" s="1"/>
      <c r="OVU583" s="1"/>
      <c r="OVV583" s="1"/>
      <c r="OVW583" s="1"/>
      <c r="OVX583" s="1"/>
      <c r="OVY583" s="1"/>
      <c r="OVZ583" s="1"/>
      <c r="OWA583" s="1"/>
      <c r="OWB583" s="1"/>
      <c r="OWC583" s="1"/>
      <c r="OWD583" s="1"/>
      <c r="OWE583" s="1"/>
      <c r="OWF583" s="1"/>
      <c r="OWG583" s="1"/>
      <c r="OWH583" s="1"/>
      <c r="OWI583" s="1"/>
      <c r="OWJ583" s="1"/>
      <c r="OWK583" s="1"/>
      <c r="OWL583" s="1"/>
      <c r="OWM583" s="1"/>
      <c r="OWN583" s="1"/>
      <c r="OWO583" s="1"/>
      <c r="OWP583" s="1"/>
      <c r="OWQ583" s="1"/>
      <c r="OWR583" s="1"/>
      <c r="OWS583" s="1"/>
      <c r="OWT583" s="1"/>
      <c r="OWU583" s="1"/>
      <c r="OWV583" s="1"/>
      <c r="OWW583" s="1"/>
      <c r="OWX583" s="1"/>
      <c r="OWY583" s="1"/>
      <c r="OWZ583" s="1"/>
      <c r="OXA583" s="1"/>
      <c r="OXB583" s="1"/>
      <c r="OXC583" s="1"/>
      <c r="OXD583" s="1"/>
      <c r="OXE583" s="1"/>
      <c r="OXF583" s="1"/>
      <c r="OXG583" s="1"/>
      <c r="OXH583" s="1"/>
      <c r="OXI583" s="1"/>
      <c r="OXJ583" s="1"/>
      <c r="OXK583" s="1"/>
      <c r="OXL583" s="1"/>
      <c r="OXM583" s="1"/>
      <c r="OXN583" s="1"/>
      <c r="OXO583" s="1"/>
      <c r="OXP583" s="1"/>
      <c r="OXQ583" s="1"/>
      <c r="OXR583" s="1"/>
      <c r="OXS583" s="1"/>
      <c r="OXT583" s="1"/>
      <c r="OXU583" s="1"/>
      <c r="OXV583" s="1"/>
      <c r="OXW583" s="1"/>
      <c r="OXX583" s="1"/>
      <c r="OXY583" s="1"/>
      <c r="OXZ583" s="1"/>
      <c r="OYA583" s="1"/>
      <c r="OYB583" s="1"/>
      <c r="OYC583" s="1"/>
      <c r="OYD583" s="1"/>
      <c r="OYE583" s="1"/>
      <c r="OYF583" s="1"/>
      <c r="OYG583" s="1"/>
      <c r="OYH583" s="1"/>
      <c r="OYI583" s="1"/>
      <c r="OYJ583" s="1"/>
      <c r="OYK583" s="1"/>
      <c r="OYL583" s="1"/>
      <c r="OYM583" s="1"/>
      <c r="OYN583" s="1"/>
      <c r="OYO583" s="1"/>
      <c r="OYP583" s="1"/>
      <c r="OYQ583" s="1"/>
      <c r="OYR583" s="1"/>
      <c r="OYS583" s="1"/>
      <c r="OYT583" s="1"/>
      <c r="OYU583" s="1"/>
      <c r="OYV583" s="1"/>
      <c r="OYW583" s="1"/>
      <c r="OYX583" s="1"/>
      <c r="OYY583" s="1"/>
      <c r="OYZ583" s="1"/>
      <c r="OZA583" s="1"/>
      <c r="OZB583" s="1"/>
      <c r="OZC583" s="1"/>
      <c r="OZD583" s="1"/>
      <c r="OZE583" s="1"/>
      <c r="OZF583" s="1"/>
      <c r="OZG583" s="1"/>
      <c r="OZH583" s="1"/>
      <c r="OZI583" s="1"/>
      <c r="OZJ583" s="1"/>
      <c r="OZK583" s="1"/>
      <c r="OZL583" s="1"/>
      <c r="OZM583" s="1"/>
      <c r="OZN583" s="1"/>
      <c r="OZO583" s="1"/>
      <c r="OZP583" s="1"/>
      <c r="OZQ583" s="1"/>
      <c r="OZR583" s="1"/>
      <c r="OZS583" s="1"/>
      <c r="OZT583" s="1"/>
      <c r="OZU583" s="1"/>
      <c r="OZV583" s="1"/>
      <c r="OZW583" s="1"/>
      <c r="OZX583" s="1"/>
      <c r="OZY583" s="1"/>
      <c r="OZZ583" s="1"/>
      <c r="PAA583" s="1"/>
      <c r="PAB583" s="1"/>
      <c r="PAC583" s="1"/>
      <c r="PAD583" s="1"/>
      <c r="PAE583" s="1"/>
      <c r="PAF583" s="1"/>
      <c r="PAG583" s="1"/>
      <c r="PAH583" s="1"/>
      <c r="PAI583" s="1"/>
      <c r="PAJ583" s="1"/>
      <c r="PAK583" s="1"/>
      <c r="PAL583" s="1"/>
      <c r="PAM583" s="1"/>
      <c r="PAN583" s="1"/>
      <c r="PAO583" s="1"/>
      <c r="PAP583" s="1"/>
      <c r="PAQ583" s="1"/>
      <c r="PAR583" s="1"/>
      <c r="PAS583" s="1"/>
      <c r="PAT583" s="1"/>
      <c r="PAU583" s="1"/>
      <c r="PAV583" s="1"/>
      <c r="PAW583" s="1"/>
      <c r="PAX583" s="1"/>
      <c r="PAY583" s="1"/>
      <c r="PAZ583" s="1"/>
      <c r="PBA583" s="1"/>
      <c r="PBB583" s="1"/>
      <c r="PBC583" s="1"/>
      <c r="PBD583" s="1"/>
      <c r="PBE583" s="1"/>
      <c r="PBF583" s="1"/>
      <c r="PBG583" s="1"/>
      <c r="PBH583" s="1"/>
      <c r="PBI583" s="1"/>
      <c r="PBJ583" s="1"/>
      <c r="PBK583" s="1"/>
      <c r="PBL583" s="1"/>
      <c r="PBM583" s="1"/>
      <c r="PBN583" s="1"/>
      <c r="PBO583" s="1"/>
      <c r="PBP583" s="1"/>
      <c r="PBQ583" s="1"/>
      <c r="PBR583" s="1"/>
      <c r="PBS583" s="1"/>
      <c r="PBT583" s="1"/>
      <c r="PBU583" s="1"/>
      <c r="PBV583" s="1"/>
      <c r="PBW583" s="1"/>
      <c r="PBX583" s="1"/>
      <c r="PBY583" s="1"/>
      <c r="PBZ583" s="1"/>
      <c r="PCA583" s="1"/>
      <c r="PCB583" s="1"/>
      <c r="PCC583" s="1"/>
      <c r="PCD583" s="1"/>
      <c r="PCE583" s="1"/>
      <c r="PCF583" s="1"/>
      <c r="PCG583" s="1"/>
      <c r="PCH583" s="1"/>
      <c r="PCI583" s="1"/>
      <c r="PCJ583" s="1"/>
      <c r="PCK583" s="1"/>
      <c r="PCL583" s="1"/>
      <c r="PCM583" s="1"/>
      <c r="PCN583" s="1"/>
      <c r="PCO583" s="1"/>
      <c r="PCP583" s="1"/>
      <c r="PCQ583" s="1"/>
      <c r="PCR583" s="1"/>
      <c r="PCS583" s="1"/>
      <c r="PCT583" s="1"/>
      <c r="PCU583" s="1"/>
      <c r="PCV583" s="1"/>
      <c r="PCW583" s="1"/>
      <c r="PCX583" s="1"/>
      <c r="PCY583" s="1"/>
      <c r="PCZ583" s="1"/>
      <c r="PDA583" s="1"/>
      <c r="PDB583" s="1"/>
      <c r="PDC583" s="1"/>
      <c r="PDD583" s="1"/>
      <c r="PDE583" s="1"/>
      <c r="PDF583" s="1"/>
      <c r="PDG583" s="1"/>
      <c r="PDH583" s="1"/>
      <c r="PDI583" s="1"/>
      <c r="PDJ583" s="1"/>
      <c r="PDK583" s="1"/>
      <c r="PDL583" s="1"/>
      <c r="PDM583" s="1"/>
      <c r="PDN583" s="1"/>
      <c r="PDO583" s="1"/>
      <c r="PDP583" s="1"/>
      <c r="PDQ583" s="1"/>
      <c r="PDR583" s="1"/>
      <c r="PDS583" s="1"/>
      <c r="PDT583" s="1"/>
      <c r="PDU583" s="1"/>
      <c r="PDV583" s="1"/>
      <c r="PDW583" s="1"/>
      <c r="PDX583" s="1"/>
      <c r="PDY583" s="1"/>
      <c r="PDZ583" s="1"/>
      <c r="PEA583" s="1"/>
      <c r="PEB583" s="1"/>
      <c r="PEC583" s="1"/>
      <c r="PED583" s="1"/>
      <c r="PEE583" s="1"/>
      <c r="PEF583" s="1"/>
      <c r="PEG583" s="1"/>
      <c r="PEH583" s="1"/>
      <c r="PEI583" s="1"/>
      <c r="PEJ583" s="1"/>
      <c r="PEK583" s="1"/>
      <c r="PEL583" s="1"/>
      <c r="PEM583" s="1"/>
      <c r="PEN583" s="1"/>
      <c r="PEO583" s="1"/>
      <c r="PEP583" s="1"/>
      <c r="PEQ583" s="1"/>
      <c r="PER583" s="1"/>
      <c r="PES583" s="1"/>
      <c r="PET583" s="1"/>
      <c r="PEU583" s="1"/>
      <c r="PEV583" s="1"/>
      <c r="PEW583" s="1"/>
      <c r="PEX583" s="1"/>
      <c r="PEY583" s="1"/>
      <c r="PEZ583" s="1"/>
      <c r="PFA583" s="1"/>
      <c r="PFB583" s="1"/>
      <c r="PFC583" s="1"/>
      <c r="PFD583" s="1"/>
      <c r="PFE583" s="1"/>
      <c r="PFF583" s="1"/>
      <c r="PFG583" s="1"/>
      <c r="PFH583" s="1"/>
      <c r="PFI583" s="1"/>
      <c r="PFJ583" s="1"/>
      <c r="PFK583" s="1"/>
      <c r="PFL583" s="1"/>
      <c r="PFM583" s="1"/>
      <c r="PFN583" s="1"/>
      <c r="PFO583" s="1"/>
      <c r="PFP583" s="1"/>
      <c r="PFQ583" s="1"/>
      <c r="PFR583" s="1"/>
      <c r="PFS583" s="1"/>
      <c r="PFT583" s="1"/>
      <c r="PFU583" s="1"/>
      <c r="PFV583" s="1"/>
      <c r="PFW583" s="1"/>
      <c r="PFX583" s="1"/>
      <c r="PFY583" s="1"/>
      <c r="PFZ583" s="1"/>
      <c r="PGA583" s="1"/>
      <c r="PGB583" s="1"/>
      <c r="PGC583" s="1"/>
      <c r="PGD583" s="1"/>
      <c r="PGE583" s="1"/>
      <c r="PGF583" s="1"/>
      <c r="PGG583" s="1"/>
      <c r="PGH583" s="1"/>
      <c r="PGI583" s="1"/>
      <c r="PGJ583" s="1"/>
      <c r="PGK583" s="1"/>
      <c r="PGL583" s="1"/>
      <c r="PGM583" s="1"/>
      <c r="PGN583" s="1"/>
      <c r="PGO583" s="1"/>
      <c r="PGP583" s="1"/>
      <c r="PGQ583" s="1"/>
      <c r="PGR583" s="1"/>
      <c r="PGS583" s="1"/>
      <c r="PGT583" s="1"/>
      <c r="PGU583" s="1"/>
      <c r="PGV583" s="1"/>
      <c r="PGW583" s="1"/>
      <c r="PGX583" s="1"/>
      <c r="PGY583" s="1"/>
      <c r="PGZ583" s="1"/>
      <c r="PHA583" s="1"/>
      <c r="PHB583" s="1"/>
      <c r="PHC583" s="1"/>
      <c r="PHD583" s="1"/>
      <c r="PHE583" s="1"/>
      <c r="PHF583" s="1"/>
      <c r="PHG583" s="1"/>
      <c r="PHH583" s="1"/>
      <c r="PHI583" s="1"/>
      <c r="PHJ583" s="1"/>
      <c r="PHK583" s="1"/>
      <c r="PHL583" s="1"/>
      <c r="PHM583" s="1"/>
      <c r="PHN583" s="1"/>
      <c r="PHO583" s="1"/>
      <c r="PHP583" s="1"/>
      <c r="PHQ583" s="1"/>
      <c r="PHR583" s="1"/>
      <c r="PHS583" s="1"/>
      <c r="PHT583" s="1"/>
      <c r="PHU583" s="1"/>
      <c r="PHV583" s="1"/>
      <c r="PHW583" s="1"/>
      <c r="PHX583" s="1"/>
      <c r="PHY583" s="1"/>
      <c r="PHZ583" s="1"/>
      <c r="PIA583" s="1"/>
      <c r="PIB583" s="1"/>
      <c r="PIC583" s="1"/>
      <c r="PID583" s="1"/>
      <c r="PIE583" s="1"/>
      <c r="PIF583" s="1"/>
      <c r="PIG583" s="1"/>
      <c r="PIH583" s="1"/>
      <c r="PII583" s="1"/>
      <c r="PIJ583" s="1"/>
      <c r="PIK583" s="1"/>
      <c r="PIL583" s="1"/>
      <c r="PIM583" s="1"/>
      <c r="PIN583" s="1"/>
      <c r="PIO583" s="1"/>
      <c r="PIP583" s="1"/>
      <c r="PIQ583" s="1"/>
      <c r="PIR583" s="1"/>
      <c r="PIS583" s="1"/>
      <c r="PIT583" s="1"/>
      <c r="PIU583" s="1"/>
      <c r="PIV583" s="1"/>
      <c r="PIW583" s="1"/>
      <c r="PIX583" s="1"/>
      <c r="PIY583" s="1"/>
      <c r="PIZ583" s="1"/>
      <c r="PJA583" s="1"/>
      <c r="PJB583" s="1"/>
      <c r="PJC583" s="1"/>
      <c r="PJD583" s="1"/>
      <c r="PJE583" s="1"/>
      <c r="PJF583" s="1"/>
      <c r="PJG583" s="1"/>
      <c r="PJH583" s="1"/>
      <c r="PJI583" s="1"/>
      <c r="PJJ583" s="1"/>
      <c r="PJK583" s="1"/>
      <c r="PJL583" s="1"/>
      <c r="PJM583" s="1"/>
      <c r="PJN583" s="1"/>
      <c r="PJO583" s="1"/>
      <c r="PJP583" s="1"/>
      <c r="PJQ583" s="1"/>
      <c r="PJR583" s="1"/>
      <c r="PJS583" s="1"/>
      <c r="PJT583" s="1"/>
      <c r="PJU583" s="1"/>
      <c r="PJV583" s="1"/>
      <c r="PJW583" s="1"/>
      <c r="PJX583" s="1"/>
      <c r="PJY583" s="1"/>
      <c r="PJZ583" s="1"/>
      <c r="PKA583" s="1"/>
      <c r="PKB583" s="1"/>
      <c r="PKC583" s="1"/>
      <c r="PKD583" s="1"/>
      <c r="PKE583" s="1"/>
      <c r="PKF583" s="1"/>
      <c r="PKG583" s="1"/>
      <c r="PKH583" s="1"/>
      <c r="PKI583" s="1"/>
      <c r="PKJ583" s="1"/>
      <c r="PKK583" s="1"/>
      <c r="PKL583" s="1"/>
      <c r="PKM583" s="1"/>
      <c r="PKN583" s="1"/>
      <c r="PKO583" s="1"/>
      <c r="PKP583" s="1"/>
      <c r="PKQ583" s="1"/>
      <c r="PKR583" s="1"/>
      <c r="PKS583" s="1"/>
      <c r="PKT583" s="1"/>
      <c r="PKU583" s="1"/>
      <c r="PKV583" s="1"/>
      <c r="PKW583" s="1"/>
      <c r="PKX583" s="1"/>
      <c r="PKY583" s="1"/>
      <c r="PKZ583" s="1"/>
      <c r="PLA583" s="1"/>
      <c r="PLB583" s="1"/>
      <c r="PLC583" s="1"/>
      <c r="PLD583" s="1"/>
      <c r="PLE583" s="1"/>
      <c r="PLF583" s="1"/>
      <c r="PLG583" s="1"/>
      <c r="PLH583" s="1"/>
      <c r="PLI583" s="1"/>
      <c r="PLJ583" s="1"/>
      <c r="PLK583" s="1"/>
      <c r="PLL583" s="1"/>
      <c r="PLM583" s="1"/>
      <c r="PLN583" s="1"/>
      <c r="PLO583" s="1"/>
      <c r="PLP583" s="1"/>
      <c r="PLQ583" s="1"/>
      <c r="PLR583" s="1"/>
      <c r="PLS583" s="1"/>
      <c r="PLT583" s="1"/>
      <c r="PLU583" s="1"/>
      <c r="PLV583" s="1"/>
      <c r="PLW583" s="1"/>
      <c r="PLX583" s="1"/>
      <c r="PLY583" s="1"/>
      <c r="PLZ583" s="1"/>
      <c r="PMA583" s="1"/>
      <c r="PMB583" s="1"/>
      <c r="PMC583" s="1"/>
      <c r="PMD583" s="1"/>
      <c r="PME583" s="1"/>
      <c r="PMF583" s="1"/>
      <c r="PMG583" s="1"/>
      <c r="PMH583" s="1"/>
      <c r="PMI583" s="1"/>
      <c r="PMJ583" s="1"/>
      <c r="PMK583" s="1"/>
      <c r="PML583" s="1"/>
      <c r="PMM583" s="1"/>
      <c r="PMN583" s="1"/>
      <c r="PMO583" s="1"/>
      <c r="PMP583" s="1"/>
      <c r="PMQ583" s="1"/>
      <c r="PMR583" s="1"/>
      <c r="PMS583" s="1"/>
      <c r="PMT583" s="1"/>
      <c r="PMU583" s="1"/>
      <c r="PMV583" s="1"/>
      <c r="PMW583" s="1"/>
      <c r="PMX583" s="1"/>
      <c r="PMY583" s="1"/>
      <c r="PMZ583" s="1"/>
      <c r="PNA583" s="1"/>
      <c r="PNB583" s="1"/>
      <c r="PNC583" s="1"/>
      <c r="PND583" s="1"/>
      <c r="PNE583" s="1"/>
      <c r="PNF583" s="1"/>
      <c r="PNG583" s="1"/>
      <c r="PNH583" s="1"/>
      <c r="PNI583" s="1"/>
      <c r="PNJ583" s="1"/>
      <c r="PNK583" s="1"/>
      <c r="PNL583" s="1"/>
      <c r="PNM583" s="1"/>
      <c r="PNN583" s="1"/>
      <c r="PNO583" s="1"/>
      <c r="PNP583" s="1"/>
      <c r="PNQ583" s="1"/>
      <c r="PNR583" s="1"/>
      <c r="PNS583" s="1"/>
      <c r="PNT583" s="1"/>
      <c r="PNU583" s="1"/>
      <c r="PNV583" s="1"/>
      <c r="PNW583" s="1"/>
      <c r="PNX583" s="1"/>
      <c r="PNY583" s="1"/>
      <c r="PNZ583" s="1"/>
      <c r="POA583" s="1"/>
      <c r="POB583" s="1"/>
      <c r="POC583" s="1"/>
      <c r="POD583" s="1"/>
      <c r="POE583" s="1"/>
      <c r="POF583" s="1"/>
      <c r="POG583" s="1"/>
      <c r="POH583" s="1"/>
      <c r="POI583" s="1"/>
      <c r="POJ583" s="1"/>
      <c r="POK583" s="1"/>
      <c r="POL583" s="1"/>
      <c r="POM583" s="1"/>
      <c r="PON583" s="1"/>
      <c r="POO583" s="1"/>
      <c r="POP583" s="1"/>
      <c r="POQ583" s="1"/>
      <c r="POR583" s="1"/>
      <c r="POS583" s="1"/>
      <c r="POT583" s="1"/>
      <c r="POU583" s="1"/>
      <c r="POV583" s="1"/>
      <c r="POW583" s="1"/>
      <c r="POX583" s="1"/>
      <c r="POY583" s="1"/>
      <c r="POZ583" s="1"/>
      <c r="PPA583" s="1"/>
      <c r="PPB583" s="1"/>
      <c r="PPC583" s="1"/>
      <c r="PPD583" s="1"/>
      <c r="PPE583" s="1"/>
      <c r="PPF583" s="1"/>
      <c r="PPG583" s="1"/>
      <c r="PPH583" s="1"/>
      <c r="PPI583" s="1"/>
      <c r="PPJ583" s="1"/>
      <c r="PPK583" s="1"/>
      <c r="PPL583" s="1"/>
      <c r="PPM583" s="1"/>
      <c r="PPN583" s="1"/>
      <c r="PPO583" s="1"/>
      <c r="PPP583" s="1"/>
      <c r="PPQ583" s="1"/>
      <c r="PPR583" s="1"/>
      <c r="PPS583" s="1"/>
      <c r="PPT583" s="1"/>
      <c r="PPU583" s="1"/>
      <c r="PPV583" s="1"/>
      <c r="PPW583" s="1"/>
      <c r="PPX583" s="1"/>
      <c r="PPY583" s="1"/>
      <c r="PPZ583" s="1"/>
      <c r="PQA583" s="1"/>
      <c r="PQB583" s="1"/>
      <c r="PQC583" s="1"/>
      <c r="PQD583" s="1"/>
      <c r="PQE583" s="1"/>
      <c r="PQF583" s="1"/>
      <c r="PQG583" s="1"/>
      <c r="PQH583" s="1"/>
      <c r="PQI583" s="1"/>
      <c r="PQJ583" s="1"/>
      <c r="PQK583" s="1"/>
      <c r="PQL583" s="1"/>
      <c r="PQM583" s="1"/>
      <c r="PQN583" s="1"/>
      <c r="PQO583" s="1"/>
      <c r="PQP583" s="1"/>
      <c r="PQQ583" s="1"/>
      <c r="PQR583" s="1"/>
      <c r="PQS583" s="1"/>
      <c r="PQT583" s="1"/>
      <c r="PQU583" s="1"/>
      <c r="PQV583" s="1"/>
      <c r="PQW583" s="1"/>
      <c r="PQX583" s="1"/>
      <c r="PQY583" s="1"/>
      <c r="PQZ583" s="1"/>
      <c r="PRA583" s="1"/>
      <c r="PRB583" s="1"/>
      <c r="PRC583" s="1"/>
      <c r="PRD583" s="1"/>
      <c r="PRE583" s="1"/>
      <c r="PRF583" s="1"/>
      <c r="PRG583" s="1"/>
      <c r="PRH583" s="1"/>
      <c r="PRI583" s="1"/>
      <c r="PRJ583" s="1"/>
      <c r="PRK583" s="1"/>
      <c r="PRL583" s="1"/>
      <c r="PRM583" s="1"/>
      <c r="PRN583" s="1"/>
      <c r="PRO583" s="1"/>
      <c r="PRP583" s="1"/>
      <c r="PRQ583" s="1"/>
      <c r="PRR583" s="1"/>
      <c r="PRS583" s="1"/>
      <c r="PRT583" s="1"/>
      <c r="PRU583" s="1"/>
      <c r="PRV583" s="1"/>
      <c r="PRW583" s="1"/>
      <c r="PRX583" s="1"/>
      <c r="PRY583" s="1"/>
      <c r="PRZ583" s="1"/>
      <c r="PSA583" s="1"/>
      <c r="PSB583" s="1"/>
      <c r="PSC583" s="1"/>
      <c r="PSD583" s="1"/>
      <c r="PSE583" s="1"/>
      <c r="PSF583" s="1"/>
      <c r="PSG583" s="1"/>
      <c r="PSH583" s="1"/>
      <c r="PSI583" s="1"/>
      <c r="PSJ583" s="1"/>
      <c r="PSK583" s="1"/>
      <c r="PSL583" s="1"/>
      <c r="PSM583" s="1"/>
      <c r="PSN583" s="1"/>
      <c r="PSO583" s="1"/>
      <c r="PSP583" s="1"/>
      <c r="PSQ583" s="1"/>
      <c r="PSR583" s="1"/>
      <c r="PSS583" s="1"/>
      <c r="PST583" s="1"/>
      <c r="PSU583" s="1"/>
      <c r="PSV583" s="1"/>
      <c r="PSW583" s="1"/>
      <c r="PSX583" s="1"/>
      <c r="PSY583" s="1"/>
      <c r="PSZ583" s="1"/>
      <c r="PTA583" s="1"/>
      <c r="PTB583" s="1"/>
      <c r="PTC583" s="1"/>
      <c r="PTD583" s="1"/>
      <c r="PTE583" s="1"/>
      <c r="PTF583" s="1"/>
      <c r="PTG583" s="1"/>
      <c r="PTH583" s="1"/>
      <c r="PTI583" s="1"/>
      <c r="PTJ583" s="1"/>
      <c r="PTK583" s="1"/>
      <c r="PTL583" s="1"/>
      <c r="PTM583" s="1"/>
      <c r="PTN583" s="1"/>
      <c r="PTO583" s="1"/>
      <c r="PTP583" s="1"/>
      <c r="PTQ583" s="1"/>
      <c r="PTR583" s="1"/>
      <c r="PTS583" s="1"/>
      <c r="PTT583" s="1"/>
      <c r="PTU583" s="1"/>
      <c r="PTV583" s="1"/>
      <c r="PTW583" s="1"/>
      <c r="PTX583" s="1"/>
      <c r="PTY583" s="1"/>
      <c r="PTZ583" s="1"/>
      <c r="PUA583" s="1"/>
      <c r="PUB583" s="1"/>
      <c r="PUC583" s="1"/>
      <c r="PUD583" s="1"/>
      <c r="PUE583" s="1"/>
      <c r="PUF583" s="1"/>
      <c r="PUG583" s="1"/>
      <c r="PUH583" s="1"/>
      <c r="PUI583" s="1"/>
      <c r="PUJ583" s="1"/>
      <c r="PUK583" s="1"/>
      <c r="PUL583" s="1"/>
      <c r="PUM583" s="1"/>
      <c r="PUN583" s="1"/>
      <c r="PUO583" s="1"/>
      <c r="PUP583" s="1"/>
      <c r="PUQ583" s="1"/>
      <c r="PUR583" s="1"/>
      <c r="PUS583" s="1"/>
      <c r="PUT583" s="1"/>
      <c r="PUU583" s="1"/>
      <c r="PUV583" s="1"/>
      <c r="PUW583" s="1"/>
      <c r="PUX583" s="1"/>
      <c r="PUY583" s="1"/>
      <c r="PUZ583" s="1"/>
      <c r="PVA583" s="1"/>
      <c r="PVB583" s="1"/>
      <c r="PVC583" s="1"/>
      <c r="PVD583" s="1"/>
      <c r="PVE583" s="1"/>
      <c r="PVF583" s="1"/>
      <c r="PVG583" s="1"/>
      <c r="PVH583" s="1"/>
      <c r="PVI583" s="1"/>
      <c r="PVJ583" s="1"/>
      <c r="PVK583" s="1"/>
      <c r="PVL583" s="1"/>
      <c r="PVM583" s="1"/>
      <c r="PVN583" s="1"/>
      <c r="PVO583" s="1"/>
      <c r="PVP583" s="1"/>
      <c r="PVQ583" s="1"/>
      <c r="PVR583" s="1"/>
      <c r="PVS583" s="1"/>
      <c r="PVT583" s="1"/>
      <c r="PVU583" s="1"/>
      <c r="PVV583" s="1"/>
      <c r="PVW583" s="1"/>
      <c r="PVX583" s="1"/>
      <c r="PVY583" s="1"/>
      <c r="PVZ583" s="1"/>
      <c r="PWA583" s="1"/>
      <c r="PWB583" s="1"/>
      <c r="PWC583" s="1"/>
      <c r="PWD583" s="1"/>
      <c r="PWE583" s="1"/>
      <c r="PWF583" s="1"/>
      <c r="PWG583" s="1"/>
      <c r="PWH583" s="1"/>
      <c r="PWI583" s="1"/>
      <c r="PWJ583" s="1"/>
      <c r="PWK583" s="1"/>
      <c r="PWL583" s="1"/>
      <c r="PWM583" s="1"/>
      <c r="PWN583" s="1"/>
      <c r="PWO583" s="1"/>
      <c r="PWP583" s="1"/>
      <c r="PWQ583" s="1"/>
      <c r="PWR583" s="1"/>
      <c r="PWS583" s="1"/>
      <c r="PWT583" s="1"/>
      <c r="PWU583" s="1"/>
      <c r="PWV583" s="1"/>
      <c r="PWW583" s="1"/>
      <c r="PWX583" s="1"/>
      <c r="PWY583" s="1"/>
      <c r="PWZ583" s="1"/>
      <c r="PXA583" s="1"/>
      <c r="PXB583" s="1"/>
      <c r="PXC583" s="1"/>
      <c r="PXD583" s="1"/>
      <c r="PXE583" s="1"/>
      <c r="PXF583" s="1"/>
      <c r="PXG583" s="1"/>
      <c r="PXH583" s="1"/>
      <c r="PXI583" s="1"/>
      <c r="PXJ583" s="1"/>
      <c r="PXK583" s="1"/>
      <c r="PXL583" s="1"/>
      <c r="PXM583" s="1"/>
      <c r="PXN583" s="1"/>
      <c r="PXO583" s="1"/>
      <c r="PXP583" s="1"/>
      <c r="PXQ583" s="1"/>
      <c r="PXR583" s="1"/>
      <c r="PXS583" s="1"/>
      <c r="PXT583" s="1"/>
      <c r="PXU583" s="1"/>
      <c r="PXV583" s="1"/>
      <c r="PXW583" s="1"/>
      <c r="PXX583" s="1"/>
      <c r="PXY583" s="1"/>
      <c r="PXZ583" s="1"/>
      <c r="PYA583" s="1"/>
      <c r="PYB583" s="1"/>
      <c r="PYC583" s="1"/>
      <c r="PYD583" s="1"/>
      <c r="PYE583" s="1"/>
      <c r="PYF583" s="1"/>
      <c r="PYG583" s="1"/>
      <c r="PYH583" s="1"/>
      <c r="PYI583" s="1"/>
      <c r="PYJ583" s="1"/>
      <c r="PYK583" s="1"/>
      <c r="PYL583" s="1"/>
      <c r="PYM583" s="1"/>
      <c r="PYN583" s="1"/>
      <c r="PYO583" s="1"/>
      <c r="PYP583" s="1"/>
      <c r="PYQ583" s="1"/>
      <c r="PYR583" s="1"/>
      <c r="PYS583" s="1"/>
      <c r="PYT583" s="1"/>
      <c r="PYU583" s="1"/>
      <c r="PYV583" s="1"/>
      <c r="PYW583" s="1"/>
      <c r="PYX583" s="1"/>
      <c r="PYY583" s="1"/>
      <c r="PYZ583" s="1"/>
      <c r="PZA583" s="1"/>
      <c r="PZB583" s="1"/>
      <c r="PZC583" s="1"/>
      <c r="PZD583" s="1"/>
      <c r="PZE583" s="1"/>
      <c r="PZF583" s="1"/>
      <c r="PZG583" s="1"/>
      <c r="PZH583" s="1"/>
      <c r="PZI583" s="1"/>
      <c r="PZJ583" s="1"/>
      <c r="PZK583" s="1"/>
      <c r="PZL583" s="1"/>
      <c r="PZM583" s="1"/>
      <c r="PZN583" s="1"/>
      <c r="PZO583" s="1"/>
      <c r="PZP583" s="1"/>
      <c r="PZQ583" s="1"/>
      <c r="PZR583" s="1"/>
      <c r="PZS583" s="1"/>
      <c r="PZT583" s="1"/>
      <c r="PZU583" s="1"/>
      <c r="PZV583" s="1"/>
      <c r="PZW583" s="1"/>
      <c r="PZX583" s="1"/>
      <c r="PZY583" s="1"/>
      <c r="PZZ583" s="1"/>
      <c r="QAA583" s="1"/>
      <c r="QAB583" s="1"/>
      <c r="QAC583" s="1"/>
      <c r="QAD583" s="1"/>
      <c r="QAE583" s="1"/>
      <c r="QAF583" s="1"/>
      <c r="QAG583" s="1"/>
      <c r="QAH583" s="1"/>
      <c r="QAI583" s="1"/>
      <c r="QAJ583" s="1"/>
      <c r="QAK583" s="1"/>
      <c r="QAL583" s="1"/>
      <c r="QAM583" s="1"/>
      <c r="QAN583" s="1"/>
      <c r="QAO583" s="1"/>
      <c r="QAP583" s="1"/>
      <c r="QAQ583" s="1"/>
      <c r="QAR583" s="1"/>
      <c r="QAS583" s="1"/>
      <c r="QAT583" s="1"/>
      <c r="QAU583" s="1"/>
      <c r="QAV583" s="1"/>
      <c r="QAW583" s="1"/>
      <c r="QAX583" s="1"/>
      <c r="QAY583" s="1"/>
      <c r="QAZ583" s="1"/>
      <c r="QBA583" s="1"/>
      <c r="QBB583" s="1"/>
      <c r="QBC583" s="1"/>
      <c r="QBD583" s="1"/>
      <c r="QBE583" s="1"/>
      <c r="QBF583" s="1"/>
      <c r="QBG583" s="1"/>
      <c r="QBH583" s="1"/>
      <c r="QBI583" s="1"/>
      <c r="QBJ583" s="1"/>
      <c r="QBK583" s="1"/>
      <c r="QBL583" s="1"/>
      <c r="QBM583" s="1"/>
      <c r="QBN583" s="1"/>
      <c r="QBO583" s="1"/>
      <c r="QBP583" s="1"/>
      <c r="QBQ583" s="1"/>
      <c r="QBR583" s="1"/>
      <c r="QBS583" s="1"/>
      <c r="QBT583" s="1"/>
      <c r="QBU583" s="1"/>
      <c r="QBV583" s="1"/>
      <c r="QBW583" s="1"/>
      <c r="QBX583" s="1"/>
      <c r="QBY583" s="1"/>
      <c r="QBZ583" s="1"/>
      <c r="QCA583" s="1"/>
      <c r="QCB583" s="1"/>
      <c r="QCC583" s="1"/>
      <c r="QCD583" s="1"/>
      <c r="QCE583" s="1"/>
      <c r="QCF583" s="1"/>
      <c r="QCG583" s="1"/>
      <c r="QCH583" s="1"/>
      <c r="QCI583" s="1"/>
      <c r="QCJ583" s="1"/>
      <c r="QCK583" s="1"/>
      <c r="QCL583" s="1"/>
      <c r="QCM583" s="1"/>
      <c r="QCN583" s="1"/>
      <c r="QCO583" s="1"/>
      <c r="QCP583" s="1"/>
      <c r="QCQ583" s="1"/>
      <c r="QCR583" s="1"/>
      <c r="QCS583" s="1"/>
      <c r="QCT583" s="1"/>
      <c r="QCU583" s="1"/>
      <c r="QCV583" s="1"/>
      <c r="QCW583" s="1"/>
      <c r="QCX583" s="1"/>
      <c r="QCY583" s="1"/>
      <c r="QCZ583" s="1"/>
      <c r="QDA583" s="1"/>
      <c r="QDB583" s="1"/>
      <c r="QDC583" s="1"/>
      <c r="QDD583" s="1"/>
      <c r="QDE583" s="1"/>
      <c r="QDF583" s="1"/>
      <c r="QDG583" s="1"/>
      <c r="QDH583" s="1"/>
      <c r="QDI583" s="1"/>
      <c r="QDJ583" s="1"/>
      <c r="QDK583" s="1"/>
      <c r="QDL583" s="1"/>
      <c r="QDM583" s="1"/>
      <c r="QDN583" s="1"/>
      <c r="QDO583" s="1"/>
      <c r="QDP583" s="1"/>
      <c r="QDQ583" s="1"/>
      <c r="QDR583" s="1"/>
      <c r="QDS583" s="1"/>
      <c r="QDT583" s="1"/>
      <c r="QDU583" s="1"/>
      <c r="QDV583" s="1"/>
      <c r="QDW583" s="1"/>
      <c r="QDX583" s="1"/>
      <c r="QDY583" s="1"/>
      <c r="QDZ583" s="1"/>
      <c r="QEA583" s="1"/>
      <c r="QEB583" s="1"/>
      <c r="QEC583" s="1"/>
      <c r="QED583" s="1"/>
      <c r="QEE583" s="1"/>
      <c r="QEF583" s="1"/>
      <c r="QEG583" s="1"/>
      <c r="QEH583" s="1"/>
      <c r="QEI583" s="1"/>
      <c r="QEJ583" s="1"/>
      <c r="QEK583" s="1"/>
      <c r="QEL583" s="1"/>
      <c r="QEM583" s="1"/>
      <c r="QEN583" s="1"/>
      <c r="QEO583" s="1"/>
      <c r="QEP583" s="1"/>
      <c r="QEQ583" s="1"/>
      <c r="QER583" s="1"/>
      <c r="QES583" s="1"/>
      <c r="QET583" s="1"/>
      <c r="QEU583" s="1"/>
      <c r="QEV583" s="1"/>
      <c r="QEW583" s="1"/>
      <c r="QEX583" s="1"/>
      <c r="QEY583" s="1"/>
      <c r="QEZ583" s="1"/>
      <c r="QFA583" s="1"/>
      <c r="QFB583" s="1"/>
      <c r="QFC583" s="1"/>
      <c r="QFD583" s="1"/>
      <c r="QFE583" s="1"/>
      <c r="QFF583" s="1"/>
      <c r="QFG583" s="1"/>
      <c r="QFH583" s="1"/>
      <c r="QFI583" s="1"/>
      <c r="QFJ583" s="1"/>
      <c r="QFK583" s="1"/>
      <c r="QFL583" s="1"/>
      <c r="QFM583" s="1"/>
      <c r="QFN583" s="1"/>
      <c r="QFO583" s="1"/>
      <c r="QFP583" s="1"/>
      <c r="QFQ583" s="1"/>
      <c r="QFR583" s="1"/>
      <c r="QFS583" s="1"/>
      <c r="QFT583" s="1"/>
      <c r="QFU583" s="1"/>
      <c r="QFV583" s="1"/>
      <c r="QFW583" s="1"/>
      <c r="QFX583" s="1"/>
      <c r="QFY583" s="1"/>
      <c r="QFZ583" s="1"/>
      <c r="QGA583" s="1"/>
      <c r="QGB583" s="1"/>
      <c r="QGC583" s="1"/>
      <c r="QGD583" s="1"/>
      <c r="QGE583" s="1"/>
      <c r="QGF583" s="1"/>
      <c r="QGG583" s="1"/>
      <c r="QGH583" s="1"/>
      <c r="QGI583" s="1"/>
      <c r="QGJ583" s="1"/>
      <c r="QGK583" s="1"/>
      <c r="QGL583" s="1"/>
      <c r="QGM583" s="1"/>
      <c r="QGN583" s="1"/>
      <c r="QGO583" s="1"/>
      <c r="QGP583" s="1"/>
      <c r="QGQ583" s="1"/>
      <c r="QGR583" s="1"/>
      <c r="QGS583" s="1"/>
      <c r="QGT583" s="1"/>
      <c r="QGU583" s="1"/>
      <c r="QGV583" s="1"/>
      <c r="QGW583" s="1"/>
      <c r="QGX583" s="1"/>
      <c r="QGY583" s="1"/>
      <c r="QGZ583" s="1"/>
      <c r="QHA583" s="1"/>
      <c r="QHB583" s="1"/>
      <c r="QHC583" s="1"/>
      <c r="QHD583" s="1"/>
      <c r="QHE583" s="1"/>
      <c r="QHF583" s="1"/>
      <c r="QHG583" s="1"/>
      <c r="QHH583" s="1"/>
      <c r="QHI583" s="1"/>
      <c r="QHJ583" s="1"/>
      <c r="QHK583" s="1"/>
      <c r="QHL583" s="1"/>
      <c r="QHM583" s="1"/>
      <c r="QHN583" s="1"/>
      <c r="QHO583" s="1"/>
      <c r="QHP583" s="1"/>
      <c r="QHQ583" s="1"/>
      <c r="QHR583" s="1"/>
      <c r="QHS583" s="1"/>
      <c r="QHT583" s="1"/>
      <c r="QHU583" s="1"/>
      <c r="QHV583" s="1"/>
      <c r="QHW583" s="1"/>
      <c r="QHX583" s="1"/>
      <c r="QHY583" s="1"/>
      <c r="QHZ583" s="1"/>
      <c r="QIA583" s="1"/>
      <c r="QIB583" s="1"/>
      <c r="QIC583" s="1"/>
      <c r="QID583" s="1"/>
      <c r="QIE583" s="1"/>
      <c r="QIF583" s="1"/>
      <c r="QIG583" s="1"/>
      <c r="QIH583" s="1"/>
      <c r="QII583" s="1"/>
      <c r="QIJ583" s="1"/>
      <c r="QIK583" s="1"/>
      <c r="QIL583" s="1"/>
      <c r="QIM583" s="1"/>
      <c r="QIN583" s="1"/>
      <c r="QIO583" s="1"/>
      <c r="QIP583" s="1"/>
      <c r="QIQ583" s="1"/>
      <c r="QIR583" s="1"/>
      <c r="QIS583" s="1"/>
      <c r="QIT583" s="1"/>
      <c r="QIU583" s="1"/>
      <c r="QIV583" s="1"/>
      <c r="QIW583" s="1"/>
      <c r="QIX583" s="1"/>
      <c r="QIY583" s="1"/>
      <c r="QIZ583" s="1"/>
      <c r="QJA583" s="1"/>
      <c r="QJB583" s="1"/>
      <c r="QJC583" s="1"/>
      <c r="QJD583" s="1"/>
      <c r="QJE583" s="1"/>
      <c r="QJF583" s="1"/>
      <c r="QJG583" s="1"/>
      <c r="QJH583" s="1"/>
      <c r="QJI583" s="1"/>
      <c r="QJJ583" s="1"/>
      <c r="QJK583" s="1"/>
      <c r="QJL583" s="1"/>
      <c r="QJM583" s="1"/>
      <c r="QJN583" s="1"/>
      <c r="QJO583" s="1"/>
      <c r="QJP583" s="1"/>
      <c r="QJQ583" s="1"/>
      <c r="QJR583" s="1"/>
      <c r="QJS583" s="1"/>
      <c r="QJT583" s="1"/>
      <c r="QJU583" s="1"/>
      <c r="QJV583" s="1"/>
      <c r="QJW583" s="1"/>
      <c r="QJX583" s="1"/>
      <c r="QJY583" s="1"/>
      <c r="QJZ583" s="1"/>
      <c r="QKA583" s="1"/>
      <c r="QKB583" s="1"/>
      <c r="QKC583" s="1"/>
      <c r="QKD583" s="1"/>
      <c r="QKE583" s="1"/>
      <c r="QKF583" s="1"/>
      <c r="QKG583" s="1"/>
      <c r="QKH583" s="1"/>
      <c r="QKI583" s="1"/>
      <c r="QKJ583" s="1"/>
      <c r="QKK583" s="1"/>
      <c r="QKL583" s="1"/>
      <c r="QKM583" s="1"/>
      <c r="QKN583" s="1"/>
      <c r="QKO583" s="1"/>
      <c r="QKP583" s="1"/>
      <c r="QKQ583" s="1"/>
      <c r="QKR583" s="1"/>
      <c r="QKS583" s="1"/>
      <c r="QKT583" s="1"/>
      <c r="QKU583" s="1"/>
      <c r="QKV583" s="1"/>
      <c r="QKW583" s="1"/>
      <c r="QKX583" s="1"/>
      <c r="QKY583" s="1"/>
      <c r="QKZ583" s="1"/>
      <c r="QLA583" s="1"/>
      <c r="QLB583" s="1"/>
      <c r="QLC583" s="1"/>
      <c r="QLD583" s="1"/>
      <c r="QLE583" s="1"/>
      <c r="QLF583" s="1"/>
      <c r="QLG583" s="1"/>
      <c r="QLH583" s="1"/>
      <c r="QLI583" s="1"/>
      <c r="QLJ583" s="1"/>
      <c r="QLK583" s="1"/>
      <c r="QLL583" s="1"/>
      <c r="QLM583" s="1"/>
      <c r="QLN583" s="1"/>
      <c r="QLO583" s="1"/>
      <c r="QLP583" s="1"/>
      <c r="QLQ583" s="1"/>
      <c r="QLR583" s="1"/>
      <c r="QLS583" s="1"/>
      <c r="QLT583" s="1"/>
      <c r="QLU583" s="1"/>
      <c r="QLV583" s="1"/>
      <c r="QLW583" s="1"/>
      <c r="QLX583" s="1"/>
      <c r="QLY583" s="1"/>
      <c r="QLZ583" s="1"/>
      <c r="QMA583" s="1"/>
      <c r="QMB583" s="1"/>
      <c r="QMC583" s="1"/>
      <c r="QMD583" s="1"/>
      <c r="QME583" s="1"/>
      <c r="QMF583" s="1"/>
      <c r="QMG583" s="1"/>
      <c r="QMH583" s="1"/>
      <c r="QMI583" s="1"/>
      <c r="QMJ583" s="1"/>
      <c r="QMK583" s="1"/>
      <c r="QML583" s="1"/>
      <c r="QMM583" s="1"/>
      <c r="QMN583" s="1"/>
      <c r="QMO583" s="1"/>
      <c r="QMP583" s="1"/>
      <c r="QMQ583" s="1"/>
      <c r="QMR583" s="1"/>
      <c r="QMS583" s="1"/>
      <c r="QMT583" s="1"/>
      <c r="QMU583" s="1"/>
      <c r="QMV583" s="1"/>
      <c r="QMW583" s="1"/>
      <c r="QMX583" s="1"/>
      <c r="QMY583" s="1"/>
      <c r="QMZ583" s="1"/>
      <c r="QNA583" s="1"/>
      <c r="QNB583" s="1"/>
      <c r="QNC583" s="1"/>
      <c r="QND583" s="1"/>
      <c r="QNE583" s="1"/>
      <c r="QNF583" s="1"/>
      <c r="QNG583" s="1"/>
      <c r="QNH583" s="1"/>
      <c r="QNI583" s="1"/>
      <c r="QNJ583" s="1"/>
      <c r="QNK583" s="1"/>
      <c r="QNL583" s="1"/>
      <c r="QNM583" s="1"/>
      <c r="QNN583" s="1"/>
      <c r="QNO583" s="1"/>
      <c r="QNP583" s="1"/>
      <c r="QNQ583" s="1"/>
      <c r="QNR583" s="1"/>
      <c r="QNS583" s="1"/>
      <c r="QNT583" s="1"/>
      <c r="QNU583" s="1"/>
      <c r="QNV583" s="1"/>
      <c r="QNW583" s="1"/>
      <c r="QNX583" s="1"/>
      <c r="QNY583" s="1"/>
      <c r="QNZ583" s="1"/>
      <c r="QOA583" s="1"/>
      <c r="QOB583" s="1"/>
      <c r="QOC583" s="1"/>
      <c r="QOD583" s="1"/>
      <c r="QOE583" s="1"/>
      <c r="QOF583" s="1"/>
      <c r="QOG583" s="1"/>
      <c r="QOH583" s="1"/>
      <c r="QOI583" s="1"/>
      <c r="QOJ583" s="1"/>
      <c r="QOK583" s="1"/>
      <c r="QOL583" s="1"/>
      <c r="QOM583" s="1"/>
      <c r="QON583" s="1"/>
      <c r="QOO583" s="1"/>
      <c r="QOP583" s="1"/>
      <c r="QOQ583" s="1"/>
      <c r="QOR583" s="1"/>
      <c r="QOS583" s="1"/>
      <c r="QOT583" s="1"/>
      <c r="QOU583" s="1"/>
      <c r="QOV583" s="1"/>
      <c r="QOW583" s="1"/>
      <c r="QOX583" s="1"/>
      <c r="QOY583" s="1"/>
      <c r="QOZ583" s="1"/>
      <c r="QPA583" s="1"/>
      <c r="QPB583" s="1"/>
      <c r="QPC583" s="1"/>
      <c r="QPD583" s="1"/>
      <c r="QPE583" s="1"/>
      <c r="QPF583" s="1"/>
      <c r="QPG583" s="1"/>
      <c r="QPH583" s="1"/>
      <c r="QPI583" s="1"/>
      <c r="QPJ583" s="1"/>
      <c r="QPK583" s="1"/>
      <c r="QPL583" s="1"/>
      <c r="QPM583" s="1"/>
      <c r="QPN583" s="1"/>
      <c r="QPO583" s="1"/>
      <c r="QPP583" s="1"/>
      <c r="QPQ583" s="1"/>
      <c r="QPR583" s="1"/>
      <c r="QPS583" s="1"/>
      <c r="QPT583" s="1"/>
      <c r="QPU583" s="1"/>
      <c r="QPV583" s="1"/>
      <c r="QPW583" s="1"/>
      <c r="QPX583" s="1"/>
      <c r="QPY583" s="1"/>
      <c r="QPZ583" s="1"/>
      <c r="QQA583" s="1"/>
      <c r="QQB583" s="1"/>
      <c r="QQC583" s="1"/>
      <c r="QQD583" s="1"/>
      <c r="QQE583" s="1"/>
      <c r="QQF583" s="1"/>
      <c r="QQG583" s="1"/>
      <c r="QQH583" s="1"/>
      <c r="QQI583" s="1"/>
      <c r="QQJ583" s="1"/>
      <c r="QQK583" s="1"/>
      <c r="QQL583" s="1"/>
      <c r="QQM583" s="1"/>
      <c r="QQN583" s="1"/>
      <c r="QQO583" s="1"/>
      <c r="QQP583" s="1"/>
      <c r="QQQ583" s="1"/>
      <c r="QQR583" s="1"/>
      <c r="QQS583" s="1"/>
      <c r="QQT583" s="1"/>
      <c r="QQU583" s="1"/>
      <c r="QQV583" s="1"/>
      <c r="QQW583" s="1"/>
      <c r="QQX583" s="1"/>
      <c r="QQY583" s="1"/>
      <c r="QQZ583" s="1"/>
      <c r="QRA583" s="1"/>
      <c r="QRB583" s="1"/>
      <c r="QRC583" s="1"/>
      <c r="QRD583" s="1"/>
      <c r="QRE583" s="1"/>
      <c r="QRF583" s="1"/>
      <c r="QRG583" s="1"/>
      <c r="QRH583" s="1"/>
      <c r="QRI583" s="1"/>
      <c r="QRJ583" s="1"/>
      <c r="QRK583" s="1"/>
      <c r="QRL583" s="1"/>
      <c r="QRM583" s="1"/>
      <c r="QRN583" s="1"/>
      <c r="QRO583" s="1"/>
      <c r="QRP583" s="1"/>
      <c r="QRQ583" s="1"/>
      <c r="QRR583" s="1"/>
      <c r="QRS583" s="1"/>
      <c r="QRT583" s="1"/>
      <c r="QRU583" s="1"/>
      <c r="QRV583" s="1"/>
      <c r="QRW583" s="1"/>
      <c r="QRX583" s="1"/>
      <c r="QRY583" s="1"/>
      <c r="QRZ583" s="1"/>
      <c r="QSA583" s="1"/>
      <c r="QSB583" s="1"/>
      <c r="QSC583" s="1"/>
      <c r="QSD583" s="1"/>
      <c r="QSE583" s="1"/>
      <c r="QSF583" s="1"/>
      <c r="QSG583" s="1"/>
      <c r="QSH583" s="1"/>
      <c r="QSI583" s="1"/>
      <c r="QSJ583" s="1"/>
      <c r="QSK583" s="1"/>
      <c r="QSL583" s="1"/>
      <c r="QSM583" s="1"/>
      <c r="QSN583" s="1"/>
      <c r="QSO583" s="1"/>
      <c r="QSP583" s="1"/>
      <c r="QSQ583" s="1"/>
      <c r="QSR583" s="1"/>
      <c r="QSS583" s="1"/>
      <c r="QST583" s="1"/>
      <c r="QSU583" s="1"/>
      <c r="QSV583" s="1"/>
      <c r="QSW583" s="1"/>
      <c r="QSX583" s="1"/>
      <c r="QSY583" s="1"/>
      <c r="QSZ583" s="1"/>
      <c r="QTA583" s="1"/>
      <c r="QTB583" s="1"/>
      <c r="QTC583" s="1"/>
      <c r="QTD583" s="1"/>
      <c r="QTE583" s="1"/>
      <c r="QTF583" s="1"/>
      <c r="QTG583" s="1"/>
      <c r="QTH583" s="1"/>
      <c r="QTI583" s="1"/>
      <c r="QTJ583" s="1"/>
      <c r="QTK583" s="1"/>
      <c r="QTL583" s="1"/>
      <c r="QTM583" s="1"/>
      <c r="QTN583" s="1"/>
      <c r="QTO583" s="1"/>
      <c r="QTP583" s="1"/>
      <c r="QTQ583" s="1"/>
      <c r="QTR583" s="1"/>
      <c r="QTS583" s="1"/>
      <c r="QTT583" s="1"/>
      <c r="QTU583" s="1"/>
      <c r="QTV583" s="1"/>
      <c r="QTW583" s="1"/>
      <c r="QTX583" s="1"/>
      <c r="QTY583" s="1"/>
      <c r="QTZ583" s="1"/>
      <c r="QUA583" s="1"/>
      <c r="QUB583" s="1"/>
      <c r="QUC583" s="1"/>
      <c r="QUD583" s="1"/>
      <c r="QUE583" s="1"/>
      <c r="QUF583" s="1"/>
      <c r="QUG583" s="1"/>
      <c r="QUH583" s="1"/>
      <c r="QUI583" s="1"/>
      <c r="QUJ583" s="1"/>
      <c r="QUK583" s="1"/>
      <c r="QUL583" s="1"/>
      <c r="QUM583" s="1"/>
      <c r="QUN583" s="1"/>
      <c r="QUO583" s="1"/>
      <c r="QUP583" s="1"/>
      <c r="QUQ583" s="1"/>
      <c r="QUR583" s="1"/>
      <c r="QUS583" s="1"/>
      <c r="QUT583" s="1"/>
      <c r="QUU583" s="1"/>
      <c r="QUV583" s="1"/>
      <c r="QUW583" s="1"/>
      <c r="QUX583" s="1"/>
      <c r="QUY583" s="1"/>
      <c r="QUZ583" s="1"/>
      <c r="QVA583" s="1"/>
      <c r="QVB583" s="1"/>
      <c r="QVC583" s="1"/>
      <c r="QVD583" s="1"/>
      <c r="QVE583" s="1"/>
      <c r="QVF583" s="1"/>
      <c r="QVG583" s="1"/>
      <c r="QVH583" s="1"/>
      <c r="QVI583" s="1"/>
      <c r="QVJ583" s="1"/>
      <c r="QVK583" s="1"/>
      <c r="QVL583" s="1"/>
      <c r="QVM583" s="1"/>
      <c r="QVN583" s="1"/>
      <c r="QVO583" s="1"/>
      <c r="QVP583" s="1"/>
      <c r="QVQ583" s="1"/>
      <c r="QVR583" s="1"/>
      <c r="QVS583" s="1"/>
      <c r="QVT583" s="1"/>
      <c r="QVU583" s="1"/>
      <c r="QVV583" s="1"/>
      <c r="QVW583" s="1"/>
      <c r="QVX583" s="1"/>
      <c r="QVY583" s="1"/>
      <c r="QVZ583" s="1"/>
      <c r="QWA583" s="1"/>
      <c r="QWB583" s="1"/>
      <c r="QWC583" s="1"/>
      <c r="QWD583" s="1"/>
      <c r="QWE583" s="1"/>
      <c r="QWF583" s="1"/>
      <c r="QWG583" s="1"/>
      <c r="QWH583" s="1"/>
      <c r="QWI583" s="1"/>
      <c r="QWJ583" s="1"/>
      <c r="QWK583" s="1"/>
      <c r="QWL583" s="1"/>
      <c r="QWM583" s="1"/>
      <c r="QWN583" s="1"/>
      <c r="QWO583" s="1"/>
      <c r="QWP583" s="1"/>
      <c r="QWQ583" s="1"/>
      <c r="QWR583" s="1"/>
      <c r="QWS583" s="1"/>
      <c r="QWT583" s="1"/>
      <c r="QWU583" s="1"/>
      <c r="QWV583" s="1"/>
      <c r="QWW583" s="1"/>
      <c r="QWX583" s="1"/>
      <c r="QWY583" s="1"/>
      <c r="QWZ583" s="1"/>
      <c r="QXA583" s="1"/>
      <c r="QXB583" s="1"/>
      <c r="QXC583" s="1"/>
      <c r="QXD583" s="1"/>
      <c r="QXE583" s="1"/>
      <c r="QXF583" s="1"/>
      <c r="QXG583" s="1"/>
      <c r="QXH583" s="1"/>
      <c r="QXI583" s="1"/>
      <c r="QXJ583" s="1"/>
      <c r="QXK583" s="1"/>
      <c r="QXL583" s="1"/>
      <c r="QXM583" s="1"/>
      <c r="QXN583" s="1"/>
      <c r="QXO583" s="1"/>
      <c r="QXP583" s="1"/>
      <c r="QXQ583" s="1"/>
      <c r="QXR583" s="1"/>
      <c r="QXS583" s="1"/>
      <c r="QXT583" s="1"/>
      <c r="QXU583" s="1"/>
      <c r="QXV583" s="1"/>
      <c r="QXW583" s="1"/>
      <c r="QXX583" s="1"/>
      <c r="QXY583" s="1"/>
      <c r="QXZ583" s="1"/>
      <c r="QYA583" s="1"/>
      <c r="QYB583" s="1"/>
      <c r="QYC583" s="1"/>
      <c r="QYD583" s="1"/>
      <c r="QYE583" s="1"/>
      <c r="QYF583" s="1"/>
      <c r="QYG583" s="1"/>
      <c r="QYH583" s="1"/>
      <c r="QYI583" s="1"/>
      <c r="QYJ583" s="1"/>
      <c r="QYK583" s="1"/>
      <c r="QYL583" s="1"/>
      <c r="QYM583" s="1"/>
      <c r="QYN583" s="1"/>
      <c r="QYO583" s="1"/>
      <c r="QYP583" s="1"/>
      <c r="QYQ583" s="1"/>
      <c r="QYR583" s="1"/>
      <c r="QYS583" s="1"/>
      <c r="QYT583" s="1"/>
      <c r="QYU583" s="1"/>
      <c r="QYV583" s="1"/>
      <c r="QYW583" s="1"/>
      <c r="QYX583" s="1"/>
      <c r="QYY583" s="1"/>
      <c r="QYZ583" s="1"/>
      <c r="QZA583" s="1"/>
      <c r="QZB583" s="1"/>
      <c r="QZC583" s="1"/>
      <c r="QZD583" s="1"/>
      <c r="QZE583" s="1"/>
      <c r="QZF583" s="1"/>
      <c r="QZG583" s="1"/>
      <c r="QZH583" s="1"/>
      <c r="QZI583" s="1"/>
      <c r="QZJ583" s="1"/>
      <c r="QZK583" s="1"/>
      <c r="QZL583" s="1"/>
      <c r="QZM583" s="1"/>
      <c r="QZN583" s="1"/>
      <c r="QZO583" s="1"/>
      <c r="QZP583" s="1"/>
      <c r="QZQ583" s="1"/>
      <c r="QZR583" s="1"/>
      <c r="QZS583" s="1"/>
      <c r="QZT583" s="1"/>
      <c r="QZU583" s="1"/>
      <c r="QZV583" s="1"/>
      <c r="QZW583" s="1"/>
      <c r="QZX583" s="1"/>
      <c r="QZY583" s="1"/>
      <c r="QZZ583" s="1"/>
      <c r="RAA583" s="1"/>
      <c r="RAB583" s="1"/>
      <c r="RAC583" s="1"/>
      <c r="RAD583" s="1"/>
      <c r="RAE583" s="1"/>
      <c r="RAF583" s="1"/>
      <c r="RAG583" s="1"/>
      <c r="RAH583" s="1"/>
      <c r="RAI583" s="1"/>
      <c r="RAJ583" s="1"/>
      <c r="RAK583" s="1"/>
      <c r="RAL583" s="1"/>
      <c r="RAM583" s="1"/>
      <c r="RAN583" s="1"/>
      <c r="RAO583" s="1"/>
      <c r="RAP583" s="1"/>
      <c r="RAQ583" s="1"/>
      <c r="RAR583" s="1"/>
      <c r="RAS583" s="1"/>
      <c r="RAT583" s="1"/>
      <c r="RAU583" s="1"/>
      <c r="RAV583" s="1"/>
      <c r="RAW583" s="1"/>
      <c r="RAX583" s="1"/>
      <c r="RAY583" s="1"/>
      <c r="RAZ583" s="1"/>
      <c r="RBA583" s="1"/>
      <c r="RBB583" s="1"/>
      <c r="RBC583" s="1"/>
      <c r="RBD583" s="1"/>
      <c r="RBE583" s="1"/>
      <c r="RBF583" s="1"/>
      <c r="RBG583" s="1"/>
      <c r="RBH583" s="1"/>
      <c r="RBI583" s="1"/>
      <c r="RBJ583" s="1"/>
      <c r="RBK583" s="1"/>
      <c r="RBL583" s="1"/>
      <c r="RBM583" s="1"/>
      <c r="RBN583" s="1"/>
      <c r="RBO583" s="1"/>
      <c r="RBP583" s="1"/>
      <c r="RBQ583" s="1"/>
      <c r="RBR583" s="1"/>
      <c r="RBS583" s="1"/>
      <c r="RBT583" s="1"/>
      <c r="RBU583" s="1"/>
      <c r="RBV583" s="1"/>
      <c r="RBW583" s="1"/>
      <c r="RBX583" s="1"/>
      <c r="RBY583" s="1"/>
      <c r="RBZ583" s="1"/>
      <c r="RCA583" s="1"/>
      <c r="RCB583" s="1"/>
      <c r="RCC583" s="1"/>
      <c r="RCD583" s="1"/>
      <c r="RCE583" s="1"/>
      <c r="RCF583" s="1"/>
      <c r="RCG583" s="1"/>
      <c r="RCH583" s="1"/>
      <c r="RCI583" s="1"/>
      <c r="RCJ583" s="1"/>
      <c r="RCK583" s="1"/>
      <c r="RCL583" s="1"/>
      <c r="RCM583" s="1"/>
      <c r="RCN583" s="1"/>
      <c r="RCO583" s="1"/>
      <c r="RCP583" s="1"/>
      <c r="RCQ583" s="1"/>
      <c r="RCR583" s="1"/>
      <c r="RCS583" s="1"/>
      <c r="RCT583" s="1"/>
      <c r="RCU583" s="1"/>
      <c r="RCV583" s="1"/>
      <c r="RCW583" s="1"/>
      <c r="RCX583" s="1"/>
      <c r="RCY583" s="1"/>
      <c r="RCZ583" s="1"/>
      <c r="RDA583" s="1"/>
      <c r="RDB583" s="1"/>
      <c r="RDC583" s="1"/>
      <c r="RDD583" s="1"/>
      <c r="RDE583" s="1"/>
      <c r="RDF583" s="1"/>
      <c r="RDG583" s="1"/>
      <c r="RDH583" s="1"/>
      <c r="RDI583" s="1"/>
      <c r="RDJ583" s="1"/>
      <c r="RDK583" s="1"/>
      <c r="RDL583" s="1"/>
      <c r="RDM583" s="1"/>
      <c r="RDN583" s="1"/>
      <c r="RDO583" s="1"/>
      <c r="RDP583" s="1"/>
      <c r="RDQ583" s="1"/>
      <c r="RDR583" s="1"/>
      <c r="RDS583" s="1"/>
      <c r="RDT583" s="1"/>
      <c r="RDU583" s="1"/>
      <c r="RDV583" s="1"/>
      <c r="RDW583" s="1"/>
      <c r="RDX583" s="1"/>
      <c r="RDY583" s="1"/>
      <c r="RDZ583" s="1"/>
      <c r="REA583" s="1"/>
      <c r="REB583" s="1"/>
      <c r="REC583" s="1"/>
      <c r="RED583" s="1"/>
      <c r="REE583" s="1"/>
      <c r="REF583" s="1"/>
      <c r="REG583" s="1"/>
      <c r="REH583" s="1"/>
      <c r="REI583" s="1"/>
      <c r="REJ583" s="1"/>
      <c r="REK583" s="1"/>
      <c r="REL583" s="1"/>
      <c r="REM583" s="1"/>
      <c r="REN583" s="1"/>
      <c r="REO583" s="1"/>
      <c r="REP583" s="1"/>
      <c r="REQ583" s="1"/>
      <c r="RER583" s="1"/>
      <c r="RES583" s="1"/>
      <c r="RET583" s="1"/>
      <c r="REU583" s="1"/>
      <c r="REV583" s="1"/>
      <c r="REW583" s="1"/>
      <c r="REX583" s="1"/>
      <c r="REY583" s="1"/>
      <c r="REZ583" s="1"/>
      <c r="RFA583" s="1"/>
      <c r="RFB583" s="1"/>
      <c r="RFC583" s="1"/>
      <c r="RFD583" s="1"/>
      <c r="RFE583" s="1"/>
      <c r="RFF583" s="1"/>
      <c r="RFG583" s="1"/>
      <c r="RFH583" s="1"/>
      <c r="RFI583" s="1"/>
      <c r="RFJ583" s="1"/>
      <c r="RFK583" s="1"/>
      <c r="RFL583" s="1"/>
      <c r="RFM583" s="1"/>
      <c r="RFN583" s="1"/>
      <c r="RFO583" s="1"/>
      <c r="RFP583" s="1"/>
      <c r="RFQ583" s="1"/>
      <c r="RFR583" s="1"/>
      <c r="RFS583" s="1"/>
      <c r="RFT583" s="1"/>
      <c r="RFU583" s="1"/>
      <c r="RFV583" s="1"/>
      <c r="RFW583" s="1"/>
      <c r="RFX583" s="1"/>
      <c r="RFY583" s="1"/>
      <c r="RFZ583" s="1"/>
      <c r="RGA583" s="1"/>
      <c r="RGB583" s="1"/>
      <c r="RGC583" s="1"/>
      <c r="RGD583" s="1"/>
      <c r="RGE583" s="1"/>
      <c r="RGF583" s="1"/>
      <c r="RGG583" s="1"/>
      <c r="RGH583" s="1"/>
      <c r="RGI583" s="1"/>
      <c r="RGJ583" s="1"/>
      <c r="RGK583" s="1"/>
      <c r="RGL583" s="1"/>
      <c r="RGM583" s="1"/>
      <c r="RGN583" s="1"/>
      <c r="RGO583" s="1"/>
      <c r="RGP583" s="1"/>
      <c r="RGQ583" s="1"/>
      <c r="RGR583" s="1"/>
      <c r="RGS583" s="1"/>
      <c r="RGT583" s="1"/>
      <c r="RGU583" s="1"/>
      <c r="RGV583" s="1"/>
      <c r="RGW583" s="1"/>
      <c r="RGX583" s="1"/>
      <c r="RGY583" s="1"/>
      <c r="RGZ583" s="1"/>
      <c r="RHA583" s="1"/>
      <c r="RHB583" s="1"/>
      <c r="RHC583" s="1"/>
      <c r="RHD583" s="1"/>
      <c r="RHE583" s="1"/>
      <c r="RHF583" s="1"/>
      <c r="RHG583" s="1"/>
      <c r="RHH583" s="1"/>
      <c r="RHI583" s="1"/>
      <c r="RHJ583" s="1"/>
      <c r="RHK583" s="1"/>
      <c r="RHL583" s="1"/>
      <c r="RHM583" s="1"/>
      <c r="RHN583" s="1"/>
      <c r="RHO583" s="1"/>
      <c r="RHP583" s="1"/>
      <c r="RHQ583" s="1"/>
      <c r="RHR583" s="1"/>
      <c r="RHS583" s="1"/>
      <c r="RHT583" s="1"/>
      <c r="RHU583" s="1"/>
      <c r="RHV583" s="1"/>
      <c r="RHW583" s="1"/>
      <c r="RHX583" s="1"/>
      <c r="RHY583" s="1"/>
      <c r="RHZ583" s="1"/>
      <c r="RIA583" s="1"/>
      <c r="RIB583" s="1"/>
      <c r="RIC583" s="1"/>
      <c r="RID583" s="1"/>
      <c r="RIE583" s="1"/>
      <c r="RIF583" s="1"/>
      <c r="RIG583" s="1"/>
      <c r="RIH583" s="1"/>
      <c r="RII583" s="1"/>
      <c r="RIJ583" s="1"/>
      <c r="RIK583" s="1"/>
      <c r="RIL583" s="1"/>
      <c r="RIM583" s="1"/>
      <c r="RIN583" s="1"/>
      <c r="RIO583" s="1"/>
      <c r="RIP583" s="1"/>
      <c r="RIQ583" s="1"/>
      <c r="RIR583" s="1"/>
      <c r="RIS583" s="1"/>
      <c r="RIT583" s="1"/>
      <c r="RIU583" s="1"/>
      <c r="RIV583" s="1"/>
      <c r="RIW583" s="1"/>
      <c r="RIX583" s="1"/>
      <c r="RIY583" s="1"/>
      <c r="RIZ583" s="1"/>
      <c r="RJA583" s="1"/>
      <c r="RJB583" s="1"/>
      <c r="RJC583" s="1"/>
      <c r="RJD583" s="1"/>
      <c r="RJE583" s="1"/>
      <c r="RJF583" s="1"/>
      <c r="RJG583" s="1"/>
      <c r="RJH583" s="1"/>
      <c r="RJI583" s="1"/>
      <c r="RJJ583" s="1"/>
      <c r="RJK583" s="1"/>
      <c r="RJL583" s="1"/>
      <c r="RJM583" s="1"/>
      <c r="RJN583" s="1"/>
      <c r="RJO583" s="1"/>
      <c r="RJP583" s="1"/>
      <c r="RJQ583" s="1"/>
      <c r="RJR583" s="1"/>
      <c r="RJS583" s="1"/>
      <c r="RJT583" s="1"/>
      <c r="RJU583" s="1"/>
      <c r="RJV583" s="1"/>
      <c r="RJW583" s="1"/>
      <c r="RJX583" s="1"/>
      <c r="RJY583" s="1"/>
      <c r="RJZ583" s="1"/>
      <c r="RKA583" s="1"/>
      <c r="RKB583" s="1"/>
      <c r="RKC583" s="1"/>
      <c r="RKD583" s="1"/>
      <c r="RKE583" s="1"/>
      <c r="RKF583" s="1"/>
      <c r="RKG583" s="1"/>
      <c r="RKH583" s="1"/>
      <c r="RKI583" s="1"/>
      <c r="RKJ583" s="1"/>
      <c r="RKK583" s="1"/>
      <c r="RKL583" s="1"/>
      <c r="RKM583" s="1"/>
      <c r="RKN583" s="1"/>
      <c r="RKO583" s="1"/>
      <c r="RKP583" s="1"/>
      <c r="RKQ583" s="1"/>
      <c r="RKR583" s="1"/>
      <c r="RKS583" s="1"/>
      <c r="RKT583" s="1"/>
      <c r="RKU583" s="1"/>
      <c r="RKV583" s="1"/>
      <c r="RKW583" s="1"/>
      <c r="RKX583" s="1"/>
      <c r="RKY583" s="1"/>
      <c r="RKZ583" s="1"/>
      <c r="RLA583" s="1"/>
      <c r="RLB583" s="1"/>
      <c r="RLC583" s="1"/>
      <c r="RLD583" s="1"/>
      <c r="RLE583" s="1"/>
      <c r="RLF583" s="1"/>
      <c r="RLG583" s="1"/>
      <c r="RLH583" s="1"/>
      <c r="RLI583" s="1"/>
      <c r="RLJ583" s="1"/>
      <c r="RLK583" s="1"/>
      <c r="RLL583" s="1"/>
      <c r="RLM583" s="1"/>
      <c r="RLN583" s="1"/>
      <c r="RLO583" s="1"/>
      <c r="RLP583" s="1"/>
      <c r="RLQ583" s="1"/>
      <c r="RLR583" s="1"/>
      <c r="RLS583" s="1"/>
      <c r="RLT583" s="1"/>
      <c r="RLU583" s="1"/>
      <c r="RLV583" s="1"/>
      <c r="RLW583" s="1"/>
      <c r="RLX583" s="1"/>
      <c r="RLY583" s="1"/>
      <c r="RLZ583" s="1"/>
      <c r="RMA583" s="1"/>
      <c r="RMB583" s="1"/>
      <c r="RMC583" s="1"/>
      <c r="RMD583" s="1"/>
      <c r="RME583" s="1"/>
      <c r="RMF583" s="1"/>
      <c r="RMG583" s="1"/>
      <c r="RMH583" s="1"/>
      <c r="RMI583" s="1"/>
      <c r="RMJ583" s="1"/>
      <c r="RMK583" s="1"/>
      <c r="RML583" s="1"/>
      <c r="RMM583" s="1"/>
      <c r="RMN583" s="1"/>
      <c r="RMO583" s="1"/>
      <c r="RMP583" s="1"/>
      <c r="RMQ583" s="1"/>
      <c r="RMR583" s="1"/>
      <c r="RMS583" s="1"/>
      <c r="RMT583" s="1"/>
      <c r="RMU583" s="1"/>
      <c r="RMV583" s="1"/>
      <c r="RMW583" s="1"/>
      <c r="RMX583" s="1"/>
      <c r="RMY583" s="1"/>
      <c r="RMZ583" s="1"/>
      <c r="RNA583" s="1"/>
      <c r="RNB583" s="1"/>
      <c r="RNC583" s="1"/>
      <c r="RND583" s="1"/>
      <c r="RNE583" s="1"/>
      <c r="RNF583" s="1"/>
      <c r="RNG583" s="1"/>
      <c r="RNH583" s="1"/>
      <c r="RNI583" s="1"/>
      <c r="RNJ583" s="1"/>
      <c r="RNK583" s="1"/>
      <c r="RNL583" s="1"/>
      <c r="RNM583" s="1"/>
      <c r="RNN583" s="1"/>
      <c r="RNO583" s="1"/>
      <c r="RNP583" s="1"/>
      <c r="RNQ583" s="1"/>
      <c r="RNR583" s="1"/>
      <c r="RNS583" s="1"/>
      <c r="RNT583" s="1"/>
      <c r="RNU583" s="1"/>
      <c r="RNV583" s="1"/>
      <c r="RNW583" s="1"/>
      <c r="RNX583" s="1"/>
      <c r="RNY583" s="1"/>
      <c r="RNZ583" s="1"/>
      <c r="ROA583" s="1"/>
      <c r="ROB583" s="1"/>
      <c r="ROC583" s="1"/>
      <c r="ROD583" s="1"/>
      <c r="ROE583" s="1"/>
      <c r="ROF583" s="1"/>
      <c r="ROG583" s="1"/>
      <c r="ROH583" s="1"/>
      <c r="ROI583" s="1"/>
      <c r="ROJ583" s="1"/>
      <c r="ROK583" s="1"/>
      <c r="ROL583" s="1"/>
      <c r="ROM583" s="1"/>
      <c r="RON583" s="1"/>
      <c r="ROO583" s="1"/>
      <c r="ROP583" s="1"/>
      <c r="ROQ583" s="1"/>
      <c r="ROR583" s="1"/>
      <c r="ROS583" s="1"/>
      <c r="ROT583" s="1"/>
      <c r="ROU583" s="1"/>
      <c r="ROV583" s="1"/>
      <c r="ROW583" s="1"/>
      <c r="ROX583" s="1"/>
      <c r="ROY583" s="1"/>
      <c r="ROZ583" s="1"/>
      <c r="RPA583" s="1"/>
      <c r="RPB583" s="1"/>
      <c r="RPC583" s="1"/>
      <c r="RPD583" s="1"/>
      <c r="RPE583" s="1"/>
      <c r="RPF583" s="1"/>
      <c r="RPG583" s="1"/>
      <c r="RPH583" s="1"/>
      <c r="RPI583" s="1"/>
      <c r="RPJ583" s="1"/>
      <c r="RPK583" s="1"/>
      <c r="RPL583" s="1"/>
      <c r="RPM583" s="1"/>
      <c r="RPN583" s="1"/>
      <c r="RPO583" s="1"/>
      <c r="RPP583" s="1"/>
      <c r="RPQ583" s="1"/>
      <c r="RPR583" s="1"/>
      <c r="RPS583" s="1"/>
      <c r="RPT583" s="1"/>
      <c r="RPU583" s="1"/>
      <c r="RPV583" s="1"/>
      <c r="RPW583" s="1"/>
      <c r="RPX583" s="1"/>
      <c r="RPY583" s="1"/>
      <c r="RPZ583" s="1"/>
      <c r="RQA583" s="1"/>
      <c r="RQB583" s="1"/>
      <c r="RQC583" s="1"/>
      <c r="RQD583" s="1"/>
      <c r="RQE583" s="1"/>
      <c r="RQF583" s="1"/>
      <c r="RQG583" s="1"/>
      <c r="RQH583" s="1"/>
      <c r="RQI583" s="1"/>
      <c r="RQJ583" s="1"/>
      <c r="RQK583" s="1"/>
      <c r="RQL583" s="1"/>
      <c r="RQM583" s="1"/>
      <c r="RQN583" s="1"/>
      <c r="RQO583" s="1"/>
      <c r="RQP583" s="1"/>
      <c r="RQQ583" s="1"/>
      <c r="RQR583" s="1"/>
      <c r="RQS583" s="1"/>
      <c r="RQT583" s="1"/>
      <c r="RQU583" s="1"/>
      <c r="RQV583" s="1"/>
      <c r="RQW583" s="1"/>
      <c r="RQX583" s="1"/>
      <c r="RQY583" s="1"/>
      <c r="RQZ583" s="1"/>
      <c r="RRA583" s="1"/>
      <c r="RRB583" s="1"/>
      <c r="RRC583" s="1"/>
      <c r="RRD583" s="1"/>
      <c r="RRE583" s="1"/>
      <c r="RRF583" s="1"/>
      <c r="RRG583" s="1"/>
      <c r="RRH583" s="1"/>
      <c r="RRI583" s="1"/>
      <c r="RRJ583" s="1"/>
      <c r="RRK583" s="1"/>
      <c r="RRL583" s="1"/>
      <c r="RRM583" s="1"/>
      <c r="RRN583" s="1"/>
      <c r="RRO583" s="1"/>
      <c r="RRP583" s="1"/>
      <c r="RRQ583" s="1"/>
      <c r="RRR583" s="1"/>
      <c r="RRS583" s="1"/>
      <c r="RRT583" s="1"/>
      <c r="RRU583" s="1"/>
      <c r="RRV583" s="1"/>
      <c r="RRW583" s="1"/>
      <c r="RRX583" s="1"/>
      <c r="RRY583" s="1"/>
      <c r="RRZ583" s="1"/>
      <c r="RSA583" s="1"/>
      <c r="RSB583" s="1"/>
      <c r="RSC583" s="1"/>
      <c r="RSD583" s="1"/>
      <c r="RSE583" s="1"/>
      <c r="RSF583" s="1"/>
      <c r="RSG583" s="1"/>
      <c r="RSH583" s="1"/>
      <c r="RSI583" s="1"/>
      <c r="RSJ583" s="1"/>
      <c r="RSK583" s="1"/>
      <c r="RSL583" s="1"/>
      <c r="RSM583" s="1"/>
      <c r="RSN583" s="1"/>
      <c r="RSO583" s="1"/>
      <c r="RSP583" s="1"/>
      <c r="RSQ583" s="1"/>
      <c r="RSR583" s="1"/>
      <c r="RSS583" s="1"/>
      <c r="RST583" s="1"/>
      <c r="RSU583" s="1"/>
      <c r="RSV583" s="1"/>
      <c r="RSW583" s="1"/>
      <c r="RSX583" s="1"/>
      <c r="RSY583" s="1"/>
      <c r="RSZ583" s="1"/>
      <c r="RTA583" s="1"/>
      <c r="RTB583" s="1"/>
      <c r="RTC583" s="1"/>
      <c r="RTD583" s="1"/>
      <c r="RTE583" s="1"/>
      <c r="RTF583" s="1"/>
      <c r="RTG583" s="1"/>
      <c r="RTH583" s="1"/>
      <c r="RTI583" s="1"/>
      <c r="RTJ583" s="1"/>
      <c r="RTK583" s="1"/>
      <c r="RTL583" s="1"/>
      <c r="RTM583" s="1"/>
      <c r="RTN583" s="1"/>
      <c r="RTO583" s="1"/>
      <c r="RTP583" s="1"/>
      <c r="RTQ583" s="1"/>
      <c r="RTR583" s="1"/>
      <c r="RTS583" s="1"/>
      <c r="RTT583" s="1"/>
      <c r="RTU583" s="1"/>
      <c r="RTV583" s="1"/>
      <c r="RTW583" s="1"/>
      <c r="RTX583" s="1"/>
      <c r="RTY583" s="1"/>
      <c r="RTZ583" s="1"/>
      <c r="RUA583" s="1"/>
      <c r="RUB583" s="1"/>
      <c r="RUC583" s="1"/>
      <c r="RUD583" s="1"/>
      <c r="RUE583" s="1"/>
      <c r="RUF583" s="1"/>
      <c r="RUG583" s="1"/>
      <c r="RUH583" s="1"/>
      <c r="RUI583" s="1"/>
      <c r="RUJ583" s="1"/>
      <c r="RUK583" s="1"/>
      <c r="RUL583" s="1"/>
      <c r="RUM583" s="1"/>
      <c r="RUN583" s="1"/>
      <c r="RUO583" s="1"/>
      <c r="RUP583" s="1"/>
      <c r="RUQ583" s="1"/>
      <c r="RUR583" s="1"/>
      <c r="RUS583" s="1"/>
      <c r="RUT583" s="1"/>
      <c r="RUU583" s="1"/>
      <c r="RUV583" s="1"/>
      <c r="RUW583" s="1"/>
      <c r="RUX583" s="1"/>
      <c r="RUY583" s="1"/>
      <c r="RUZ583" s="1"/>
      <c r="RVA583" s="1"/>
      <c r="RVB583" s="1"/>
      <c r="RVC583" s="1"/>
      <c r="RVD583" s="1"/>
      <c r="RVE583" s="1"/>
      <c r="RVF583" s="1"/>
      <c r="RVG583" s="1"/>
      <c r="RVH583" s="1"/>
      <c r="RVI583" s="1"/>
      <c r="RVJ583" s="1"/>
      <c r="RVK583" s="1"/>
      <c r="RVL583" s="1"/>
      <c r="RVM583" s="1"/>
      <c r="RVN583" s="1"/>
      <c r="RVO583" s="1"/>
      <c r="RVP583" s="1"/>
      <c r="RVQ583" s="1"/>
      <c r="RVR583" s="1"/>
      <c r="RVS583" s="1"/>
      <c r="RVT583" s="1"/>
      <c r="RVU583" s="1"/>
      <c r="RVV583" s="1"/>
      <c r="RVW583" s="1"/>
      <c r="RVX583" s="1"/>
      <c r="RVY583" s="1"/>
      <c r="RVZ583" s="1"/>
      <c r="RWA583" s="1"/>
      <c r="RWB583" s="1"/>
      <c r="RWC583" s="1"/>
      <c r="RWD583" s="1"/>
      <c r="RWE583" s="1"/>
      <c r="RWF583" s="1"/>
      <c r="RWG583" s="1"/>
      <c r="RWH583" s="1"/>
      <c r="RWI583" s="1"/>
      <c r="RWJ583" s="1"/>
      <c r="RWK583" s="1"/>
      <c r="RWL583" s="1"/>
      <c r="RWM583" s="1"/>
      <c r="RWN583" s="1"/>
      <c r="RWO583" s="1"/>
      <c r="RWP583" s="1"/>
      <c r="RWQ583" s="1"/>
      <c r="RWR583" s="1"/>
      <c r="RWS583" s="1"/>
      <c r="RWT583" s="1"/>
      <c r="RWU583" s="1"/>
      <c r="RWV583" s="1"/>
      <c r="RWW583" s="1"/>
      <c r="RWX583" s="1"/>
      <c r="RWY583" s="1"/>
      <c r="RWZ583" s="1"/>
      <c r="RXA583" s="1"/>
      <c r="RXB583" s="1"/>
      <c r="RXC583" s="1"/>
      <c r="RXD583" s="1"/>
      <c r="RXE583" s="1"/>
      <c r="RXF583" s="1"/>
      <c r="RXG583" s="1"/>
      <c r="RXH583" s="1"/>
      <c r="RXI583" s="1"/>
      <c r="RXJ583" s="1"/>
      <c r="RXK583" s="1"/>
      <c r="RXL583" s="1"/>
      <c r="RXM583" s="1"/>
      <c r="RXN583" s="1"/>
      <c r="RXO583" s="1"/>
      <c r="RXP583" s="1"/>
      <c r="RXQ583" s="1"/>
      <c r="RXR583" s="1"/>
      <c r="RXS583" s="1"/>
      <c r="RXT583" s="1"/>
      <c r="RXU583" s="1"/>
      <c r="RXV583" s="1"/>
      <c r="RXW583" s="1"/>
      <c r="RXX583" s="1"/>
      <c r="RXY583" s="1"/>
      <c r="RXZ583" s="1"/>
      <c r="RYA583" s="1"/>
      <c r="RYB583" s="1"/>
      <c r="RYC583" s="1"/>
      <c r="RYD583" s="1"/>
      <c r="RYE583" s="1"/>
      <c r="RYF583" s="1"/>
      <c r="RYG583" s="1"/>
      <c r="RYH583" s="1"/>
      <c r="RYI583" s="1"/>
      <c r="RYJ583" s="1"/>
      <c r="RYK583" s="1"/>
      <c r="RYL583" s="1"/>
      <c r="RYM583" s="1"/>
      <c r="RYN583" s="1"/>
      <c r="RYO583" s="1"/>
      <c r="RYP583" s="1"/>
      <c r="RYQ583" s="1"/>
      <c r="RYR583" s="1"/>
      <c r="RYS583" s="1"/>
      <c r="RYT583" s="1"/>
      <c r="RYU583" s="1"/>
      <c r="RYV583" s="1"/>
      <c r="RYW583" s="1"/>
      <c r="RYX583" s="1"/>
      <c r="RYY583" s="1"/>
      <c r="RYZ583" s="1"/>
      <c r="RZA583" s="1"/>
      <c r="RZB583" s="1"/>
      <c r="RZC583" s="1"/>
      <c r="RZD583" s="1"/>
      <c r="RZE583" s="1"/>
      <c r="RZF583" s="1"/>
      <c r="RZG583" s="1"/>
      <c r="RZH583" s="1"/>
      <c r="RZI583" s="1"/>
      <c r="RZJ583" s="1"/>
      <c r="RZK583" s="1"/>
      <c r="RZL583" s="1"/>
      <c r="RZM583" s="1"/>
      <c r="RZN583" s="1"/>
      <c r="RZO583" s="1"/>
      <c r="RZP583" s="1"/>
      <c r="RZQ583" s="1"/>
      <c r="RZR583" s="1"/>
      <c r="RZS583" s="1"/>
      <c r="RZT583" s="1"/>
      <c r="RZU583" s="1"/>
      <c r="RZV583" s="1"/>
      <c r="RZW583" s="1"/>
      <c r="RZX583" s="1"/>
      <c r="RZY583" s="1"/>
      <c r="RZZ583" s="1"/>
      <c r="SAA583" s="1"/>
      <c r="SAB583" s="1"/>
      <c r="SAC583" s="1"/>
      <c r="SAD583" s="1"/>
      <c r="SAE583" s="1"/>
      <c r="SAF583" s="1"/>
      <c r="SAG583" s="1"/>
      <c r="SAH583" s="1"/>
      <c r="SAI583" s="1"/>
      <c r="SAJ583" s="1"/>
      <c r="SAK583" s="1"/>
      <c r="SAL583" s="1"/>
      <c r="SAM583" s="1"/>
      <c r="SAN583" s="1"/>
      <c r="SAO583" s="1"/>
      <c r="SAP583" s="1"/>
      <c r="SAQ583" s="1"/>
      <c r="SAR583" s="1"/>
      <c r="SAS583" s="1"/>
      <c r="SAT583" s="1"/>
      <c r="SAU583" s="1"/>
      <c r="SAV583" s="1"/>
      <c r="SAW583" s="1"/>
      <c r="SAX583" s="1"/>
      <c r="SAY583" s="1"/>
      <c r="SAZ583" s="1"/>
      <c r="SBA583" s="1"/>
      <c r="SBB583" s="1"/>
      <c r="SBC583" s="1"/>
      <c r="SBD583" s="1"/>
      <c r="SBE583" s="1"/>
      <c r="SBF583" s="1"/>
      <c r="SBG583" s="1"/>
      <c r="SBH583" s="1"/>
      <c r="SBI583" s="1"/>
      <c r="SBJ583" s="1"/>
      <c r="SBK583" s="1"/>
      <c r="SBL583" s="1"/>
      <c r="SBM583" s="1"/>
      <c r="SBN583" s="1"/>
      <c r="SBO583" s="1"/>
      <c r="SBP583" s="1"/>
      <c r="SBQ583" s="1"/>
      <c r="SBR583" s="1"/>
      <c r="SBS583" s="1"/>
      <c r="SBT583" s="1"/>
      <c r="SBU583" s="1"/>
      <c r="SBV583" s="1"/>
      <c r="SBW583" s="1"/>
      <c r="SBX583" s="1"/>
      <c r="SBY583" s="1"/>
      <c r="SBZ583" s="1"/>
      <c r="SCA583" s="1"/>
      <c r="SCB583" s="1"/>
      <c r="SCC583" s="1"/>
      <c r="SCD583" s="1"/>
      <c r="SCE583" s="1"/>
      <c r="SCF583" s="1"/>
      <c r="SCG583" s="1"/>
      <c r="SCH583" s="1"/>
      <c r="SCI583" s="1"/>
      <c r="SCJ583" s="1"/>
      <c r="SCK583" s="1"/>
      <c r="SCL583" s="1"/>
      <c r="SCM583" s="1"/>
      <c r="SCN583" s="1"/>
      <c r="SCO583" s="1"/>
      <c r="SCP583" s="1"/>
      <c r="SCQ583" s="1"/>
      <c r="SCR583" s="1"/>
      <c r="SCS583" s="1"/>
      <c r="SCT583" s="1"/>
      <c r="SCU583" s="1"/>
      <c r="SCV583" s="1"/>
      <c r="SCW583" s="1"/>
      <c r="SCX583" s="1"/>
      <c r="SCY583" s="1"/>
      <c r="SCZ583" s="1"/>
      <c r="SDA583" s="1"/>
      <c r="SDB583" s="1"/>
      <c r="SDC583" s="1"/>
      <c r="SDD583" s="1"/>
      <c r="SDE583" s="1"/>
      <c r="SDF583" s="1"/>
      <c r="SDG583" s="1"/>
      <c r="SDH583" s="1"/>
      <c r="SDI583" s="1"/>
      <c r="SDJ583" s="1"/>
      <c r="SDK583" s="1"/>
      <c r="SDL583" s="1"/>
      <c r="SDM583" s="1"/>
      <c r="SDN583" s="1"/>
      <c r="SDO583" s="1"/>
      <c r="SDP583" s="1"/>
      <c r="SDQ583" s="1"/>
      <c r="SDR583" s="1"/>
      <c r="SDS583" s="1"/>
      <c r="SDT583" s="1"/>
      <c r="SDU583" s="1"/>
      <c r="SDV583" s="1"/>
      <c r="SDW583" s="1"/>
      <c r="SDX583" s="1"/>
      <c r="SDY583" s="1"/>
      <c r="SDZ583" s="1"/>
      <c r="SEA583" s="1"/>
      <c r="SEB583" s="1"/>
      <c r="SEC583" s="1"/>
      <c r="SED583" s="1"/>
      <c r="SEE583" s="1"/>
      <c r="SEF583" s="1"/>
      <c r="SEG583" s="1"/>
      <c r="SEH583" s="1"/>
      <c r="SEI583" s="1"/>
      <c r="SEJ583" s="1"/>
      <c r="SEK583" s="1"/>
      <c r="SEL583" s="1"/>
      <c r="SEM583" s="1"/>
      <c r="SEN583" s="1"/>
      <c r="SEO583" s="1"/>
      <c r="SEP583" s="1"/>
      <c r="SEQ583" s="1"/>
      <c r="SER583" s="1"/>
      <c r="SES583" s="1"/>
      <c r="SET583" s="1"/>
      <c r="SEU583" s="1"/>
      <c r="SEV583" s="1"/>
      <c r="SEW583" s="1"/>
      <c r="SEX583" s="1"/>
      <c r="SEY583" s="1"/>
      <c r="SEZ583" s="1"/>
      <c r="SFA583" s="1"/>
      <c r="SFB583" s="1"/>
      <c r="SFC583" s="1"/>
      <c r="SFD583" s="1"/>
      <c r="SFE583" s="1"/>
      <c r="SFF583" s="1"/>
      <c r="SFG583" s="1"/>
      <c r="SFH583" s="1"/>
      <c r="SFI583" s="1"/>
      <c r="SFJ583" s="1"/>
      <c r="SFK583" s="1"/>
      <c r="SFL583" s="1"/>
      <c r="SFM583" s="1"/>
      <c r="SFN583" s="1"/>
      <c r="SFO583" s="1"/>
      <c r="SFP583" s="1"/>
      <c r="SFQ583" s="1"/>
      <c r="SFR583" s="1"/>
      <c r="SFS583" s="1"/>
      <c r="SFT583" s="1"/>
      <c r="SFU583" s="1"/>
      <c r="SFV583" s="1"/>
      <c r="SFW583" s="1"/>
      <c r="SFX583" s="1"/>
      <c r="SFY583" s="1"/>
      <c r="SFZ583" s="1"/>
      <c r="SGA583" s="1"/>
      <c r="SGB583" s="1"/>
      <c r="SGC583" s="1"/>
      <c r="SGD583" s="1"/>
      <c r="SGE583" s="1"/>
      <c r="SGF583" s="1"/>
      <c r="SGG583" s="1"/>
      <c r="SGH583" s="1"/>
      <c r="SGI583" s="1"/>
      <c r="SGJ583" s="1"/>
      <c r="SGK583" s="1"/>
      <c r="SGL583" s="1"/>
      <c r="SGM583" s="1"/>
      <c r="SGN583" s="1"/>
      <c r="SGO583" s="1"/>
      <c r="SGP583" s="1"/>
      <c r="SGQ583" s="1"/>
      <c r="SGR583" s="1"/>
      <c r="SGS583" s="1"/>
      <c r="SGT583" s="1"/>
      <c r="SGU583" s="1"/>
      <c r="SGV583" s="1"/>
      <c r="SGW583" s="1"/>
      <c r="SGX583" s="1"/>
      <c r="SGY583" s="1"/>
      <c r="SGZ583" s="1"/>
      <c r="SHA583" s="1"/>
      <c r="SHB583" s="1"/>
      <c r="SHC583" s="1"/>
      <c r="SHD583" s="1"/>
      <c r="SHE583" s="1"/>
      <c r="SHF583" s="1"/>
      <c r="SHG583" s="1"/>
      <c r="SHH583" s="1"/>
      <c r="SHI583" s="1"/>
      <c r="SHJ583" s="1"/>
      <c r="SHK583" s="1"/>
      <c r="SHL583" s="1"/>
      <c r="SHM583" s="1"/>
      <c r="SHN583" s="1"/>
      <c r="SHO583" s="1"/>
      <c r="SHP583" s="1"/>
      <c r="SHQ583" s="1"/>
      <c r="SHR583" s="1"/>
      <c r="SHS583" s="1"/>
      <c r="SHT583" s="1"/>
      <c r="SHU583" s="1"/>
      <c r="SHV583" s="1"/>
      <c r="SHW583" s="1"/>
      <c r="SHX583" s="1"/>
      <c r="SHY583" s="1"/>
      <c r="SHZ583" s="1"/>
      <c r="SIA583" s="1"/>
      <c r="SIB583" s="1"/>
      <c r="SIC583" s="1"/>
      <c r="SID583" s="1"/>
      <c r="SIE583" s="1"/>
      <c r="SIF583" s="1"/>
      <c r="SIG583" s="1"/>
      <c r="SIH583" s="1"/>
      <c r="SII583" s="1"/>
      <c r="SIJ583" s="1"/>
      <c r="SIK583" s="1"/>
      <c r="SIL583" s="1"/>
      <c r="SIM583" s="1"/>
      <c r="SIN583" s="1"/>
      <c r="SIO583" s="1"/>
      <c r="SIP583" s="1"/>
      <c r="SIQ583" s="1"/>
      <c r="SIR583" s="1"/>
      <c r="SIS583" s="1"/>
      <c r="SIT583" s="1"/>
      <c r="SIU583" s="1"/>
      <c r="SIV583" s="1"/>
      <c r="SIW583" s="1"/>
      <c r="SIX583" s="1"/>
      <c r="SIY583" s="1"/>
      <c r="SIZ583" s="1"/>
      <c r="SJA583" s="1"/>
      <c r="SJB583" s="1"/>
      <c r="SJC583" s="1"/>
      <c r="SJD583" s="1"/>
      <c r="SJE583" s="1"/>
      <c r="SJF583" s="1"/>
      <c r="SJG583" s="1"/>
      <c r="SJH583" s="1"/>
      <c r="SJI583" s="1"/>
      <c r="SJJ583" s="1"/>
      <c r="SJK583" s="1"/>
      <c r="SJL583" s="1"/>
      <c r="SJM583" s="1"/>
      <c r="SJN583" s="1"/>
      <c r="SJO583" s="1"/>
      <c r="SJP583" s="1"/>
      <c r="SJQ583" s="1"/>
      <c r="SJR583" s="1"/>
      <c r="SJS583" s="1"/>
      <c r="SJT583" s="1"/>
      <c r="SJU583" s="1"/>
      <c r="SJV583" s="1"/>
      <c r="SJW583" s="1"/>
      <c r="SJX583" s="1"/>
      <c r="SJY583" s="1"/>
      <c r="SJZ583" s="1"/>
      <c r="SKA583" s="1"/>
      <c r="SKB583" s="1"/>
      <c r="SKC583" s="1"/>
      <c r="SKD583" s="1"/>
      <c r="SKE583" s="1"/>
      <c r="SKF583" s="1"/>
      <c r="SKG583" s="1"/>
      <c r="SKH583" s="1"/>
      <c r="SKI583" s="1"/>
      <c r="SKJ583" s="1"/>
      <c r="SKK583" s="1"/>
      <c r="SKL583" s="1"/>
      <c r="SKM583" s="1"/>
      <c r="SKN583" s="1"/>
      <c r="SKO583" s="1"/>
      <c r="SKP583" s="1"/>
      <c r="SKQ583" s="1"/>
      <c r="SKR583" s="1"/>
      <c r="SKS583" s="1"/>
      <c r="SKT583" s="1"/>
      <c r="SKU583" s="1"/>
      <c r="SKV583" s="1"/>
      <c r="SKW583" s="1"/>
      <c r="SKX583" s="1"/>
      <c r="SKY583" s="1"/>
      <c r="SKZ583" s="1"/>
      <c r="SLA583" s="1"/>
      <c r="SLB583" s="1"/>
      <c r="SLC583" s="1"/>
      <c r="SLD583" s="1"/>
      <c r="SLE583" s="1"/>
      <c r="SLF583" s="1"/>
      <c r="SLG583" s="1"/>
      <c r="SLH583" s="1"/>
      <c r="SLI583" s="1"/>
      <c r="SLJ583" s="1"/>
      <c r="SLK583" s="1"/>
      <c r="SLL583" s="1"/>
      <c r="SLM583" s="1"/>
      <c r="SLN583" s="1"/>
      <c r="SLO583" s="1"/>
      <c r="SLP583" s="1"/>
      <c r="SLQ583" s="1"/>
      <c r="SLR583" s="1"/>
      <c r="SLS583" s="1"/>
      <c r="SLT583" s="1"/>
      <c r="SLU583" s="1"/>
      <c r="SLV583" s="1"/>
      <c r="SLW583" s="1"/>
      <c r="SLX583" s="1"/>
      <c r="SLY583" s="1"/>
      <c r="SLZ583" s="1"/>
      <c r="SMA583" s="1"/>
      <c r="SMB583" s="1"/>
      <c r="SMC583" s="1"/>
      <c r="SMD583" s="1"/>
      <c r="SME583" s="1"/>
      <c r="SMF583" s="1"/>
      <c r="SMG583" s="1"/>
      <c r="SMH583" s="1"/>
      <c r="SMI583" s="1"/>
      <c r="SMJ583" s="1"/>
      <c r="SMK583" s="1"/>
      <c r="SML583" s="1"/>
      <c r="SMM583" s="1"/>
      <c r="SMN583" s="1"/>
      <c r="SMO583" s="1"/>
      <c r="SMP583" s="1"/>
      <c r="SMQ583" s="1"/>
      <c r="SMR583" s="1"/>
      <c r="SMS583" s="1"/>
      <c r="SMT583" s="1"/>
      <c r="SMU583" s="1"/>
      <c r="SMV583" s="1"/>
      <c r="SMW583" s="1"/>
      <c r="SMX583" s="1"/>
      <c r="SMY583" s="1"/>
      <c r="SMZ583" s="1"/>
      <c r="SNA583" s="1"/>
      <c r="SNB583" s="1"/>
      <c r="SNC583" s="1"/>
      <c r="SND583" s="1"/>
      <c r="SNE583" s="1"/>
      <c r="SNF583" s="1"/>
      <c r="SNG583" s="1"/>
      <c r="SNH583" s="1"/>
      <c r="SNI583" s="1"/>
      <c r="SNJ583" s="1"/>
      <c r="SNK583" s="1"/>
      <c r="SNL583" s="1"/>
      <c r="SNM583" s="1"/>
      <c r="SNN583" s="1"/>
      <c r="SNO583" s="1"/>
      <c r="SNP583" s="1"/>
      <c r="SNQ583" s="1"/>
      <c r="SNR583" s="1"/>
      <c r="SNS583" s="1"/>
      <c r="SNT583" s="1"/>
      <c r="SNU583" s="1"/>
      <c r="SNV583" s="1"/>
      <c r="SNW583" s="1"/>
      <c r="SNX583" s="1"/>
      <c r="SNY583" s="1"/>
      <c r="SNZ583" s="1"/>
      <c r="SOA583" s="1"/>
      <c r="SOB583" s="1"/>
      <c r="SOC583" s="1"/>
      <c r="SOD583" s="1"/>
      <c r="SOE583" s="1"/>
      <c r="SOF583" s="1"/>
      <c r="SOG583" s="1"/>
      <c r="SOH583" s="1"/>
      <c r="SOI583" s="1"/>
      <c r="SOJ583" s="1"/>
      <c r="SOK583" s="1"/>
      <c r="SOL583" s="1"/>
      <c r="SOM583" s="1"/>
      <c r="SON583" s="1"/>
      <c r="SOO583" s="1"/>
      <c r="SOP583" s="1"/>
      <c r="SOQ583" s="1"/>
      <c r="SOR583" s="1"/>
      <c r="SOS583" s="1"/>
      <c r="SOT583" s="1"/>
      <c r="SOU583" s="1"/>
      <c r="SOV583" s="1"/>
      <c r="SOW583" s="1"/>
      <c r="SOX583" s="1"/>
      <c r="SOY583" s="1"/>
      <c r="SOZ583" s="1"/>
      <c r="SPA583" s="1"/>
      <c r="SPB583" s="1"/>
      <c r="SPC583" s="1"/>
      <c r="SPD583" s="1"/>
      <c r="SPE583" s="1"/>
      <c r="SPF583" s="1"/>
      <c r="SPG583" s="1"/>
      <c r="SPH583" s="1"/>
      <c r="SPI583" s="1"/>
      <c r="SPJ583" s="1"/>
      <c r="SPK583" s="1"/>
      <c r="SPL583" s="1"/>
      <c r="SPM583" s="1"/>
      <c r="SPN583" s="1"/>
      <c r="SPO583" s="1"/>
      <c r="SPP583" s="1"/>
      <c r="SPQ583" s="1"/>
      <c r="SPR583" s="1"/>
      <c r="SPS583" s="1"/>
      <c r="SPT583" s="1"/>
      <c r="SPU583" s="1"/>
      <c r="SPV583" s="1"/>
      <c r="SPW583" s="1"/>
      <c r="SPX583" s="1"/>
      <c r="SPY583" s="1"/>
      <c r="SPZ583" s="1"/>
      <c r="SQA583" s="1"/>
      <c r="SQB583" s="1"/>
      <c r="SQC583" s="1"/>
      <c r="SQD583" s="1"/>
      <c r="SQE583" s="1"/>
      <c r="SQF583" s="1"/>
      <c r="SQG583" s="1"/>
      <c r="SQH583" s="1"/>
      <c r="SQI583" s="1"/>
      <c r="SQJ583" s="1"/>
      <c r="SQK583" s="1"/>
      <c r="SQL583" s="1"/>
      <c r="SQM583" s="1"/>
      <c r="SQN583" s="1"/>
      <c r="SQO583" s="1"/>
      <c r="SQP583" s="1"/>
      <c r="SQQ583" s="1"/>
      <c r="SQR583" s="1"/>
      <c r="SQS583" s="1"/>
      <c r="SQT583" s="1"/>
      <c r="SQU583" s="1"/>
      <c r="SQV583" s="1"/>
      <c r="SQW583" s="1"/>
      <c r="SQX583" s="1"/>
      <c r="SQY583" s="1"/>
      <c r="SQZ583" s="1"/>
      <c r="SRA583" s="1"/>
      <c r="SRB583" s="1"/>
      <c r="SRC583" s="1"/>
      <c r="SRD583" s="1"/>
      <c r="SRE583" s="1"/>
      <c r="SRF583" s="1"/>
      <c r="SRG583" s="1"/>
      <c r="SRH583" s="1"/>
      <c r="SRI583" s="1"/>
      <c r="SRJ583" s="1"/>
      <c r="SRK583" s="1"/>
      <c r="SRL583" s="1"/>
      <c r="SRM583" s="1"/>
      <c r="SRN583" s="1"/>
      <c r="SRO583" s="1"/>
      <c r="SRP583" s="1"/>
      <c r="SRQ583" s="1"/>
      <c r="SRR583" s="1"/>
      <c r="SRS583" s="1"/>
      <c r="SRT583" s="1"/>
      <c r="SRU583" s="1"/>
      <c r="SRV583" s="1"/>
      <c r="SRW583" s="1"/>
      <c r="SRX583" s="1"/>
      <c r="SRY583" s="1"/>
      <c r="SRZ583" s="1"/>
      <c r="SSA583" s="1"/>
      <c r="SSB583" s="1"/>
      <c r="SSC583" s="1"/>
      <c r="SSD583" s="1"/>
      <c r="SSE583" s="1"/>
      <c r="SSF583" s="1"/>
      <c r="SSG583" s="1"/>
      <c r="SSH583" s="1"/>
      <c r="SSI583" s="1"/>
      <c r="SSJ583" s="1"/>
      <c r="SSK583" s="1"/>
      <c r="SSL583" s="1"/>
      <c r="SSM583" s="1"/>
      <c r="SSN583" s="1"/>
      <c r="SSO583" s="1"/>
      <c r="SSP583" s="1"/>
      <c r="SSQ583" s="1"/>
      <c r="SSR583" s="1"/>
      <c r="SSS583" s="1"/>
      <c r="SST583" s="1"/>
      <c r="SSU583" s="1"/>
      <c r="SSV583" s="1"/>
      <c r="SSW583" s="1"/>
      <c r="SSX583" s="1"/>
      <c r="SSY583" s="1"/>
      <c r="SSZ583" s="1"/>
      <c r="STA583" s="1"/>
      <c r="STB583" s="1"/>
      <c r="STC583" s="1"/>
      <c r="STD583" s="1"/>
      <c r="STE583" s="1"/>
      <c r="STF583" s="1"/>
      <c r="STG583" s="1"/>
      <c r="STH583" s="1"/>
      <c r="STI583" s="1"/>
      <c r="STJ583" s="1"/>
      <c r="STK583" s="1"/>
      <c r="STL583" s="1"/>
      <c r="STM583" s="1"/>
      <c r="STN583" s="1"/>
      <c r="STO583" s="1"/>
      <c r="STP583" s="1"/>
      <c r="STQ583" s="1"/>
      <c r="STR583" s="1"/>
      <c r="STS583" s="1"/>
      <c r="STT583" s="1"/>
      <c r="STU583" s="1"/>
      <c r="STV583" s="1"/>
      <c r="STW583" s="1"/>
      <c r="STX583" s="1"/>
      <c r="STY583" s="1"/>
      <c r="STZ583" s="1"/>
      <c r="SUA583" s="1"/>
      <c r="SUB583" s="1"/>
      <c r="SUC583" s="1"/>
      <c r="SUD583" s="1"/>
      <c r="SUE583" s="1"/>
      <c r="SUF583" s="1"/>
      <c r="SUG583" s="1"/>
      <c r="SUH583" s="1"/>
      <c r="SUI583" s="1"/>
      <c r="SUJ583" s="1"/>
      <c r="SUK583" s="1"/>
      <c r="SUL583" s="1"/>
      <c r="SUM583" s="1"/>
      <c r="SUN583" s="1"/>
      <c r="SUO583" s="1"/>
      <c r="SUP583" s="1"/>
      <c r="SUQ583" s="1"/>
      <c r="SUR583" s="1"/>
      <c r="SUS583" s="1"/>
      <c r="SUT583" s="1"/>
      <c r="SUU583" s="1"/>
      <c r="SUV583" s="1"/>
      <c r="SUW583" s="1"/>
      <c r="SUX583" s="1"/>
      <c r="SUY583" s="1"/>
      <c r="SUZ583" s="1"/>
      <c r="SVA583" s="1"/>
      <c r="SVB583" s="1"/>
      <c r="SVC583" s="1"/>
      <c r="SVD583" s="1"/>
      <c r="SVE583" s="1"/>
      <c r="SVF583" s="1"/>
      <c r="SVG583" s="1"/>
      <c r="SVH583" s="1"/>
      <c r="SVI583" s="1"/>
      <c r="SVJ583" s="1"/>
      <c r="SVK583" s="1"/>
      <c r="SVL583" s="1"/>
      <c r="SVM583" s="1"/>
      <c r="SVN583" s="1"/>
      <c r="SVO583" s="1"/>
      <c r="SVP583" s="1"/>
      <c r="SVQ583" s="1"/>
      <c r="SVR583" s="1"/>
      <c r="SVS583" s="1"/>
      <c r="SVT583" s="1"/>
      <c r="SVU583" s="1"/>
      <c r="SVV583" s="1"/>
      <c r="SVW583" s="1"/>
      <c r="SVX583" s="1"/>
      <c r="SVY583" s="1"/>
      <c r="SVZ583" s="1"/>
      <c r="SWA583" s="1"/>
      <c r="SWB583" s="1"/>
      <c r="SWC583" s="1"/>
      <c r="SWD583" s="1"/>
      <c r="SWE583" s="1"/>
      <c r="SWF583" s="1"/>
      <c r="SWG583" s="1"/>
      <c r="SWH583" s="1"/>
      <c r="SWI583" s="1"/>
      <c r="SWJ583" s="1"/>
      <c r="SWK583" s="1"/>
      <c r="SWL583" s="1"/>
      <c r="SWM583" s="1"/>
      <c r="SWN583" s="1"/>
      <c r="SWO583" s="1"/>
      <c r="SWP583" s="1"/>
      <c r="SWQ583" s="1"/>
      <c r="SWR583" s="1"/>
      <c r="SWS583" s="1"/>
      <c r="SWT583" s="1"/>
      <c r="SWU583" s="1"/>
      <c r="SWV583" s="1"/>
      <c r="SWW583" s="1"/>
      <c r="SWX583" s="1"/>
      <c r="SWY583" s="1"/>
      <c r="SWZ583" s="1"/>
      <c r="SXA583" s="1"/>
      <c r="SXB583" s="1"/>
      <c r="SXC583" s="1"/>
      <c r="SXD583" s="1"/>
      <c r="SXE583" s="1"/>
      <c r="SXF583" s="1"/>
      <c r="SXG583" s="1"/>
      <c r="SXH583" s="1"/>
      <c r="SXI583" s="1"/>
      <c r="SXJ583" s="1"/>
      <c r="SXK583" s="1"/>
      <c r="SXL583" s="1"/>
      <c r="SXM583" s="1"/>
      <c r="SXN583" s="1"/>
      <c r="SXO583" s="1"/>
      <c r="SXP583" s="1"/>
      <c r="SXQ583" s="1"/>
      <c r="SXR583" s="1"/>
      <c r="SXS583" s="1"/>
      <c r="SXT583" s="1"/>
      <c r="SXU583" s="1"/>
      <c r="SXV583" s="1"/>
      <c r="SXW583" s="1"/>
      <c r="SXX583" s="1"/>
      <c r="SXY583" s="1"/>
      <c r="SXZ583" s="1"/>
      <c r="SYA583" s="1"/>
      <c r="SYB583" s="1"/>
      <c r="SYC583" s="1"/>
      <c r="SYD583" s="1"/>
      <c r="SYE583" s="1"/>
      <c r="SYF583" s="1"/>
      <c r="SYG583" s="1"/>
      <c r="SYH583" s="1"/>
      <c r="SYI583" s="1"/>
      <c r="SYJ583" s="1"/>
      <c r="SYK583" s="1"/>
      <c r="SYL583" s="1"/>
      <c r="SYM583" s="1"/>
      <c r="SYN583" s="1"/>
      <c r="SYO583" s="1"/>
      <c r="SYP583" s="1"/>
      <c r="SYQ583" s="1"/>
      <c r="SYR583" s="1"/>
      <c r="SYS583" s="1"/>
      <c r="SYT583" s="1"/>
      <c r="SYU583" s="1"/>
      <c r="SYV583" s="1"/>
      <c r="SYW583" s="1"/>
      <c r="SYX583" s="1"/>
      <c r="SYY583" s="1"/>
      <c r="SYZ583" s="1"/>
      <c r="SZA583" s="1"/>
      <c r="SZB583" s="1"/>
      <c r="SZC583" s="1"/>
      <c r="SZD583" s="1"/>
      <c r="SZE583" s="1"/>
      <c r="SZF583" s="1"/>
      <c r="SZG583" s="1"/>
      <c r="SZH583" s="1"/>
      <c r="SZI583" s="1"/>
      <c r="SZJ583" s="1"/>
      <c r="SZK583" s="1"/>
      <c r="SZL583" s="1"/>
      <c r="SZM583" s="1"/>
      <c r="SZN583" s="1"/>
      <c r="SZO583" s="1"/>
      <c r="SZP583" s="1"/>
      <c r="SZQ583" s="1"/>
      <c r="SZR583" s="1"/>
      <c r="SZS583" s="1"/>
      <c r="SZT583" s="1"/>
      <c r="SZU583" s="1"/>
      <c r="SZV583" s="1"/>
      <c r="SZW583" s="1"/>
      <c r="SZX583" s="1"/>
      <c r="SZY583" s="1"/>
      <c r="SZZ583" s="1"/>
      <c r="TAA583" s="1"/>
      <c r="TAB583" s="1"/>
      <c r="TAC583" s="1"/>
      <c r="TAD583" s="1"/>
      <c r="TAE583" s="1"/>
      <c r="TAF583" s="1"/>
      <c r="TAG583" s="1"/>
      <c r="TAH583" s="1"/>
      <c r="TAI583" s="1"/>
      <c r="TAJ583" s="1"/>
      <c r="TAK583" s="1"/>
      <c r="TAL583" s="1"/>
      <c r="TAM583" s="1"/>
      <c r="TAN583" s="1"/>
      <c r="TAO583" s="1"/>
      <c r="TAP583" s="1"/>
      <c r="TAQ583" s="1"/>
      <c r="TAR583" s="1"/>
      <c r="TAS583" s="1"/>
      <c r="TAT583" s="1"/>
      <c r="TAU583" s="1"/>
      <c r="TAV583" s="1"/>
      <c r="TAW583" s="1"/>
      <c r="TAX583" s="1"/>
      <c r="TAY583" s="1"/>
      <c r="TAZ583" s="1"/>
      <c r="TBA583" s="1"/>
      <c r="TBB583" s="1"/>
      <c r="TBC583" s="1"/>
      <c r="TBD583" s="1"/>
      <c r="TBE583" s="1"/>
      <c r="TBF583" s="1"/>
      <c r="TBG583" s="1"/>
      <c r="TBH583" s="1"/>
      <c r="TBI583" s="1"/>
      <c r="TBJ583" s="1"/>
      <c r="TBK583" s="1"/>
      <c r="TBL583" s="1"/>
      <c r="TBM583" s="1"/>
      <c r="TBN583" s="1"/>
      <c r="TBO583" s="1"/>
      <c r="TBP583" s="1"/>
      <c r="TBQ583" s="1"/>
      <c r="TBR583" s="1"/>
      <c r="TBS583" s="1"/>
      <c r="TBT583" s="1"/>
      <c r="TBU583" s="1"/>
      <c r="TBV583" s="1"/>
      <c r="TBW583" s="1"/>
      <c r="TBX583" s="1"/>
      <c r="TBY583" s="1"/>
      <c r="TBZ583" s="1"/>
      <c r="TCA583" s="1"/>
      <c r="TCB583" s="1"/>
      <c r="TCC583" s="1"/>
      <c r="TCD583" s="1"/>
      <c r="TCE583" s="1"/>
      <c r="TCF583" s="1"/>
      <c r="TCG583" s="1"/>
      <c r="TCH583" s="1"/>
      <c r="TCI583" s="1"/>
      <c r="TCJ583" s="1"/>
      <c r="TCK583" s="1"/>
      <c r="TCL583" s="1"/>
      <c r="TCM583" s="1"/>
      <c r="TCN583" s="1"/>
      <c r="TCO583" s="1"/>
      <c r="TCP583" s="1"/>
      <c r="TCQ583" s="1"/>
      <c r="TCR583" s="1"/>
      <c r="TCS583" s="1"/>
      <c r="TCT583" s="1"/>
      <c r="TCU583" s="1"/>
      <c r="TCV583" s="1"/>
      <c r="TCW583" s="1"/>
      <c r="TCX583" s="1"/>
      <c r="TCY583" s="1"/>
      <c r="TCZ583" s="1"/>
      <c r="TDA583" s="1"/>
      <c r="TDB583" s="1"/>
      <c r="TDC583" s="1"/>
      <c r="TDD583" s="1"/>
      <c r="TDE583" s="1"/>
      <c r="TDF583" s="1"/>
      <c r="TDG583" s="1"/>
      <c r="TDH583" s="1"/>
      <c r="TDI583" s="1"/>
      <c r="TDJ583" s="1"/>
      <c r="TDK583" s="1"/>
      <c r="TDL583" s="1"/>
      <c r="TDM583" s="1"/>
      <c r="TDN583" s="1"/>
      <c r="TDO583" s="1"/>
      <c r="TDP583" s="1"/>
      <c r="TDQ583" s="1"/>
      <c r="TDR583" s="1"/>
      <c r="TDS583" s="1"/>
      <c r="TDT583" s="1"/>
      <c r="TDU583" s="1"/>
      <c r="TDV583" s="1"/>
      <c r="TDW583" s="1"/>
      <c r="TDX583" s="1"/>
      <c r="TDY583" s="1"/>
      <c r="TDZ583" s="1"/>
      <c r="TEA583" s="1"/>
      <c r="TEB583" s="1"/>
      <c r="TEC583" s="1"/>
      <c r="TED583" s="1"/>
      <c r="TEE583" s="1"/>
      <c r="TEF583" s="1"/>
      <c r="TEG583" s="1"/>
      <c r="TEH583" s="1"/>
      <c r="TEI583" s="1"/>
      <c r="TEJ583" s="1"/>
      <c r="TEK583" s="1"/>
      <c r="TEL583" s="1"/>
      <c r="TEM583" s="1"/>
      <c r="TEN583" s="1"/>
      <c r="TEO583" s="1"/>
      <c r="TEP583" s="1"/>
      <c r="TEQ583" s="1"/>
      <c r="TER583" s="1"/>
      <c r="TES583" s="1"/>
      <c r="TET583" s="1"/>
      <c r="TEU583" s="1"/>
      <c r="TEV583" s="1"/>
      <c r="TEW583" s="1"/>
      <c r="TEX583" s="1"/>
      <c r="TEY583" s="1"/>
      <c r="TEZ583" s="1"/>
      <c r="TFA583" s="1"/>
      <c r="TFB583" s="1"/>
      <c r="TFC583" s="1"/>
      <c r="TFD583" s="1"/>
      <c r="TFE583" s="1"/>
      <c r="TFF583" s="1"/>
      <c r="TFG583" s="1"/>
      <c r="TFH583" s="1"/>
      <c r="TFI583" s="1"/>
      <c r="TFJ583" s="1"/>
      <c r="TFK583" s="1"/>
      <c r="TFL583" s="1"/>
      <c r="TFM583" s="1"/>
      <c r="TFN583" s="1"/>
      <c r="TFO583" s="1"/>
      <c r="TFP583" s="1"/>
      <c r="TFQ583" s="1"/>
      <c r="TFR583" s="1"/>
      <c r="TFS583" s="1"/>
      <c r="TFT583" s="1"/>
      <c r="TFU583" s="1"/>
      <c r="TFV583" s="1"/>
      <c r="TFW583" s="1"/>
      <c r="TFX583" s="1"/>
      <c r="TFY583" s="1"/>
      <c r="TFZ583" s="1"/>
      <c r="TGA583" s="1"/>
      <c r="TGB583" s="1"/>
      <c r="TGC583" s="1"/>
      <c r="TGD583" s="1"/>
      <c r="TGE583" s="1"/>
      <c r="TGF583" s="1"/>
      <c r="TGG583" s="1"/>
      <c r="TGH583" s="1"/>
      <c r="TGI583" s="1"/>
      <c r="TGJ583" s="1"/>
      <c r="TGK583" s="1"/>
      <c r="TGL583" s="1"/>
      <c r="TGM583" s="1"/>
      <c r="TGN583" s="1"/>
      <c r="TGO583" s="1"/>
      <c r="TGP583" s="1"/>
      <c r="TGQ583" s="1"/>
      <c r="TGR583" s="1"/>
      <c r="TGS583" s="1"/>
      <c r="TGT583" s="1"/>
      <c r="TGU583" s="1"/>
      <c r="TGV583" s="1"/>
      <c r="TGW583" s="1"/>
      <c r="TGX583" s="1"/>
      <c r="TGY583" s="1"/>
      <c r="TGZ583" s="1"/>
      <c r="THA583" s="1"/>
      <c r="THB583" s="1"/>
      <c r="THC583" s="1"/>
      <c r="THD583" s="1"/>
      <c r="THE583" s="1"/>
      <c r="THF583" s="1"/>
      <c r="THG583" s="1"/>
      <c r="THH583" s="1"/>
      <c r="THI583" s="1"/>
      <c r="THJ583" s="1"/>
      <c r="THK583" s="1"/>
      <c r="THL583" s="1"/>
      <c r="THM583" s="1"/>
      <c r="THN583" s="1"/>
      <c r="THO583" s="1"/>
      <c r="THP583" s="1"/>
      <c r="THQ583" s="1"/>
      <c r="THR583" s="1"/>
      <c r="THS583" s="1"/>
      <c r="THT583" s="1"/>
      <c r="THU583" s="1"/>
      <c r="THV583" s="1"/>
      <c r="THW583" s="1"/>
      <c r="THX583" s="1"/>
      <c r="THY583" s="1"/>
      <c r="THZ583" s="1"/>
      <c r="TIA583" s="1"/>
      <c r="TIB583" s="1"/>
      <c r="TIC583" s="1"/>
      <c r="TID583" s="1"/>
      <c r="TIE583" s="1"/>
      <c r="TIF583" s="1"/>
      <c r="TIG583" s="1"/>
      <c r="TIH583" s="1"/>
      <c r="TII583" s="1"/>
      <c r="TIJ583" s="1"/>
      <c r="TIK583" s="1"/>
      <c r="TIL583" s="1"/>
      <c r="TIM583" s="1"/>
      <c r="TIN583" s="1"/>
      <c r="TIO583" s="1"/>
      <c r="TIP583" s="1"/>
      <c r="TIQ583" s="1"/>
      <c r="TIR583" s="1"/>
      <c r="TIS583" s="1"/>
      <c r="TIT583" s="1"/>
      <c r="TIU583" s="1"/>
      <c r="TIV583" s="1"/>
      <c r="TIW583" s="1"/>
      <c r="TIX583" s="1"/>
      <c r="TIY583" s="1"/>
      <c r="TIZ583" s="1"/>
      <c r="TJA583" s="1"/>
      <c r="TJB583" s="1"/>
      <c r="TJC583" s="1"/>
      <c r="TJD583" s="1"/>
      <c r="TJE583" s="1"/>
      <c r="TJF583" s="1"/>
      <c r="TJG583" s="1"/>
      <c r="TJH583" s="1"/>
      <c r="TJI583" s="1"/>
      <c r="TJJ583" s="1"/>
      <c r="TJK583" s="1"/>
      <c r="TJL583" s="1"/>
      <c r="TJM583" s="1"/>
      <c r="TJN583" s="1"/>
      <c r="TJO583" s="1"/>
      <c r="TJP583" s="1"/>
      <c r="TJQ583" s="1"/>
      <c r="TJR583" s="1"/>
      <c r="TJS583" s="1"/>
      <c r="TJT583" s="1"/>
      <c r="TJU583" s="1"/>
      <c r="TJV583" s="1"/>
      <c r="TJW583" s="1"/>
      <c r="TJX583" s="1"/>
      <c r="TJY583" s="1"/>
      <c r="TJZ583" s="1"/>
      <c r="TKA583" s="1"/>
      <c r="TKB583" s="1"/>
      <c r="TKC583" s="1"/>
      <c r="TKD583" s="1"/>
      <c r="TKE583" s="1"/>
      <c r="TKF583" s="1"/>
      <c r="TKG583" s="1"/>
      <c r="TKH583" s="1"/>
      <c r="TKI583" s="1"/>
      <c r="TKJ583" s="1"/>
      <c r="TKK583" s="1"/>
      <c r="TKL583" s="1"/>
      <c r="TKM583" s="1"/>
      <c r="TKN583" s="1"/>
      <c r="TKO583" s="1"/>
      <c r="TKP583" s="1"/>
      <c r="TKQ583" s="1"/>
      <c r="TKR583" s="1"/>
      <c r="TKS583" s="1"/>
      <c r="TKT583" s="1"/>
      <c r="TKU583" s="1"/>
      <c r="TKV583" s="1"/>
      <c r="TKW583" s="1"/>
      <c r="TKX583" s="1"/>
      <c r="TKY583" s="1"/>
      <c r="TKZ583" s="1"/>
      <c r="TLA583" s="1"/>
      <c r="TLB583" s="1"/>
      <c r="TLC583" s="1"/>
      <c r="TLD583" s="1"/>
      <c r="TLE583" s="1"/>
      <c r="TLF583" s="1"/>
      <c r="TLG583" s="1"/>
      <c r="TLH583" s="1"/>
      <c r="TLI583" s="1"/>
      <c r="TLJ583" s="1"/>
      <c r="TLK583" s="1"/>
      <c r="TLL583" s="1"/>
      <c r="TLM583" s="1"/>
      <c r="TLN583" s="1"/>
      <c r="TLO583" s="1"/>
      <c r="TLP583" s="1"/>
      <c r="TLQ583" s="1"/>
      <c r="TLR583" s="1"/>
      <c r="TLS583" s="1"/>
      <c r="TLT583" s="1"/>
      <c r="TLU583" s="1"/>
      <c r="TLV583" s="1"/>
      <c r="TLW583" s="1"/>
      <c r="TLX583" s="1"/>
      <c r="TLY583" s="1"/>
      <c r="TLZ583" s="1"/>
      <c r="TMA583" s="1"/>
      <c r="TMB583" s="1"/>
      <c r="TMC583" s="1"/>
      <c r="TMD583" s="1"/>
      <c r="TME583" s="1"/>
      <c r="TMF583" s="1"/>
      <c r="TMG583" s="1"/>
      <c r="TMH583" s="1"/>
      <c r="TMI583" s="1"/>
      <c r="TMJ583" s="1"/>
      <c r="TMK583" s="1"/>
      <c r="TML583" s="1"/>
      <c r="TMM583" s="1"/>
      <c r="TMN583" s="1"/>
      <c r="TMO583" s="1"/>
      <c r="TMP583" s="1"/>
      <c r="TMQ583" s="1"/>
      <c r="TMR583" s="1"/>
      <c r="TMS583" s="1"/>
      <c r="TMT583" s="1"/>
      <c r="TMU583" s="1"/>
      <c r="TMV583" s="1"/>
      <c r="TMW583" s="1"/>
      <c r="TMX583" s="1"/>
      <c r="TMY583" s="1"/>
      <c r="TMZ583" s="1"/>
      <c r="TNA583" s="1"/>
      <c r="TNB583" s="1"/>
      <c r="TNC583" s="1"/>
      <c r="TND583" s="1"/>
      <c r="TNE583" s="1"/>
      <c r="TNF583" s="1"/>
      <c r="TNG583" s="1"/>
      <c r="TNH583" s="1"/>
      <c r="TNI583" s="1"/>
      <c r="TNJ583" s="1"/>
      <c r="TNK583" s="1"/>
      <c r="TNL583" s="1"/>
      <c r="TNM583" s="1"/>
      <c r="TNN583" s="1"/>
      <c r="TNO583" s="1"/>
      <c r="TNP583" s="1"/>
      <c r="TNQ583" s="1"/>
      <c r="TNR583" s="1"/>
      <c r="TNS583" s="1"/>
      <c r="TNT583" s="1"/>
      <c r="TNU583" s="1"/>
      <c r="TNV583" s="1"/>
      <c r="TNW583" s="1"/>
      <c r="TNX583" s="1"/>
      <c r="TNY583" s="1"/>
      <c r="TNZ583" s="1"/>
      <c r="TOA583" s="1"/>
      <c r="TOB583" s="1"/>
      <c r="TOC583" s="1"/>
      <c r="TOD583" s="1"/>
      <c r="TOE583" s="1"/>
      <c r="TOF583" s="1"/>
      <c r="TOG583" s="1"/>
      <c r="TOH583" s="1"/>
      <c r="TOI583" s="1"/>
      <c r="TOJ583" s="1"/>
      <c r="TOK583" s="1"/>
      <c r="TOL583" s="1"/>
      <c r="TOM583" s="1"/>
      <c r="TON583" s="1"/>
      <c r="TOO583" s="1"/>
      <c r="TOP583" s="1"/>
      <c r="TOQ583" s="1"/>
      <c r="TOR583" s="1"/>
      <c r="TOS583" s="1"/>
      <c r="TOT583" s="1"/>
      <c r="TOU583" s="1"/>
      <c r="TOV583" s="1"/>
      <c r="TOW583" s="1"/>
      <c r="TOX583" s="1"/>
      <c r="TOY583" s="1"/>
      <c r="TOZ583" s="1"/>
      <c r="TPA583" s="1"/>
      <c r="TPB583" s="1"/>
      <c r="TPC583" s="1"/>
      <c r="TPD583" s="1"/>
      <c r="TPE583" s="1"/>
      <c r="TPF583" s="1"/>
      <c r="TPG583" s="1"/>
      <c r="TPH583" s="1"/>
      <c r="TPI583" s="1"/>
      <c r="TPJ583" s="1"/>
      <c r="TPK583" s="1"/>
      <c r="TPL583" s="1"/>
      <c r="TPM583" s="1"/>
      <c r="TPN583" s="1"/>
      <c r="TPO583" s="1"/>
      <c r="TPP583" s="1"/>
      <c r="TPQ583" s="1"/>
      <c r="TPR583" s="1"/>
      <c r="TPS583" s="1"/>
      <c r="TPT583" s="1"/>
      <c r="TPU583" s="1"/>
      <c r="TPV583" s="1"/>
      <c r="TPW583" s="1"/>
      <c r="TPX583" s="1"/>
      <c r="TPY583" s="1"/>
      <c r="TPZ583" s="1"/>
      <c r="TQA583" s="1"/>
      <c r="TQB583" s="1"/>
      <c r="TQC583" s="1"/>
      <c r="TQD583" s="1"/>
      <c r="TQE583" s="1"/>
      <c r="TQF583" s="1"/>
      <c r="TQG583" s="1"/>
      <c r="TQH583" s="1"/>
      <c r="TQI583" s="1"/>
      <c r="TQJ583" s="1"/>
      <c r="TQK583" s="1"/>
      <c r="TQL583" s="1"/>
      <c r="TQM583" s="1"/>
      <c r="TQN583" s="1"/>
      <c r="TQO583" s="1"/>
      <c r="TQP583" s="1"/>
      <c r="TQQ583" s="1"/>
      <c r="TQR583" s="1"/>
      <c r="TQS583" s="1"/>
      <c r="TQT583" s="1"/>
      <c r="TQU583" s="1"/>
      <c r="TQV583" s="1"/>
      <c r="TQW583" s="1"/>
      <c r="TQX583" s="1"/>
      <c r="TQY583" s="1"/>
      <c r="TQZ583" s="1"/>
      <c r="TRA583" s="1"/>
      <c r="TRB583" s="1"/>
      <c r="TRC583" s="1"/>
      <c r="TRD583" s="1"/>
      <c r="TRE583" s="1"/>
      <c r="TRF583" s="1"/>
      <c r="TRG583" s="1"/>
      <c r="TRH583" s="1"/>
      <c r="TRI583" s="1"/>
      <c r="TRJ583" s="1"/>
      <c r="TRK583" s="1"/>
      <c r="TRL583" s="1"/>
      <c r="TRM583" s="1"/>
      <c r="TRN583" s="1"/>
      <c r="TRO583" s="1"/>
      <c r="TRP583" s="1"/>
      <c r="TRQ583" s="1"/>
      <c r="TRR583" s="1"/>
      <c r="TRS583" s="1"/>
      <c r="TRT583" s="1"/>
      <c r="TRU583" s="1"/>
      <c r="TRV583" s="1"/>
      <c r="TRW583" s="1"/>
      <c r="TRX583" s="1"/>
      <c r="TRY583" s="1"/>
      <c r="TRZ583" s="1"/>
      <c r="TSA583" s="1"/>
      <c r="TSB583" s="1"/>
      <c r="TSC583" s="1"/>
      <c r="TSD583" s="1"/>
      <c r="TSE583" s="1"/>
      <c r="TSF583" s="1"/>
      <c r="TSG583" s="1"/>
      <c r="TSH583" s="1"/>
      <c r="TSI583" s="1"/>
      <c r="TSJ583" s="1"/>
      <c r="TSK583" s="1"/>
      <c r="TSL583" s="1"/>
      <c r="TSM583" s="1"/>
      <c r="TSN583" s="1"/>
      <c r="TSO583" s="1"/>
      <c r="TSP583" s="1"/>
      <c r="TSQ583" s="1"/>
      <c r="TSR583" s="1"/>
      <c r="TSS583" s="1"/>
      <c r="TST583" s="1"/>
      <c r="TSU583" s="1"/>
      <c r="TSV583" s="1"/>
      <c r="TSW583" s="1"/>
      <c r="TSX583" s="1"/>
      <c r="TSY583" s="1"/>
      <c r="TSZ583" s="1"/>
      <c r="TTA583" s="1"/>
      <c r="TTB583" s="1"/>
      <c r="TTC583" s="1"/>
      <c r="TTD583" s="1"/>
      <c r="TTE583" s="1"/>
      <c r="TTF583" s="1"/>
      <c r="TTG583" s="1"/>
      <c r="TTH583" s="1"/>
      <c r="TTI583" s="1"/>
      <c r="TTJ583" s="1"/>
      <c r="TTK583" s="1"/>
      <c r="TTL583" s="1"/>
      <c r="TTM583" s="1"/>
      <c r="TTN583" s="1"/>
      <c r="TTO583" s="1"/>
      <c r="TTP583" s="1"/>
      <c r="TTQ583" s="1"/>
      <c r="TTR583" s="1"/>
      <c r="TTS583" s="1"/>
      <c r="TTT583" s="1"/>
      <c r="TTU583" s="1"/>
      <c r="TTV583" s="1"/>
      <c r="TTW583" s="1"/>
      <c r="TTX583" s="1"/>
      <c r="TTY583" s="1"/>
      <c r="TTZ583" s="1"/>
      <c r="TUA583" s="1"/>
      <c r="TUB583" s="1"/>
      <c r="TUC583" s="1"/>
      <c r="TUD583" s="1"/>
      <c r="TUE583" s="1"/>
      <c r="TUF583" s="1"/>
      <c r="TUG583" s="1"/>
      <c r="TUH583" s="1"/>
      <c r="TUI583" s="1"/>
      <c r="TUJ583" s="1"/>
      <c r="TUK583" s="1"/>
      <c r="TUL583" s="1"/>
      <c r="TUM583" s="1"/>
      <c r="TUN583" s="1"/>
      <c r="TUO583" s="1"/>
      <c r="TUP583" s="1"/>
      <c r="TUQ583" s="1"/>
      <c r="TUR583" s="1"/>
      <c r="TUS583" s="1"/>
      <c r="TUT583" s="1"/>
      <c r="TUU583" s="1"/>
      <c r="TUV583" s="1"/>
      <c r="TUW583" s="1"/>
      <c r="TUX583" s="1"/>
      <c r="TUY583" s="1"/>
      <c r="TUZ583" s="1"/>
      <c r="TVA583" s="1"/>
      <c r="TVB583" s="1"/>
      <c r="TVC583" s="1"/>
      <c r="TVD583" s="1"/>
      <c r="TVE583" s="1"/>
      <c r="TVF583" s="1"/>
      <c r="TVG583" s="1"/>
      <c r="TVH583" s="1"/>
      <c r="TVI583" s="1"/>
      <c r="TVJ583" s="1"/>
      <c r="TVK583" s="1"/>
      <c r="TVL583" s="1"/>
      <c r="TVM583" s="1"/>
      <c r="TVN583" s="1"/>
      <c r="TVO583" s="1"/>
      <c r="TVP583" s="1"/>
      <c r="TVQ583" s="1"/>
      <c r="TVR583" s="1"/>
      <c r="TVS583" s="1"/>
      <c r="TVT583" s="1"/>
      <c r="TVU583" s="1"/>
      <c r="TVV583" s="1"/>
      <c r="TVW583" s="1"/>
      <c r="TVX583" s="1"/>
      <c r="TVY583" s="1"/>
      <c r="TVZ583" s="1"/>
      <c r="TWA583" s="1"/>
      <c r="TWB583" s="1"/>
      <c r="TWC583" s="1"/>
      <c r="TWD583" s="1"/>
      <c r="TWE583" s="1"/>
      <c r="TWF583" s="1"/>
      <c r="TWG583" s="1"/>
      <c r="TWH583" s="1"/>
      <c r="TWI583" s="1"/>
      <c r="TWJ583" s="1"/>
      <c r="TWK583" s="1"/>
      <c r="TWL583" s="1"/>
      <c r="TWM583" s="1"/>
      <c r="TWN583" s="1"/>
      <c r="TWO583" s="1"/>
      <c r="TWP583" s="1"/>
      <c r="TWQ583" s="1"/>
      <c r="TWR583" s="1"/>
      <c r="TWS583" s="1"/>
      <c r="TWT583" s="1"/>
      <c r="TWU583" s="1"/>
      <c r="TWV583" s="1"/>
      <c r="TWW583" s="1"/>
      <c r="TWX583" s="1"/>
      <c r="TWY583" s="1"/>
      <c r="TWZ583" s="1"/>
      <c r="TXA583" s="1"/>
      <c r="TXB583" s="1"/>
      <c r="TXC583" s="1"/>
      <c r="TXD583" s="1"/>
      <c r="TXE583" s="1"/>
      <c r="TXF583" s="1"/>
      <c r="TXG583" s="1"/>
      <c r="TXH583" s="1"/>
      <c r="TXI583" s="1"/>
      <c r="TXJ583" s="1"/>
      <c r="TXK583" s="1"/>
      <c r="TXL583" s="1"/>
      <c r="TXM583" s="1"/>
      <c r="TXN583" s="1"/>
      <c r="TXO583" s="1"/>
      <c r="TXP583" s="1"/>
      <c r="TXQ583" s="1"/>
      <c r="TXR583" s="1"/>
      <c r="TXS583" s="1"/>
      <c r="TXT583" s="1"/>
      <c r="TXU583" s="1"/>
      <c r="TXV583" s="1"/>
      <c r="TXW583" s="1"/>
      <c r="TXX583" s="1"/>
      <c r="TXY583" s="1"/>
      <c r="TXZ583" s="1"/>
      <c r="TYA583" s="1"/>
      <c r="TYB583" s="1"/>
      <c r="TYC583" s="1"/>
      <c r="TYD583" s="1"/>
      <c r="TYE583" s="1"/>
      <c r="TYF583" s="1"/>
      <c r="TYG583" s="1"/>
      <c r="TYH583" s="1"/>
      <c r="TYI583" s="1"/>
      <c r="TYJ583" s="1"/>
      <c r="TYK583" s="1"/>
      <c r="TYL583" s="1"/>
      <c r="TYM583" s="1"/>
      <c r="TYN583" s="1"/>
      <c r="TYO583" s="1"/>
      <c r="TYP583" s="1"/>
      <c r="TYQ583" s="1"/>
      <c r="TYR583" s="1"/>
      <c r="TYS583" s="1"/>
      <c r="TYT583" s="1"/>
      <c r="TYU583" s="1"/>
      <c r="TYV583" s="1"/>
      <c r="TYW583" s="1"/>
      <c r="TYX583" s="1"/>
      <c r="TYY583" s="1"/>
      <c r="TYZ583" s="1"/>
      <c r="TZA583" s="1"/>
      <c r="TZB583" s="1"/>
      <c r="TZC583" s="1"/>
      <c r="TZD583" s="1"/>
      <c r="TZE583" s="1"/>
      <c r="TZF583" s="1"/>
      <c r="TZG583" s="1"/>
      <c r="TZH583" s="1"/>
      <c r="TZI583" s="1"/>
      <c r="TZJ583" s="1"/>
      <c r="TZK583" s="1"/>
      <c r="TZL583" s="1"/>
      <c r="TZM583" s="1"/>
      <c r="TZN583" s="1"/>
      <c r="TZO583" s="1"/>
      <c r="TZP583" s="1"/>
      <c r="TZQ583" s="1"/>
      <c r="TZR583" s="1"/>
      <c r="TZS583" s="1"/>
      <c r="TZT583" s="1"/>
      <c r="TZU583" s="1"/>
      <c r="TZV583" s="1"/>
      <c r="TZW583" s="1"/>
      <c r="TZX583" s="1"/>
      <c r="TZY583" s="1"/>
      <c r="TZZ583" s="1"/>
      <c r="UAA583" s="1"/>
      <c r="UAB583" s="1"/>
      <c r="UAC583" s="1"/>
      <c r="UAD583" s="1"/>
      <c r="UAE583" s="1"/>
      <c r="UAF583" s="1"/>
      <c r="UAG583" s="1"/>
      <c r="UAH583" s="1"/>
      <c r="UAI583" s="1"/>
      <c r="UAJ583" s="1"/>
      <c r="UAK583" s="1"/>
      <c r="UAL583" s="1"/>
      <c r="UAM583" s="1"/>
      <c r="UAN583" s="1"/>
      <c r="UAO583" s="1"/>
      <c r="UAP583" s="1"/>
      <c r="UAQ583" s="1"/>
      <c r="UAR583" s="1"/>
      <c r="UAS583" s="1"/>
      <c r="UAT583" s="1"/>
      <c r="UAU583" s="1"/>
      <c r="UAV583" s="1"/>
      <c r="UAW583" s="1"/>
      <c r="UAX583" s="1"/>
      <c r="UAY583" s="1"/>
      <c r="UAZ583" s="1"/>
      <c r="UBA583" s="1"/>
      <c r="UBB583" s="1"/>
      <c r="UBC583" s="1"/>
      <c r="UBD583" s="1"/>
      <c r="UBE583" s="1"/>
      <c r="UBF583" s="1"/>
      <c r="UBG583" s="1"/>
      <c r="UBH583" s="1"/>
      <c r="UBI583" s="1"/>
      <c r="UBJ583" s="1"/>
      <c r="UBK583" s="1"/>
      <c r="UBL583" s="1"/>
      <c r="UBM583" s="1"/>
      <c r="UBN583" s="1"/>
      <c r="UBO583" s="1"/>
      <c r="UBP583" s="1"/>
      <c r="UBQ583" s="1"/>
      <c r="UBR583" s="1"/>
      <c r="UBS583" s="1"/>
      <c r="UBT583" s="1"/>
      <c r="UBU583" s="1"/>
      <c r="UBV583" s="1"/>
      <c r="UBW583" s="1"/>
      <c r="UBX583" s="1"/>
      <c r="UBY583" s="1"/>
      <c r="UBZ583" s="1"/>
      <c r="UCA583" s="1"/>
      <c r="UCB583" s="1"/>
      <c r="UCC583" s="1"/>
      <c r="UCD583" s="1"/>
      <c r="UCE583" s="1"/>
      <c r="UCF583" s="1"/>
      <c r="UCG583" s="1"/>
      <c r="UCH583" s="1"/>
      <c r="UCI583" s="1"/>
      <c r="UCJ583" s="1"/>
      <c r="UCK583" s="1"/>
      <c r="UCL583" s="1"/>
      <c r="UCM583" s="1"/>
      <c r="UCN583" s="1"/>
      <c r="UCO583" s="1"/>
      <c r="UCP583" s="1"/>
      <c r="UCQ583" s="1"/>
      <c r="UCR583" s="1"/>
      <c r="UCS583" s="1"/>
      <c r="UCT583" s="1"/>
      <c r="UCU583" s="1"/>
      <c r="UCV583" s="1"/>
      <c r="UCW583" s="1"/>
      <c r="UCX583" s="1"/>
      <c r="UCY583" s="1"/>
      <c r="UCZ583" s="1"/>
      <c r="UDA583" s="1"/>
      <c r="UDB583" s="1"/>
      <c r="UDC583" s="1"/>
      <c r="UDD583" s="1"/>
      <c r="UDE583" s="1"/>
      <c r="UDF583" s="1"/>
      <c r="UDG583" s="1"/>
      <c r="UDH583" s="1"/>
      <c r="UDI583" s="1"/>
      <c r="UDJ583" s="1"/>
      <c r="UDK583" s="1"/>
      <c r="UDL583" s="1"/>
      <c r="UDM583" s="1"/>
      <c r="UDN583" s="1"/>
      <c r="UDO583" s="1"/>
      <c r="UDP583" s="1"/>
      <c r="UDQ583" s="1"/>
      <c r="UDR583" s="1"/>
      <c r="UDS583" s="1"/>
      <c r="UDT583" s="1"/>
      <c r="UDU583" s="1"/>
      <c r="UDV583" s="1"/>
      <c r="UDW583" s="1"/>
      <c r="UDX583" s="1"/>
      <c r="UDY583" s="1"/>
      <c r="UDZ583" s="1"/>
      <c r="UEA583" s="1"/>
      <c r="UEB583" s="1"/>
      <c r="UEC583" s="1"/>
      <c r="UED583" s="1"/>
      <c r="UEE583" s="1"/>
      <c r="UEF583" s="1"/>
      <c r="UEG583" s="1"/>
      <c r="UEH583" s="1"/>
      <c r="UEI583" s="1"/>
      <c r="UEJ583" s="1"/>
      <c r="UEK583" s="1"/>
      <c r="UEL583" s="1"/>
      <c r="UEM583" s="1"/>
      <c r="UEN583" s="1"/>
      <c r="UEO583" s="1"/>
      <c r="UEP583" s="1"/>
      <c r="UEQ583" s="1"/>
      <c r="UER583" s="1"/>
      <c r="UES583" s="1"/>
      <c r="UET583" s="1"/>
      <c r="UEU583" s="1"/>
      <c r="UEV583" s="1"/>
      <c r="UEW583" s="1"/>
      <c r="UEX583" s="1"/>
      <c r="UEY583" s="1"/>
      <c r="UEZ583" s="1"/>
      <c r="UFA583" s="1"/>
      <c r="UFB583" s="1"/>
      <c r="UFC583" s="1"/>
      <c r="UFD583" s="1"/>
      <c r="UFE583" s="1"/>
      <c r="UFF583" s="1"/>
      <c r="UFG583" s="1"/>
      <c r="UFH583" s="1"/>
      <c r="UFI583" s="1"/>
      <c r="UFJ583" s="1"/>
      <c r="UFK583" s="1"/>
      <c r="UFL583" s="1"/>
      <c r="UFM583" s="1"/>
      <c r="UFN583" s="1"/>
      <c r="UFO583" s="1"/>
      <c r="UFP583" s="1"/>
      <c r="UFQ583" s="1"/>
      <c r="UFR583" s="1"/>
      <c r="UFS583" s="1"/>
      <c r="UFT583" s="1"/>
      <c r="UFU583" s="1"/>
      <c r="UFV583" s="1"/>
      <c r="UFW583" s="1"/>
      <c r="UFX583" s="1"/>
      <c r="UFY583" s="1"/>
      <c r="UFZ583" s="1"/>
      <c r="UGA583" s="1"/>
      <c r="UGB583" s="1"/>
      <c r="UGC583" s="1"/>
      <c r="UGD583" s="1"/>
      <c r="UGE583" s="1"/>
      <c r="UGF583" s="1"/>
      <c r="UGG583" s="1"/>
      <c r="UGH583" s="1"/>
      <c r="UGI583" s="1"/>
      <c r="UGJ583" s="1"/>
      <c r="UGK583" s="1"/>
      <c r="UGL583" s="1"/>
      <c r="UGM583" s="1"/>
      <c r="UGN583" s="1"/>
      <c r="UGO583" s="1"/>
      <c r="UGP583" s="1"/>
      <c r="UGQ583" s="1"/>
      <c r="UGR583" s="1"/>
      <c r="UGS583" s="1"/>
      <c r="UGT583" s="1"/>
      <c r="UGU583" s="1"/>
      <c r="UGV583" s="1"/>
      <c r="UGW583" s="1"/>
      <c r="UGX583" s="1"/>
      <c r="UGY583" s="1"/>
      <c r="UGZ583" s="1"/>
      <c r="UHA583" s="1"/>
      <c r="UHB583" s="1"/>
      <c r="UHC583" s="1"/>
      <c r="UHD583" s="1"/>
      <c r="UHE583" s="1"/>
      <c r="UHF583" s="1"/>
      <c r="UHG583" s="1"/>
      <c r="UHH583" s="1"/>
      <c r="UHI583" s="1"/>
      <c r="UHJ583" s="1"/>
      <c r="UHK583" s="1"/>
      <c r="UHL583" s="1"/>
      <c r="UHM583" s="1"/>
      <c r="UHN583" s="1"/>
      <c r="UHO583" s="1"/>
      <c r="UHP583" s="1"/>
      <c r="UHQ583" s="1"/>
      <c r="UHR583" s="1"/>
      <c r="UHS583" s="1"/>
      <c r="UHT583" s="1"/>
      <c r="UHU583" s="1"/>
      <c r="UHV583" s="1"/>
      <c r="UHW583" s="1"/>
      <c r="UHX583" s="1"/>
      <c r="UHY583" s="1"/>
      <c r="UHZ583" s="1"/>
      <c r="UIA583" s="1"/>
      <c r="UIB583" s="1"/>
      <c r="UIC583" s="1"/>
      <c r="UID583" s="1"/>
      <c r="UIE583" s="1"/>
      <c r="UIF583" s="1"/>
      <c r="UIG583" s="1"/>
      <c r="UIH583" s="1"/>
      <c r="UII583" s="1"/>
      <c r="UIJ583" s="1"/>
      <c r="UIK583" s="1"/>
      <c r="UIL583" s="1"/>
      <c r="UIM583" s="1"/>
      <c r="UIN583" s="1"/>
      <c r="UIO583" s="1"/>
      <c r="UIP583" s="1"/>
      <c r="UIQ583" s="1"/>
      <c r="UIR583" s="1"/>
      <c r="UIS583" s="1"/>
      <c r="UIT583" s="1"/>
      <c r="UIU583" s="1"/>
      <c r="UIV583" s="1"/>
      <c r="UIW583" s="1"/>
      <c r="UIX583" s="1"/>
      <c r="UIY583" s="1"/>
      <c r="UIZ583" s="1"/>
      <c r="UJA583" s="1"/>
      <c r="UJB583" s="1"/>
      <c r="UJC583" s="1"/>
      <c r="UJD583" s="1"/>
      <c r="UJE583" s="1"/>
      <c r="UJF583" s="1"/>
      <c r="UJG583" s="1"/>
      <c r="UJH583" s="1"/>
      <c r="UJI583" s="1"/>
      <c r="UJJ583" s="1"/>
      <c r="UJK583" s="1"/>
      <c r="UJL583" s="1"/>
      <c r="UJM583" s="1"/>
      <c r="UJN583" s="1"/>
      <c r="UJO583" s="1"/>
      <c r="UJP583" s="1"/>
      <c r="UJQ583" s="1"/>
      <c r="UJR583" s="1"/>
      <c r="UJS583" s="1"/>
      <c r="UJT583" s="1"/>
      <c r="UJU583" s="1"/>
      <c r="UJV583" s="1"/>
      <c r="UJW583" s="1"/>
      <c r="UJX583" s="1"/>
      <c r="UJY583" s="1"/>
      <c r="UJZ583" s="1"/>
      <c r="UKA583" s="1"/>
      <c r="UKB583" s="1"/>
      <c r="UKC583" s="1"/>
      <c r="UKD583" s="1"/>
      <c r="UKE583" s="1"/>
      <c r="UKF583" s="1"/>
      <c r="UKG583" s="1"/>
      <c r="UKH583" s="1"/>
      <c r="UKI583" s="1"/>
      <c r="UKJ583" s="1"/>
      <c r="UKK583" s="1"/>
      <c r="UKL583" s="1"/>
      <c r="UKM583" s="1"/>
      <c r="UKN583" s="1"/>
      <c r="UKO583" s="1"/>
      <c r="UKP583" s="1"/>
      <c r="UKQ583" s="1"/>
      <c r="UKR583" s="1"/>
      <c r="UKS583" s="1"/>
      <c r="UKT583" s="1"/>
      <c r="UKU583" s="1"/>
      <c r="UKV583" s="1"/>
      <c r="UKW583" s="1"/>
      <c r="UKX583" s="1"/>
      <c r="UKY583" s="1"/>
      <c r="UKZ583" s="1"/>
      <c r="ULA583" s="1"/>
      <c r="ULB583" s="1"/>
      <c r="ULC583" s="1"/>
      <c r="ULD583" s="1"/>
      <c r="ULE583" s="1"/>
      <c r="ULF583" s="1"/>
      <c r="ULG583" s="1"/>
      <c r="ULH583" s="1"/>
      <c r="ULI583" s="1"/>
      <c r="ULJ583" s="1"/>
      <c r="ULK583" s="1"/>
      <c r="ULL583" s="1"/>
      <c r="ULM583" s="1"/>
      <c r="ULN583" s="1"/>
      <c r="ULO583" s="1"/>
      <c r="ULP583" s="1"/>
      <c r="ULQ583" s="1"/>
      <c r="ULR583" s="1"/>
      <c r="ULS583" s="1"/>
      <c r="ULT583" s="1"/>
      <c r="ULU583" s="1"/>
      <c r="ULV583" s="1"/>
      <c r="ULW583" s="1"/>
      <c r="ULX583" s="1"/>
      <c r="ULY583" s="1"/>
      <c r="ULZ583" s="1"/>
      <c r="UMA583" s="1"/>
      <c r="UMB583" s="1"/>
      <c r="UMC583" s="1"/>
      <c r="UMD583" s="1"/>
      <c r="UME583" s="1"/>
      <c r="UMF583" s="1"/>
      <c r="UMG583" s="1"/>
      <c r="UMH583" s="1"/>
      <c r="UMI583" s="1"/>
      <c r="UMJ583" s="1"/>
      <c r="UMK583" s="1"/>
      <c r="UML583" s="1"/>
      <c r="UMM583" s="1"/>
      <c r="UMN583" s="1"/>
      <c r="UMO583" s="1"/>
      <c r="UMP583" s="1"/>
      <c r="UMQ583" s="1"/>
      <c r="UMR583" s="1"/>
      <c r="UMS583" s="1"/>
      <c r="UMT583" s="1"/>
      <c r="UMU583" s="1"/>
      <c r="UMV583" s="1"/>
      <c r="UMW583" s="1"/>
      <c r="UMX583" s="1"/>
      <c r="UMY583" s="1"/>
      <c r="UMZ583" s="1"/>
      <c r="UNA583" s="1"/>
      <c r="UNB583" s="1"/>
      <c r="UNC583" s="1"/>
      <c r="UND583" s="1"/>
      <c r="UNE583" s="1"/>
      <c r="UNF583" s="1"/>
      <c r="UNG583" s="1"/>
      <c r="UNH583" s="1"/>
      <c r="UNI583" s="1"/>
      <c r="UNJ583" s="1"/>
      <c r="UNK583" s="1"/>
      <c r="UNL583" s="1"/>
      <c r="UNM583" s="1"/>
      <c r="UNN583" s="1"/>
      <c r="UNO583" s="1"/>
      <c r="UNP583" s="1"/>
      <c r="UNQ583" s="1"/>
      <c r="UNR583" s="1"/>
      <c r="UNS583" s="1"/>
      <c r="UNT583" s="1"/>
      <c r="UNU583" s="1"/>
      <c r="UNV583" s="1"/>
      <c r="UNW583" s="1"/>
      <c r="UNX583" s="1"/>
      <c r="UNY583" s="1"/>
      <c r="UNZ583" s="1"/>
      <c r="UOA583" s="1"/>
      <c r="UOB583" s="1"/>
      <c r="UOC583" s="1"/>
      <c r="UOD583" s="1"/>
      <c r="UOE583" s="1"/>
      <c r="UOF583" s="1"/>
      <c r="UOG583" s="1"/>
      <c r="UOH583" s="1"/>
      <c r="UOI583" s="1"/>
      <c r="UOJ583" s="1"/>
      <c r="UOK583" s="1"/>
      <c r="UOL583" s="1"/>
      <c r="UOM583" s="1"/>
      <c r="UON583" s="1"/>
      <c r="UOO583" s="1"/>
      <c r="UOP583" s="1"/>
      <c r="UOQ583" s="1"/>
      <c r="UOR583" s="1"/>
      <c r="UOS583" s="1"/>
      <c r="UOT583" s="1"/>
      <c r="UOU583" s="1"/>
      <c r="UOV583" s="1"/>
      <c r="UOW583" s="1"/>
      <c r="UOX583" s="1"/>
      <c r="UOY583" s="1"/>
      <c r="UOZ583" s="1"/>
      <c r="UPA583" s="1"/>
      <c r="UPB583" s="1"/>
      <c r="UPC583" s="1"/>
      <c r="UPD583" s="1"/>
      <c r="UPE583" s="1"/>
      <c r="UPF583" s="1"/>
      <c r="UPG583" s="1"/>
      <c r="UPH583" s="1"/>
      <c r="UPI583" s="1"/>
      <c r="UPJ583" s="1"/>
      <c r="UPK583" s="1"/>
      <c r="UPL583" s="1"/>
      <c r="UPM583" s="1"/>
      <c r="UPN583" s="1"/>
      <c r="UPO583" s="1"/>
      <c r="UPP583" s="1"/>
      <c r="UPQ583" s="1"/>
      <c r="UPR583" s="1"/>
      <c r="UPS583" s="1"/>
      <c r="UPT583" s="1"/>
      <c r="UPU583" s="1"/>
      <c r="UPV583" s="1"/>
      <c r="UPW583" s="1"/>
      <c r="UPX583" s="1"/>
      <c r="UPY583" s="1"/>
      <c r="UPZ583" s="1"/>
      <c r="UQA583" s="1"/>
      <c r="UQB583" s="1"/>
      <c r="UQC583" s="1"/>
      <c r="UQD583" s="1"/>
      <c r="UQE583" s="1"/>
      <c r="UQF583" s="1"/>
      <c r="UQG583" s="1"/>
      <c r="UQH583" s="1"/>
      <c r="UQI583" s="1"/>
      <c r="UQJ583" s="1"/>
      <c r="UQK583" s="1"/>
      <c r="UQL583" s="1"/>
      <c r="UQM583" s="1"/>
      <c r="UQN583" s="1"/>
      <c r="UQO583" s="1"/>
      <c r="UQP583" s="1"/>
      <c r="UQQ583" s="1"/>
      <c r="UQR583" s="1"/>
      <c r="UQS583" s="1"/>
      <c r="UQT583" s="1"/>
      <c r="UQU583" s="1"/>
      <c r="UQV583" s="1"/>
      <c r="UQW583" s="1"/>
      <c r="UQX583" s="1"/>
      <c r="UQY583" s="1"/>
      <c r="UQZ583" s="1"/>
      <c r="URA583" s="1"/>
      <c r="URB583" s="1"/>
      <c r="URC583" s="1"/>
      <c r="URD583" s="1"/>
      <c r="URE583" s="1"/>
      <c r="URF583" s="1"/>
      <c r="URG583" s="1"/>
      <c r="URH583" s="1"/>
      <c r="URI583" s="1"/>
      <c r="URJ583" s="1"/>
      <c r="URK583" s="1"/>
      <c r="URL583" s="1"/>
      <c r="URM583" s="1"/>
      <c r="URN583" s="1"/>
      <c r="URO583" s="1"/>
      <c r="URP583" s="1"/>
      <c r="URQ583" s="1"/>
      <c r="URR583" s="1"/>
      <c r="URS583" s="1"/>
      <c r="URT583" s="1"/>
      <c r="URU583" s="1"/>
      <c r="URV583" s="1"/>
      <c r="URW583" s="1"/>
      <c r="URX583" s="1"/>
      <c r="URY583" s="1"/>
      <c r="URZ583" s="1"/>
      <c r="USA583" s="1"/>
      <c r="USB583" s="1"/>
      <c r="USC583" s="1"/>
      <c r="USD583" s="1"/>
      <c r="USE583" s="1"/>
      <c r="USF583" s="1"/>
      <c r="USG583" s="1"/>
      <c r="USH583" s="1"/>
      <c r="USI583" s="1"/>
      <c r="USJ583" s="1"/>
      <c r="USK583" s="1"/>
      <c r="USL583" s="1"/>
      <c r="USM583" s="1"/>
      <c r="USN583" s="1"/>
      <c r="USO583" s="1"/>
      <c r="USP583" s="1"/>
      <c r="USQ583" s="1"/>
      <c r="USR583" s="1"/>
      <c r="USS583" s="1"/>
      <c r="UST583" s="1"/>
      <c r="USU583" s="1"/>
      <c r="USV583" s="1"/>
      <c r="USW583" s="1"/>
      <c r="USX583" s="1"/>
      <c r="USY583" s="1"/>
      <c r="USZ583" s="1"/>
      <c r="UTA583" s="1"/>
      <c r="UTB583" s="1"/>
      <c r="UTC583" s="1"/>
      <c r="UTD583" s="1"/>
      <c r="UTE583" s="1"/>
      <c r="UTF583" s="1"/>
      <c r="UTG583" s="1"/>
      <c r="UTH583" s="1"/>
      <c r="UTI583" s="1"/>
      <c r="UTJ583" s="1"/>
      <c r="UTK583" s="1"/>
      <c r="UTL583" s="1"/>
      <c r="UTM583" s="1"/>
      <c r="UTN583" s="1"/>
      <c r="UTO583" s="1"/>
      <c r="UTP583" s="1"/>
      <c r="UTQ583" s="1"/>
      <c r="UTR583" s="1"/>
      <c r="UTS583" s="1"/>
      <c r="UTT583" s="1"/>
      <c r="UTU583" s="1"/>
      <c r="UTV583" s="1"/>
      <c r="UTW583" s="1"/>
      <c r="UTX583" s="1"/>
      <c r="UTY583" s="1"/>
      <c r="UTZ583" s="1"/>
      <c r="UUA583" s="1"/>
      <c r="UUB583" s="1"/>
      <c r="UUC583" s="1"/>
      <c r="UUD583" s="1"/>
      <c r="UUE583" s="1"/>
      <c r="UUF583" s="1"/>
      <c r="UUG583" s="1"/>
      <c r="UUH583" s="1"/>
      <c r="UUI583" s="1"/>
      <c r="UUJ583" s="1"/>
      <c r="UUK583" s="1"/>
      <c r="UUL583" s="1"/>
      <c r="UUM583" s="1"/>
      <c r="UUN583" s="1"/>
      <c r="UUO583" s="1"/>
      <c r="UUP583" s="1"/>
      <c r="UUQ583" s="1"/>
      <c r="UUR583" s="1"/>
      <c r="UUS583" s="1"/>
      <c r="UUT583" s="1"/>
      <c r="UUU583" s="1"/>
      <c r="UUV583" s="1"/>
      <c r="UUW583" s="1"/>
      <c r="UUX583" s="1"/>
      <c r="UUY583" s="1"/>
      <c r="UUZ583" s="1"/>
      <c r="UVA583" s="1"/>
      <c r="UVB583" s="1"/>
      <c r="UVC583" s="1"/>
      <c r="UVD583" s="1"/>
      <c r="UVE583" s="1"/>
      <c r="UVF583" s="1"/>
      <c r="UVG583" s="1"/>
      <c r="UVH583" s="1"/>
      <c r="UVI583" s="1"/>
      <c r="UVJ583" s="1"/>
      <c r="UVK583" s="1"/>
      <c r="UVL583" s="1"/>
      <c r="UVM583" s="1"/>
      <c r="UVN583" s="1"/>
      <c r="UVO583" s="1"/>
      <c r="UVP583" s="1"/>
      <c r="UVQ583" s="1"/>
      <c r="UVR583" s="1"/>
      <c r="UVS583" s="1"/>
      <c r="UVT583" s="1"/>
      <c r="UVU583" s="1"/>
      <c r="UVV583" s="1"/>
      <c r="UVW583" s="1"/>
      <c r="UVX583" s="1"/>
      <c r="UVY583" s="1"/>
      <c r="UVZ583" s="1"/>
      <c r="UWA583" s="1"/>
      <c r="UWB583" s="1"/>
      <c r="UWC583" s="1"/>
      <c r="UWD583" s="1"/>
      <c r="UWE583" s="1"/>
      <c r="UWF583" s="1"/>
      <c r="UWG583" s="1"/>
      <c r="UWH583" s="1"/>
      <c r="UWI583" s="1"/>
      <c r="UWJ583" s="1"/>
      <c r="UWK583" s="1"/>
      <c r="UWL583" s="1"/>
      <c r="UWM583" s="1"/>
      <c r="UWN583" s="1"/>
      <c r="UWO583" s="1"/>
      <c r="UWP583" s="1"/>
      <c r="UWQ583" s="1"/>
      <c r="UWR583" s="1"/>
      <c r="UWS583" s="1"/>
      <c r="UWT583" s="1"/>
      <c r="UWU583" s="1"/>
      <c r="UWV583" s="1"/>
      <c r="UWW583" s="1"/>
      <c r="UWX583" s="1"/>
      <c r="UWY583" s="1"/>
      <c r="UWZ583" s="1"/>
      <c r="UXA583" s="1"/>
      <c r="UXB583" s="1"/>
      <c r="UXC583" s="1"/>
      <c r="UXD583" s="1"/>
      <c r="UXE583" s="1"/>
      <c r="UXF583" s="1"/>
      <c r="UXG583" s="1"/>
      <c r="UXH583" s="1"/>
      <c r="UXI583" s="1"/>
      <c r="UXJ583" s="1"/>
      <c r="UXK583" s="1"/>
      <c r="UXL583" s="1"/>
      <c r="UXM583" s="1"/>
      <c r="UXN583" s="1"/>
      <c r="UXO583" s="1"/>
      <c r="UXP583" s="1"/>
      <c r="UXQ583" s="1"/>
      <c r="UXR583" s="1"/>
      <c r="UXS583" s="1"/>
      <c r="UXT583" s="1"/>
      <c r="UXU583" s="1"/>
      <c r="UXV583" s="1"/>
      <c r="UXW583" s="1"/>
      <c r="UXX583" s="1"/>
      <c r="UXY583" s="1"/>
      <c r="UXZ583" s="1"/>
      <c r="UYA583" s="1"/>
      <c r="UYB583" s="1"/>
      <c r="UYC583" s="1"/>
      <c r="UYD583" s="1"/>
      <c r="UYE583" s="1"/>
      <c r="UYF583" s="1"/>
      <c r="UYG583" s="1"/>
      <c r="UYH583" s="1"/>
      <c r="UYI583" s="1"/>
      <c r="UYJ583" s="1"/>
      <c r="UYK583" s="1"/>
      <c r="UYL583" s="1"/>
      <c r="UYM583" s="1"/>
      <c r="UYN583" s="1"/>
      <c r="UYO583" s="1"/>
      <c r="UYP583" s="1"/>
      <c r="UYQ583" s="1"/>
      <c r="UYR583" s="1"/>
      <c r="UYS583" s="1"/>
      <c r="UYT583" s="1"/>
      <c r="UYU583" s="1"/>
      <c r="UYV583" s="1"/>
      <c r="UYW583" s="1"/>
      <c r="UYX583" s="1"/>
      <c r="UYY583" s="1"/>
      <c r="UYZ583" s="1"/>
      <c r="UZA583" s="1"/>
      <c r="UZB583" s="1"/>
      <c r="UZC583" s="1"/>
      <c r="UZD583" s="1"/>
      <c r="UZE583" s="1"/>
      <c r="UZF583" s="1"/>
      <c r="UZG583" s="1"/>
      <c r="UZH583" s="1"/>
      <c r="UZI583" s="1"/>
      <c r="UZJ583" s="1"/>
      <c r="UZK583" s="1"/>
      <c r="UZL583" s="1"/>
      <c r="UZM583" s="1"/>
      <c r="UZN583" s="1"/>
      <c r="UZO583" s="1"/>
      <c r="UZP583" s="1"/>
      <c r="UZQ583" s="1"/>
      <c r="UZR583" s="1"/>
      <c r="UZS583" s="1"/>
      <c r="UZT583" s="1"/>
      <c r="UZU583" s="1"/>
      <c r="UZV583" s="1"/>
      <c r="UZW583" s="1"/>
      <c r="UZX583" s="1"/>
      <c r="UZY583" s="1"/>
      <c r="UZZ583" s="1"/>
      <c r="VAA583" s="1"/>
      <c r="VAB583" s="1"/>
      <c r="VAC583" s="1"/>
      <c r="VAD583" s="1"/>
      <c r="VAE583" s="1"/>
      <c r="VAF583" s="1"/>
      <c r="VAG583" s="1"/>
      <c r="VAH583" s="1"/>
      <c r="VAI583" s="1"/>
      <c r="VAJ583" s="1"/>
      <c r="VAK583" s="1"/>
      <c r="VAL583" s="1"/>
      <c r="VAM583" s="1"/>
      <c r="VAN583" s="1"/>
      <c r="VAO583" s="1"/>
      <c r="VAP583" s="1"/>
      <c r="VAQ583" s="1"/>
      <c r="VAR583" s="1"/>
      <c r="VAS583" s="1"/>
      <c r="VAT583" s="1"/>
      <c r="VAU583" s="1"/>
      <c r="VAV583" s="1"/>
      <c r="VAW583" s="1"/>
      <c r="VAX583" s="1"/>
      <c r="VAY583" s="1"/>
      <c r="VAZ583" s="1"/>
      <c r="VBA583" s="1"/>
      <c r="VBB583" s="1"/>
      <c r="VBC583" s="1"/>
      <c r="VBD583" s="1"/>
      <c r="VBE583" s="1"/>
      <c r="VBF583" s="1"/>
      <c r="VBG583" s="1"/>
      <c r="VBH583" s="1"/>
      <c r="VBI583" s="1"/>
      <c r="VBJ583" s="1"/>
      <c r="VBK583" s="1"/>
      <c r="VBL583" s="1"/>
      <c r="VBM583" s="1"/>
      <c r="VBN583" s="1"/>
      <c r="VBO583" s="1"/>
      <c r="VBP583" s="1"/>
      <c r="VBQ583" s="1"/>
      <c r="VBR583" s="1"/>
      <c r="VBS583" s="1"/>
      <c r="VBT583" s="1"/>
      <c r="VBU583" s="1"/>
      <c r="VBV583" s="1"/>
      <c r="VBW583" s="1"/>
      <c r="VBX583" s="1"/>
      <c r="VBY583" s="1"/>
      <c r="VBZ583" s="1"/>
      <c r="VCA583" s="1"/>
      <c r="VCB583" s="1"/>
      <c r="VCC583" s="1"/>
      <c r="VCD583" s="1"/>
      <c r="VCE583" s="1"/>
      <c r="VCF583" s="1"/>
      <c r="VCG583" s="1"/>
      <c r="VCH583" s="1"/>
      <c r="VCI583" s="1"/>
      <c r="VCJ583" s="1"/>
      <c r="VCK583" s="1"/>
      <c r="VCL583" s="1"/>
      <c r="VCM583" s="1"/>
      <c r="VCN583" s="1"/>
      <c r="VCO583" s="1"/>
      <c r="VCP583" s="1"/>
      <c r="VCQ583" s="1"/>
      <c r="VCR583" s="1"/>
      <c r="VCS583" s="1"/>
      <c r="VCT583" s="1"/>
      <c r="VCU583" s="1"/>
      <c r="VCV583" s="1"/>
      <c r="VCW583" s="1"/>
      <c r="VCX583" s="1"/>
      <c r="VCY583" s="1"/>
      <c r="VCZ583" s="1"/>
      <c r="VDA583" s="1"/>
      <c r="VDB583" s="1"/>
      <c r="VDC583" s="1"/>
      <c r="VDD583" s="1"/>
      <c r="VDE583" s="1"/>
      <c r="VDF583" s="1"/>
      <c r="VDG583" s="1"/>
      <c r="VDH583" s="1"/>
      <c r="VDI583" s="1"/>
      <c r="VDJ583" s="1"/>
      <c r="VDK583" s="1"/>
      <c r="VDL583" s="1"/>
      <c r="VDM583" s="1"/>
      <c r="VDN583" s="1"/>
      <c r="VDO583" s="1"/>
      <c r="VDP583" s="1"/>
      <c r="VDQ583" s="1"/>
      <c r="VDR583" s="1"/>
      <c r="VDS583" s="1"/>
      <c r="VDT583" s="1"/>
      <c r="VDU583" s="1"/>
      <c r="VDV583" s="1"/>
      <c r="VDW583" s="1"/>
      <c r="VDX583" s="1"/>
      <c r="VDY583" s="1"/>
      <c r="VDZ583" s="1"/>
      <c r="VEA583" s="1"/>
      <c r="VEB583" s="1"/>
      <c r="VEC583" s="1"/>
      <c r="VED583" s="1"/>
      <c r="VEE583" s="1"/>
      <c r="VEF583" s="1"/>
      <c r="VEG583" s="1"/>
      <c r="VEH583" s="1"/>
      <c r="VEI583" s="1"/>
      <c r="VEJ583" s="1"/>
      <c r="VEK583" s="1"/>
      <c r="VEL583" s="1"/>
      <c r="VEM583" s="1"/>
      <c r="VEN583" s="1"/>
      <c r="VEO583" s="1"/>
      <c r="VEP583" s="1"/>
      <c r="VEQ583" s="1"/>
      <c r="VER583" s="1"/>
      <c r="VES583" s="1"/>
      <c r="VET583" s="1"/>
      <c r="VEU583" s="1"/>
      <c r="VEV583" s="1"/>
      <c r="VEW583" s="1"/>
      <c r="VEX583" s="1"/>
      <c r="VEY583" s="1"/>
      <c r="VEZ583" s="1"/>
      <c r="VFA583" s="1"/>
      <c r="VFB583" s="1"/>
      <c r="VFC583" s="1"/>
      <c r="VFD583" s="1"/>
      <c r="VFE583" s="1"/>
      <c r="VFF583" s="1"/>
      <c r="VFG583" s="1"/>
      <c r="VFH583" s="1"/>
      <c r="VFI583" s="1"/>
      <c r="VFJ583" s="1"/>
      <c r="VFK583" s="1"/>
      <c r="VFL583" s="1"/>
      <c r="VFM583" s="1"/>
      <c r="VFN583" s="1"/>
      <c r="VFO583" s="1"/>
      <c r="VFP583" s="1"/>
      <c r="VFQ583" s="1"/>
      <c r="VFR583" s="1"/>
      <c r="VFS583" s="1"/>
      <c r="VFT583" s="1"/>
      <c r="VFU583" s="1"/>
      <c r="VFV583" s="1"/>
      <c r="VFW583" s="1"/>
      <c r="VFX583" s="1"/>
      <c r="VFY583" s="1"/>
      <c r="VFZ583" s="1"/>
      <c r="VGA583" s="1"/>
      <c r="VGB583" s="1"/>
      <c r="VGC583" s="1"/>
      <c r="VGD583" s="1"/>
      <c r="VGE583" s="1"/>
      <c r="VGF583" s="1"/>
      <c r="VGG583" s="1"/>
      <c r="VGH583" s="1"/>
      <c r="VGI583" s="1"/>
      <c r="VGJ583" s="1"/>
      <c r="VGK583" s="1"/>
      <c r="VGL583" s="1"/>
      <c r="VGM583" s="1"/>
      <c r="VGN583" s="1"/>
      <c r="VGO583" s="1"/>
      <c r="VGP583" s="1"/>
      <c r="VGQ583" s="1"/>
      <c r="VGR583" s="1"/>
      <c r="VGS583" s="1"/>
      <c r="VGT583" s="1"/>
      <c r="VGU583" s="1"/>
      <c r="VGV583" s="1"/>
      <c r="VGW583" s="1"/>
      <c r="VGX583" s="1"/>
      <c r="VGY583" s="1"/>
      <c r="VGZ583" s="1"/>
      <c r="VHA583" s="1"/>
      <c r="VHB583" s="1"/>
      <c r="VHC583" s="1"/>
      <c r="VHD583" s="1"/>
      <c r="VHE583" s="1"/>
      <c r="VHF583" s="1"/>
      <c r="VHG583" s="1"/>
      <c r="VHH583" s="1"/>
      <c r="VHI583" s="1"/>
      <c r="VHJ583" s="1"/>
      <c r="VHK583" s="1"/>
      <c r="VHL583" s="1"/>
      <c r="VHM583" s="1"/>
      <c r="VHN583" s="1"/>
      <c r="VHO583" s="1"/>
      <c r="VHP583" s="1"/>
      <c r="VHQ583" s="1"/>
      <c r="VHR583" s="1"/>
      <c r="VHS583" s="1"/>
      <c r="VHT583" s="1"/>
      <c r="VHU583" s="1"/>
      <c r="VHV583" s="1"/>
      <c r="VHW583" s="1"/>
      <c r="VHX583" s="1"/>
      <c r="VHY583" s="1"/>
      <c r="VHZ583" s="1"/>
      <c r="VIA583" s="1"/>
      <c r="VIB583" s="1"/>
      <c r="VIC583" s="1"/>
      <c r="VID583" s="1"/>
      <c r="VIE583" s="1"/>
      <c r="VIF583" s="1"/>
      <c r="VIG583" s="1"/>
      <c r="VIH583" s="1"/>
      <c r="VII583" s="1"/>
      <c r="VIJ583" s="1"/>
      <c r="VIK583" s="1"/>
      <c r="VIL583" s="1"/>
      <c r="VIM583" s="1"/>
      <c r="VIN583" s="1"/>
      <c r="VIO583" s="1"/>
      <c r="VIP583" s="1"/>
      <c r="VIQ583" s="1"/>
      <c r="VIR583" s="1"/>
      <c r="VIS583" s="1"/>
      <c r="VIT583" s="1"/>
      <c r="VIU583" s="1"/>
      <c r="VIV583" s="1"/>
      <c r="VIW583" s="1"/>
      <c r="VIX583" s="1"/>
      <c r="VIY583" s="1"/>
      <c r="VIZ583" s="1"/>
      <c r="VJA583" s="1"/>
      <c r="VJB583" s="1"/>
      <c r="VJC583" s="1"/>
      <c r="VJD583" s="1"/>
      <c r="VJE583" s="1"/>
      <c r="VJF583" s="1"/>
      <c r="VJG583" s="1"/>
      <c r="VJH583" s="1"/>
      <c r="VJI583" s="1"/>
      <c r="VJJ583" s="1"/>
      <c r="VJK583" s="1"/>
      <c r="VJL583" s="1"/>
      <c r="VJM583" s="1"/>
      <c r="VJN583" s="1"/>
      <c r="VJO583" s="1"/>
      <c r="VJP583" s="1"/>
      <c r="VJQ583" s="1"/>
      <c r="VJR583" s="1"/>
      <c r="VJS583" s="1"/>
      <c r="VJT583" s="1"/>
      <c r="VJU583" s="1"/>
      <c r="VJV583" s="1"/>
      <c r="VJW583" s="1"/>
      <c r="VJX583" s="1"/>
      <c r="VJY583" s="1"/>
      <c r="VJZ583" s="1"/>
      <c r="VKA583" s="1"/>
      <c r="VKB583" s="1"/>
      <c r="VKC583" s="1"/>
      <c r="VKD583" s="1"/>
      <c r="VKE583" s="1"/>
      <c r="VKF583" s="1"/>
      <c r="VKG583" s="1"/>
      <c r="VKH583" s="1"/>
      <c r="VKI583" s="1"/>
      <c r="VKJ583" s="1"/>
      <c r="VKK583" s="1"/>
      <c r="VKL583" s="1"/>
      <c r="VKM583" s="1"/>
      <c r="VKN583" s="1"/>
      <c r="VKO583" s="1"/>
      <c r="VKP583" s="1"/>
      <c r="VKQ583" s="1"/>
      <c r="VKR583" s="1"/>
      <c r="VKS583" s="1"/>
      <c r="VKT583" s="1"/>
      <c r="VKU583" s="1"/>
      <c r="VKV583" s="1"/>
      <c r="VKW583" s="1"/>
      <c r="VKX583" s="1"/>
      <c r="VKY583" s="1"/>
      <c r="VKZ583" s="1"/>
      <c r="VLA583" s="1"/>
      <c r="VLB583" s="1"/>
      <c r="VLC583" s="1"/>
      <c r="VLD583" s="1"/>
      <c r="VLE583" s="1"/>
      <c r="VLF583" s="1"/>
      <c r="VLG583" s="1"/>
      <c r="VLH583" s="1"/>
      <c r="VLI583" s="1"/>
      <c r="VLJ583" s="1"/>
      <c r="VLK583" s="1"/>
      <c r="VLL583" s="1"/>
      <c r="VLM583" s="1"/>
      <c r="VLN583" s="1"/>
      <c r="VLO583" s="1"/>
      <c r="VLP583" s="1"/>
      <c r="VLQ583" s="1"/>
      <c r="VLR583" s="1"/>
      <c r="VLS583" s="1"/>
      <c r="VLT583" s="1"/>
      <c r="VLU583" s="1"/>
      <c r="VLV583" s="1"/>
      <c r="VLW583" s="1"/>
      <c r="VLX583" s="1"/>
      <c r="VLY583" s="1"/>
      <c r="VLZ583" s="1"/>
      <c r="VMA583" s="1"/>
      <c r="VMB583" s="1"/>
      <c r="VMC583" s="1"/>
      <c r="VMD583" s="1"/>
      <c r="VME583" s="1"/>
      <c r="VMF583" s="1"/>
      <c r="VMG583" s="1"/>
      <c r="VMH583" s="1"/>
      <c r="VMI583" s="1"/>
      <c r="VMJ583" s="1"/>
      <c r="VMK583" s="1"/>
      <c r="VML583" s="1"/>
      <c r="VMM583" s="1"/>
      <c r="VMN583" s="1"/>
      <c r="VMO583" s="1"/>
      <c r="VMP583" s="1"/>
      <c r="VMQ583" s="1"/>
      <c r="VMR583" s="1"/>
      <c r="VMS583" s="1"/>
      <c r="VMT583" s="1"/>
      <c r="VMU583" s="1"/>
      <c r="VMV583" s="1"/>
      <c r="VMW583" s="1"/>
      <c r="VMX583" s="1"/>
      <c r="VMY583" s="1"/>
      <c r="VMZ583" s="1"/>
      <c r="VNA583" s="1"/>
      <c r="VNB583" s="1"/>
      <c r="VNC583" s="1"/>
      <c r="VND583" s="1"/>
      <c r="VNE583" s="1"/>
      <c r="VNF583" s="1"/>
      <c r="VNG583" s="1"/>
      <c r="VNH583" s="1"/>
      <c r="VNI583" s="1"/>
      <c r="VNJ583" s="1"/>
      <c r="VNK583" s="1"/>
      <c r="VNL583" s="1"/>
      <c r="VNM583" s="1"/>
      <c r="VNN583" s="1"/>
      <c r="VNO583" s="1"/>
      <c r="VNP583" s="1"/>
      <c r="VNQ583" s="1"/>
      <c r="VNR583" s="1"/>
      <c r="VNS583" s="1"/>
      <c r="VNT583" s="1"/>
      <c r="VNU583" s="1"/>
      <c r="VNV583" s="1"/>
      <c r="VNW583" s="1"/>
      <c r="VNX583" s="1"/>
      <c r="VNY583" s="1"/>
      <c r="VNZ583" s="1"/>
      <c r="VOA583" s="1"/>
      <c r="VOB583" s="1"/>
      <c r="VOC583" s="1"/>
      <c r="VOD583" s="1"/>
      <c r="VOE583" s="1"/>
      <c r="VOF583" s="1"/>
      <c r="VOG583" s="1"/>
      <c r="VOH583" s="1"/>
      <c r="VOI583" s="1"/>
      <c r="VOJ583" s="1"/>
      <c r="VOK583" s="1"/>
      <c r="VOL583" s="1"/>
      <c r="VOM583" s="1"/>
      <c r="VON583" s="1"/>
      <c r="VOO583" s="1"/>
      <c r="VOP583" s="1"/>
      <c r="VOQ583" s="1"/>
      <c r="VOR583" s="1"/>
      <c r="VOS583" s="1"/>
      <c r="VOT583" s="1"/>
      <c r="VOU583" s="1"/>
      <c r="VOV583" s="1"/>
      <c r="VOW583" s="1"/>
      <c r="VOX583" s="1"/>
      <c r="VOY583" s="1"/>
      <c r="VOZ583" s="1"/>
      <c r="VPA583" s="1"/>
      <c r="VPB583" s="1"/>
      <c r="VPC583" s="1"/>
      <c r="VPD583" s="1"/>
      <c r="VPE583" s="1"/>
      <c r="VPF583" s="1"/>
      <c r="VPG583" s="1"/>
      <c r="VPH583" s="1"/>
      <c r="VPI583" s="1"/>
      <c r="VPJ583" s="1"/>
      <c r="VPK583" s="1"/>
      <c r="VPL583" s="1"/>
      <c r="VPM583" s="1"/>
      <c r="VPN583" s="1"/>
      <c r="VPO583" s="1"/>
      <c r="VPP583" s="1"/>
      <c r="VPQ583" s="1"/>
      <c r="VPR583" s="1"/>
      <c r="VPS583" s="1"/>
      <c r="VPT583" s="1"/>
      <c r="VPU583" s="1"/>
      <c r="VPV583" s="1"/>
      <c r="VPW583" s="1"/>
      <c r="VPX583" s="1"/>
      <c r="VPY583" s="1"/>
      <c r="VPZ583" s="1"/>
      <c r="VQA583" s="1"/>
      <c r="VQB583" s="1"/>
      <c r="VQC583" s="1"/>
      <c r="VQD583" s="1"/>
      <c r="VQE583" s="1"/>
      <c r="VQF583" s="1"/>
      <c r="VQG583" s="1"/>
      <c r="VQH583" s="1"/>
      <c r="VQI583" s="1"/>
      <c r="VQJ583" s="1"/>
      <c r="VQK583" s="1"/>
      <c r="VQL583" s="1"/>
      <c r="VQM583" s="1"/>
      <c r="VQN583" s="1"/>
      <c r="VQO583" s="1"/>
      <c r="VQP583" s="1"/>
      <c r="VQQ583" s="1"/>
      <c r="VQR583" s="1"/>
      <c r="VQS583" s="1"/>
      <c r="VQT583" s="1"/>
      <c r="VQU583" s="1"/>
      <c r="VQV583" s="1"/>
      <c r="VQW583" s="1"/>
      <c r="VQX583" s="1"/>
      <c r="VQY583" s="1"/>
      <c r="VQZ583" s="1"/>
      <c r="VRA583" s="1"/>
      <c r="VRB583" s="1"/>
      <c r="VRC583" s="1"/>
      <c r="VRD583" s="1"/>
      <c r="VRE583" s="1"/>
      <c r="VRF583" s="1"/>
      <c r="VRG583" s="1"/>
      <c r="VRH583" s="1"/>
      <c r="VRI583" s="1"/>
      <c r="VRJ583" s="1"/>
      <c r="VRK583" s="1"/>
      <c r="VRL583" s="1"/>
      <c r="VRM583" s="1"/>
      <c r="VRN583" s="1"/>
      <c r="VRO583" s="1"/>
      <c r="VRP583" s="1"/>
      <c r="VRQ583" s="1"/>
      <c r="VRR583" s="1"/>
      <c r="VRS583" s="1"/>
      <c r="VRT583" s="1"/>
      <c r="VRU583" s="1"/>
      <c r="VRV583" s="1"/>
      <c r="VRW583" s="1"/>
      <c r="VRX583" s="1"/>
      <c r="VRY583" s="1"/>
      <c r="VRZ583" s="1"/>
      <c r="VSA583" s="1"/>
      <c r="VSB583" s="1"/>
      <c r="VSC583" s="1"/>
      <c r="VSD583" s="1"/>
      <c r="VSE583" s="1"/>
      <c r="VSF583" s="1"/>
      <c r="VSG583" s="1"/>
      <c r="VSH583" s="1"/>
      <c r="VSI583" s="1"/>
      <c r="VSJ583" s="1"/>
      <c r="VSK583" s="1"/>
      <c r="VSL583" s="1"/>
      <c r="VSM583" s="1"/>
      <c r="VSN583" s="1"/>
      <c r="VSO583" s="1"/>
      <c r="VSP583" s="1"/>
      <c r="VSQ583" s="1"/>
      <c r="VSR583" s="1"/>
      <c r="VSS583" s="1"/>
      <c r="VST583" s="1"/>
      <c r="VSU583" s="1"/>
      <c r="VSV583" s="1"/>
      <c r="VSW583" s="1"/>
      <c r="VSX583" s="1"/>
      <c r="VSY583" s="1"/>
      <c r="VSZ583" s="1"/>
      <c r="VTA583" s="1"/>
      <c r="VTB583" s="1"/>
      <c r="VTC583" s="1"/>
      <c r="VTD583" s="1"/>
      <c r="VTE583" s="1"/>
      <c r="VTF583" s="1"/>
      <c r="VTG583" s="1"/>
      <c r="VTH583" s="1"/>
      <c r="VTI583" s="1"/>
      <c r="VTJ583" s="1"/>
      <c r="VTK583" s="1"/>
      <c r="VTL583" s="1"/>
      <c r="VTM583" s="1"/>
      <c r="VTN583" s="1"/>
      <c r="VTO583" s="1"/>
      <c r="VTP583" s="1"/>
      <c r="VTQ583" s="1"/>
      <c r="VTR583" s="1"/>
      <c r="VTS583" s="1"/>
      <c r="VTT583" s="1"/>
      <c r="VTU583" s="1"/>
      <c r="VTV583" s="1"/>
      <c r="VTW583" s="1"/>
      <c r="VTX583" s="1"/>
      <c r="VTY583" s="1"/>
      <c r="VTZ583" s="1"/>
      <c r="VUA583" s="1"/>
      <c r="VUB583" s="1"/>
      <c r="VUC583" s="1"/>
      <c r="VUD583" s="1"/>
      <c r="VUE583" s="1"/>
      <c r="VUF583" s="1"/>
      <c r="VUG583" s="1"/>
      <c r="VUH583" s="1"/>
      <c r="VUI583" s="1"/>
      <c r="VUJ583" s="1"/>
      <c r="VUK583" s="1"/>
      <c r="VUL583" s="1"/>
      <c r="VUM583" s="1"/>
      <c r="VUN583" s="1"/>
      <c r="VUO583" s="1"/>
      <c r="VUP583" s="1"/>
      <c r="VUQ583" s="1"/>
      <c r="VUR583" s="1"/>
      <c r="VUS583" s="1"/>
      <c r="VUT583" s="1"/>
      <c r="VUU583" s="1"/>
      <c r="VUV583" s="1"/>
      <c r="VUW583" s="1"/>
      <c r="VUX583" s="1"/>
      <c r="VUY583" s="1"/>
      <c r="VUZ583" s="1"/>
      <c r="VVA583" s="1"/>
      <c r="VVB583" s="1"/>
      <c r="VVC583" s="1"/>
      <c r="VVD583" s="1"/>
      <c r="VVE583" s="1"/>
      <c r="VVF583" s="1"/>
      <c r="VVG583" s="1"/>
      <c r="VVH583" s="1"/>
      <c r="VVI583" s="1"/>
      <c r="VVJ583" s="1"/>
      <c r="VVK583" s="1"/>
      <c r="VVL583" s="1"/>
      <c r="VVM583" s="1"/>
      <c r="VVN583" s="1"/>
      <c r="VVO583" s="1"/>
      <c r="VVP583" s="1"/>
      <c r="VVQ583" s="1"/>
      <c r="VVR583" s="1"/>
      <c r="VVS583" s="1"/>
      <c r="VVT583" s="1"/>
      <c r="VVU583" s="1"/>
      <c r="VVV583" s="1"/>
      <c r="VVW583" s="1"/>
      <c r="VVX583" s="1"/>
      <c r="VVY583" s="1"/>
      <c r="VVZ583" s="1"/>
      <c r="VWA583" s="1"/>
      <c r="VWB583" s="1"/>
      <c r="VWC583" s="1"/>
      <c r="VWD583" s="1"/>
      <c r="VWE583" s="1"/>
      <c r="VWF583" s="1"/>
      <c r="VWG583" s="1"/>
      <c r="VWH583" s="1"/>
      <c r="VWI583" s="1"/>
      <c r="VWJ583" s="1"/>
      <c r="VWK583" s="1"/>
      <c r="VWL583" s="1"/>
      <c r="VWM583" s="1"/>
      <c r="VWN583" s="1"/>
      <c r="VWO583" s="1"/>
      <c r="VWP583" s="1"/>
      <c r="VWQ583" s="1"/>
      <c r="VWR583" s="1"/>
      <c r="VWS583" s="1"/>
      <c r="VWT583" s="1"/>
      <c r="VWU583" s="1"/>
      <c r="VWV583" s="1"/>
      <c r="VWW583" s="1"/>
      <c r="VWX583" s="1"/>
      <c r="VWY583" s="1"/>
      <c r="VWZ583" s="1"/>
      <c r="VXA583" s="1"/>
      <c r="VXB583" s="1"/>
      <c r="VXC583" s="1"/>
      <c r="VXD583" s="1"/>
      <c r="VXE583" s="1"/>
      <c r="VXF583" s="1"/>
      <c r="VXG583" s="1"/>
      <c r="VXH583" s="1"/>
      <c r="VXI583" s="1"/>
      <c r="VXJ583" s="1"/>
      <c r="VXK583" s="1"/>
      <c r="VXL583" s="1"/>
      <c r="VXM583" s="1"/>
      <c r="VXN583" s="1"/>
      <c r="VXO583" s="1"/>
      <c r="VXP583" s="1"/>
      <c r="VXQ583" s="1"/>
      <c r="VXR583" s="1"/>
      <c r="VXS583" s="1"/>
      <c r="VXT583" s="1"/>
      <c r="VXU583" s="1"/>
      <c r="VXV583" s="1"/>
      <c r="VXW583" s="1"/>
      <c r="VXX583" s="1"/>
      <c r="VXY583" s="1"/>
      <c r="VXZ583" s="1"/>
      <c r="VYA583" s="1"/>
      <c r="VYB583" s="1"/>
      <c r="VYC583" s="1"/>
      <c r="VYD583" s="1"/>
      <c r="VYE583" s="1"/>
      <c r="VYF583" s="1"/>
      <c r="VYG583" s="1"/>
      <c r="VYH583" s="1"/>
      <c r="VYI583" s="1"/>
      <c r="VYJ583" s="1"/>
      <c r="VYK583" s="1"/>
      <c r="VYL583" s="1"/>
      <c r="VYM583" s="1"/>
      <c r="VYN583" s="1"/>
      <c r="VYO583" s="1"/>
      <c r="VYP583" s="1"/>
      <c r="VYQ583" s="1"/>
      <c r="VYR583" s="1"/>
      <c r="VYS583" s="1"/>
      <c r="VYT583" s="1"/>
      <c r="VYU583" s="1"/>
      <c r="VYV583" s="1"/>
      <c r="VYW583" s="1"/>
      <c r="VYX583" s="1"/>
      <c r="VYY583" s="1"/>
      <c r="VYZ583" s="1"/>
      <c r="VZA583" s="1"/>
      <c r="VZB583" s="1"/>
      <c r="VZC583" s="1"/>
      <c r="VZD583" s="1"/>
      <c r="VZE583" s="1"/>
      <c r="VZF583" s="1"/>
      <c r="VZG583" s="1"/>
      <c r="VZH583" s="1"/>
      <c r="VZI583" s="1"/>
      <c r="VZJ583" s="1"/>
      <c r="VZK583" s="1"/>
      <c r="VZL583" s="1"/>
      <c r="VZM583" s="1"/>
      <c r="VZN583" s="1"/>
      <c r="VZO583" s="1"/>
      <c r="VZP583" s="1"/>
      <c r="VZQ583" s="1"/>
      <c r="VZR583" s="1"/>
      <c r="VZS583" s="1"/>
      <c r="VZT583" s="1"/>
      <c r="VZU583" s="1"/>
      <c r="VZV583" s="1"/>
      <c r="VZW583" s="1"/>
      <c r="VZX583" s="1"/>
      <c r="VZY583" s="1"/>
      <c r="VZZ583" s="1"/>
      <c r="WAA583" s="1"/>
      <c r="WAB583" s="1"/>
      <c r="WAC583" s="1"/>
      <c r="WAD583" s="1"/>
      <c r="WAE583" s="1"/>
      <c r="WAF583" s="1"/>
      <c r="WAG583" s="1"/>
      <c r="WAH583" s="1"/>
      <c r="WAI583" s="1"/>
      <c r="WAJ583" s="1"/>
      <c r="WAK583" s="1"/>
      <c r="WAL583" s="1"/>
      <c r="WAM583" s="1"/>
      <c r="WAN583" s="1"/>
      <c r="WAO583" s="1"/>
      <c r="WAP583" s="1"/>
      <c r="WAQ583" s="1"/>
      <c r="WAR583" s="1"/>
      <c r="WAS583" s="1"/>
      <c r="WAT583" s="1"/>
      <c r="WAU583" s="1"/>
      <c r="WAV583" s="1"/>
      <c r="WAW583" s="1"/>
      <c r="WAX583" s="1"/>
      <c r="WAY583" s="1"/>
      <c r="WAZ583" s="1"/>
      <c r="WBA583" s="1"/>
      <c r="WBB583" s="1"/>
      <c r="WBC583" s="1"/>
      <c r="WBD583" s="1"/>
      <c r="WBE583" s="1"/>
      <c r="WBF583" s="1"/>
      <c r="WBG583" s="1"/>
      <c r="WBH583" s="1"/>
      <c r="WBI583" s="1"/>
      <c r="WBJ583" s="1"/>
      <c r="WBK583" s="1"/>
      <c r="WBL583" s="1"/>
      <c r="WBM583" s="1"/>
      <c r="WBN583" s="1"/>
      <c r="WBO583" s="1"/>
      <c r="WBP583" s="1"/>
      <c r="WBQ583" s="1"/>
      <c r="WBR583" s="1"/>
      <c r="WBS583" s="1"/>
      <c r="WBT583" s="1"/>
      <c r="WBU583" s="1"/>
      <c r="WBV583" s="1"/>
      <c r="WBW583" s="1"/>
      <c r="WBX583" s="1"/>
      <c r="WBY583" s="1"/>
      <c r="WBZ583" s="1"/>
      <c r="WCA583" s="1"/>
      <c r="WCB583" s="1"/>
      <c r="WCC583" s="1"/>
      <c r="WCD583" s="1"/>
      <c r="WCE583" s="1"/>
      <c r="WCF583" s="1"/>
      <c r="WCG583" s="1"/>
      <c r="WCH583" s="1"/>
      <c r="WCI583" s="1"/>
      <c r="WCJ583" s="1"/>
      <c r="WCK583" s="1"/>
      <c r="WCL583" s="1"/>
      <c r="WCM583" s="1"/>
      <c r="WCN583" s="1"/>
      <c r="WCO583" s="1"/>
      <c r="WCP583" s="1"/>
      <c r="WCQ583" s="1"/>
      <c r="WCR583" s="1"/>
      <c r="WCS583" s="1"/>
      <c r="WCT583" s="1"/>
      <c r="WCU583" s="1"/>
      <c r="WCV583" s="1"/>
      <c r="WCW583" s="1"/>
      <c r="WCX583" s="1"/>
      <c r="WCY583" s="1"/>
      <c r="WCZ583" s="1"/>
      <c r="WDA583" s="1"/>
      <c r="WDB583" s="1"/>
      <c r="WDC583" s="1"/>
      <c r="WDD583" s="1"/>
      <c r="WDE583" s="1"/>
      <c r="WDF583" s="1"/>
      <c r="WDG583" s="1"/>
      <c r="WDH583" s="1"/>
      <c r="WDI583" s="1"/>
      <c r="WDJ583" s="1"/>
      <c r="WDK583" s="1"/>
      <c r="WDL583" s="1"/>
      <c r="WDM583" s="1"/>
      <c r="WDN583" s="1"/>
      <c r="WDO583" s="1"/>
      <c r="WDP583" s="1"/>
      <c r="WDQ583" s="1"/>
      <c r="WDR583" s="1"/>
      <c r="WDS583" s="1"/>
      <c r="WDT583" s="1"/>
      <c r="WDU583" s="1"/>
      <c r="WDV583" s="1"/>
      <c r="WDW583" s="1"/>
      <c r="WDX583" s="1"/>
      <c r="WDY583" s="1"/>
      <c r="WDZ583" s="1"/>
      <c r="WEA583" s="1"/>
      <c r="WEB583" s="1"/>
      <c r="WEC583" s="1"/>
      <c r="WED583" s="1"/>
      <c r="WEE583" s="1"/>
      <c r="WEF583" s="1"/>
      <c r="WEG583" s="1"/>
      <c r="WEH583" s="1"/>
      <c r="WEI583" s="1"/>
      <c r="WEJ583" s="1"/>
      <c r="WEK583" s="1"/>
      <c r="WEL583" s="1"/>
      <c r="WEM583" s="1"/>
      <c r="WEN583" s="1"/>
      <c r="WEO583" s="1"/>
      <c r="WEP583" s="1"/>
      <c r="WEQ583" s="1"/>
      <c r="WER583" s="1"/>
      <c r="WES583" s="1"/>
      <c r="WET583" s="1"/>
      <c r="WEU583" s="1"/>
      <c r="WEV583" s="1"/>
      <c r="WEW583" s="1"/>
      <c r="WEX583" s="1"/>
      <c r="WEY583" s="1"/>
      <c r="WEZ583" s="1"/>
      <c r="WFA583" s="1"/>
      <c r="WFB583" s="1"/>
      <c r="WFC583" s="1"/>
      <c r="WFD583" s="1"/>
      <c r="WFE583" s="1"/>
      <c r="WFF583" s="1"/>
      <c r="WFG583" s="1"/>
      <c r="WFH583" s="1"/>
      <c r="WFI583" s="1"/>
      <c r="WFJ583" s="1"/>
      <c r="WFK583" s="1"/>
      <c r="WFL583" s="1"/>
      <c r="WFM583" s="1"/>
      <c r="WFN583" s="1"/>
      <c r="WFO583" s="1"/>
      <c r="WFP583" s="1"/>
      <c r="WFQ583" s="1"/>
      <c r="WFR583" s="1"/>
      <c r="WFS583" s="1"/>
      <c r="WFT583" s="1"/>
      <c r="WFU583" s="1"/>
      <c r="WFV583" s="1"/>
      <c r="WFW583" s="1"/>
      <c r="WFX583" s="1"/>
      <c r="WFY583" s="1"/>
      <c r="WFZ583" s="1"/>
      <c r="WGA583" s="1"/>
      <c r="WGB583" s="1"/>
      <c r="WGC583" s="1"/>
      <c r="WGD583" s="1"/>
      <c r="WGE583" s="1"/>
      <c r="WGF583" s="1"/>
      <c r="WGG583" s="1"/>
      <c r="WGH583" s="1"/>
      <c r="WGI583" s="1"/>
      <c r="WGJ583" s="1"/>
      <c r="WGK583" s="1"/>
      <c r="WGL583" s="1"/>
      <c r="WGM583" s="1"/>
      <c r="WGN583" s="1"/>
      <c r="WGO583" s="1"/>
      <c r="WGP583" s="1"/>
      <c r="WGQ583" s="1"/>
      <c r="WGR583" s="1"/>
      <c r="WGS583" s="1"/>
      <c r="WGT583" s="1"/>
      <c r="WGU583" s="1"/>
      <c r="WGV583" s="1"/>
      <c r="WGW583" s="1"/>
      <c r="WGX583" s="1"/>
      <c r="WGY583" s="1"/>
      <c r="WGZ583" s="1"/>
      <c r="WHA583" s="1"/>
      <c r="WHB583" s="1"/>
      <c r="WHC583" s="1"/>
      <c r="WHD583" s="1"/>
      <c r="WHE583" s="1"/>
      <c r="WHF583" s="1"/>
      <c r="WHG583" s="1"/>
      <c r="WHH583" s="1"/>
      <c r="WHI583" s="1"/>
      <c r="WHJ583" s="1"/>
      <c r="WHK583" s="1"/>
      <c r="WHL583" s="1"/>
      <c r="WHM583" s="1"/>
      <c r="WHN583" s="1"/>
      <c r="WHO583" s="1"/>
      <c r="WHP583" s="1"/>
      <c r="WHQ583" s="1"/>
      <c r="WHR583" s="1"/>
      <c r="WHS583" s="1"/>
      <c r="WHT583" s="1"/>
      <c r="WHU583" s="1"/>
      <c r="WHV583" s="1"/>
      <c r="WHW583" s="1"/>
      <c r="WHX583" s="1"/>
      <c r="WHY583" s="1"/>
      <c r="WHZ583" s="1"/>
      <c r="WIA583" s="1"/>
      <c r="WIB583" s="1"/>
      <c r="WIC583" s="1"/>
      <c r="WID583" s="1"/>
      <c r="WIE583" s="1"/>
      <c r="WIF583" s="1"/>
      <c r="WIG583" s="1"/>
      <c r="WIH583" s="1"/>
      <c r="WII583" s="1"/>
      <c r="WIJ583" s="1"/>
      <c r="WIK583" s="1"/>
      <c r="WIL583" s="1"/>
      <c r="WIM583" s="1"/>
      <c r="WIN583" s="1"/>
      <c r="WIO583" s="1"/>
      <c r="WIP583" s="1"/>
      <c r="WIQ583" s="1"/>
      <c r="WIR583" s="1"/>
      <c r="WIS583" s="1"/>
      <c r="WIT583" s="1"/>
      <c r="WIU583" s="1"/>
      <c r="WIV583" s="1"/>
      <c r="WIW583" s="1"/>
      <c r="WIX583" s="1"/>
      <c r="WIY583" s="1"/>
      <c r="WIZ583" s="1"/>
      <c r="WJA583" s="1"/>
      <c r="WJB583" s="1"/>
      <c r="WJC583" s="1"/>
      <c r="WJD583" s="1"/>
      <c r="WJE583" s="1"/>
      <c r="WJF583" s="1"/>
      <c r="WJG583" s="1"/>
      <c r="WJH583" s="1"/>
      <c r="WJI583" s="1"/>
      <c r="WJJ583" s="1"/>
      <c r="WJK583" s="1"/>
      <c r="WJL583" s="1"/>
      <c r="WJM583" s="1"/>
      <c r="WJN583" s="1"/>
      <c r="WJO583" s="1"/>
      <c r="WJP583" s="1"/>
      <c r="WJQ583" s="1"/>
      <c r="WJR583" s="1"/>
      <c r="WJS583" s="1"/>
      <c r="WJT583" s="1"/>
      <c r="WJU583" s="1"/>
      <c r="WJV583" s="1"/>
      <c r="WJW583" s="1"/>
      <c r="WJX583" s="1"/>
      <c r="WJY583" s="1"/>
      <c r="WJZ583" s="1"/>
      <c r="WKA583" s="1"/>
      <c r="WKB583" s="1"/>
      <c r="WKC583" s="1"/>
      <c r="WKD583" s="1"/>
      <c r="WKE583" s="1"/>
      <c r="WKF583" s="1"/>
      <c r="WKG583" s="1"/>
      <c r="WKH583" s="1"/>
      <c r="WKI583" s="1"/>
      <c r="WKJ583" s="1"/>
      <c r="WKK583" s="1"/>
      <c r="WKL583" s="1"/>
      <c r="WKM583" s="1"/>
      <c r="WKN583" s="1"/>
      <c r="WKO583" s="1"/>
      <c r="WKP583" s="1"/>
      <c r="WKQ583" s="1"/>
      <c r="WKR583" s="1"/>
      <c r="WKS583" s="1"/>
      <c r="WKT583" s="1"/>
      <c r="WKU583" s="1"/>
      <c r="WKV583" s="1"/>
      <c r="WKW583" s="1"/>
      <c r="WKX583" s="1"/>
      <c r="WKY583" s="1"/>
      <c r="WKZ583" s="1"/>
      <c r="WLA583" s="1"/>
      <c r="WLB583" s="1"/>
      <c r="WLC583" s="1"/>
      <c r="WLD583" s="1"/>
      <c r="WLE583" s="1"/>
      <c r="WLF583" s="1"/>
      <c r="WLG583" s="1"/>
      <c r="WLH583" s="1"/>
      <c r="WLI583" s="1"/>
      <c r="WLJ583" s="1"/>
      <c r="WLK583" s="1"/>
      <c r="WLL583" s="1"/>
      <c r="WLM583" s="1"/>
      <c r="WLN583" s="1"/>
      <c r="WLO583" s="1"/>
      <c r="WLP583" s="1"/>
      <c r="WLQ583" s="1"/>
      <c r="WLR583" s="1"/>
      <c r="WLS583" s="1"/>
      <c r="WLT583" s="1"/>
      <c r="WLU583" s="1"/>
      <c r="WLV583" s="1"/>
      <c r="WLW583" s="1"/>
      <c r="WLX583" s="1"/>
      <c r="WLY583" s="1"/>
      <c r="WLZ583" s="1"/>
      <c r="WMA583" s="1"/>
      <c r="WMB583" s="1"/>
      <c r="WMC583" s="1"/>
      <c r="WMD583" s="1"/>
      <c r="WME583" s="1"/>
      <c r="WMF583" s="1"/>
      <c r="WMG583" s="1"/>
      <c r="WMH583" s="1"/>
      <c r="WMI583" s="1"/>
      <c r="WMJ583" s="1"/>
      <c r="WMK583" s="1"/>
      <c r="WML583" s="1"/>
      <c r="WMM583" s="1"/>
      <c r="WMN583" s="1"/>
      <c r="WMO583" s="1"/>
      <c r="WMP583" s="1"/>
      <c r="WMQ583" s="1"/>
      <c r="WMR583" s="1"/>
      <c r="WMS583" s="1"/>
      <c r="WMT583" s="1"/>
      <c r="WMU583" s="1"/>
      <c r="WMV583" s="1"/>
      <c r="WMW583" s="1"/>
      <c r="WMX583" s="1"/>
      <c r="WMY583" s="1"/>
      <c r="WMZ583" s="1"/>
      <c r="WNA583" s="1"/>
      <c r="WNB583" s="1"/>
      <c r="WNC583" s="1"/>
      <c r="WND583" s="1"/>
      <c r="WNE583" s="1"/>
      <c r="WNF583" s="1"/>
      <c r="WNG583" s="1"/>
      <c r="WNH583" s="1"/>
      <c r="WNI583" s="1"/>
      <c r="WNJ583" s="1"/>
      <c r="WNK583" s="1"/>
      <c r="WNL583" s="1"/>
      <c r="WNM583" s="1"/>
      <c r="WNN583" s="1"/>
      <c r="WNO583" s="1"/>
      <c r="WNP583" s="1"/>
      <c r="WNQ583" s="1"/>
      <c r="WNR583" s="1"/>
      <c r="WNS583" s="1"/>
      <c r="WNT583" s="1"/>
      <c r="WNU583" s="1"/>
      <c r="WNV583" s="1"/>
      <c r="WNW583" s="1"/>
      <c r="WNX583" s="1"/>
      <c r="WNY583" s="1"/>
      <c r="WNZ583" s="1"/>
      <c r="WOA583" s="1"/>
      <c r="WOB583" s="1"/>
      <c r="WOC583" s="1"/>
      <c r="WOD583" s="1"/>
      <c r="WOE583" s="1"/>
      <c r="WOF583" s="1"/>
      <c r="WOG583" s="1"/>
      <c r="WOH583" s="1"/>
      <c r="WOI583" s="1"/>
      <c r="WOJ583" s="1"/>
      <c r="WOK583" s="1"/>
      <c r="WOL583" s="1"/>
      <c r="WOM583" s="1"/>
      <c r="WON583" s="1"/>
      <c r="WOO583" s="1"/>
      <c r="WOP583" s="1"/>
      <c r="WOQ583" s="1"/>
      <c r="WOR583" s="1"/>
      <c r="WOS583" s="1"/>
      <c r="WOT583" s="1"/>
      <c r="WOU583" s="1"/>
      <c r="WOV583" s="1"/>
      <c r="WOW583" s="1"/>
      <c r="WOX583" s="1"/>
      <c r="WOY583" s="1"/>
      <c r="WOZ583" s="1"/>
      <c r="WPA583" s="1"/>
      <c r="WPB583" s="1"/>
      <c r="WPC583" s="1"/>
      <c r="WPD583" s="1"/>
      <c r="WPE583" s="1"/>
      <c r="WPF583" s="1"/>
      <c r="WPG583" s="1"/>
      <c r="WPH583" s="1"/>
      <c r="WPI583" s="1"/>
      <c r="WPJ583" s="1"/>
      <c r="WPK583" s="1"/>
      <c r="WPL583" s="1"/>
      <c r="WPM583" s="1"/>
      <c r="WPN583" s="1"/>
      <c r="WPO583" s="1"/>
      <c r="WPP583" s="1"/>
      <c r="WPQ583" s="1"/>
      <c r="WPR583" s="1"/>
      <c r="WPS583" s="1"/>
      <c r="WPT583" s="1"/>
      <c r="WPU583" s="1"/>
      <c r="WPV583" s="1"/>
      <c r="WPW583" s="1"/>
      <c r="WPX583" s="1"/>
      <c r="WPY583" s="1"/>
      <c r="WPZ583" s="1"/>
      <c r="WQA583" s="1"/>
      <c r="WQB583" s="1"/>
      <c r="WQC583" s="1"/>
      <c r="WQD583" s="1"/>
      <c r="WQE583" s="1"/>
      <c r="WQF583" s="1"/>
      <c r="WQG583" s="1"/>
      <c r="WQH583" s="1"/>
      <c r="WQI583" s="1"/>
      <c r="WQJ583" s="1"/>
      <c r="WQK583" s="1"/>
      <c r="WQL583" s="1"/>
      <c r="WQM583" s="1"/>
      <c r="WQN583" s="1"/>
      <c r="WQO583" s="1"/>
      <c r="WQP583" s="1"/>
      <c r="WQQ583" s="1"/>
      <c r="WQR583" s="1"/>
      <c r="WQS583" s="1"/>
      <c r="WQT583" s="1"/>
      <c r="WQU583" s="1"/>
      <c r="WQV583" s="1"/>
      <c r="WQW583" s="1"/>
      <c r="WQX583" s="1"/>
      <c r="WQY583" s="1"/>
      <c r="WQZ583" s="1"/>
      <c r="WRA583" s="1"/>
      <c r="WRB583" s="1"/>
      <c r="WRC583" s="1"/>
      <c r="WRD583" s="1"/>
      <c r="WRE583" s="1"/>
      <c r="WRF583" s="1"/>
      <c r="WRG583" s="1"/>
      <c r="WRH583" s="1"/>
      <c r="WRI583" s="1"/>
      <c r="WRJ583" s="1"/>
      <c r="WRK583" s="1"/>
      <c r="WRL583" s="1"/>
      <c r="WRM583" s="1"/>
      <c r="WRN583" s="1"/>
      <c r="WRO583" s="1"/>
      <c r="WRP583" s="1"/>
      <c r="WRQ583" s="1"/>
      <c r="WRR583" s="1"/>
      <c r="WRS583" s="1"/>
      <c r="WRT583" s="1"/>
      <c r="WRU583" s="1"/>
      <c r="WRV583" s="1"/>
      <c r="WRW583" s="1"/>
      <c r="WRX583" s="1"/>
      <c r="WRY583" s="1"/>
      <c r="WRZ583" s="1"/>
      <c r="WSA583" s="1"/>
      <c r="WSB583" s="1"/>
      <c r="WSC583" s="1"/>
      <c r="WSD583" s="1"/>
      <c r="WSE583" s="1"/>
      <c r="WSF583" s="1"/>
      <c r="WSG583" s="1"/>
      <c r="WSH583" s="1"/>
      <c r="WSI583" s="1"/>
      <c r="WSJ583" s="1"/>
      <c r="WSK583" s="1"/>
      <c r="WSL583" s="1"/>
      <c r="WSM583" s="1"/>
      <c r="WSN583" s="1"/>
      <c r="WSO583" s="1"/>
      <c r="WSP583" s="1"/>
      <c r="WSQ583" s="1"/>
      <c r="WSR583" s="1"/>
      <c r="WSS583" s="1"/>
      <c r="WST583" s="1"/>
      <c r="WSU583" s="1"/>
      <c r="WSV583" s="1"/>
      <c r="WSW583" s="1"/>
      <c r="WSX583" s="1"/>
      <c r="WSY583" s="1"/>
      <c r="WSZ583" s="1"/>
      <c r="WTA583" s="1"/>
      <c r="WTB583" s="1"/>
      <c r="WTC583" s="1"/>
      <c r="WTD583" s="1"/>
      <c r="WTE583" s="1"/>
      <c r="WTF583" s="1"/>
      <c r="WTG583" s="1"/>
      <c r="WTH583" s="1"/>
      <c r="WTI583" s="1"/>
      <c r="WTJ583" s="1"/>
      <c r="WTK583" s="1"/>
      <c r="WTL583" s="1"/>
      <c r="WTM583" s="1"/>
      <c r="WTN583" s="1"/>
      <c r="WTO583" s="1"/>
      <c r="WTP583" s="1"/>
      <c r="WTQ583" s="1"/>
      <c r="WTR583" s="1"/>
      <c r="WTS583" s="1"/>
      <c r="WTT583" s="1"/>
      <c r="WTU583" s="1"/>
      <c r="WTV583" s="1"/>
      <c r="WTW583" s="1"/>
      <c r="WTX583" s="1"/>
      <c r="WTY583" s="1"/>
      <c r="WTZ583" s="1"/>
      <c r="WUA583" s="1"/>
      <c r="WUB583" s="1"/>
      <c r="WUC583" s="1"/>
      <c r="WUD583" s="1"/>
      <c r="WUE583" s="1"/>
      <c r="WUF583" s="1"/>
      <c r="WUG583" s="1"/>
      <c r="WUH583" s="1"/>
      <c r="WUI583" s="1"/>
      <c r="WUJ583" s="1"/>
      <c r="WUK583" s="1"/>
      <c r="WUL583" s="1"/>
      <c r="WUM583" s="1"/>
      <c r="WUN583" s="1"/>
      <c r="WUO583" s="1"/>
      <c r="WUP583" s="1"/>
      <c r="WUQ583" s="1"/>
      <c r="WUR583" s="1"/>
      <c r="WUS583" s="1"/>
      <c r="WUT583" s="1"/>
      <c r="WUU583" s="1"/>
      <c r="WUV583" s="1"/>
      <c r="WUW583" s="1"/>
      <c r="WUX583" s="1"/>
      <c r="WUY583" s="1"/>
      <c r="WUZ583" s="1"/>
      <c r="WVA583" s="1"/>
      <c r="WVB583" s="1"/>
      <c r="WVC583" s="1"/>
      <c r="WVD583" s="1"/>
      <c r="WVE583" s="1"/>
      <c r="WVF583" s="1"/>
      <c r="WVG583" s="1"/>
      <c r="WVH583" s="1"/>
      <c r="WVI583" s="1"/>
      <c r="WVJ583" s="1"/>
      <c r="WVK583" s="1"/>
      <c r="WVL583" s="1"/>
      <c r="WVM583" s="1"/>
      <c r="WVN583" s="1"/>
      <c r="WVO583" s="1"/>
      <c r="WVP583" s="1"/>
      <c r="WVQ583" s="1"/>
      <c r="WVR583" s="1"/>
      <c r="WVS583" s="1"/>
      <c r="WVT583" s="1"/>
      <c r="WVU583" s="1"/>
      <c r="WVV583" s="1"/>
      <c r="WVW583" s="1"/>
      <c r="WVX583" s="1"/>
      <c r="WVY583" s="1"/>
      <c r="WVZ583" s="1"/>
      <c r="WWA583" s="1"/>
      <c r="WWB583" s="1"/>
      <c r="WWC583" s="1"/>
      <c r="WWD583" s="1"/>
      <c r="WWE583" s="1"/>
      <c r="WWF583" s="1"/>
      <c r="WWG583" s="1"/>
      <c r="WWH583" s="1"/>
      <c r="WWI583" s="1"/>
      <c r="WWJ583" s="1"/>
      <c r="WWK583" s="1"/>
      <c r="WWL583" s="1"/>
      <c r="WWM583" s="1"/>
      <c r="WWN583" s="1"/>
      <c r="WWO583" s="1"/>
      <c r="WWP583" s="1"/>
      <c r="WWQ583" s="1"/>
      <c r="WWR583" s="1"/>
      <c r="WWS583" s="1"/>
      <c r="WWT583" s="1"/>
      <c r="WWU583" s="1"/>
      <c r="WWV583" s="1"/>
      <c r="WWW583" s="1"/>
      <c r="WWX583" s="1"/>
      <c r="WWY583" s="1"/>
      <c r="WWZ583" s="1"/>
      <c r="WXA583" s="1"/>
      <c r="WXB583" s="1"/>
      <c r="WXC583" s="1"/>
      <c r="WXD583" s="1"/>
      <c r="WXE583" s="1"/>
      <c r="WXF583" s="1"/>
      <c r="WXG583" s="1"/>
      <c r="WXH583" s="1"/>
      <c r="WXI583" s="1"/>
      <c r="WXJ583" s="1"/>
      <c r="WXK583" s="1"/>
      <c r="WXL583" s="1"/>
      <c r="WXM583" s="1"/>
      <c r="WXN583" s="1"/>
      <c r="WXO583" s="1"/>
      <c r="WXP583" s="1"/>
      <c r="WXQ583" s="1"/>
      <c r="WXR583" s="1"/>
      <c r="WXS583" s="1"/>
      <c r="WXT583" s="1"/>
      <c r="WXU583" s="1"/>
      <c r="WXV583" s="1"/>
      <c r="WXW583" s="1"/>
      <c r="WXX583" s="1"/>
      <c r="WXY583" s="1"/>
      <c r="WXZ583" s="1"/>
      <c r="WYA583" s="1"/>
      <c r="WYB583" s="1"/>
      <c r="WYC583" s="1"/>
      <c r="WYD583" s="1"/>
      <c r="WYE583" s="1"/>
      <c r="WYF583" s="1"/>
      <c r="WYG583" s="1"/>
      <c r="WYH583" s="1"/>
      <c r="WYI583" s="1"/>
      <c r="WYJ583" s="1"/>
      <c r="WYK583" s="1"/>
      <c r="WYL583" s="1"/>
      <c r="WYM583" s="1"/>
      <c r="WYN583" s="1"/>
      <c r="WYO583" s="1"/>
      <c r="WYP583" s="1"/>
      <c r="WYQ583" s="1"/>
      <c r="WYR583" s="1"/>
      <c r="WYS583" s="1"/>
      <c r="WYT583" s="1"/>
      <c r="WYU583" s="1"/>
      <c r="WYV583" s="1"/>
      <c r="WYW583" s="1"/>
      <c r="WYX583" s="1"/>
      <c r="WYY583" s="1"/>
      <c r="WYZ583" s="1"/>
      <c r="WZA583" s="1"/>
      <c r="WZB583" s="1"/>
      <c r="WZC583" s="1"/>
      <c r="WZD583" s="1"/>
      <c r="WZE583" s="1"/>
      <c r="WZF583" s="1"/>
      <c r="WZG583" s="1"/>
      <c r="WZH583" s="1"/>
      <c r="WZI583" s="1"/>
      <c r="WZJ583" s="1"/>
      <c r="WZK583" s="1"/>
      <c r="WZL583" s="1"/>
      <c r="WZM583" s="1"/>
      <c r="WZN583" s="1"/>
      <c r="WZO583" s="1"/>
      <c r="WZP583" s="1"/>
      <c r="WZQ583" s="1"/>
      <c r="WZR583" s="1"/>
      <c r="WZS583" s="1"/>
      <c r="WZT583" s="1"/>
      <c r="WZU583" s="1"/>
      <c r="WZV583" s="1"/>
      <c r="WZW583" s="1"/>
      <c r="WZX583" s="1"/>
      <c r="WZY583" s="1"/>
      <c r="WZZ583" s="1"/>
      <c r="XAA583" s="1"/>
      <c r="XAB583" s="1"/>
      <c r="XAC583" s="1"/>
      <c r="XAD583" s="1"/>
      <c r="XAE583" s="1"/>
      <c r="XAF583" s="1"/>
      <c r="XAG583" s="1"/>
      <c r="XAH583" s="1"/>
      <c r="XAI583" s="1"/>
      <c r="XAJ583" s="1"/>
      <c r="XAK583" s="1"/>
      <c r="XAL583" s="1"/>
      <c r="XAM583" s="1"/>
      <c r="XAN583" s="1"/>
      <c r="XAO583" s="1"/>
      <c r="XAP583" s="1"/>
      <c r="XAQ583" s="1"/>
      <c r="XAR583" s="1"/>
      <c r="XAS583" s="1"/>
      <c r="XAT583" s="1"/>
      <c r="XAU583" s="1"/>
      <c r="XAV583" s="1"/>
      <c r="XAW583" s="1"/>
      <c r="XAX583" s="1"/>
      <c r="XAY583" s="1"/>
      <c r="XAZ583" s="1"/>
      <c r="XBA583" s="1"/>
      <c r="XBB583" s="1"/>
      <c r="XBC583" s="1"/>
      <c r="XBD583" s="1"/>
      <c r="XBE583" s="1"/>
      <c r="XBF583" s="1"/>
      <c r="XBG583" s="1"/>
      <c r="XBH583" s="1"/>
      <c r="XBI583" s="1"/>
      <c r="XBJ583" s="1"/>
      <c r="XBK583" s="1"/>
      <c r="XBL583" s="1"/>
      <c r="XBM583" s="1"/>
      <c r="XBN583" s="1"/>
      <c r="XBO583" s="1"/>
      <c r="XBP583" s="1"/>
      <c r="XBQ583" s="1"/>
      <c r="XBR583" s="1"/>
      <c r="XBS583" s="1"/>
      <c r="XBT583" s="1"/>
      <c r="XBU583" s="1"/>
      <c r="XBV583" s="1"/>
      <c r="XBW583" s="1"/>
      <c r="XBX583" s="1"/>
      <c r="XBY583" s="1"/>
      <c r="XBZ583" s="1"/>
      <c r="XCA583" s="1"/>
      <c r="XCB583" s="1"/>
      <c r="XCC583" s="1"/>
      <c r="XCD583" s="1"/>
      <c r="XCE583" s="1"/>
      <c r="XCF583" s="1"/>
      <c r="XCG583" s="1"/>
      <c r="XCH583" s="1"/>
      <c r="XCI583" s="1"/>
      <c r="XCJ583" s="1"/>
      <c r="XCK583" s="1"/>
      <c r="XCL583" s="1"/>
      <c r="XCM583" s="1"/>
      <c r="XCN583" s="1"/>
      <c r="XCO583" s="1"/>
      <c r="XCP583" s="1"/>
      <c r="XCQ583" s="1"/>
      <c r="XCR583" s="1"/>
      <c r="XCS583" s="1"/>
      <c r="XCT583" s="1"/>
      <c r="XCU583" s="1"/>
      <c r="XCV583" s="1"/>
      <c r="XCW583" s="1"/>
      <c r="XCX583" s="1"/>
      <c r="XCY583" s="1"/>
      <c r="XCZ583" s="1"/>
      <c r="XDA583" s="1"/>
      <c r="XDB583" s="1"/>
      <c r="XDC583" s="1"/>
      <c r="XDD583" s="1"/>
      <c r="XDE583" s="1"/>
      <c r="XDF583" s="1"/>
      <c r="XDG583" s="1"/>
      <c r="XDH583" s="1"/>
      <c r="XDI583" s="1"/>
      <c r="XDJ583" s="1"/>
      <c r="XDK583" s="1"/>
      <c r="XDL583" s="1"/>
      <c r="XDM583" s="1"/>
      <c r="XDN583" s="1"/>
      <c r="XDO583" s="1"/>
      <c r="XDP583" s="1"/>
      <c r="XDQ583" s="1"/>
      <c r="XDR583" s="1"/>
      <c r="XDS583" s="1"/>
      <c r="XDT583" s="1"/>
      <c r="XDU583" s="1"/>
      <c r="XDV583" s="1"/>
      <c r="XDW583" s="1"/>
      <c r="XDX583" s="1"/>
      <c r="XDY583" s="1"/>
      <c r="XDZ583" s="1"/>
      <c r="XEA583" s="1"/>
      <c r="XEB583" s="1"/>
      <c r="XEC583" s="1"/>
      <c r="XED583" s="1"/>
      <c r="XEE583" s="1"/>
      <c r="XEF583" s="1"/>
      <c r="XEG583" s="1"/>
      <c r="XEH583" s="1"/>
      <c r="XEI583" s="1"/>
      <c r="XEJ583" s="1"/>
      <c r="XEK583" s="1"/>
      <c r="XEL583" s="1"/>
      <c r="XEM583" s="1"/>
      <c r="XEN583" s="1"/>
      <c r="XEO583" s="1"/>
      <c r="XEP583" s="1"/>
      <c r="XEQ583" s="1"/>
      <c r="XER583" s="1"/>
      <c r="XES583" s="1"/>
      <c r="XET583" s="1"/>
      <c r="XEU583" s="1"/>
      <c r="XEV583" s="1"/>
      <c r="XEW583" s="1"/>
    </row>
  </sheetData>
  <mergeCells count="3">
    <mergeCell ref="B16:C18"/>
    <mergeCell ref="A12:A13"/>
    <mergeCell ref="B12:C13"/>
  </mergeCells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>
    <tabColor rgb="FFFF0000"/>
    <pageSetUpPr fitToPage="1"/>
  </sheetPr>
  <dimension ref="A1:AM1338"/>
  <sheetViews>
    <sheetView showGridLines="0" zoomScale="80" zoomScaleNormal="80" workbookViewId="0">
      <pane xSplit="2" ySplit="18" topLeftCell="C19" activePane="bottomRight" state="frozen"/>
      <selection activeCell="L15" sqref="E15:L15"/>
      <selection pane="topRight" activeCell="L15" sqref="E15:L15"/>
      <selection pane="bottomLeft" activeCell="L15" sqref="E15:L15"/>
      <selection pane="bottomRight" activeCell="C19" sqref="C19"/>
    </sheetView>
  </sheetViews>
  <sheetFormatPr defaultColWidth="9.140625" defaultRowHeight="12.75" customHeight="1" outlineLevelRow="2" outlineLevelCol="1" x14ac:dyDescent="0.15"/>
  <cols>
    <col min="1" max="1" width="15.140625" style="1" customWidth="1"/>
    <col min="2" max="2" width="49.7109375" style="1" customWidth="1"/>
    <col min="3" max="9" width="13.140625" style="1" customWidth="1"/>
    <col min="10" max="10" width="14.85546875" style="1" customWidth="1"/>
    <col min="11" max="11" width="12.140625" style="1" customWidth="1"/>
    <col min="12" max="12" width="14.85546875" style="1" customWidth="1"/>
    <col min="13" max="13" width="16.7109375" style="1" customWidth="1"/>
    <col min="14" max="18" width="11.5703125" style="1" customWidth="1" outlineLevel="1"/>
    <col min="19" max="19" width="13.42578125" style="1" customWidth="1" outlineLevel="1"/>
    <col min="20" max="22" width="13" style="1" customWidth="1" outlineLevel="1"/>
    <col min="23" max="23" width="13" style="1" customWidth="1"/>
    <col min="24" max="26" width="13" style="1" customWidth="1" outlineLevel="1"/>
    <col min="27" max="27" width="13.42578125" style="1" customWidth="1" outlineLevel="1"/>
    <col min="28" max="28" width="9.28515625" style="1" customWidth="1" outlineLevel="1"/>
    <col min="29" max="29" width="12.7109375" style="1" customWidth="1" outlineLevel="1"/>
    <col min="30" max="31" width="9.28515625" style="1" customWidth="1" outlineLevel="1"/>
    <col min="32" max="32" width="12" style="1" customWidth="1" outlineLevel="1"/>
    <col min="33" max="33" width="12.7109375" style="1" customWidth="1"/>
    <col min="34" max="34" width="14.140625" style="1" customWidth="1" outlineLevel="1"/>
    <col min="35" max="35" width="11.85546875" style="1" customWidth="1" outlineLevel="1"/>
    <col min="36" max="36" width="10.5703125" style="1" customWidth="1"/>
    <col min="37" max="37" width="10" style="1" customWidth="1"/>
    <col min="38" max="38" width="10.7109375" style="1" bestFit="1" customWidth="1"/>
    <col min="39" max="41" width="9.7109375" style="1" bestFit="1" customWidth="1"/>
    <col min="42" max="43" width="9.140625" style="1"/>
    <col min="44" max="44" width="24" style="1" bestFit="1" customWidth="1"/>
    <col min="45" max="16384" width="9.140625" style="1"/>
  </cols>
  <sheetData>
    <row r="1" spans="1:39" ht="12.75" customHeight="1" outlineLevel="1" x14ac:dyDescent="0.15">
      <c r="C1" s="3"/>
      <c r="D1" s="3"/>
      <c r="E1" s="3"/>
      <c r="F1" s="3"/>
      <c r="G1" s="3"/>
      <c r="H1" s="3"/>
      <c r="I1" s="3"/>
      <c r="J1" s="3"/>
      <c r="M1" s="470" t="s">
        <v>3005</v>
      </c>
      <c r="N1" s="475">
        <v>72</v>
      </c>
      <c r="O1" s="475">
        <f>N1+1</f>
        <v>73</v>
      </c>
      <c r="P1" s="475">
        <f t="shared" ref="P1:AF2" si="0">O1+1</f>
        <v>74</v>
      </c>
      <c r="Q1" s="475">
        <f t="shared" si="0"/>
        <v>75</v>
      </c>
      <c r="R1" s="475">
        <f t="shared" si="0"/>
        <v>76</v>
      </c>
      <c r="S1" s="475">
        <f t="shared" si="0"/>
        <v>77</v>
      </c>
      <c r="T1" s="475">
        <f t="shared" si="0"/>
        <v>78</v>
      </c>
      <c r="U1" s="475">
        <f t="shared" si="0"/>
        <v>79</v>
      </c>
      <c r="V1" s="475">
        <f t="shared" si="0"/>
        <v>80</v>
      </c>
      <c r="W1" s="475">
        <f t="shared" si="0"/>
        <v>81</v>
      </c>
      <c r="X1" s="475">
        <f t="shared" si="0"/>
        <v>82</v>
      </c>
      <c r="Y1" s="475">
        <f t="shared" si="0"/>
        <v>83</v>
      </c>
      <c r="Z1" s="475">
        <f t="shared" si="0"/>
        <v>84</v>
      </c>
      <c r="AA1" s="475">
        <f t="shared" si="0"/>
        <v>85</v>
      </c>
      <c r="AB1" s="475">
        <f t="shared" si="0"/>
        <v>86</v>
      </c>
      <c r="AC1" s="475">
        <f t="shared" si="0"/>
        <v>87</v>
      </c>
      <c r="AD1" s="475">
        <f t="shared" si="0"/>
        <v>88</v>
      </c>
      <c r="AE1" s="475">
        <f t="shared" si="0"/>
        <v>89</v>
      </c>
      <c r="AF1" s="476">
        <f t="shared" si="0"/>
        <v>90</v>
      </c>
    </row>
    <row r="2" spans="1:39" ht="12.75" customHeight="1" outlineLevel="1" x14ac:dyDescent="0.15">
      <c r="C2" s="3">
        <v>253014197.65295303</v>
      </c>
      <c r="D2" s="3">
        <v>208242988.62641209</v>
      </c>
      <c r="E2" s="3">
        <v>134946009.47033244</v>
      </c>
      <c r="F2" s="3">
        <v>73302810.293598846</v>
      </c>
      <c r="G2" s="3">
        <v>92714543.425860599</v>
      </c>
      <c r="H2" s="3">
        <v>109254729.4370591</v>
      </c>
      <c r="I2" s="3">
        <v>174726836.27298212</v>
      </c>
      <c r="J2" s="3">
        <v>1046202115.1791983</v>
      </c>
      <c r="M2" s="477" t="s">
        <v>3004</v>
      </c>
      <c r="N2" s="475">
        <v>3</v>
      </c>
      <c r="O2" s="475">
        <f>N2+1</f>
        <v>4</v>
      </c>
      <c r="P2" s="475">
        <f t="shared" si="0"/>
        <v>5</v>
      </c>
      <c r="Q2" s="475">
        <f t="shared" si="0"/>
        <v>6</v>
      </c>
      <c r="R2" s="475">
        <f t="shared" si="0"/>
        <v>7</v>
      </c>
      <c r="S2" s="475">
        <f t="shared" si="0"/>
        <v>8</v>
      </c>
      <c r="T2" s="475">
        <f t="shared" si="0"/>
        <v>9</v>
      </c>
      <c r="U2" s="475">
        <f t="shared" si="0"/>
        <v>10</v>
      </c>
      <c r="V2" s="475">
        <f t="shared" si="0"/>
        <v>11</v>
      </c>
      <c r="W2" s="475">
        <f t="shared" si="0"/>
        <v>12</v>
      </c>
      <c r="X2" s="475">
        <f t="shared" si="0"/>
        <v>13</v>
      </c>
      <c r="Y2" s="475">
        <f t="shared" si="0"/>
        <v>14</v>
      </c>
      <c r="Z2" s="475">
        <f t="shared" si="0"/>
        <v>15</v>
      </c>
      <c r="AA2" s="475">
        <f t="shared" si="0"/>
        <v>16</v>
      </c>
      <c r="AB2" s="475">
        <f t="shared" si="0"/>
        <v>17</v>
      </c>
      <c r="AC2" s="475">
        <f t="shared" si="0"/>
        <v>18</v>
      </c>
      <c r="AD2" s="475">
        <f t="shared" si="0"/>
        <v>19</v>
      </c>
      <c r="AE2" s="475">
        <f t="shared" si="0"/>
        <v>20</v>
      </c>
      <c r="AF2" s="476">
        <f t="shared" si="0"/>
        <v>21</v>
      </c>
    </row>
    <row r="3" spans="1:39" ht="12.75" customHeight="1" outlineLevel="1" x14ac:dyDescent="0.15">
      <c r="C3" s="3">
        <f>C2-C15</f>
        <v>0</v>
      </c>
      <c r="D3" s="3">
        <f t="shared" ref="D3:J3" si="1">D2-D15</f>
        <v>0</v>
      </c>
      <c r="E3" s="3">
        <f t="shared" si="1"/>
        <v>0</v>
      </c>
      <c r="F3" s="3">
        <f t="shared" si="1"/>
        <v>0</v>
      </c>
      <c r="G3" s="3">
        <f t="shared" si="1"/>
        <v>0</v>
      </c>
      <c r="H3" s="3">
        <f t="shared" si="1"/>
        <v>0</v>
      </c>
      <c r="I3" s="3">
        <f t="shared" si="1"/>
        <v>0</v>
      </c>
      <c r="J3" s="3">
        <f t="shared" si="1"/>
        <v>0</v>
      </c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</row>
    <row r="4" spans="1:39" ht="63" outlineLevel="1" x14ac:dyDescent="0.15">
      <c r="B4" s="616" t="s">
        <v>3062</v>
      </c>
      <c r="N4" s="35" t="s">
        <v>1031</v>
      </c>
      <c r="O4" s="35" t="s">
        <v>1032</v>
      </c>
      <c r="P4" s="35" t="s">
        <v>1033</v>
      </c>
      <c r="Q4" s="35" t="s">
        <v>1034</v>
      </c>
      <c r="R4" s="35" t="s">
        <v>1035</v>
      </c>
      <c r="S4" s="35" t="s">
        <v>854</v>
      </c>
      <c r="T4" s="35" t="s">
        <v>1036</v>
      </c>
      <c r="U4" s="35" t="s">
        <v>1037</v>
      </c>
      <c r="V4" s="35" t="s">
        <v>41</v>
      </c>
      <c r="W4" s="35" t="s">
        <v>1038</v>
      </c>
      <c r="X4" s="35" t="s">
        <v>1039</v>
      </c>
      <c r="Y4" s="35" t="s">
        <v>1040</v>
      </c>
      <c r="Z4" s="35" t="s">
        <v>1041</v>
      </c>
      <c r="AA4" s="35" t="s">
        <v>1042</v>
      </c>
      <c r="AB4" s="35" t="s">
        <v>1043</v>
      </c>
      <c r="AC4" s="35" t="s">
        <v>1044</v>
      </c>
      <c r="AD4" s="35" t="s">
        <v>1045</v>
      </c>
      <c r="AE4" s="35" t="s">
        <v>1046</v>
      </c>
      <c r="AF4" s="36" t="s">
        <v>1047</v>
      </c>
    </row>
    <row r="5" spans="1:39" ht="12.75" hidden="1" customHeight="1" outlineLevel="2" x14ac:dyDescent="0.15">
      <c r="B5" s="1">
        <v>2014</v>
      </c>
      <c r="C5" s="65"/>
      <c r="D5" s="65"/>
      <c r="E5" s="65"/>
      <c r="F5" s="65"/>
      <c r="G5" s="65"/>
      <c r="H5" s="65"/>
      <c r="I5" s="65"/>
      <c r="J5" s="64">
        <f>SUM(C5:I5)</f>
        <v>0</v>
      </c>
      <c r="K5" s="3"/>
      <c r="L5" s="3"/>
      <c r="M5" s="26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</row>
    <row r="6" spans="1:39" ht="12.75" hidden="1" customHeight="1" outlineLevel="2" x14ac:dyDescent="0.15">
      <c r="B6" s="1">
        <v>2015</v>
      </c>
      <c r="C6" s="65"/>
      <c r="D6" s="65"/>
      <c r="E6" s="65"/>
      <c r="F6" s="65"/>
      <c r="G6" s="65"/>
      <c r="H6" s="65"/>
      <c r="I6" s="65"/>
      <c r="J6" s="64">
        <f>SUM(C6:I6)</f>
        <v>0</v>
      </c>
      <c r="K6" s="3"/>
      <c r="L6" s="3"/>
      <c r="M6" s="26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</row>
    <row r="7" spans="1:39" ht="12.75" hidden="1" customHeight="1" outlineLevel="2" x14ac:dyDescent="0.15">
      <c r="B7" s="1">
        <v>2016</v>
      </c>
      <c r="J7" s="3"/>
      <c r="K7" s="3"/>
      <c r="L7" s="3"/>
      <c r="M7" s="26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</row>
    <row r="8" spans="1:39" ht="12.75" customHeight="1" outlineLevel="1" collapsed="1" x14ac:dyDescent="0.15">
      <c r="B8" s="1">
        <v>2017</v>
      </c>
      <c r="C8" s="3">
        <f>SUM(N8:AF8)</f>
        <v>253014197.65295303</v>
      </c>
      <c r="J8" s="3">
        <f t="shared" ref="J8:J14" si="2">SUM(C8:I8)</f>
        <v>253014197.65295303</v>
      </c>
      <c r="K8" s="3"/>
      <c r="L8" s="3"/>
      <c r="M8" s="26" t="s">
        <v>2279</v>
      </c>
      <c r="N8" s="3">
        <f t="shared" ref="N8:AF8" si="3">SUMPRODUCT(N$19:N$400,$C$19:$C$400)</f>
        <v>882161.42547310784</v>
      </c>
      <c r="O8" s="3">
        <f t="shared" si="3"/>
        <v>5812520.0606823331</v>
      </c>
      <c r="P8" s="3">
        <f t="shared" si="3"/>
        <v>17706832.955044974</v>
      </c>
      <c r="Q8" s="3">
        <f t="shared" si="3"/>
        <v>19309173.990179036</v>
      </c>
      <c r="R8" s="3">
        <f t="shared" si="3"/>
        <v>11304944.319708867</v>
      </c>
      <c r="S8" s="3">
        <f t="shared" si="3"/>
        <v>1622845.8896949212</v>
      </c>
      <c r="T8" s="3">
        <f t="shared" si="3"/>
        <v>4798073.5605480485</v>
      </c>
      <c r="U8" s="3">
        <f t="shared" si="3"/>
        <v>2618989.2316748854</v>
      </c>
      <c r="V8" s="3">
        <f t="shared" si="3"/>
        <v>0</v>
      </c>
      <c r="W8" s="3">
        <f t="shared" si="3"/>
        <v>84817168.041406855</v>
      </c>
      <c r="X8" s="3">
        <f t="shared" si="3"/>
        <v>4257231.8151428308</v>
      </c>
      <c r="Y8" s="3">
        <f t="shared" si="3"/>
        <v>21161424.360781681</v>
      </c>
      <c r="Z8" s="3">
        <f t="shared" si="3"/>
        <v>1873938.7341454036</v>
      </c>
      <c r="AA8" s="3">
        <f t="shared" si="3"/>
        <v>0</v>
      </c>
      <c r="AB8" s="3">
        <f t="shared" si="3"/>
        <v>49415352.129640579</v>
      </c>
      <c r="AC8" s="3">
        <f t="shared" si="3"/>
        <v>5854697.8828976238</v>
      </c>
      <c r="AD8" s="3">
        <f t="shared" si="3"/>
        <v>3298584.6753248232</v>
      </c>
      <c r="AE8" s="3">
        <f t="shared" si="3"/>
        <v>0</v>
      </c>
      <c r="AF8" s="3">
        <f t="shared" si="3"/>
        <v>18280258.580607049</v>
      </c>
      <c r="AG8" s="3">
        <f t="shared" ref="AG8:AG14" si="4">SUM(N8:AF8)</f>
        <v>253014197.65295303</v>
      </c>
    </row>
    <row r="9" spans="1:39" ht="12.75" customHeight="1" outlineLevel="1" x14ac:dyDescent="0.15">
      <c r="B9" s="1">
        <v>2018</v>
      </c>
      <c r="D9" s="3">
        <f>SUM(N9:AF9)</f>
        <v>208242988.62641209</v>
      </c>
      <c r="J9" s="3">
        <f t="shared" si="2"/>
        <v>208242988.62641209</v>
      </c>
      <c r="K9" s="3"/>
      <c r="L9" s="3"/>
      <c r="M9" s="26" t="s">
        <v>2280</v>
      </c>
      <c r="N9" s="3">
        <f t="shared" ref="N9:AF9" si="5">SUMPRODUCT(N$19:N$400,$D$19:$D$400)</f>
        <v>5213041.5989486352</v>
      </c>
      <c r="O9" s="3">
        <f t="shared" si="5"/>
        <v>1769946.4410940083</v>
      </c>
      <c r="P9" s="3">
        <f t="shared" si="5"/>
        <v>8741064.1448686402</v>
      </c>
      <c r="Q9" s="3">
        <f t="shared" si="5"/>
        <v>17670996.159014039</v>
      </c>
      <c r="R9" s="3">
        <f t="shared" si="5"/>
        <v>87235.867166401906</v>
      </c>
      <c r="S9" s="3">
        <f t="shared" si="5"/>
        <v>9639.8485611904089</v>
      </c>
      <c r="T9" s="3">
        <f t="shared" si="5"/>
        <v>0</v>
      </c>
      <c r="U9" s="3">
        <f t="shared" si="5"/>
        <v>6768811.9879039051</v>
      </c>
      <c r="V9" s="3">
        <f t="shared" si="5"/>
        <v>0</v>
      </c>
      <c r="W9" s="3">
        <f t="shared" si="5"/>
        <v>49577880.977195978</v>
      </c>
      <c r="X9" s="3">
        <f t="shared" si="5"/>
        <v>1880672.6263896469</v>
      </c>
      <c r="Y9" s="3">
        <f t="shared" si="5"/>
        <v>11821795.925331602</v>
      </c>
      <c r="Z9" s="3">
        <f t="shared" si="5"/>
        <v>433341.00292704802</v>
      </c>
      <c r="AA9" s="3">
        <f t="shared" si="5"/>
        <v>0</v>
      </c>
      <c r="AB9" s="3">
        <f t="shared" si="5"/>
        <v>25556826.943883181</v>
      </c>
      <c r="AC9" s="3">
        <f t="shared" si="5"/>
        <v>15008062.689809881</v>
      </c>
      <c r="AD9" s="3">
        <f t="shared" si="5"/>
        <v>3745740.7818627055</v>
      </c>
      <c r="AE9" s="3">
        <f t="shared" si="5"/>
        <v>0</v>
      </c>
      <c r="AF9" s="3">
        <f t="shared" si="5"/>
        <v>59957931.631455213</v>
      </c>
      <c r="AG9" s="3">
        <f t="shared" si="4"/>
        <v>208242988.62641209</v>
      </c>
    </row>
    <row r="10" spans="1:39" ht="12.75" customHeight="1" outlineLevel="1" x14ac:dyDescent="0.15">
      <c r="B10" s="1">
        <v>2019</v>
      </c>
      <c r="E10" s="3">
        <f>SUM(N10:AF10)</f>
        <v>134946009.47033244</v>
      </c>
      <c r="J10" s="3">
        <f t="shared" si="2"/>
        <v>134946009.47033244</v>
      </c>
      <c r="K10" s="3"/>
      <c r="L10" s="3"/>
      <c r="M10" s="26" t="s">
        <v>2281</v>
      </c>
      <c r="N10" s="3">
        <f t="shared" ref="N10:AF10" si="6">SUMPRODUCT(N$19:N$400,$E$19:$E$400)</f>
        <v>2155806.4591044337</v>
      </c>
      <c r="O10" s="3">
        <f t="shared" si="6"/>
        <v>11960820.332234353</v>
      </c>
      <c r="P10" s="3">
        <f t="shared" si="6"/>
        <v>22824943.470203388</v>
      </c>
      <c r="Q10" s="3">
        <f t="shared" si="6"/>
        <v>25234975.12085554</v>
      </c>
      <c r="R10" s="3">
        <f t="shared" si="6"/>
        <v>14381.213166630947</v>
      </c>
      <c r="S10" s="3">
        <f t="shared" si="6"/>
        <v>188630.36564093211</v>
      </c>
      <c r="T10" s="3">
        <f t="shared" si="6"/>
        <v>1717767.267565242</v>
      </c>
      <c r="U10" s="3">
        <f t="shared" si="6"/>
        <v>557167.93549827428</v>
      </c>
      <c r="V10" s="3">
        <f t="shared" si="6"/>
        <v>0</v>
      </c>
      <c r="W10" s="3">
        <f t="shared" si="6"/>
        <v>22431819.860214144</v>
      </c>
      <c r="X10" s="3">
        <f t="shared" si="6"/>
        <v>1149704.5259577967</v>
      </c>
      <c r="Y10" s="3">
        <f t="shared" si="6"/>
        <v>19446095.369768087</v>
      </c>
      <c r="Z10" s="3">
        <f t="shared" si="6"/>
        <v>203090.49980068646</v>
      </c>
      <c r="AA10" s="3">
        <f t="shared" si="6"/>
        <v>0</v>
      </c>
      <c r="AB10" s="3">
        <f t="shared" si="6"/>
        <v>21471907.520603523</v>
      </c>
      <c r="AC10" s="3">
        <f t="shared" si="6"/>
        <v>1042880.6293630921</v>
      </c>
      <c r="AD10" s="3">
        <f t="shared" si="6"/>
        <v>582467.11425771657</v>
      </c>
      <c r="AE10" s="3">
        <f t="shared" si="6"/>
        <v>0</v>
      </c>
      <c r="AF10" s="3">
        <f t="shared" si="6"/>
        <v>3963551.7860986204</v>
      </c>
      <c r="AG10" s="3">
        <f t="shared" si="4"/>
        <v>134946009.47033244</v>
      </c>
    </row>
    <row r="11" spans="1:39" ht="12.75" customHeight="1" outlineLevel="1" x14ac:dyDescent="0.15">
      <c r="B11" s="1">
        <v>2020</v>
      </c>
      <c r="F11" s="3">
        <f>SUM(N11:AF11)</f>
        <v>73302810.293598846</v>
      </c>
      <c r="J11" s="3">
        <f t="shared" si="2"/>
        <v>73302810.293598846</v>
      </c>
      <c r="K11" s="3"/>
      <c r="L11" s="3"/>
      <c r="M11" s="26" t="s">
        <v>2282</v>
      </c>
      <c r="N11" s="3">
        <f t="shared" ref="N11:AF11" si="7">SUMPRODUCT(N$19:N$400,$F$19:$F$400)</f>
        <v>633990.26489526802</v>
      </c>
      <c r="O11" s="3">
        <f t="shared" si="7"/>
        <v>1315933.8635944161</v>
      </c>
      <c r="P11" s="3">
        <f t="shared" si="7"/>
        <v>14550912.835059691</v>
      </c>
      <c r="Q11" s="3">
        <f t="shared" si="7"/>
        <v>9023563.366114391</v>
      </c>
      <c r="R11" s="3">
        <f t="shared" si="7"/>
        <v>0</v>
      </c>
      <c r="S11" s="3">
        <f t="shared" si="7"/>
        <v>110142.13181699665</v>
      </c>
      <c r="T11" s="3">
        <f t="shared" si="7"/>
        <v>0</v>
      </c>
      <c r="U11" s="3">
        <f t="shared" si="7"/>
        <v>2160489.2623887155</v>
      </c>
      <c r="V11" s="3">
        <f t="shared" si="7"/>
        <v>0</v>
      </c>
      <c r="W11" s="3">
        <f t="shared" si="7"/>
        <v>8287801.1461694594</v>
      </c>
      <c r="X11" s="3">
        <f t="shared" si="7"/>
        <v>156905.03156035769</v>
      </c>
      <c r="Y11" s="3">
        <f t="shared" si="7"/>
        <v>15736720.635485407</v>
      </c>
      <c r="Z11" s="3">
        <f t="shared" si="7"/>
        <v>220284.26361425949</v>
      </c>
      <c r="AA11" s="3">
        <f t="shared" si="7"/>
        <v>0</v>
      </c>
      <c r="AB11" s="3">
        <f t="shared" si="7"/>
        <v>10503192.769880839</v>
      </c>
      <c r="AC11" s="3">
        <f t="shared" si="7"/>
        <v>233848.73793226818</v>
      </c>
      <c r="AD11" s="3">
        <f t="shared" si="7"/>
        <v>0</v>
      </c>
      <c r="AE11" s="3">
        <f t="shared" si="7"/>
        <v>0</v>
      </c>
      <c r="AF11" s="3">
        <f t="shared" si="7"/>
        <v>10369025.985086767</v>
      </c>
      <c r="AG11" s="3">
        <f t="shared" si="4"/>
        <v>73302810.293598846</v>
      </c>
    </row>
    <row r="12" spans="1:39" ht="12.75" customHeight="1" outlineLevel="1" x14ac:dyDescent="0.15">
      <c r="B12" s="1">
        <v>2021</v>
      </c>
      <c r="G12" s="3">
        <f>SUM(N12:AF12)</f>
        <v>92714543.425860599</v>
      </c>
      <c r="J12" s="3">
        <f t="shared" si="2"/>
        <v>92714543.425860599</v>
      </c>
      <c r="K12" s="3"/>
      <c r="L12" s="3"/>
      <c r="M12" s="26" t="s">
        <v>2283</v>
      </c>
      <c r="N12" s="3">
        <f t="shared" ref="N12:AF12" si="8">SUMPRODUCT(N$19:N$400,$G$19:$G$400)</f>
        <v>1109697.6981096794</v>
      </c>
      <c r="O12" s="3">
        <f t="shared" si="8"/>
        <v>825600.26147728483</v>
      </c>
      <c r="P12" s="3">
        <f t="shared" si="8"/>
        <v>3793904.54705386</v>
      </c>
      <c r="Q12" s="3">
        <f t="shared" si="8"/>
        <v>14113021.274931196</v>
      </c>
      <c r="R12" s="3">
        <f t="shared" si="8"/>
        <v>0</v>
      </c>
      <c r="S12" s="3">
        <f t="shared" si="8"/>
        <v>45026.905837022277</v>
      </c>
      <c r="T12" s="3">
        <f t="shared" si="8"/>
        <v>0</v>
      </c>
      <c r="U12" s="3">
        <f t="shared" si="8"/>
        <v>535353.00377285003</v>
      </c>
      <c r="V12" s="3">
        <f t="shared" si="8"/>
        <v>0</v>
      </c>
      <c r="W12" s="3">
        <f t="shared" si="8"/>
        <v>22026268.087551333</v>
      </c>
      <c r="X12" s="3">
        <f t="shared" si="8"/>
        <v>216756.91491082791</v>
      </c>
      <c r="Y12" s="3">
        <f t="shared" si="8"/>
        <v>10207347.920693949</v>
      </c>
      <c r="Z12" s="3">
        <f t="shared" si="8"/>
        <v>3280978.6199169732</v>
      </c>
      <c r="AA12" s="3">
        <f t="shared" si="8"/>
        <v>0</v>
      </c>
      <c r="AB12" s="3">
        <f t="shared" si="8"/>
        <v>13571502.534254957</v>
      </c>
      <c r="AC12" s="3">
        <f t="shared" si="8"/>
        <v>696838.03410445107</v>
      </c>
      <c r="AD12" s="3">
        <f t="shared" si="8"/>
        <v>24203.765558937881</v>
      </c>
      <c r="AE12" s="3">
        <f t="shared" si="8"/>
        <v>0</v>
      </c>
      <c r="AF12" s="3">
        <f t="shared" si="8"/>
        <v>22268043.857687261</v>
      </c>
      <c r="AG12" s="3">
        <f t="shared" si="4"/>
        <v>92714543.425860599</v>
      </c>
    </row>
    <row r="13" spans="1:39" ht="12.75" customHeight="1" outlineLevel="1" x14ac:dyDescent="0.15">
      <c r="B13" s="1">
        <v>2022</v>
      </c>
      <c r="H13" s="3">
        <f>SUM(N13:AF13)</f>
        <v>109254729.4370591</v>
      </c>
      <c r="J13" s="3">
        <f t="shared" si="2"/>
        <v>109254729.4370591</v>
      </c>
      <c r="K13" s="3"/>
      <c r="L13" s="3"/>
      <c r="M13" s="26" t="s">
        <v>2284</v>
      </c>
      <c r="N13" s="3">
        <f>SUMPRODUCT(N$19:N$400,$H$19:$H$400)</f>
        <v>1083385.7151859379</v>
      </c>
      <c r="O13" s="3">
        <f t="shared" ref="O13:AF13" si="9">SUMPRODUCT(O$19:O$400,$H$19:$H$400)</f>
        <v>3113624.9900310198</v>
      </c>
      <c r="P13" s="3">
        <f t="shared" si="9"/>
        <v>1963820.7101249278</v>
      </c>
      <c r="Q13" s="3">
        <f t="shared" si="9"/>
        <v>9991172.4632615969</v>
      </c>
      <c r="R13" s="3">
        <f t="shared" si="9"/>
        <v>0</v>
      </c>
      <c r="S13" s="3">
        <f t="shared" si="9"/>
        <v>0</v>
      </c>
      <c r="T13" s="3">
        <f t="shared" si="9"/>
        <v>0</v>
      </c>
      <c r="U13" s="3">
        <f t="shared" si="9"/>
        <v>3939790.1810788447</v>
      </c>
      <c r="V13" s="3">
        <f t="shared" si="9"/>
        <v>0</v>
      </c>
      <c r="W13" s="3">
        <f t="shared" si="9"/>
        <v>5581836.2496111346</v>
      </c>
      <c r="X13" s="3">
        <f t="shared" si="9"/>
        <v>2211448.4998219246</v>
      </c>
      <c r="Y13" s="3">
        <f t="shared" si="9"/>
        <v>377811.89958706754</v>
      </c>
      <c r="Z13" s="3">
        <f t="shared" si="9"/>
        <v>174721.46845743907</v>
      </c>
      <c r="AA13" s="3">
        <f t="shared" si="9"/>
        <v>0</v>
      </c>
      <c r="AB13" s="3">
        <f t="shared" si="9"/>
        <v>6238583.3666177616</v>
      </c>
      <c r="AC13" s="3">
        <f t="shared" si="9"/>
        <v>10446821.128471749</v>
      </c>
      <c r="AD13" s="3">
        <f t="shared" si="9"/>
        <v>13736.106338931642</v>
      </c>
      <c r="AE13" s="3">
        <f t="shared" si="9"/>
        <v>0</v>
      </c>
      <c r="AF13" s="3">
        <f t="shared" si="9"/>
        <v>64117976.658470765</v>
      </c>
      <c r="AG13" s="3">
        <f t="shared" si="4"/>
        <v>109254729.4370591</v>
      </c>
    </row>
    <row r="14" spans="1:39" ht="12.75" customHeight="1" outlineLevel="1" x14ac:dyDescent="0.15">
      <c r="B14" s="1">
        <v>2023</v>
      </c>
      <c r="I14" s="3">
        <f>SUM(N14:AF14)</f>
        <v>174726836.27298212</v>
      </c>
      <c r="J14" s="3">
        <f t="shared" si="2"/>
        <v>174726836.27298212</v>
      </c>
      <c r="K14" s="3"/>
      <c r="L14" s="3"/>
      <c r="M14" s="26" t="s">
        <v>2285</v>
      </c>
      <c r="N14" s="3">
        <f>SUMPRODUCT(N$19:N$400,$I$19:$I$400)</f>
        <v>130565.15184265991</v>
      </c>
      <c r="O14" s="3">
        <f t="shared" ref="O14:AF14" si="10">SUMPRODUCT(O$19:O$400,$I$19:$I$400)</f>
        <v>55210.571364142641</v>
      </c>
      <c r="P14" s="3">
        <f t="shared" si="10"/>
        <v>10513875.825266572</v>
      </c>
      <c r="Q14" s="3">
        <f t="shared" si="10"/>
        <v>14012587.50433195</v>
      </c>
      <c r="R14" s="3">
        <f t="shared" si="10"/>
        <v>0</v>
      </c>
      <c r="S14" s="3">
        <f t="shared" si="10"/>
        <v>0</v>
      </c>
      <c r="T14" s="3">
        <f t="shared" si="10"/>
        <v>1804701.2553640637</v>
      </c>
      <c r="U14" s="3">
        <f t="shared" si="10"/>
        <v>2885454.963107917</v>
      </c>
      <c r="V14" s="3">
        <f t="shared" si="10"/>
        <v>0</v>
      </c>
      <c r="W14" s="3">
        <f t="shared" si="10"/>
        <v>31049951.933311582</v>
      </c>
      <c r="X14" s="3">
        <f t="shared" si="10"/>
        <v>0</v>
      </c>
      <c r="Y14" s="3">
        <f t="shared" si="10"/>
        <v>2161824.6442765202</v>
      </c>
      <c r="Z14" s="3">
        <f t="shared" si="10"/>
        <v>47806.826242625772</v>
      </c>
      <c r="AA14" s="3">
        <f t="shared" si="10"/>
        <v>0</v>
      </c>
      <c r="AB14" s="3">
        <f t="shared" si="10"/>
        <v>38062376.904520102</v>
      </c>
      <c r="AC14" s="3">
        <f t="shared" si="10"/>
        <v>157932.7669213948</v>
      </c>
      <c r="AD14" s="3">
        <f t="shared" si="10"/>
        <v>125291.08130799253</v>
      </c>
      <c r="AE14" s="3">
        <f t="shared" si="10"/>
        <v>0</v>
      </c>
      <c r="AF14" s="3">
        <f t="shared" si="10"/>
        <v>73719256.845124573</v>
      </c>
      <c r="AG14" s="3">
        <f t="shared" si="4"/>
        <v>174726836.27298212</v>
      </c>
    </row>
    <row r="15" spans="1:39" ht="10.5" outlineLevel="1" x14ac:dyDescent="0.15">
      <c r="A15" s="478" t="s">
        <v>22</v>
      </c>
      <c r="B15" s="1" t="s">
        <v>2634</v>
      </c>
      <c r="C15" s="3">
        <f t="shared" ref="C15:I15" si="11">SUM(C5:C14)</f>
        <v>253014197.65295303</v>
      </c>
      <c r="D15" s="3">
        <f t="shared" si="11"/>
        <v>208242988.62641209</v>
      </c>
      <c r="E15" s="3">
        <f t="shared" si="11"/>
        <v>134946009.47033244</v>
      </c>
      <c r="F15" s="3">
        <f t="shared" si="11"/>
        <v>73302810.293598846</v>
      </c>
      <c r="G15" s="3">
        <f t="shared" si="11"/>
        <v>92714543.425860599</v>
      </c>
      <c r="H15" s="3">
        <f t="shared" si="11"/>
        <v>109254729.4370591</v>
      </c>
      <c r="I15" s="3">
        <f t="shared" si="11"/>
        <v>174726836.27298212</v>
      </c>
      <c r="J15" s="3">
        <f>SUM(J7:J14)</f>
        <v>1046202115.1791983</v>
      </c>
      <c r="K15" s="3"/>
      <c r="L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>
        <f>SUBTOTAL(9,AG5:AG14)</f>
        <v>1046202115.1791983</v>
      </c>
    </row>
    <row r="16" spans="1:39" ht="12.75" customHeight="1" outlineLevel="1" x14ac:dyDescent="0.15">
      <c r="B16" s="38" t="s">
        <v>2264</v>
      </c>
      <c r="C16" s="3">
        <f>C15-MAX(C19:C400)</f>
        <v>0</v>
      </c>
      <c r="D16" s="3">
        <f t="shared" ref="D16:I16" si="12">D15-MAX(D19:D400)</f>
        <v>0</v>
      </c>
      <c r="E16" s="3">
        <f t="shared" si="12"/>
        <v>0</v>
      </c>
      <c r="F16" s="3">
        <f t="shared" si="12"/>
        <v>0</v>
      </c>
      <c r="G16" s="3">
        <f t="shared" si="12"/>
        <v>0</v>
      </c>
      <c r="H16" s="3">
        <f t="shared" si="12"/>
        <v>0</v>
      </c>
      <c r="I16" s="3">
        <f t="shared" si="12"/>
        <v>0</v>
      </c>
      <c r="J16" s="3"/>
      <c r="K16" s="3"/>
      <c r="L16" s="3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L16" s="3"/>
      <c r="AM16" s="3"/>
    </row>
    <row r="17" spans="1:33" ht="15" x14ac:dyDescent="0.25">
      <c r="A17" s="478" t="s">
        <v>2263</v>
      </c>
      <c r="C17" s="478" t="s">
        <v>1064</v>
      </c>
      <c r="K17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3"/>
    </row>
    <row r="18" spans="1:33" ht="63" x14ac:dyDescent="0.15">
      <c r="A18" s="479" t="s">
        <v>20</v>
      </c>
      <c r="B18" s="478" t="s">
        <v>21</v>
      </c>
      <c r="C18" s="39">
        <v>2017</v>
      </c>
      <c r="D18" s="39">
        <v>2018</v>
      </c>
      <c r="E18" s="39">
        <v>2019</v>
      </c>
      <c r="F18" s="39">
        <v>2020</v>
      </c>
      <c r="G18" s="39">
        <v>2021</v>
      </c>
      <c r="H18" s="39">
        <v>2022</v>
      </c>
      <c r="I18" s="39">
        <v>2023</v>
      </c>
      <c r="J18" s="39" t="s">
        <v>2262</v>
      </c>
      <c r="K18" s="40" t="s">
        <v>3008</v>
      </c>
      <c r="L18" s="39"/>
      <c r="M18" s="40" t="s">
        <v>2238</v>
      </c>
      <c r="N18" s="35" t="s">
        <v>1031</v>
      </c>
      <c r="O18" s="35" t="s">
        <v>1032</v>
      </c>
      <c r="P18" s="35" t="s">
        <v>1033</v>
      </c>
      <c r="Q18" s="35" t="s">
        <v>1034</v>
      </c>
      <c r="R18" s="35" t="s">
        <v>1035</v>
      </c>
      <c r="S18" s="35" t="s">
        <v>854</v>
      </c>
      <c r="T18" s="35" t="s">
        <v>1036</v>
      </c>
      <c r="U18" s="35" t="s">
        <v>1037</v>
      </c>
      <c r="V18" s="35" t="s">
        <v>41</v>
      </c>
      <c r="W18" s="35" t="s">
        <v>1038</v>
      </c>
      <c r="X18" s="35" t="s">
        <v>1039</v>
      </c>
      <c r="Y18" s="35" t="s">
        <v>1040</v>
      </c>
      <c r="Z18" s="35" t="s">
        <v>1041</v>
      </c>
      <c r="AA18" s="35" t="s">
        <v>1042</v>
      </c>
      <c r="AB18" s="35" t="s">
        <v>1043</v>
      </c>
      <c r="AC18" s="35" t="s">
        <v>1044</v>
      </c>
      <c r="AD18" s="35" t="s">
        <v>1045</v>
      </c>
      <c r="AE18" s="35" t="s">
        <v>1046</v>
      </c>
      <c r="AF18" s="36" t="s">
        <v>1047</v>
      </c>
      <c r="AG18" s="474" t="s">
        <v>639</v>
      </c>
    </row>
    <row r="19" spans="1:33" ht="10.5" x14ac:dyDescent="0.15">
      <c r="A19" s="1" t="s">
        <v>34</v>
      </c>
      <c r="B19" s="1" t="s">
        <v>35</v>
      </c>
      <c r="C19" s="3">
        <v>38884573.237126336</v>
      </c>
      <c r="D19" s="3"/>
      <c r="E19" s="3"/>
      <c r="F19" s="3"/>
      <c r="G19" s="3"/>
      <c r="H19" s="3"/>
      <c r="I19" s="3"/>
      <c r="J19" s="3">
        <v>38884573.237126336</v>
      </c>
      <c r="K19" s="26">
        <f>INDEX($C$18:$I$18,1,MATCH(J19,$C19:$I19,0))</f>
        <v>2017</v>
      </c>
      <c r="L19" s="78"/>
      <c r="M19" s="37">
        <f t="shared" ref="M19:M82" si="13">IF(ISNA(VLOOKUP($A19,Estimates,71,FALSE)),0,VLOOKUP($A19,Estimates,71,FALSE))</f>
        <v>26346858.324677039</v>
      </c>
      <c r="N19" s="31">
        <f t="shared" ref="N19:W28" si="14">IF(OR(LEFT($A19,1)="E",LEFT($A19,1)="Z"),IF($M19=0,VLOOKUP(MID($A19,4,5),ProjectSplits,N$2,FALSE),IF(ISNA(VLOOKUP($A19,Estimates,N$1,FALSE)),VLOOKUP(MID($A19,4,5),ProjectSplits,N$2,FALSE),VLOOKUP($A19,Estimates,N$1,FALSE))),0)</f>
        <v>0</v>
      </c>
      <c r="O19" s="31">
        <f t="shared" si="14"/>
        <v>4.5909214660884122E-2</v>
      </c>
      <c r="P19" s="31">
        <f t="shared" si="14"/>
        <v>3.1340458710143203E-2</v>
      </c>
      <c r="Q19" s="31">
        <f t="shared" si="14"/>
        <v>0</v>
      </c>
      <c r="R19" s="31">
        <f t="shared" si="14"/>
        <v>0</v>
      </c>
      <c r="S19" s="31">
        <f t="shared" si="14"/>
        <v>6.0728303173178009E-3</v>
      </c>
      <c r="T19" s="31">
        <f t="shared" si="14"/>
        <v>0</v>
      </c>
      <c r="U19" s="31">
        <f t="shared" si="14"/>
        <v>0</v>
      </c>
      <c r="V19" s="31">
        <f t="shared" si="14"/>
        <v>0</v>
      </c>
      <c r="W19" s="31">
        <f t="shared" si="14"/>
        <v>0.55817574703242634</v>
      </c>
      <c r="X19" s="31">
        <f t="shared" ref="X19:AF28" si="15">IF(OR(LEFT($A19,1)="E",LEFT($A19,1)="Z"),IF($M19=0,VLOOKUP(MID($A19,4,5),ProjectSplits,X$2,FALSE),IF(ISNA(VLOOKUP($A19,Estimates,X$1,FALSE)),VLOOKUP(MID($A19,4,5),ProjectSplits,X$2,FALSE),VLOOKUP($A19,Estimates,X$1,FALSE))),0)</f>
        <v>2.7160788041347264E-2</v>
      </c>
      <c r="Y19" s="31">
        <f t="shared" si="15"/>
        <v>0.18527269204316513</v>
      </c>
      <c r="Z19" s="31">
        <f t="shared" si="15"/>
        <v>2.2649759321720371E-2</v>
      </c>
      <c r="AA19" s="31">
        <f t="shared" si="15"/>
        <v>0</v>
      </c>
      <c r="AB19" s="31">
        <f t="shared" si="15"/>
        <v>8.5019624438218755E-2</v>
      </c>
      <c r="AC19" s="31">
        <f t="shared" si="15"/>
        <v>3.8398885434777243E-2</v>
      </c>
      <c r="AD19" s="31">
        <f t="shared" si="15"/>
        <v>0</v>
      </c>
      <c r="AE19" s="31">
        <f t="shared" si="15"/>
        <v>0</v>
      </c>
      <c r="AF19" s="31">
        <f t="shared" si="15"/>
        <v>0</v>
      </c>
      <c r="AG19" s="31">
        <f>SUM(N19:AF19)</f>
        <v>1.0000000000000002</v>
      </c>
    </row>
    <row r="20" spans="1:33" ht="10.5" x14ac:dyDescent="0.15">
      <c r="A20" s="1" t="s">
        <v>48</v>
      </c>
      <c r="B20" s="1" t="s">
        <v>49</v>
      </c>
      <c r="C20" s="3">
        <v>0</v>
      </c>
      <c r="D20" s="3"/>
      <c r="E20" s="3"/>
      <c r="F20" s="3"/>
      <c r="G20" s="3"/>
      <c r="H20" s="3"/>
      <c r="I20" s="3"/>
      <c r="J20" s="3">
        <v>0</v>
      </c>
      <c r="K20" s="26">
        <f t="shared" ref="K20:K83" si="16">INDEX($C$18:$I$18,1,MATCH(J20,$C20:$I20,0))</f>
        <v>2017</v>
      </c>
      <c r="L20" s="78"/>
      <c r="M20" s="37">
        <f t="shared" si="13"/>
        <v>0</v>
      </c>
      <c r="N20" s="31">
        <f t="shared" si="14"/>
        <v>0</v>
      </c>
      <c r="O20" s="31">
        <f t="shared" si="14"/>
        <v>2.6056158987752733E-2</v>
      </c>
      <c r="P20" s="31">
        <f t="shared" si="14"/>
        <v>9.1319062575419691E-2</v>
      </c>
      <c r="Q20" s="31">
        <f t="shared" si="14"/>
        <v>0</v>
      </c>
      <c r="R20" s="31">
        <f t="shared" si="14"/>
        <v>0</v>
      </c>
      <c r="S20" s="31">
        <f t="shared" si="14"/>
        <v>6.9881752971480568E-2</v>
      </c>
      <c r="T20" s="31">
        <f t="shared" si="14"/>
        <v>0</v>
      </c>
      <c r="U20" s="31">
        <f t="shared" si="14"/>
        <v>0</v>
      </c>
      <c r="V20" s="31">
        <f t="shared" si="14"/>
        <v>0</v>
      </c>
      <c r="W20" s="31">
        <f t="shared" si="14"/>
        <v>0.3525747905768124</v>
      </c>
      <c r="X20" s="31">
        <f t="shared" si="15"/>
        <v>5.263277289874322E-2</v>
      </c>
      <c r="Y20" s="31">
        <f t="shared" si="15"/>
        <v>0.21048957495829559</v>
      </c>
      <c r="Z20" s="31">
        <f t="shared" si="15"/>
        <v>1.107858723761727E-2</v>
      </c>
      <c r="AA20" s="31">
        <f t="shared" si="15"/>
        <v>0</v>
      </c>
      <c r="AB20" s="31">
        <f t="shared" si="15"/>
        <v>0.14008962428201663</v>
      </c>
      <c r="AC20" s="31">
        <f t="shared" si="15"/>
        <v>4.5877675511861844E-2</v>
      </c>
      <c r="AD20" s="31">
        <f t="shared" si="15"/>
        <v>0</v>
      </c>
      <c r="AE20" s="31">
        <f t="shared" si="15"/>
        <v>0</v>
      </c>
      <c r="AF20" s="31">
        <f t="shared" si="15"/>
        <v>0</v>
      </c>
      <c r="AG20" s="31">
        <f t="shared" ref="AG20:AG83" si="17">SUM(N20:AF20)</f>
        <v>1</v>
      </c>
    </row>
    <row r="21" spans="1:33" ht="10.5" x14ac:dyDescent="0.15">
      <c r="A21" s="1" t="s">
        <v>61</v>
      </c>
      <c r="B21" s="1" t="s">
        <v>62</v>
      </c>
      <c r="C21" s="3">
        <v>21962820.444257572</v>
      </c>
      <c r="D21" s="3"/>
      <c r="E21" s="3"/>
      <c r="F21" s="3"/>
      <c r="G21" s="3"/>
      <c r="H21" s="3"/>
      <c r="I21" s="3"/>
      <c r="J21" s="3">
        <v>21962820.444257572</v>
      </c>
      <c r="K21" s="26">
        <f t="shared" si="16"/>
        <v>2017</v>
      </c>
      <c r="L21" s="78"/>
      <c r="M21" s="37">
        <f t="shared" si="13"/>
        <v>10922580.9999924</v>
      </c>
      <c r="N21" s="31">
        <f t="shared" si="14"/>
        <v>0</v>
      </c>
      <c r="O21" s="31">
        <f t="shared" si="14"/>
        <v>0</v>
      </c>
      <c r="P21" s="31">
        <f t="shared" si="14"/>
        <v>0</v>
      </c>
      <c r="Q21" s="31">
        <f t="shared" si="14"/>
        <v>0</v>
      </c>
      <c r="R21" s="31">
        <f t="shared" si="14"/>
        <v>0</v>
      </c>
      <c r="S21" s="31">
        <f t="shared" si="14"/>
        <v>0</v>
      </c>
      <c r="T21" s="31">
        <f t="shared" si="14"/>
        <v>0</v>
      </c>
      <c r="U21" s="31">
        <f t="shared" si="14"/>
        <v>0</v>
      </c>
      <c r="V21" s="31">
        <f t="shared" si="14"/>
        <v>0</v>
      </c>
      <c r="W21" s="31">
        <f t="shared" si="14"/>
        <v>0</v>
      </c>
      <c r="X21" s="31">
        <f t="shared" si="15"/>
        <v>0</v>
      </c>
      <c r="Y21" s="31">
        <f t="shared" si="15"/>
        <v>2.3735232542450389E-2</v>
      </c>
      <c r="Z21" s="31">
        <f t="shared" si="15"/>
        <v>0</v>
      </c>
      <c r="AA21" s="31">
        <f t="shared" si="15"/>
        <v>0</v>
      </c>
      <c r="AB21" s="31">
        <f t="shared" si="15"/>
        <v>0.97626476745754964</v>
      </c>
      <c r="AC21" s="31">
        <f t="shared" si="15"/>
        <v>0</v>
      </c>
      <c r="AD21" s="31">
        <f t="shared" si="15"/>
        <v>0</v>
      </c>
      <c r="AE21" s="31">
        <f t="shared" si="15"/>
        <v>0</v>
      </c>
      <c r="AF21" s="31">
        <f t="shared" si="15"/>
        <v>0</v>
      </c>
      <c r="AG21" s="31">
        <f t="shared" si="17"/>
        <v>1</v>
      </c>
    </row>
    <row r="22" spans="1:33" ht="10.5" x14ac:dyDescent="0.15">
      <c r="A22" s="1" t="s">
        <v>80</v>
      </c>
      <c r="B22" s="1" t="s">
        <v>81</v>
      </c>
      <c r="C22" s="3"/>
      <c r="D22" s="3">
        <v>1223520.854801167</v>
      </c>
      <c r="E22" s="3"/>
      <c r="F22" s="3"/>
      <c r="G22" s="3"/>
      <c r="H22" s="3"/>
      <c r="I22" s="3"/>
      <c r="J22" s="3">
        <v>1223520.854801167</v>
      </c>
      <c r="K22" s="26">
        <f t="shared" si="16"/>
        <v>2018</v>
      </c>
      <c r="L22" s="78"/>
      <c r="M22" s="37">
        <f t="shared" si="13"/>
        <v>0</v>
      </c>
      <c r="N22" s="31">
        <f t="shared" si="14"/>
        <v>0</v>
      </c>
      <c r="O22" s="31">
        <f t="shared" si="14"/>
        <v>0</v>
      </c>
      <c r="P22" s="31">
        <f t="shared" si="14"/>
        <v>0</v>
      </c>
      <c r="Q22" s="31">
        <f t="shared" si="14"/>
        <v>1</v>
      </c>
      <c r="R22" s="31">
        <f t="shared" si="14"/>
        <v>0</v>
      </c>
      <c r="S22" s="31">
        <f t="shared" si="14"/>
        <v>0</v>
      </c>
      <c r="T22" s="31">
        <f t="shared" si="14"/>
        <v>0</v>
      </c>
      <c r="U22" s="31">
        <f t="shared" si="14"/>
        <v>0</v>
      </c>
      <c r="V22" s="31">
        <f t="shared" si="14"/>
        <v>0</v>
      </c>
      <c r="W22" s="31">
        <f t="shared" si="14"/>
        <v>0</v>
      </c>
      <c r="X22" s="31">
        <f t="shared" si="15"/>
        <v>0</v>
      </c>
      <c r="Y22" s="31">
        <f t="shared" si="15"/>
        <v>0</v>
      </c>
      <c r="Z22" s="31">
        <f t="shared" si="15"/>
        <v>0</v>
      </c>
      <c r="AA22" s="31">
        <f t="shared" si="15"/>
        <v>0</v>
      </c>
      <c r="AB22" s="31">
        <f t="shared" si="15"/>
        <v>0</v>
      </c>
      <c r="AC22" s="31">
        <f t="shared" si="15"/>
        <v>0</v>
      </c>
      <c r="AD22" s="31">
        <f t="shared" si="15"/>
        <v>0</v>
      </c>
      <c r="AE22" s="31">
        <f t="shared" si="15"/>
        <v>0</v>
      </c>
      <c r="AF22" s="31">
        <f t="shared" si="15"/>
        <v>0</v>
      </c>
      <c r="AG22" s="31">
        <f t="shared" si="17"/>
        <v>1</v>
      </c>
    </row>
    <row r="23" spans="1:33" ht="10.5" x14ac:dyDescent="0.15">
      <c r="A23" s="1" t="s">
        <v>91</v>
      </c>
      <c r="B23" s="1" t="s">
        <v>92</v>
      </c>
      <c r="C23" s="3">
        <v>1894676.4587871383</v>
      </c>
      <c r="D23" s="3"/>
      <c r="E23" s="3"/>
      <c r="F23" s="3"/>
      <c r="G23" s="3"/>
      <c r="H23" s="3"/>
      <c r="I23" s="3"/>
      <c r="J23" s="3">
        <v>1894676.4587871383</v>
      </c>
      <c r="K23" s="26">
        <f t="shared" si="16"/>
        <v>2017</v>
      </c>
      <c r="L23" s="78"/>
      <c r="M23" s="37">
        <f t="shared" si="13"/>
        <v>0</v>
      </c>
      <c r="N23" s="31">
        <f t="shared" si="14"/>
        <v>0</v>
      </c>
      <c r="O23" s="31">
        <f t="shared" si="14"/>
        <v>0</v>
      </c>
      <c r="P23" s="31">
        <f t="shared" si="14"/>
        <v>0</v>
      </c>
      <c r="Q23" s="31">
        <f t="shared" si="14"/>
        <v>1</v>
      </c>
      <c r="R23" s="31">
        <f t="shared" si="14"/>
        <v>0</v>
      </c>
      <c r="S23" s="31">
        <f t="shared" si="14"/>
        <v>0</v>
      </c>
      <c r="T23" s="31">
        <f t="shared" si="14"/>
        <v>0</v>
      </c>
      <c r="U23" s="31">
        <f t="shared" si="14"/>
        <v>0</v>
      </c>
      <c r="V23" s="31">
        <f t="shared" si="14"/>
        <v>0</v>
      </c>
      <c r="W23" s="31">
        <f t="shared" si="14"/>
        <v>0</v>
      </c>
      <c r="X23" s="31">
        <f t="shared" si="15"/>
        <v>0</v>
      </c>
      <c r="Y23" s="31">
        <f t="shared" si="15"/>
        <v>0</v>
      </c>
      <c r="Z23" s="31">
        <f t="shared" si="15"/>
        <v>0</v>
      </c>
      <c r="AA23" s="31">
        <f t="shared" si="15"/>
        <v>0</v>
      </c>
      <c r="AB23" s="31">
        <f t="shared" si="15"/>
        <v>0</v>
      </c>
      <c r="AC23" s="31">
        <f t="shared" si="15"/>
        <v>0</v>
      </c>
      <c r="AD23" s="31">
        <f t="shared" si="15"/>
        <v>0</v>
      </c>
      <c r="AE23" s="31">
        <f t="shared" si="15"/>
        <v>0</v>
      </c>
      <c r="AF23" s="31">
        <f t="shared" si="15"/>
        <v>0</v>
      </c>
      <c r="AG23" s="31">
        <f t="shared" si="17"/>
        <v>1</v>
      </c>
    </row>
    <row r="24" spans="1:33" ht="10.5" x14ac:dyDescent="0.15">
      <c r="A24" s="1" t="s">
        <v>93</v>
      </c>
      <c r="B24" s="1" t="s">
        <v>94</v>
      </c>
      <c r="C24" s="95">
        <v>4609222.4665669044</v>
      </c>
      <c r="D24" s="95"/>
      <c r="E24" s="3"/>
      <c r="F24" s="3"/>
      <c r="G24" s="3"/>
      <c r="H24" s="3"/>
      <c r="I24" s="3"/>
      <c r="J24" s="3">
        <v>4609222.4665669044</v>
      </c>
      <c r="K24" s="26">
        <f t="shared" si="16"/>
        <v>2017</v>
      </c>
      <c r="L24" s="78"/>
      <c r="M24" s="37">
        <f t="shared" si="13"/>
        <v>0</v>
      </c>
      <c r="N24" s="31">
        <f t="shared" si="14"/>
        <v>0</v>
      </c>
      <c r="O24" s="31">
        <f t="shared" si="14"/>
        <v>0</v>
      </c>
      <c r="P24" s="31">
        <f t="shared" si="14"/>
        <v>0</v>
      </c>
      <c r="Q24" s="31">
        <f t="shared" si="14"/>
        <v>0</v>
      </c>
      <c r="R24" s="31">
        <f t="shared" si="14"/>
        <v>0</v>
      </c>
      <c r="S24" s="31">
        <f t="shared" si="14"/>
        <v>0</v>
      </c>
      <c r="T24" s="31">
        <f t="shared" si="14"/>
        <v>0</v>
      </c>
      <c r="U24" s="31">
        <f t="shared" si="14"/>
        <v>0</v>
      </c>
      <c r="V24" s="31">
        <f t="shared" si="14"/>
        <v>0</v>
      </c>
      <c r="W24" s="31">
        <f t="shared" si="14"/>
        <v>0</v>
      </c>
      <c r="X24" s="31">
        <f t="shared" si="15"/>
        <v>0</v>
      </c>
      <c r="Y24" s="31">
        <f t="shared" si="15"/>
        <v>0</v>
      </c>
      <c r="Z24" s="31">
        <f t="shared" si="15"/>
        <v>0</v>
      </c>
      <c r="AA24" s="31">
        <f t="shared" si="15"/>
        <v>0</v>
      </c>
      <c r="AB24" s="31">
        <f t="shared" si="15"/>
        <v>1</v>
      </c>
      <c r="AC24" s="31">
        <f t="shared" si="15"/>
        <v>0</v>
      </c>
      <c r="AD24" s="31">
        <f t="shared" si="15"/>
        <v>0</v>
      </c>
      <c r="AE24" s="31">
        <f t="shared" si="15"/>
        <v>0</v>
      </c>
      <c r="AF24" s="31">
        <f t="shared" si="15"/>
        <v>0</v>
      </c>
      <c r="AG24" s="31">
        <f t="shared" si="17"/>
        <v>1</v>
      </c>
    </row>
    <row r="25" spans="1:33" ht="10.5" x14ac:dyDescent="0.15">
      <c r="A25" s="1" t="s">
        <v>95</v>
      </c>
      <c r="B25" s="1" t="s">
        <v>96</v>
      </c>
      <c r="C25" s="95">
        <v>2239771.3066730415</v>
      </c>
      <c r="D25" s="95"/>
      <c r="E25" s="3"/>
      <c r="F25" s="3"/>
      <c r="G25" s="3"/>
      <c r="H25" s="3"/>
      <c r="I25" s="3"/>
      <c r="J25" s="3">
        <v>2239771.3066730415</v>
      </c>
      <c r="K25" s="26">
        <f t="shared" si="16"/>
        <v>2017</v>
      </c>
      <c r="L25" s="78"/>
      <c r="M25" s="37">
        <f t="shared" si="13"/>
        <v>0</v>
      </c>
      <c r="N25" s="31">
        <f t="shared" si="14"/>
        <v>0</v>
      </c>
      <c r="O25" s="31">
        <f t="shared" si="14"/>
        <v>0</v>
      </c>
      <c r="P25" s="31">
        <f t="shared" si="14"/>
        <v>0</v>
      </c>
      <c r="Q25" s="31">
        <f t="shared" si="14"/>
        <v>0</v>
      </c>
      <c r="R25" s="31">
        <f t="shared" si="14"/>
        <v>0</v>
      </c>
      <c r="S25" s="31">
        <f t="shared" si="14"/>
        <v>0</v>
      </c>
      <c r="T25" s="31">
        <f t="shared" si="14"/>
        <v>1</v>
      </c>
      <c r="U25" s="31">
        <f t="shared" si="14"/>
        <v>0</v>
      </c>
      <c r="V25" s="31">
        <f t="shared" si="14"/>
        <v>0</v>
      </c>
      <c r="W25" s="31">
        <f t="shared" si="14"/>
        <v>0</v>
      </c>
      <c r="X25" s="31">
        <f t="shared" si="15"/>
        <v>0</v>
      </c>
      <c r="Y25" s="31">
        <f t="shared" si="15"/>
        <v>0</v>
      </c>
      <c r="Z25" s="31">
        <f t="shared" si="15"/>
        <v>0</v>
      </c>
      <c r="AA25" s="31">
        <f t="shared" si="15"/>
        <v>0</v>
      </c>
      <c r="AB25" s="31">
        <f t="shared" si="15"/>
        <v>0</v>
      </c>
      <c r="AC25" s="31">
        <f t="shared" si="15"/>
        <v>0</v>
      </c>
      <c r="AD25" s="31">
        <f t="shared" si="15"/>
        <v>0</v>
      </c>
      <c r="AE25" s="31">
        <f t="shared" si="15"/>
        <v>0</v>
      </c>
      <c r="AF25" s="31">
        <f t="shared" si="15"/>
        <v>0</v>
      </c>
      <c r="AG25" s="31">
        <f t="shared" si="17"/>
        <v>1</v>
      </c>
    </row>
    <row r="26" spans="1:33" ht="10.5" x14ac:dyDescent="0.15">
      <c r="A26" s="1" t="s">
        <v>100</v>
      </c>
      <c r="B26" s="1" t="s">
        <v>101</v>
      </c>
      <c r="C26" s="3">
        <v>0</v>
      </c>
      <c r="D26" s="3"/>
      <c r="E26" s="3"/>
      <c r="F26" s="3"/>
      <c r="G26" s="3"/>
      <c r="H26" s="3"/>
      <c r="I26" s="3"/>
      <c r="J26" s="3">
        <v>0</v>
      </c>
      <c r="K26" s="26">
        <f t="shared" si="16"/>
        <v>2017</v>
      </c>
      <c r="L26" s="78"/>
      <c r="M26" s="37">
        <f t="shared" si="13"/>
        <v>0</v>
      </c>
      <c r="N26" s="31">
        <f t="shared" si="14"/>
        <v>0</v>
      </c>
      <c r="O26" s="31">
        <f t="shared" si="14"/>
        <v>0</v>
      </c>
      <c r="P26" s="31">
        <f t="shared" si="14"/>
        <v>0</v>
      </c>
      <c r="Q26" s="31">
        <f t="shared" si="14"/>
        <v>1</v>
      </c>
      <c r="R26" s="31">
        <f t="shared" si="14"/>
        <v>0</v>
      </c>
      <c r="S26" s="31">
        <f t="shared" si="14"/>
        <v>0</v>
      </c>
      <c r="T26" s="31">
        <f t="shared" si="14"/>
        <v>0</v>
      </c>
      <c r="U26" s="31">
        <f t="shared" si="14"/>
        <v>0</v>
      </c>
      <c r="V26" s="31">
        <f t="shared" si="14"/>
        <v>0</v>
      </c>
      <c r="W26" s="31">
        <f t="shared" si="14"/>
        <v>0</v>
      </c>
      <c r="X26" s="31">
        <f t="shared" si="15"/>
        <v>0</v>
      </c>
      <c r="Y26" s="31">
        <f t="shared" si="15"/>
        <v>0</v>
      </c>
      <c r="Z26" s="31">
        <f t="shared" si="15"/>
        <v>0</v>
      </c>
      <c r="AA26" s="31">
        <f t="shared" si="15"/>
        <v>0</v>
      </c>
      <c r="AB26" s="31">
        <f t="shared" si="15"/>
        <v>0</v>
      </c>
      <c r="AC26" s="31">
        <f t="shared" si="15"/>
        <v>0</v>
      </c>
      <c r="AD26" s="31">
        <f t="shared" si="15"/>
        <v>0</v>
      </c>
      <c r="AE26" s="31">
        <f t="shared" si="15"/>
        <v>0</v>
      </c>
      <c r="AF26" s="31">
        <f t="shared" si="15"/>
        <v>0</v>
      </c>
      <c r="AG26" s="31">
        <f t="shared" si="17"/>
        <v>1</v>
      </c>
    </row>
    <row r="27" spans="1:33" ht="10.5" x14ac:dyDescent="0.15">
      <c r="A27" s="1" t="s">
        <v>102</v>
      </c>
      <c r="B27" s="1" t="s">
        <v>103</v>
      </c>
      <c r="C27" s="3"/>
      <c r="D27" s="3">
        <v>820326.61596155993</v>
      </c>
      <c r="E27" s="3"/>
      <c r="F27" s="3"/>
      <c r="G27" s="3"/>
      <c r="H27" s="3"/>
      <c r="I27" s="3"/>
      <c r="J27" s="3">
        <v>820326.61596155993</v>
      </c>
      <c r="K27" s="26">
        <f t="shared" si="16"/>
        <v>2018</v>
      </c>
      <c r="L27" s="78"/>
      <c r="M27" s="37">
        <f t="shared" si="13"/>
        <v>0</v>
      </c>
      <c r="N27" s="31">
        <f t="shared" si="14"/>
        <v>2.2136929460580913E-2</v>
      </c>
      <c r="O27" s="31">
        <f t="shared" si="14"/>
        <v>5.3813816325222377E-2</v>
      </c>
      <c r="P27" s="31">
        <f t="shared" si="14"/>
        <v>0.11134319172125574</v>
      </c>
      <c r="Q27" s="31">
        <f t="shared" si="14"/>
        <v>9.0968890737851332E-2</v>
      </c>
      <c r="R27" s="31">
        <f t="shared" si="14"/>
        <v>7.4541536858258553E-2</v>
      </c>
      <c r="S27" s="31">
        <f t="shared" si="14"/>
        <v>1.1751232220950061E-2</v>
      </c>
      <c r="T27" s="31">
        <f t="shared" si="14"/>
        <v>0</v>
      </c>
      <c r="U27" s="31">
        <f t="shared" si="14"/>
        <v>6.8464730290456431E-4</v>
      </c>
      <c r="V27" s="31">
        <f t="shared" si="14"/>
        <v>0</v>
      </c>
      <c r="W27" s="31">
        <f t="shared" si="14"/>
        <v>0.17341498239445721</v>
      </c>
      <c r="X27" s="31">
        <f t="shared" si="15"/>
        <v>1.7950403456968127E-2</v>
      </c>
      <c r="Y27" s="31">
        <f t="shared" si="15"/>
        <v>6.5339859349486357E-2</v>
      </c>
      <c r="Z27" s="31">
        <f t="shared" si="15"/>
        <v>5.6745630269864544E-3</v>
      </c>
      <c r="AA27" s="31">
        <f t="shared" si="15"/>
        <v>0</v>
      </c>
      <c r="AB27" s="31">
        <f t="shared" si="15"/>
        <v>0.18794046685627466</v>
      </c>
      <c r="AC27" s="31">
        <f t="shared" si="15"/>
        <v>4.4902024194389448E-2</v>
      </c>
      <c r="AD27" s="31">
        <f t="shared" si="15"/>
        <v>1.1915879815256323E-2</v>
      </c>
      <c r="AE27" s="31">
        <f t="shared" si="15"/>
        <v>0</v>
      </c>
      <c r="AF27" s="31">
        <f t="shared" si="15"/>
        <v>0.12762157627915785</v>
      </c>
      <c r="AG27" s="31">
        <f t="shared" si="17"/>
        <v>0.99999999999999989</v>
      </c>
    </row>
    <row r="28" spans="1:33" ht="10.5" x14ac:dyDescent="0.15">
      <c r="A28" s="1" t="s">
        <v>104</v>
      </c>
      <c r="B28" s="1" t="s">
        <v>105</v>
      </c>
      <c r="C28" s="3"/>
      <c r="D28" s="3">
        <v>951198.23102090601</v>
      </c>
      <c r="E28" s="3"/>
      <c r="F28" s="3"/>
      <c r="G28" s="3"/>
      <c r="H28" s="3"/>
      <c r="I28" s="3"/>
      <c r="J28" s="3">
        <v>951198.23102090601</v>
      </c>
      <c r="K28" s="26">
        <f t="shared" si="16"/>
        <v>2018</v>
      </c>
      <c r="L28" s="78"/>
      <c r="M28" s="37">
        <f t="shared" si="13"/>
        <v>0</v>
      </c>
      <c r="N28" s="31">
        <f t="shared" si="14"/>
        <v>0</v>
      </c>
      <c r="O28" s="31">
        <f t="shared" si="14"/>
        <v>0</v>
      </c>
      <c r="P28" s="31">
        <f t="shared" si="14"/>
        <v>0</v>
      </c>
      <c r="Q28" s="31">
        <f t="shared" si="14"/>
        <v>0</v>
      </c>
      <c r="R28" s="31">
        <f t="shared" si="14"/>
        <v>0</v>
      </c>
      <c r="S28" s="31">
        <f t="shared" si="14"/>
        <v>0</v>
      </c>
      <c r="T28" s="31">
        <f t="shared" si="14"/>
        <v>0</v>
      </c>
      <c r="U28" s="31">
        <f t="shared" si="14"/>
        <v>1</v>
      </c>
      <c r="V28" s="31">
        <f t="shared" si="14"/>
        <v>0</v>
      </c>
      <c r="W28" s="31">
        <f t="shared" si="14"/>
        <v>0</v>
      </c>
      <c r="X28" s="31">
        <f t="shared" si="15"/>
        <v>0</v>
      </c>
      <c r="Y28" s="31">
        <f t="shared" si="15"/>
        <v>0</v>
      </c>
      <c r="Z28" s="31">
        <f t="shared" si="15"/>
        <v>0</v>
      </c>
      <c r="AA28" s="31">
        <f t="shared" si="15"/>
        <v>0</v>
      </c>
      <c r="AB28" s="31">
        <f t="shared" si="15"/>
        <v>0</v>
      </c>
      <c r="AC28" s="31">
        <f t="shared" si="15"/>
        <v>0</v>
      </c>
      <c r="AD28" s="31">
        <f t="shared" si="15"/>
        <v>0</v>
      </c>
      <c r="AE28" s="31">
        <f t="shared" si="15"/>
        <v>0</v>
      </c>
      <c r="AF28" s="31">
        <f t="shared" si="15"/>
        <v>0</v>
      </c>
      <c r="AG28" s="31">
        <f t="shared" si="17"/>
        <v>1</v>
      </c>
    </row>
    <row r="29" spans="1:33" ht="10.5" x14ac:dyDescent="0.15">
      <c r="A29" s="613" t="s">
        <v>114</v>
      </c>
      <c r="B29" s="613" t="s">
        <v>115</v>
      </c>
      <c r="C29" s="630">
        <v>71943578.359618351</v>
      </c>
      <c r="D29" s="630"/>
      <c r="E29" s="631"/>
      <c r="F29" s="630"/>
      <c r="G29" s="630"/>
      <c r="H29" s="630"/>
      <c r="I29" s="630"/>
      <c r="J29" s="630">
        <v>71943578.359618351</v>
      </c>
      <c r="K29" s="26">
        <f t="shared" si="16"/>
        <v>2017</v>
      </c>
      <c r="L29" s="78"/>
      <c r="M29" s="37">
        <f t="shared" si="13"/>
        <v>55413255.620694734</v>
      </c>
      <c r="N29" s="31">
        <f t="shared" ref="N29:W38" si="18">IF(OR(LEFT($A29,1)="E",LEFT($A29,1)="Z"),IF($M29=0,VLOOKUP(MID($A29,4,5),ProjectSplits,N$2,FALSE),IF(ISNA(VLOOKUP($A29,Estimates,N$1,FALSE)),VLOOKUP(MID($A29,4,5),ProjectSplits,N$2,FALSE),VLOOKUP($A29,Estimates,N$1,FALSE))),0)</f>
        <v>0</v>
      </c>
      <c r="O29" s="31">
        <f t="shared" si="18"/>
        <v>2.0736493800065814E-2</v>
      </c>
      <c r="P29" s="31">
        <f t="shared" si="18"/>
        <v>0.14009851116809655</v>
      </c>
      <c r="Q29" s="31">
        <f t="shared" si="18"/>
        <v>0</v>
      </c>
      <c r="R29" s="31">
        <f t="shared" si="18"/>
        <v>1.1730045324340205E-3</v>
      </c>
      <c r="S29" s="31">
        <f t="shared" si="18"/>
        <v>0</v>
      </c>
      <c r="T29" s="31">
        <f t="shared" si="18"/>
        <v>0</v>
      </c>
      <c r="U29" s="31">
        <f t="shared" si="18"/>
        <v>0</v>
      </c>
      <c r="V29" s="31">
        <f t="shared" si="18"/>
        <v>0</v>
      </c>
      <c r="W29" s="31">
        <f t="shared" si="18"/>
        <v>0.32336100731679684</v>
      </c>
      <c r="X29" s="31">
        <f t="shared" ref="X29:AF38" si="19">IF(OR(LEFT($A29,1)="E",LEFT($A29,1)="Z"),IF($M29=0,VLOOKUP(MID($A29,4,5),ProjectSplits,X$2,FALSE),IF(ISNA(VLOOKUP($A29,Estimates,X$1,FALSE)),VLOOKUP(MID($A29,4,5),ProjectSplits,X$2,FALSE),VLOOKUP($A29,Estimates,X$1,FALSE))),0)</f>
        <v>3.9093173208885737E-2</v>
      </c>
      <c r="Y29" s="31">
        <f t="shared" si="19"/>
        <v>0.15870496759294167</v>
      </c>
      <c r="Z29" s="31">
        <f t="shared" si="19"/>
        <v>1.1525852303274063E-2</v>
      </c>
      <c r="AA29" s="31">
        <f t="shared" si="19"/>
        <v>0</v>
      </c>
      <c r="AB29" s="31">
        <f t="shared" si="19"/>
        <v>0.21744896686091472</v>
      </c>
      <c r="AC29" s="31">
        <f t="shared" si="19"/>
        <v>4.6810083070830268E-2</v>
      </c>
      <c r="AD29" s="31">
        <f t="shared" si="19"/>
        <v>4.104794014576036E-2</v>
      </c>
      <c r="AE29" s="31">
        <f t="shared" si="19"/>
        <v>0</v>
      </c>
      <c r="AF29" s="31">
        <f t="shared" si="19"/>
        <v>0</v>
      </c>
      <c r="AG29" s="31">
        <f t="shared" si="17"/>
        <v>1</v>
      </c>
    </row>
    <row r="30" spans="1:33" ht="10.5" x14ac:dyDescent="0.15">
      <c r="A30" s="1" t="s">
        <v>117</v>
      </c>
      <c r="B30" s="1" t="s">
        <v>118</v>
      </c>
      <c r="C30" s="3">
        <v>1692055.082124433</v>
      </c>
      <c r="D30" s="3"/>
      <c r="E30" s="3"/>
      <c r="F30" s="3"/>
      <c r="G30" s="3"/>
      <c r="H30" s="3"/>
      <c r="I30" s="3"/>
      <c r="J30" s="3">
        <v>1692055.082124433</v>
      </c>
      <c r="K30" s="26">
        <f t="shared" si="16"/>
        <v>2017</v>
      </c>
      <c r="L30" s="78"/>
      <c r="M30" s="37">
        <f t="shared" si="13"/>
        <v>0</v>
      </c>
      <c r="N30" s="31">
        <f t="shared" si="18"/>
        <v>0</v>
      </c>
      <c r="O30" s="31">
        <f t="shared" si="18"/>
        <v>0</v>
      </c>
      <c r="P30" s="31">
        <f t="shared" si="18"/>
        <v>0</v>
      </c>
      <c r="Q30" s="31">
        <f t="shared" si="18"/>
        <v>0</v>
      </c>
      <c r="R30" s="31">
        <f t="shared" si="18"/>
        <v>0</v>
      </c>
      <c r="S30" s="31">
        <f t="shared" si="18"/>
        <v>0</v>
      </c>
      <c r="T30" s="31">
        <f t="shared" si="18"/>
        <v>1</v>
      </c>
      <c r="U30" s="31">
        <f t="shared" si="18"/>
        <v>0</v>
      </c>
      <c r="V30" s="31">
        <f t="shared" si="18"/>
        <v>0</v>
      </c>
      <c r="W30" s="31">
        <f t="shared" si="18"/>
        <v>0</v>
      </c>
      <c r="X30" s="31">
        <f t="shared" si="19"/>
        <v>0</v>
      </c>
      <c r="Y30" s="31">
        <f t="shared" si="19"/>
        <v>0</v>
      </c>
      <c r="Z30" s="31">
        <f t="shared" si="19"/>
        <v>0</v>
      </c>
      <c r="AA30" s="31">
        <f t="shared" si="19"/>
        <v>0</v>
      </c>
      <c r="AB30" s="31">
        <f t="shared" si="19"/>
        <v>0</v>
      </c>
      <c r="AC30" s="31">
        <f t="shared" si="19"/>
        <v>0</v>
      </c>
      <c r="AD30" s="31">
        <f t="shared" si="19"/>
        <v>0</v>
      </c>
      <c r="AE30" s="31">
        <f t="shared" si="19"/>
        <v>0</v>
      </c>
      <c r="AF30" s="31">
        <f t="shared" si="19"/>
        <v>0</v>
      </c>
      <c r="AG30" s="31">
        <f t="shared" si="17"/>
        <v>1</v>
      </c>
    </row>
    <row r="31" spans="1:33" ht="10.5" x14ac:dyDescent="0.15">
      <c r="A31" s="1" t="s">
        <v>124</v>
      </c>
      <c r="B31" s="1" t="s">
        <v>125</v>
      </c>
      <c r="C31" s="3"/>
      <c r="D31" s="3"/>
      <c r="E31" s="3">
        <v>7887792.5209813714</v>
      </c>
      <c r="F31" s="3"/>
      <c r="G31" s="3"/>
      <c r="H31" s="3"/>
      <c r="I31" s="3"/>
      <c r="J31" s="3">
        <v>7887792.5209813714</v>
      </c>
      <c r="K31" s="26">
        <f t="shared" si="16"/>
        <v>2019</v>
      </c>
      <c r="L31" s="78"/>
      <c r="M31" s="37">
        <f t="shared" si="13"/>
        <v>0</v>
      </c>
      <c r="N31" s="31">
        <f t="shared" si="18"/>
        <v>0</v>
      </c>
      <c r="O31" s="31">
        <f t="shared" si="18"/>
        <v>0</v>
      </c>
      <c r="P31" s="31">
        <f t="shared" si="18"/>
        <v>0</v>
      </c>
      <c r="Q31" s="31">
        <f t="shared" si="18"/>
        <v>1</v>
      </c>
      <c r="R31" s="31">
        <f t="shared" si="18"/>
        <v>0</v>
      </c>
      <c r="S31" s="31">
        <f t="shared" si="18"/>
        <v>0</v>
      </c>
      <c r="T31" s="31">
        <f t="shared" si="18"/>
        <v>0</v>
      </c>
      <c r="U31" s="31">
        <f t="shared" si="18"/>
        <v>0</v>
      </c>
      <c r="V31" s="31">
        <f t="shared" si="18"/>
        <v>0</v>
      </c>
      <c r="W31" s="31">
        <f t="shared" si="18"/>
        <v>0</v>
      </c>
      <c r="X31" s="31">
        <f t="shared" si="19"/>
        <v>0</v>
      </c>
      <c r="Y31" s="31">
        <f t="shared" si="19"/>
        <v>0</v>
      </c>
      <c r="Z31" s="31">
        <f t="shared" si="19"/>
        <v>0</v>
      </c>
      <c r="AA31" s="31">
        <f t="shared" si="19"/>
        <v>0</v>
      </c>
      <c r="AB31" s="31">
        <f t="shared" si="19"/>
        <v>0</v>
      </c>
      <c r="AC31" s="31">
        <f t="shared" si="19"/>
        <v>0</v>
      </c>
      <c r="AD31" s="31">
        <f t="shared" si="19"/>
        <v>0</v>
      </c>
      <c r="AE31" s="31">
        <f t="shared" si="19"/>
        <v>0</v>
      </c>
      <c r="AF31" s="31">
        <f t="shared" si="19"/>
        <v>0</v>
      </c>
      <c r="AG31" s="31">
        <f t="shared" si="17"/>
        <v>1</v>
      </c>
    </row>
    <row r="32" spans="1:33" ht="10.5" x14ac:dyDescent="0.15">
      <c r="A32" s="1" t="s">
        <v>128</v>
      </c>
      <c r="B32" s="1" t="s">
        <v>129</v>
      </c>
      <c r="C32" s="3">
        <v>5323645.9805398099</v>
      </c>
      <c r="D32" s="3"/>
      <c r="E32" s="3"/>
      <c r="F32" s="3"/>
      <c r="G32" s="3"/>
      <c r="H32" s="3"/>
      <c r="I32" s="3"/>
      <c r="J32" s="3">
        <v>5323645.9805398099</v>
      </c>
      <c r="K32" s="26">
        <f t="shared" si="16"/>
        <v>2017</v>
      </c>
      <c r="L32" s="78"/>
      <c r="M32" s="37">
        <f t="shared" si="13"/>
        <v>0</v>
      </c>
      <c r="N32" s="31">
        <f t="shared" si="18"/>
        <v>0</v>
      </c>
      <c r="O32" s="31">
        <f t="shared" si="18"/>
        <v>0</v>
      </c>
      <c r="P32" s="31">
        <f t="shared" si="18"/>
        <v>0</v>
      </c>
      <c r="Q32" s="31">
        <f t="shared" si="18"/>
        <v>0</v>
      </c>
      <c r="R32" s="31">
        <f t="shared" si="18"/>
        <v>1</v>
      </c>
      <c r="S32" s="31">
        <f t="shared" si="18"/>
        <v>0</v>
      </c>
      <c r="T32" s="31">
        <f t="shared" si="18"/>
        <v>0</v>
      </c>
      <c r="U32" s="31">
        <f t="shared" si="18"/>
        <v>0</v>
      </c>
      <c r="V32" s="31">
        <f t="shared" si="18"/>
        <v>0</v>
      </c>
      <c r="W32" s="31">
        <f t="shared" si="18"/>
        <v>0</v>
      </c>
      <c r="X32" s="31">
        <f t="shared" si="19"/>
        <v>0</v>
      </c>
      <c r="Y32" s="31">
        <f t="shared" si="19"/>
        <v>0</v>
      </c>
      <c r="Z32" s="31">
        <f t="shared" si="19"/>
        <v>0</v>
      </c>
      <c r="AA32" s="31">
        <f t="shared" si="19"/>
        <v>0</v>
      </c>
      <c r="AB32" s="31">
        <f t="shared" si="19"/>
        <v>0</v>
      </c>
      <c r="AC32" s="31">
        <f t="shared" si="19"/>
        <v>0</v>
      </c>
      <c r="AD32" s="31">
        <f t="shared" si="19"/>
        <v>0</v>
      </c>
      <c r="AE32" s="31">
        <f t="shared" si="19"/>
        <v>0</v>
      </c>
      <c r="AF32" s="31">
        <f t="shared" si="19"/>
        <v>0</v>
      </c>
      <c r="AG32" s="31">
        <f t="shared" si="17"/>
        <v>1</v>
      </c>
    </row>
    <row r="33" spans="1:33" ht="10.5" x14ac:dyDescent="0.15">
      <c r="A33" s="1" t="s">
        <v>130</v>
      </c>
      <c r="B33" s="1" t="s">
        <v>131</v>
      </c>
      <c r="C33" s="3">
        <v>580194.93256642215</v>
      </c>
      <c r="D33" s="3"/>
      <c r="E33" s="3"/>
      <c r="F33" s="3"/>
      <c r="G33" s="3"/>
      <c r="H33" s="3"/>
      <c r="I33" s="3"/>
      <c r="J33" s="3">
        <v>580194.93256642215</v>
      </c>
      <c r="K33" s="26">
        <f t="shared" si="16"/>
        <v>2017</v>
      </c>
      <c r="L33" s="78"/>
      <c r="M33" s="37">
        <f t="shared" si="13"/>
        <v>0</v>
      </c>
      <c r="N33" s="31">
        <f t="shared" si="18"/>
        <v>0</v>
      </c>
      <c r="O33" s="31">
        <f t="shared" si="18"/>
        <v>0</v>
      </c>
      <c r="P33" s="31">
        <f t="shared" si="18"/>
        <v>0</v>
      </c>
      <c r="Q33" s="31">
        <f t="shared" si="18"/>
        <v>1</v>
      </c>
      <c r="R33" s="31">
        <f t="shared" si="18"/>
        <v>0</v>
      </c>
      <c r="S33" s="31">
        <f t="shared" si="18"/>
        <v>0</v>
      </c>
      <c r="T33" s="31">
        <f t="shared" si="18"/>
        <v>0</v>
      </c>
      <c r="U33" s="31">
        <f t="shared" si="18"/>
        <v>0</v>
      </c>
      <c r="V33" s="31">
        <f t="shared" si="18"/>
        <v>0</v>
      </c>
      <c r="W33" s="31">
        <f t="shared" si="18"/>
        <v>0</v>
      </c>
      <c r="X33" s="31">
        <f t="shared" si="19"/>
        <v>0</v>
      </c>
      <c r="Y33" s="31">
        <f t="shared" si="19"/>
        <v>0</v>
      </c>
      <c r="Z33" s="31">
        <f t="shared" si="19"/>
        <v>0</v>
      </c>
      <c r="AA33" s="31">
        <f t="shared" si="19"/>
        <v>0</v>
      </c>
      <c r="AB33" s="31">
        <f t="shared" si="19"/>
        <v>0</v>
      </c>
      <c r="AC33" s="31">
        <f t="shared" si="19"/>
        <v>0</v>
      </c>
      <c r="AD33" s="31">
        <f t="shared" si="19"/>
        <v>0</v>
      </c>
      <c r="AE33" s="31">
        <f t="shared" si="19"/>
        <v>0</v>
      </c>
      <c r="AF33" s="31">
        <f t="shared" si="19"/>
        <v>0</v>
      </c>
      <c r="AG33" s="31">
        <f t="shared" si="17"/>
        <v>1</v>
      </c>
    </row>
    <row r="34" spans="1:33" ht="10.5" x14ac:dyDescent="0.15">
      <c r="A34" s="1" t="s">
        <v>143</v>
      </c>
      <c r="B34" s="1" t="s">
        <v>144</v>
      </c>
      <c r="C34" s="3"/>
      <c r="D34" s="3">
        <v>1426928.4416470842</v>
      </c>
      <c r="E34" s="3"/>
      <c r="F34" s="3"/>
      <c r="G34" s="3"/>
      <c r="H34" s="3"/>
      <c r="I34" s="3"/>
      <c r="J34" s="3">
        <v>1426928.4416470842</v>
      </c>
      <c r="K34" s="26">
        <f t="shared" si="16"/>
        <v>2018</v>
      </c>
      <c r="L34" s="78"/>
      <c r="M34" s="37">
        <f t="shared" si="13"/>
        <v>613634.6140590799</v>
      </c>
      <c r="N34" s="31">
        <f t="shared" si="18"/>
        <v>0</v>
      </c>
      <c r="O34" s="31">
        <f t="shared" si="18"/>
        <v>0</v>
      </c>
      <c r="P34" s="31">
        <f t="shared" si="18"/>
        <v>0</v>
      </c>
      <c r="Q34" s="31">
        <f t="shared" si="18"/>
        <v>0</v>
      </c>
      <c r="R34" s="31">
        <f t="shared" si="18"/>
        <v>0</v>
      </c>
      <c r="S34" s="31">
        <f t="shared" si="18"/>
        <v>0</v>
      </c>
      <c r="T34" s="31">
        <f t="shared" si="18"/>
        <v>0</v>
      </c>
      <c r="U34" s="31">
        <f t="shared" si="18"/>
        <v>0</v>
      </c>
      <c r="V34" s="31">
        <f t="shared" si="18"/>
        <v>0</v>
      </c>
      <c r="W34" s="31">
        <f t="shared" si="18"/>
        <v>5.3549782308786563E-2</v>
      </c>
      <c r="X34" s="31">
        <f t="shared" si="19"/>
        <v>0</v>
      </c>
      <c r="Y34" s="31">
        <f t="shared" si="19"/>
        <v>0</v>
      </c>
      <c r="Z34" s="31">
        <f t="shared" si="19"/>
        <v>0</v>
      </c>
      <c r="AA34" s="31">
        <f t="shared" si="19"/>
        <v>0</v>
      </c>
      <c r="AB34" s="31">
        <f t="shared" si="19"/>
        <v>3.2592685519650985E-2</v>
      </c>
      <c r="AC34" s="31">
        <f t="shared" si="19"/>
        <v>0.73088869790500288</v>
      </c>
      <c r="AD34" s="31">
        <f t="shared" si="19"/>
        <v>0</v>
      </c>
      <c r="AE34" s="31">
        <f t="shared" si="19"/>
        <v>0</v>
      </c>
      <c r="AF34" s="31">
        <f t="shared" si="19"/>
        <v>0.18296883426655944</v>
      </c>
      <c r="AG34" s="31">
        <f t="shared" si="17"/>
        <v>0.99999999999999978</v>
      </c>
    </row>
    <row r="35" spans="1:33" ht="10.5" x14ac:dyDescent="0.15">
      <c r="A35" s="1" t="s">
        <v>145</v>
      </c>
      <c r="B35" s="1" t="s">
        <v>146</v>
      </c>
      <c r="C35" s="3">
        <v>2362509.4515902097</v>
      </c>
      <c r="D35" s="3"/>
      <c r="E35" s="3"/>
      <c r="F35" s="3"/>
      <c r="G35" s="3"/>
      <c r="H35" s="3"/>
      <c r="I35" s="3"/>
      <c r="J35" s="3">
        <v>2362509.4515902097</v>
      </c>
      <c r="K35" s="26">
        <f t="shared" si="16"/>
        <v>2017</v>
      </c>
      <c r="L35" s="78"/>
      <c r="M35" s="37">
        <f t="shared" si="13"/>
        <v>0</v>
      </c>
      <c r="N35" s="31">
        <f t="shared" si="18"/>
        <v>0</v>
      </c>
      <c r="O35" s="31">
        <f t="shared" si="18"/>
        <v>0</v>
      </c>
      <c r="P35" s="31">
        <f t="shared" si="18"/>
        <v>0</v>
      </c>
      <c r="Q35" s="31">
        <f t="shared" si="18"/>
        <v>1</v>
      </c>
      <c r="R35" s="31">
        <f t="shared" si="18"/>
        <v>0</v>
      </c>
      <c r="S35" s="31">
        <f t="shared" si="18"/>
        <v>0</v>
      </c>
      <c r="T35" s="31">
        <f t="shared" si="18"/>
        <v>0</v>
      </c>
      <c r="U35" s="31">
        <f t="shared" si="18"/>
        <v>0</v>
      </c>
      <c r="V35" s="31">
        <f t="shared" si="18"/>
        <v>0</v>
      </c>
      <c r="W35" s="31">
        <f t="shared" si="18"/>
        <v>0</v>
      </c>
      <c r="X35" s="31">
        <f t="shared" si="19"/>
        <v>0</v>
      </c>
      <c r="Y35" s="31">
        <f t="shared" si="19"/>
        <v>0</v>
      </c>
      <c r="Z35" s="31">
        <f t="shared" si="19"/>
        <v>0</v>
      </c>
      <c r="AA35" s="31">
        <f t="shared" si="19"/>
        <v>0</v>
      </c>
      <c r="AB35" s="31">
        <f t="shared" si="19"/>
        <v>0</v>
      </c>
      <c r="AC35" s="31">
        <f t="shared" si="19"/>
        <v>0</v>
      </c>
      <c r="AD35" s="31">
        <f t="shared" si="19"/>
        <v>0</v>
      </c>
      <c r="AE35" s="31">
        <f t="shared" si="19"/>
        <v>0</v>
      </c>
      <c r="AF35" s="31">
        <f t="shared" si="19"/>
        <v>0</v>
      </c>
      <c r="AG35" s="31">
        <f t="shared" si="17"/>
        <v>1</v>
      </c>
    </row>
    <row r="36" spans="1:33" ht="10.5" x14ac:dyDescent="0.15">
      <c r="A36" s="1" t="s">
        <v>147</v>
      </c>
      <c r="B36" s="1" t="s">
        <v>148</v>
      </c>
      <c r="C36" s="3"/>
      <c r="D36" s="3">
        <v>2247356.744550705</v>
      </c>
      <c r="E36" s="3"/>
      <c r="F36" s="3"/>
      <c r="G36" s="3"/>
      <c r="H36" s="3"/>
      <c r="I36" s="3"/>
      <c r="J36" s="3">
        <v>2247356.744550705</v>
      </c>
      <c r="K36" s="26">
        <f t="shared" si="16"/>
        <v>2018</v>
      </c>
      <c r="L36" s="78"/>
      <c r="M36" s="37">
        <f t="shared" si="13"/>
        <v>0</v>
      </c>
      <c r="N36" s="31">
        <f t="shared" si="18"/>
        <v>0</v>
      </c>
      <c r="O36" s="31">
        <f t="shared" si="18"/>
        <v>0</v>
      </c>
      <c r="P36" s="31">
        <f t="shared" si="18"/>
        <v>0</v>
      </c>
      <c r="Q36" s="31">
        <f t="shared" si="18"/>
        <v>1</v>
      </c>
      <c r="R36" s="31">
        <f t="shared" si="18"/>
        <v>0</v>
      </c>
      <c r="S36" s="31">
        <f t="shared" si="18"/>
        <v>0</v>
      </c>
      <c r="T36" s="31">
        <f t="shared" si="18"/>
        <v>0</v>
      </c>
      <c r="U36" s="31">
        <f t="shared" si="18"/>
        <v>0</v>
      </c>
      <c r="V36" s="31">
        <f t="shared" si="18"/>
        <v>0</v>
      </c>
      <c r="W36" s="31">
        <f t="shared" si="18"/>
        <v>0</v>
      </c>
      <c r="X36" s="31">
        <f t="shared" si="19"/>
        <v>0</v>
      </c>
      <c r="Y36" s="31">
        <f t="shared" si="19"/>
        <v>0</v>
      </c>
      <c r="Z36" s="31">
        <f t="shared" si="19"/>
        <v>0</v>
      </c>
      <c r="AA36" s="31">
        <f t="shared" si="19"/>
        <v>0</v>
      </c>
      <c r="AB36" s="31">
        <f t="shared" si="19"/>
        <v>0</v>
      </c>
      <c r="AC36" s="31">
        <f t="shared" si="19"/>
        <v>0</v>
      </c>
      <c r="AD36" s="31">
        <f t="shared" si="19"/>
        <v>0</v>
      </c>
      <c r="AE36" s="31">
        <f t="shared" si="19"/>
        <v>0</v>
      </c>
      <c r="AF36" s="31">
        <f t="shared" si="19"/>
        <v>0</v>
      </c>
      <c r="AG36" s="31">
        <f t="shared" si="17"/>
        <v>1</v>
      </c>
    </row>
    <row r="37" spans="1:33" ht="10.5" x14ac:dyDescent="0.15">
      <c r="A37" s="1" t="s">
        <v>153</v>
      </c>
      <c r="B37" s="1" t="s">
        <v>154</v>
      </c>
      <c r="C37" s="3"/>
      <c r="D37" s="3">
        <v>56341290.646586925</v>
      </c>
      <c r="E37" s="3"/>
      <c r="F37" s="3"/>
      <c r="G37" s="3"/>
      <c r="H37" s="3"/>
      <c r="I37" s="3"/>
      <c r="J37" s="3">
        <v>56341290.646586925</v>
      </c>
      <c r="K37" s="26">
        <f t="shared" si="16"/>
        <v>2018</v>
      </c>
      <c r="L37" s="78"/>
      <c r="M37" s="37">
        <f t="shared" si="13"/>
        <v>0</v>
      </c>
      <c r="N37" s="31">
        <f t="shared" si="18"/>
        <v>0</v>
      </c>
      <c r="O37" s="31">
        <f t="shared" si="18"/>
        <v>0</v>
      </c>
      <c r="P37" s="31">
        <f t="shared" si="18"/>
        <v>0</v>
      </c>
      <c r="Q37" s="31">
        <f t="shared" si="18"/>
        <v>0</v>
      </c>
      <c r="R37" s="31">
        <f t="shared" si="18"/>
        <v>0</v>
      </c>
      <c r="S37" s="31">
        <f t="shared" si="18"/>
        <v>0</v>
      </c>
      <c r="T37" s="31">
        <f t="shared" si="18"/>
        <v>0</v>
      </c>
      <c r="U37" s="31">
        <f t="shared" si="18"/>
        <v>0</v>
      </c>
      <c r="V37" s="31">
        <f t="shared" si="18"/>
        <v>0</v>
      </c>
      <c r="W37" s="31">
        <f t="shared" si="18"/>
        <v>0</v>
      </c>
      <c r="X37" s="31">
        <f t="shared" si="19"/>
        <v>0</v>
      </c>
      <c r="Y37" s="31">
        <f t="shared" si="19"/>
        <v>0</v>
      </c>
      <c r="Z37" s="31">
        <f t="shared" si="19"/>
        <v>0</v>
      </c>
      <c r="AA37" s="31">
        <f t="shared" si="19"/>
        <v>0</v>
      </c>
      <c r="AB37" s="31">
        <f t="shared" si="19"/>
        <v>0</v>
      </c>
      <c r="AC37" s="31">
        <f t="shared" si="19"/>
        <v>0</v>
      </c>
      <c r="AD37" s="31">
        <f t="shared" si="19"/>
        <v>0</v>
      </c>
      <c r="AE37" s="31">
        <f t="shared" si="19"/>
        <v>0</v>
      </c>
      <c r="AF37" s="31">
        <f t="shared" si="19"/>
        <v>1</v>
      </c>
      <c r="AG37" s="31">
        <f t="shared" si="17"/>
        <v>1</v>
      </c>
    </row>
    <row r="38" spans="1:33" ht="10.5" x14ac:dyDescent="0.15">
      <c r="A38" s="1" t="s">
        <v>156</v>
      </c>
      <c r="B38" s="1" t="s">
        <v>157</v>
      </c>
      <c r="C38" s="3">
        <v>2025827.3149770764</v>
      </c>
      <c r="D38" s="3"/>
      <c r="E38" s="3"/>
      <c r="F38" s="3"/>
      <c r="G38" s="3"/>
      <c r="H38" s="3"/>
      <c r="I38" s="3"/>
      <c r="J38" s="3">
        <v>2025827.3149770764</v>
      </c>
      <c r="K38" s="26">
        <f t="shared" si="16"/>
        <v>2017</v>
      </c>
      <c r="L38" s="78"/>
      <c r="M38" s="37">
        <f t="shared" si="13"/>
        <v>1254957.6399999994</v>
      </c>
      <c r="N38" s="31">
        <f t="shared" si="18"/>
        <v>0</v>
      </c>
      <c r="O38" s="31">
        <f t="shared" si="18"/>
        <v>0</v>
      </c>
      <c r="P38" s="31">
        <f t="shared" si="18"/>
        <v>0</v>
      </c>
      <c r="Q38" s="31">
        <f t="shared" si="18"/>
        <v>0</v>
      </c>
      <c r="R38" s="31">
        <f t="shared" si="18"/>
        <v>0</v>
      </c>
      <c r="S38" s="31">
        <f t="shared" si="18"/>
        <v>0</v>
      </c>
      <c r="T38" s="31">
        <f t="shared" si="18"/>
        <v>0</v>
      </c>
      <c r="U38" s="31">
        <f t="shared" si="18"/>
        <v>0</v>
      </c>
      <c r="V38" s="31">
        <f t="shared" si="18"/>
        <v>0</v>
      </c>
      <c r="W38" s="31">
        <f t="shared" si="18"/>
        <v>0</v>
      </c>
      <c r="X38" s="31">
        <f t="shared" si="19"/>
        <v>0</v>
      </c>
      <c r="Y38" s="31">
        <f t="shared" si="19"/>
        <v>0</v>
      </c>
      <c r="Z38" s="31">
        <f t="shared" si="19"/>
        <v>0</v>
      </c>
      <c r="AA38" s="31">
        <f t="shared" si="19"/>
        <v>0</v>
      </c>
      <c r="AB38" s="31">
        <f t="shared" si="19"/>
        <v>0</v>
      </c>
      <c r="AC38" s="31">
        <f t="shared" si="19"/>
        <v>0</v>
      </c>
      <c r="AD38" s="31">
        <f t="shared" si="19"/>
        <v>0</v>
      </c>
      <c r="AE38" s="31">
        <f t="shared" si="19"/>
        <v>0</v>
      </c>
      <c r="AF38" s="31">
        <f t="shared" si="19"/>
        <v>1</v>
      </c>
      <c r="AG38" s="31">
        <f t="shared" si="17"/>
        <v>1</v>
      </c>
    </row>
    <row r="39" spans="1:33" ht="10.5" x14ac:dyDescent="0.15">
      <c r="A39" s="1" t="s">
        <v>158</v>
      </c>
      <c r="B39" s="1" t="s">
        <v>159</v>
      </c>
      <c r="C39" s="3">
        <v>5345505.9300976954</v>
      </c>
      <c r="D39" s="3"/>
      <c r="E39" s="3"/>
      <c r="F39" s="3"/>
      <c r="G39" s="3"/>
      <c r="H39" s="3"/>
      <c r="I39" s="3"/>
      <c r="J39" s="3">
        <v>5345505.9300976954</v>
      </c>
      <c r="K39" s="26">
        <f t="shared" si="16"/>
        <v>2017</v>
      </c>
      <c r="L39" s="78"/>
      <c r="M39" s="37">
        <f t="shared" si="13"/>
        <v>3630888.06</v>
      </c>
      <c r="N39" s="31">
        <f t="shared" ref="N39:W48" si="20">IF(OR(LEFT($A39,1)="E",LEFT($A39,1)="Z"),IF($M39=0,VLOOKUP(MID($A39,4,5),ProjectSplits,N$2,FALSE),IF(ISNA(VLOOKUP($A39,Estimates,N$1,FALSE)),VLOOKUP(MID($A39,4,5),ProjectSplits,N$2,FALSE),VLOOKUP($A39,Estimates,N$1,FALSE))),0)</f>
        <v>0</v>
      </c>
      <c r="O39" s="31">
        <f t="shared" si="20"/>
        <v>0</v>
      </c>
      <c r="P39" s="31">
        <f t="shared" si="20"/>
        <v>0</v>
      </c>
      <c r="Q39" s="31">
        <f t="shared" si="20"/>
        <v>0</v>
      </c>
      <c r="R39" s="31">
        <f t="shared" si="20"/>
        <v>0</v>
      </c>
      <c r="S39" s="31">
        <f t="shared" si="20"/>
        <v>0</v>
      </c>
      <c r="T39" s="31">
        <f t="shared" si="20"/>
        <v>0</v>
      </c>
      <c r="U39" s="31">
        <f t="shared" si="20"/>
        <v>0</v>
      </c>
      <c r="V39" s="31">
        <f t="shared" si="20"/>
        <v>0</v>
      </c>
      <c r="W39" s="31">
        <f t="shared" si="20"/>
        <v>0</v>
      </c>
      <c r="X39" s="31">
        <f t="shared" ref="X39:AF48" si="21">IF(OR(LEFT($A39,1)="E",LEFT($A39,1)="Z"),IF($M39=0,VLOOKUP(MID($A39,4,5),ProjectSplits,X$2,FALSE),IF(ISNA(VLOOKUP($A39,Estimates,X$1,FALSE)),VLOOKUP(MID($A39,4,5),ProjectSplits,X$2,FALSE),VLOOKUP($A39,Estimates,X$1,FALSE))),0)</f>
        <v>0</v>
      </c>
      <c r="Y39" s="31">
        <f t="shared" si="21"/>
        <v>0</v>
      </c>
      <c r="Z39" s="31">
        <f t="shared" si="21"/>
        <v>0</v>
      </c>
      <c r="AA39" s="31">
        <f t="shared" si="21"/>
        <v>0</v>
      </c>
      <c r="AB39" s="31">
        <f t="shared" si="21"/>
        <v>0</v>
      </c>
      <c r="AC39" s="31">
        <f t="shared" si="21"/>
        <v>0</v>
      </c>
      <c r="AD39" s="31">
        <f t="shared" si="21"/>
        <v>0</v>
      </c>
      <c r="AE39" s="31">
        <f t="shared" si="21"/>
        <v>0</v>
      </c>
      <c r="AF39" s="31">
        <f t="shared" si="21"/>
        <v>1</v>
      </c>
      <c r="AG39" s="31">
        <f t="shared" si="17"/>
        <v>1</v>
      </c>
    </row>
    <row r="40" spans="1:33" ht="10.5" x14ac:dyDescent="0.15">
      <c r="A40" s="1" t="s">
        <v>160</v>
      </c>
      <c r="B40" s="1" t="s">
        <v>161</v>
      </c>
      <c r="C40" s="3">
        <v>6317208.8419784857</v>
      </c>
      <c r="D40" s="3"/>
      <c r="E40" s="3"/>
      <c r="F40" s="3"/>
      <c r="G40" s="3"/>
      <c r="H40" s="3"/>
      <c r="I40" s="3"/>
      <c r="J40" s="3">
        <v>6317208.8419784857</v>
      </c>
      <c r="K40" s="26">
        <f t="shared" si="16"/>
        <v>2017</v>
      </c>
      <c r="L40" s="78"/>
      <c r="M40" s="37">
        <f t="shared" si="13"/>
        <v>5895290.8999500005</v>
      </c>
      <c r="N40" s="31">
        <f t="shared" si="20"/>
        <v>0</v>
      </c>
      <c r="O40" s="31">
        <f t="shared" si="20"/>
        <v>0</v>
      </c>
      <c r="P40" s="31">
        <f t="shared" si="20"/>
        <v>0</v>
      </c>
      <c r="Q40" s="31">
        <f t="shared" si="20"/>
        <v>0</v>
      </c>
      <c r="R40" s="31">
        <f t="shared" si="20"/>
        <v>0</v>
      </c>
      <c r="S40" s="31">
        <f t="shared" si="20"/>
        <v>0</v>
      </c>
      <c r="T40" s="31">
        <f t="shared" si="20"/>
        <v>0</v>
      </c>
      <c r="U40" s="31">
        <f t="shared" si="20"/>
        <v>0</v>
      </c>
      <c r="V40" s="31">
        <f t="shared" si="20"/>
        <v>0</v>
      </c>
      <c r="W40" s="31">
        <f t="shared" si="20"/>
        <v>0</v>
      </c>
      <c r="X40" s="31">
        <f t="shared" si="21"/>
        <v>0</v>
      </c>
      <c r="Y40" s="31">
        <f t="shared" si="21"/>
        <v>0</v>
      </c>
      <c r="Z40" s="31">
        <f t="shared" si="21"/>
        <v>0</v>
      </c>
      <c r="AA40" s="31">
        <f t="shared" si="21"/>
        <v>0</v>
      </c>
      <c r="AB40" s="31">
        <f t="shared" si="21"/>
        <v>0</v>
      </c>
      <c r="AC40" s="31">
        <f t="shared" si="21"/>
        <v>0</v>
      </c>
      <c r="AD40" s="31">
        <f t="shared" si="21"/>
        <v>0</v>
      </c>
      <c r="AE40" s="31">
        <f t="shared" si="21"/>
        <v>0</v>
      </c>
      <c r="AF40" s="31">
        <f t="shared" si="21"/>
        <v>1</v>
      </c>
      <c r="AG40" s="31">
        <f t="shared" si="17"/>
        <v>1</v>
      </c>
    </row>
    <row r="41" spans="1:33" ht="10.5" x14ac:dyDescent="0.15">
      <c r="A41" s="1" t="s">
        <v>168</v>
      </c>
      <c r="B41" s="1" t="s">
        <v>169</v>
      </c>
      <c r="C41" s="3">
        <v>1642391.975099965</v>
      </c>
      <c r="D41" s="3"/>
      <c r="E41" s="3"/>
      <c r="F41" s="3"/>
      <c r="G41" s="3"/>
      <c r="H41" s="3"/>
      <c r="I41" s="3"/>
      <c r="J41" s="3">
        <v>1642391.975099965</v>
      </c>
      <c r="K41" s="26">
        <f t="shared" si="16"/>
        <v>2017</v>
      </c>
      <c r="L41" s="78"/>
      <c r="M41" s="37">
        <f t="shared" si="13"/>
        <v>0</v>
      </c>
      <c r="N41" s="31">
        <f t="shared" si="20"/>
        <v>0</v>
      </c>
      <c r="O41" s="31">
        <f t="shared" si="20"/>
        <v>0</v>
      </c>
      <c r="P41" s="31">
        <f t="shared" si="20"/>
        <v>0</v>
      </c>
      <c r="Q41" s="31">
        <f t="shared" si="20"/>
        <v>0.5</v>
      </c>
      <c r="R41" s="31">
        <f t="shared" si="20"/>
        <v>0</v>
      </c>
      <c r="S41" s="31">
        <f t="shared" si="20"/>
        <v>0</v>
      </c>
      <c r="T41" s="31">
        <f t="shared" si="20"/>
        <v>0</v>
      </c>
      <c r="U41" s="31">
        <f t="shared" si="20"/>
        <v>0.5</v>
      </c>
      <c r="V41" s="31">
        <f t="shared" si="20"/>
        <v>0</v>
      </c>
      <c r="W41" s="31">
        <f t="shared" si="20"/>
        <v>0</v>
      </c>
      <c r="X41" s="31">
        <f t="shared" si="21"/>
        <v>0</v>
      </c>
      <c r="Y41" s="31">
        <f t="shared" si="21"/>
        <v>0</v>
      </c>
      <c r="Z41" s="31">
        <f t="shared" si="21"/>
        <v>0</v>
      </c>
      <c r="AA41" s="31">
        <f t="shared" si="21"/>
        <v>0</v>
      </c>
      <c r="AB41" s="31">
        <f t="shared" si="21"/>
        <v>0</v>
      </c>
      <c r="AC41" s="31">
        <f t="shared" si="21"/>
        <v>0</v>
      </c>
      <c r="AD41" s="31">
        <f t="shared" si="21"/>
        <v>0</v>
      </c>
      <c r="AE41" s="31">
        <f t="shared" si="21"/>
        <v>0</v>
      </c>
      <c r="AF41" s="31">
        <f t="shared" si="21"/>
        <v>0</v>
      </c>
      <c r="AG41" s="31">
        <f t="shared" si="17"/>
        <v>1</v>
      </c>
    </row>
    <row r="42" spans="1:33" ht="10.5" x14ac:dyDescent="0.15">
      <c r="A42" s="1" t="s">
        <v>171</v>
      </c>
      <c r="B42" s="1" t="s">
        <v>172</v>
      </c>
      <c r="C42" s="95">
        <v>93361.470955531317</v>
      </c>
      <c r="D42" s="3"/>
      <c r="E42" s="3"/>
      <c r="F42" s="3"/>
      <c r="G42" s="3"/>
      <c r="H42" s="3"/>
      <c r="I42" s="3"/>
      <c r="J42" s="3">
        <v>93361.470955531317</v>
      </c>
      <c r="K42" s="26">
        <f t="shared" si="16"/>
        <v>2017</v>
      </c>
      <c r="L42" s="78"/>
      <c r="M42" s="37">
        <f t="shared" si="13"/>
        <v>0</v>
      </c>
      <c r="N42" s="31">
        <f t="shared" si="20"/>
        <v>0</v>
      </c>
      <c r="O42" s="31">
        <f t="shared" si="20"/>
        <v>0</v>
      </c>
      <c r="P42" s="31">
        <f t="shared" si="20"/>
        <v>0</v>
      </c>
      <c r="Q42" s="31">
        <f t="shared" si="20"/>
        <v>0</v>
      </c>
      <c r="R42" s="31">
        <f t="shared" si="20"/>
        <v>0</v>
      </c>
      <c r="S42" s="31">
        <f t="shared" si="20"/>
        <v>0</v>
      </c>
      <c r="T42" s="31">
        <f t="shared" si="20"/>
        <v>0</v>
      </c>
      <c r="U42" s="31">
        <f t="shared" si="20"/>
        <v>1</v>
      </c>
      <c r="V42" s="31">
        <f t="shared" si="20"/>
        <v>0</v>
      </c>
      <c r="W42" s="31">
        <f t="shared" si="20"/>
        <v>0</v>
      </c>
      <c r="X42" s="31">
        <f t="shared" si="21"/>
        <v>0</v>
      </c>
      <c r="Y42" s="31">
        <f t="shared" si="21"/>
        <v>0</v>
      </c>
      <c r="Z42" s="31">
        <f t="shared" si="21"/>
        <v>0</v>
      </c>
      <c r="AA42" s="31">
        <f t="shared" si="21"/>
        <v>0</v>
      </c>
      <c r="AB42" s="31">
        <f t="shared" si="21"/>
        <v>0</v>
      </c>
      <c r="AC42" s="31">
        <f t="shared" si="21"/>
        <v>0</v>
      </c>
      <c r="AD42" s="31">
        <f t="shared" si="21"/>
        <v>0</v>
      </c>
      <c r="AE42" s="31">
        <f t="shared" si="21"/>
        <v>0</v>
      </c>
      <c r="AF42" s="31">
        <f t="shared" si="21"/>
        <v>0</v>
      </c>
      <c r="AG42" s="31">
        <f t="shared" si="17"/>
        <v>1</v>
      </c>
    </row>
    <row r="43" spans="1:33" ht="10.5" x14ac:dyDescent="0.15">
      <c r="A43" s="1" t="s">
        <v>175</v>
      </c>
      <c r="B43" s="1" t="s">
        <v>176</v>
      </c>
      <c r="C43" s="3">
        <v>808532.13131222909</v>
      </c>
      <c r="D43" s="3"/>
      <c r="E43" s="3"/>
      <c r="F43" s="3"/>
      <c r="G43" s="3"/>
      <c r="H43" s="3"/>
      <c r="I43" s="3"/>
      <c r="J43" s="3">
        <v>808532.13131222909</v>
      </c>
      <c r="K43" s="26">
        <f t="shared" si="16"/>
        <v>2017</v>
      </c>
      <c r="L43" s="78"/>
      <c r="M43" s="37">
        <f t="shared" si="13"/>
        <v>0</v>
      </c>
      <c r="N43" s="31">
        <f t="shared" si="20"/>
        <v>0</v>
      </c>
      <c r="O43" s="31">
        <f t="shared" si="20"/>
        <v>0</v>
      </c>
      <c r="P43" s="31">
        <f t="shared" si="20"/>
        <v>0</v>
      </c>
      <c r="Q43" s="31">
        <f t="shared" si="20"/>
        <v>0</v>
      </c>
      <c r="R43" s="31">
        <f t="shared" si="20"/>
        <v>1</v>
      </c>
      <c r="S43" s="31">
        <f t="shared" si="20"/>
        <v>0</v>
      </c>
      <c r="T43" s="31">
        <f t="shared" si="20"/>
        <v>0</v>
      </c>
      <c r="U43" s="31">
        <f t="shared" si="20"/>
        <v>0</v>
      </c>
      <c r="V43" s="31">
        <f t="shared" si="20"/>
        <v>0</v>
      </c>
      <c r="W43" s="31">
        <f t="shared" si="20"/>
        <v>0</v>
      </c>
      <c r="X43" s="31">
        <f t="shared" si="21"/>
        <v>0</v>
      </c>
      <c r="Y43" s="31">
        <f t="shared" si="21"/>
        <v>0</v>
      </c>
      <c r="Z43" s="31">
        <f t="shared" si="21"/>
        <v>0</v>
      </c>
      <c r="AA43" s="31">
        <f t="shared" si="21"/>
        <v>0</v>
      </c>
      <c r="AB43" s="31">
        <f t="shared" si="21"/>
        <v>0</v>
      </c>
      <c r="AC43" s="31">
        <f t="shared" si="21"/>
        <v>0</v>
      </c>
      <c r="AD43" s="31">
        <f t="shared" si="21"/>
        <v>0</v>
      </c>
      <c r="AE43" s="31">
        <f t="shared" si="21"/>
        <v>0</v>
      </c>
      <c r="AF43" s="31">
        <f t="shared" si="21"/>
        <v>0</v>
      </c>
      <c r="AG43" s="31">
        <f t="shared" si="17"/>
        <v>1</v>
      </c>
    </row>
    <row r="44" spans="1:33" ht="10.5" x14ac:dyDescent="0.15">
      <c r="A44" s="1" t="s">
        <v>177</v>
      </c>
      <c r="B44" s="1" t="s">
        <v>178</v>
      </c>
      <c r="C44" s="3"/>
      <c r="D44" s="3">
        <v>1792784.3149523984</v>
      </c>
      <c r="E44" s="3"/>
      <c r="F44" s="3"/>
      <c r="G44" s="3"/>
      <c r="H44" s="3"/>
      <c r="I44" s="3"/>
      <c r="J44" s="3">
        <v>1792784.3149523984</v>
      </c>
      <c r="K44" s="26">
        <f t="shared" si="16"/>
        <v>2018</v>
      </c>
      <c r="L44" s="78"/>
      <c r="M44" s="37">
        <f t="shared" si="13"/>
        <v>0</v>
      </c>
      <c r="N44" s="31">
        <f t="shared" si="20"/>
        <v>0</v>
      </c>
      <c r="O44" s="31">
        <f t="shared" si="20"/>
        <v>0</v>
      </c>
      <c r="P44" s="31">
        <f t="shared" si="20"/>
        <v>0</v>
      </c>
      <c r="Q44" s="31">
        <f t="shared" si="20"/>
        <v>0</v>
      </c>
      <c r="R44" s="31">
        <f t="shared" si="20"/>
        <v>0</v>
      </c>
      <c r="S44" s="31">
        <f t="shared" si="20"/>
        <v>0</v>
      </c>
      <c r="T44" s="31">
        <f t="shared" si="20"/>
        <v>0</v>
      </c>
      <c r="U44" s="31">
        <f t="shared" si="20"/>
        <v>0</v>
      </c>
      <c r="V44" s="31">
        <f t="shared" si="20"/>
        <v>0</v>
      </c>
      <c r="W44" s="31">
        <f t="shared" si="20"/>
        <v>0.93416923832074183</v>
      </c>
      <c r="X44" s="31">
        <f t="shared" si="21"/>
        <v>0</v>
      </c>
      <c r="Y44" s="31">
        <f t="shared" si="21"/>
        <v>3.9926470866991783E-2</v>
      </c>
      <c r="Z44" s="31">
        <f t="shared" si="21"/>
        <v>0</v>
      </c>
      <c r="AA44" s="31">
        <f t="shared" si="21"/>
        <v>0</v>
      </c>
      <c r="AB44" s="31">
        <f t="shared" si="21"/>
        <v>0</v>
      </c>
      <c r="AC44" s="31">
        <f t="shared" si="21"/>
        <v>2.5904290812266445E-2</v>
      </c>
      <c r="AD44" s="31">
        <f t="shared" si="21"/>
        <v>0</v>
      </c>
      <c r="AE44" s="31">
        <f t="shared" si="21"/>
        <v>0</v>
      </c>
      <c r="AF44" s="31">
        <f t="shared" si="21"/>
        <v>0</v>
      </c>
      <c r="AG44" s="31">
        <f t="shared" si="17"/>
        <v>1</v>
      </c>
    </row>
    <row r="45" spans="1:33" ht="10.5" x14ac:dyDescent="0.15">
      <c r="A45" s="1" t="s">
        <v>192</v>
      </c>
      <c r="B45" s="1" t="s">
        <v>2374</v>
      </c>
      <c r="C45" s="95"/>
      <c r="D45" s="95"/>
      <c r="E45" s="95">
        <v>4413519.8488364052</v>
      </c>
      <c r="F45" s="95"/>
      <c r="G45" s="3"/>
      <c r="H45" s="3"/>
      <c r="I45" s="3"/>
      <c r="J45" s="3">
        <v>4413519.8488364052</v>
      </c>
      <c r="K45" s="26">
        <f t="shared" si="16"/>
        <v>2019</v>
      </c>
      <c r="L45" s="78"/>
      <c r="M45" s="37">
        <f t="shared" si="13"/>
        <v>599999.99999999988</v>
      </c>
      <c r="N45" s="31">
        <f t="shared" si="20"/>
        <v>0</v>
      </c>
      <c r="O45" s="31">
        <f t="shared" si="20"/>
        <v>0</v>
      </c>
      <c r="P45" s="31">
        <f t="shared" si="20"/>
        <v>0</v>
      </c>
      <c r="Q45" s="31">
        <f t="shared" si="20"/>
        <v>1</v>
      </c>
      <c r="R45" s="31">
        <f t="shared" si="20"/>
        <v>0</v>
      </c>
      <c r="S45" s="31">
        <f t="shared" si="20"/>
        <v>0</v>
      </c>
      <c r="T45" s="31">
        <f t="shared" si="20"/>
        <v>0</v>
      </c>
      <c r="U45" s="31">
        <f t="shared" si="20"/>
        <v>0</v>
      </c>
      <c r="V45" s="31">
        <f t="shared" si="20"/>
        <v>0</v>
      </c>
      <c r="W45" s="31">
        <f t="shared" si="20"/>
        <v>0</v>
      </c>
      <c r="X45" s="31">
        <f t="shared" si="21"/>
        <v>0</v>
      </c>
      <c r="Y45" s="31">
        <f t="shared" si="21"/>
        <v>0</v>
      </c>
      <c r="Z45" s="31">
        <f t="shared" si="21"/>
        <v>0</v>
      </c>
      <c r="AA45" s="31">
        <f t="shared" si="21"/>
        <v>0</v>
      </c>
      <c r="AB45" s="31">
        <f t="shared" si="21"/>
        <v>0</v>
      </c>
      <c r="AC45" s="31">
        <f t="shared" si="21"/>
        <v>0</v>
      </c>
      <c r="AD45" s="31">
        <f t="shared" si="21"/>
        <v>0</v>
      </c>
      <c r="AE45" s="31">
        <f t="shared" si="21"/>
        <v>0</v>
      </c>
      <c r="AF45" s="31">
        <f t="shared" si="21"/>
        <v>0</v>
      </c>
      <c r="AG45" s="31">
        <f t="shared" si="17"/>
        <v>1</v>
      </c>
    </row>
    <row r="46" spans="1:33" ht="10.5" x14ac:dyDescent="0.15">
      <c r="A46" s="1" t="s">
        <v>193</v>
      </c>
      <c r="B46" s="1" t="s">
        <v>194</v>
      </c>
      <c r="C46" s="95">
        <v>444090.35650712368</v>
      </c>
      <c r="D46" s="95"/>
      <c r="E46" s="95"/>
      <c r="F46" s="95"/>
      <c r="G46" s="3"/>
      <c r="H46" s="3"/>
      <c r="I46" s="3"/>
      <c r="J46" s="3">
        <v>444090.35650712368</v>
      </c>
      <c r="K46" s="26">
        <f t="shared" si="16"/>
        <v>2017</v>
      </c>
      <c r="L46" s="78"/>
      <c r="M46" s="37">
        <f t="shared" si="13"/>
        <v>499001</v>
      </c>
      <c r="N46" s="31">
        <f t="shared" si="20"/>
        <v>0</v>
      </c>
      <c r="O46" s="31">
        <f t="shared" si="20"/>
        <v>0</v>
      </c>
      <c r="P46" s="31">
        <f t="shared" si="20"/>
        <v>0</v>
      </c>
      <c r="Q46" s="31">
        <f t="shared" si="20"/>
        <v>1</v>
      </c>
      <c r="R46" s="31">
        <f t="shared" si="20"/>
        <v>0</v>
      </c>
      <c r="S46" s="31">
        <f t="shared" si="20"/>
        <v>0</v>
      </c>
      <c r="T46" s="31">
        <f t="shared" si="20"/>
        <v>0</v>
      </c>
      <c r="U46" s="31">
        <f t="shared" si="20"/>
        <v>0</v>
      </c>
      <c r="V46" s="31">
        <f t="shared" si="20"/>
        <v>0</v>
      </c>
      <c r="W46" s="31">
        <f t="shared" si="20"/>
        <v>0</v>
      </c>
      <c r="X46" s="31">
        <f t="shared" si="21"/>
        <v>0</v>
      </c>
      <c r="Y46" s="31">
        <f t="shared" si="21"/>
        <v>0</v>
      </c>
      <c r="Z46" s="31">
        <f t="shared" si="21"/>
        <v>0</v>
      </c>
      <c r="AA46" s="31">
        <f t="shared" si="21"/>
        <v>0</v>
      </c>
      <c r="AB46" s="31">
        <f t="shared" si="21"/>
        <v>0</v>
      </c>
      <c r="AC46" s="31">
        <f t="shared" si="21"/>
        <v>0</v>
      </c>
      <c r="AD46" s="31">
        <f t="shared" si="21"/>
        <v>0</v>
      </c>
      <c r="AE46" s="31">
        <f t="shared" si="21"/>
        <v>0</v>
      </c>
      <c r="AF46" s="31">
        <f t="shared" si="21"/>
        <v>0</v>
      </c>
      <c r="AG46" s="31">
        <f t="shared" si="17"/>
        <v>1</v>
      </c>
    </row>
    <row r="47" spans="1:33" ht="10.5" x14ac:dyDescent="0.15">
      <c r="A47" s="1" t="s">
        <v>196</v>
      </c>
      <c r="B47" s="1" t="s">
        <v>197</v>
      </c>
      <c r="C47" s="95"/>
      <c r="D47" s="95">
        <v>1380396.8348062958</v>
      </c>
      <c r="E47" s="95"/>
      <c r="F47" s="95"/>
      <c r="G47" s="3"/>
      <c r="H47" s="3"/>
      <c r="I47" s="3"/>
      <c r="J47" s="3">
        <v>1380396.8348062958</v>
      </c>
      <c r="K47" s="26">
        <f t="shared" si="16"/>
        <v>2018</v>
      </c>
      <c r="L47" s="78"/>
      <c r="M47" s="37">
        <f t="shared" si="13"/>
        <v>0</v>
      </c>
      <c r="N47" s="31">
        <f t="shared" si="20"/>
        <v>0</v>
      </c>
      <c r="O47" s="31">
        <f t="shared" si="20"/>
        <v>0</v>
      </c>
      <c r="P47" s="31">
        <f t="shared" si="20"/>
        <v>0</v>
      </c>
      <c r="Q47" s="31">
        <f t="shared" si="20"/>
        <v>1</v>
      </c>
      <c r="R47" s="31">
        <f t="shared" si="20"/>
        <v>0</v>
      </c>
      <c r="S47" s="31">
        <f t="shared" si="20"/>
        <v>0</v>
      </c>
      <c r="T47" s="31">
        <f t="shared" si="20"/>
        <v>0</v>
      </c>
      <c r="U47" s="31">
        <f t="shared" si="20"/>
        <v>0</v>
      </c>
      <c r="V47" s="31">
        <f t="shared" si="20"/>
        <v>0</v>
      </c>
      <c r="W47" s="31">
        <f t="shared" si="20"/>
        <v>0</v>
      </c>
      <c r="X47" s="31">
        <f t="shared" si="21"/>
        <v>0</v>
      </c>
      <c r="Y47" s="31">
        <f t="shared" si="21"/>
        <v>0</v>
      </c>
      <c r="Z47" s="31">
        <f t="shared" si="21"/>
        <v>0</v>
      </c>
      <c r="AA47" s="31">
        <f t="shared" si="21"/>
        <v>0</v>
      </c>
      <c r="AB47" s="31">
        <f t="shared" si="21"/>
        <v>0</v>
      </c>
      <c r="AC47" s="31">
        <f t="shared" si="21"/>
        <v>0</v>
      </c>
      <c r="AD47" s="31">
        <f t="shared" si="21"/>
        <v>0</v>
      </c>
      <c r="AE47" s="31">
        <f t="shared" si="21"/>
        <v>0</v>
      </c>
      <c r="AF47" s="31">
        <f t="shared" si="21"/>
        <v>0</v>
      </c>
      <c r="AG47" s="31">
        <f t="shared" si="17"/>
        <v>1</v>
      </c>
    </row>
    <row r="48" spans="1:33" ht="10.5" x14ac:dyDescent="0.15">
      <c r="A48" s="1" t="s">
        <v>200</v>
      </c>
      <c r="B48" s="1" t="s">
        <v>201</v>
      </c>
      <c r="C48" s="95">
        <v>611822.13588226098</v>
      </c>
      <c r="D48" s="95"/>
      <c r="E48" s="95"/>
      <c r="F48" s="95"/>
      <c r="G48" s="3"/>
      <c r="H48" s="3"/>
      <c r="I48" s="3"/>
      <c r="J48" s="3">
        <v>611822.13588226098</v>
      </c>
      <c r="K48" s="26">
        <f t="shared" si="16"/>
        <v>2017</v>
      </c>
      <c r="L48" s="78"/>
      <c r="M48" s="37">
        <f t="shared" si="13"/>
        <v>1949999.9999999974</v>
      </c>
      <c r="N48" s="31">
        <f t="shared" si="20"/>
        <v>0</v>
      </c>
      <c r="O48" s="31">
        <f t="shared" si="20"/>
        <v>0</v>
      </c>
      <c r="P48" s="31">
        <f t="shared" si="20"/>
        <v>0</v>
      </c>
      <c r="Q48" s="31">
        <f t="shared" si="20"/>
        <v>1</v>
      </c>
      <c r="R48" s="31">
        <f t="shared" si="20"/>
        <v>0</v>
      </c>
      <c r="S48" s="31">
        <f t="shared" si="20"/>
        <v>0</v>
      </c>
      <c r="T48" s="31">
        <f t="shared" si="20"/>
        <v>0</v>
      </c>
      <c r="U48" s="31">
        <f t="shared" si="20"/>
        <v>0</v>
      </c>
      <c r="V48" s="31">
        <f t="shared" si="20"/>
        <v>0</v>
      </c>
      <c r="W48" s="31">
        <f t="shared" si="20"/>
        <v>0</v>
      </c>
      <c r="X48" s="31">
        <f t="shared" si="21"/>
        <v>0</v>
      </c>
      <c r="Y48" s="31">
        <f t="shared" si="21"/>
        <v>0</v>
      </c>
      <c r="Z48" s="31">
        <f t="shared" si="21"/>
        <v>0</v>
      </c>
      <c r="AA48" s="31">
        <f t="shared" si="21"/>
        <v>0</v>
      </c>
      <c r="AB48" s="31">
        <f t="shared" si="21"/>
        <v>0</v>
      </c>
      <c r="AC48" s="31">
        <f t="shared" si="21"/>
        <v>0</v>
      </c>
      <c r="AD48" s="31">
        <f t="shared" si="21"/>
        <v>0</v>
      </c>
      <c r="AE48" s="31">
        <f t="shared" si="21"/>
        <v>0</v>
      </c>
      <c r="AF48" s="31">
        <f t="shared" si="21"/>
        <v>0</v>
      </c>
      <c r="AG48" s="31">
        <f t="shared" si="17"/>
        <v>1</v>
      </c>
    </row>
    <row r="49" spans="1:33" ht="10.5" x14ac:dyDescent="0.15">
      <c r="A49" s="1" t="s">
        <v>205</v>
      </c>
      <c r="B49" s="1" t="s">
        <v>206</v>
      </c>
      <c r="C49" s="95"/>
      <c r="D49" s="95"/>
      <c r="E49" s="95">
        <v>163681.60803508642</v>
      </c>
      <c r="F49" s="95"/>
      <c r="G49" s="3"/>
      <c r="H49" s="3"/>
      <c r="I49" s="3"/>
      <c r="J49" s="3">
        <v>163681.60803508642</v>
      </c>
      <c r="K49" s="26">
        <f t="shared" si="16"/>
        <v>2019</v>
      </c>
      <c r="L49" s="78"/>
      <c r="M49" s="37">
        <f t="shared" si="13"/>
        <v>0</v>
      </c>
      <c r="N49" s="31">
        <f t="shared" ref="N49:W58" si="22">IF(OR(LEFT($A49,1)="E",LEFT($A49,1)="Z"),IF($M49=0,VLOOKUP(MID($A49,4,5),ProjectSplits,N$2,FALSE),IF(ISNA(VLOOKUP($A49,Estimates,N$1,FALSE)),VLOOKUP(MID($A49,4,5),ProjectSplits,N$2,FALSE),VLOOKUP($A49,Estimates,N$1,FALSE))),0)</f>
        <v>0</v>
      </c>
      <c r="O49" s="31">
        <f t="shared" si="22"/>
        <v>0</v>
      </c>
      <c r="P49" s="31">
        <f t="shared" si="22"/>
        <v>0</v>
      </c>
      <c r="Q49" s="31">
        <f t="shared" si="22"/>
        <v>1</v>
      </c>
      <c r="R49" s="31">
        <f t="shared" si="22"/>
        <v>0</v>
      </c>
      <c r="S49" s="31">
        <f t="shared" si="22"/>
        <v>0</v>
      </c>
      <c r="T49" s="31">
        <f t="shared" si="22"/>
        <v>0</v>
      </c>
      <c r="U49" s="31">
        <f t="shared" si="22"/>
        <v>0</v>
      </c>
      <c r="V49" s="31">
        <f t="shared" si="22"/>
        <v>0</v>
      </c>
      <c r="W49" s="31">
        <f t="shared" si="22"/>
        <v>0</v>
      </c>
      <c r="X49" s="31">
        <f t="shared" ref="X49:AF58" si="23">IF(OR(LEFT($A49,1)="E",LEFT($A49,1)="Z"),IF($M49=0,VLOOKUP(MID($A49,4,5),ProjectSplits,X$2,FALSE),IF(ISNA(VLOOKUP($A49,Estimates,X$1,FALSE)),VLOOKUP(MID($A49,4,5),ProjectSplits,X$2,FALSE),VLOOKUP($A49,Estimates,X$1,FALSE))),0)</f>
        <v>0</v>
      </c>
      <c r="Y49" s="31">
        <f t="shared" si="23"/>
        <v>0</v>
      </c>
      <c r="Z49" s="31">
        <f t="shared" si="23"/>
        <v>0</v>
      </c>
      <c r="AA49" s="31">
        <f t="shared" si="23"/>
        <v>0</v>
      </c>
      <c r="AB49" s="31">
        <f t="shared" si="23"/>
        <v>0</v>
      </c>
      <c r="AC49" s="31">
        <f t="shared" si="23"/>
        <v>0</v>
      </c>
      <c r="AD49" s="31">
        <f t="shared" si="23"/>
        <v>0</v>
      </c>
      <c r="AE49" s="31">
        <f t="shared" si="23"/>
        <v>0</v>
      </c>
      <c r="AF49" s="31">
        <f t="shared" si="23"/>
        <v>0</v>
      </c>
      <c r="AG49" s="31">
        <f t="shared" si="17"/>
        <v>1</v>
      </c>
    </row>
    <row r="50" spans="1:33" ht="10.5" x14ac:dyDescent="0.15">
      <c r="A50" s="1" t="s">
        <v>207</v>
      </c>
      <c r="B50" s="1" t="s">
        <v>208</v>
      </c>
      <c r="C50" s="95"/>
      <c r="D50" s="95"/>
      <c r="E50" s="95"/>
      <c r="F50" s="95">
        <v>401389.67612811609</v>
      </c>
      <c r="G50" s="3"/>
      <c r="H50" s="3"/>
      <c r="I50" s="3"/>
      <c r="J50" s="3">
        <v>401389.67612811609</v>
      </c>
      <c r="K50" s="26">
        <f t="shared" si="16"/>
        <v>2020</v>
      </c>
      <c r="L50" s="78"/>
      <c r="M50" s="37">
        <f t="shared" si="13"/>
        <v>68400</v>
      </c>
      <c r="N50" s="31">
        <f t="shared" si="22"/>
        <v>0</v>
      </c>
      <c r="O50" s="31">
        <f t="shared" si="22"/>
        <v>0</v>
      </c>
      <c r="P50" s="31">
        <f t="shared" si="22"/>
        <v>0</v>
      </c>
      <c r="Q50" s="31">
        <f t="shared" si="22"/>
        <v>1</v>
      </c>
      <c r="R50" s="31">
        <f t="shared" si="22"/>
        <v>0</v>
      </c>
      <c r="S50" s="31">
        <f t="shared" si="22"/>
        <v>0</v>
      </c>
      <c r="T50" s="31">
        <f t="shared" si="22"/>
        <v>0</v>
      </c>
      <c r="U50" s="31">
        <f t="shared" si="22"/>
        <v>0</v>
      </c>
      <c r="V50" s="31">
        <f t="shared" si="22"/>
        <v>0</v>
      </c>
      <c r="W50" s="31">
        <f t="shared" si="22"/>
        <v>0</v>
      </c>
      <c r="X50" s="31">
        <f t="shared" si="23"/>
        <v>0</v>
      </c>
      <c r="Y50" s="31">
        <f t="shared" si="23"/>
        <v>0</v>
      </c>
      <c r="Z50" s="31">
        <f t="shared" si="23"/>
        <v>0</v>
      </c>
      <c r="AA50" s="31">
        <f t="shared" si="23"/>
        <v>0</v>
      </c>
      <c r="AB50" s="31">
        <f t="shared" si="23"/>
        <v>0</v>
      </c>
      <c r="AC50" s="31">
        <f t="shared" si="23"/>
        <v>0</v>
      </c>
      <c r="AD50" s="31">
        <f t="shared" si="23"/>
        <v>0</v>
      </c>
      <c r="AE50" s="31">
        <f t="shared" si="23"/>
        <v>0</v>
      </c>
      <c r="AF50" s="31">
        <f t="shared" si="23"/>
        <v>0</v>
      </c>
      <c r="AG50" s="31">
        <f t="shared" si="17"/>
        <v>1</v>
      </c>
    </row>
    <row r="51" spans="1:33" ht="10.5" x14ac:dyDescent="0.15">
      <c r="A51" s="1" t="s">
        <v>209</v>
      </c>
      <c r="B51" s="1" t="s">
        <v>210</v>
      </c>
      <c r="C51" s="95">
        <v>3547599.575693815</v>
      </c>
      <c r="D51" s="95"/>
      <c r="E51" s="95"/>
      <c r="F51" s="95"/>
      <c r="G51" s="3"/>
      <c r="H51" s="3"/>
      <c r="I51" s="3"/>
      <c r="J51" s="3">
        <v>3547599.575693815</v>
      </c>
      <c r="K51" s="26">
        <f t="shared" si="16"/>
        <v>2017</v>
      </c>
      <c r="L51" s="78"/>
      <c r="M51" s="37">
        <f t="shared" si="13"/>
        <v>5531473.0311388988</v>
      </c>
      <c r="N51" s="31">
        <f t="shared" si="22"/>
        <v>0</v>
      </c>
      <c r="O51" s="31">
        <f t="shared" si="22"/>
        <v>0.52860569289324932</v>
      </c>
      <c r="P51" s="31">
        <f t="shared" si="22"/>
        <v>0.37731345441698327</v>
      </c>
      <c r="Q51" s="31">
        <f t="shared" si="22"/>
        <v>0</v>
      </c>
      <c r="R51" s="31">
        <f t="shared" si="22"/>
        <v>0</v>
      </c>
      <c r="S51" s="31">
        <f t="shared" si="22"/>
        <v>0</v>
      </c>
      <c r="T51" s="31">
        <f t="shared" si="22"/>
        <v>0</v>
      </c>
      <c r="U51" s="31">
        <f t="shared" si="22"/>
        <v>0</v>
      </c>
      <c r="V51" s="31">
        <f t="shared" si="22"/>
        <v>0</v>
      </c>
      <c r="W51" s="31">
        <f t="shared" si="22"/>
        <v>0</v>
      </c>
      <c r="X51" s="31">
        <f t="shared" si="23"/>
        <v>9.4080852689767416E-2</v>
      </c>
      <c r="Y51" s="31">
        <f t="shared" si="23"/>
        <v>0</v>
      </c>
      <c r="Z51" s="31">
        <f t="shared" si="23"/>
        <v>0</v>
      </c>
      <c r="AA51" s="31">
        <f t="shared" si="23"/>
        <v>0</v>
      </c>
      <c r="AB51" s="31">
        <f t="shared" si="23"/>
        <v>0</v>
      </c>
      <c r="AC51" s="31">
        <f t="shared" si="23"/>
        <v>0</v>
      </c>
      <c r="AD51" s="31">
        <f t="shared" si="23"/>
        <v>0</v>
      </c>
      <c r="AE51" s="31">
        <f t="shared" si="23"/>
        <v>0</v>
      </c>
      <c r="AF51" s="31">
        <f t="shared" si="23"/>
        <v>0</v>
      </c>
      <c r="AG51" s="31">
        <f t="shared" si="17"/>
        <v>1</v>
      </c>
    </row>
    <row r="52" spans="1:33" ht="10.5" x14ac:dyDescent="0.15">
      <c r="A52" s="1" t="s">
        <v>212</v>
      </c>
      <c r="B52" s="1" t="s">
        <v>213</v>
      </c>
      <c r="C52" s="95">
        <v>13452.364962522473</v>
      </c>
      <c r="D52" s="95"/>
      <c r="E52" s="95"/>
      <c r="F52" s="95"/>
      <c r="G52" s="3"/>
      <c r="H52" s="3"/>
      <c r="I52" s="3"/>
      <c r="J52" s="3">
        <v>13452.364962522473</v>
      </c>
      <c r="K52" s="26">
        <f t="shared" si="16"/>
        <v>2017</v>
      </c>
      <c r="L52" s="78"/>
      <c r="M52" s="37">
        <f t="shared" si="13"/>
        <v>14999.999999999996</v>
      </c>
      <c r="N52" s="31">
        <f t="shared" si="22"/>
        <v>0.3</v>
      </c>
      <c r="O52" s="31">
        <f t="shared" si="22"/>
        <v>0</v>
      </c>
      <c r="P52" s="31">
        <f t="shared" si="22"/>
        <v>0</v>
      </c>
      <c r="Q52" s="31">
        <f t="shared" si="22"/>
        <v>0</v>
      </c>
      <c r="R52" s="31">
        <f t="shared" si="22"/>
        <v>0</v>
      </c>
      <c r="S52" s="31">
        <f t="shared" si="22"/>
        <v>0</v>
      </c>
      <c r="T52" s="31">
        <f t="shared" si="22"/>
        <v>0</v>
      </c>
      <c r="U52" s="31">
        <f t="shared" si="22"/>
        <v>0.7</v>
      </c>
      <c r="V52" s="31">
        <f t="shared" si="22"/>
        <v>0</v>
      </c>
      <c r="W52" s="31">
        <f t="shared" si="22"/>
        <v>0</v>
      </c>
      <c r="X52" s="31">
        <f t="shared" si="23"/>
        <v>0</v>
      </c>
      <c r="Y52" s="31">
        <f t="shared" si="23"/>
        <v>0</v>
      </c>
      <c r="Z52" s="31">
        <f t="shared" si="23"/>
        <v>0</v>
      </c>
      <c r="AA52" s="31">
        <f t="shared" si="23"/>
        <v>0</v>
      </c>
      <c r="AB52" s="31">
        <f t="shared" si="23"/>
        <v>0</v>
      </c>
      <c r="AC52" s="31">
        <f t="shared" si="23"/>
        <v>0</v>
      </c>
      <c r="AD52" s="31">
        <f t="shared" si="23"/>
        <v>0</v>
      </c>
      <c r="AE52" s="31">
        <f t="shared" si="23"/>
        <v>0</v>
      </c>
      <c r="AF52" s="31">
        <f t="shared" si="23"/>
        <v>0</v>
      </c>
      <c r="AG52" s="31">
        <f t="shared" si="17"/>
        <v>1</v>
      </c>
    </row>
    <row r="53" spans="1:33" ht="10.5" x14ac:dyDescent="0.15">
      <c r="A53" s="1" t="s">
        <v>216</v>
      </c>
      <c r="B53" s="1" t="s">
        <v>217</v>
      </c>
      <c r="C53" s="95"/>
      <c r="D53" s="95">
        <v>2664954.8013556534</v>
      </c>
      <c r="E53" s="95"/>
      <c r="F53" s="95"/>
      <c r="G53" s="3"/>
      <c r="H53" s="3"/>
      <c r="I53" s="3"/>
      <c r="J53" s="3">
        <v>2664954.8013556534</v>
      </c>
      <c r="K53" s="26">
        <f t="shared" si="16"/>
        <v>2018</v>
      </c>
      <c r="L53" s="78"/>
      <c r="M53" s="37">
        <f t="shared" si="13"/>
        <v>743217.99999871629</v>
      </c>
      <c r="N53" s="31">
        <f t="shared" si="22"/>
        <v>0</v>
      </c>
      <c r="O53" s="31">
        <f t="shared" si="22"/>
        <v>0</v>
      </c>
      <c r="P53" s="31">
        <f t="shared" si="22"/>
        <v>0</v>
      </c>
      <c r="Q53" s="31">
        <f t="shared" si="22"/>
        <v>0</v>
      </c>
      <c r="R53" s="31">
        <f t="shared" si="22"/>
        <v>0</v>
      </c>
      <c r="S53" s="31">
        <f t="shared" si="22"/>
        <v>0</v>
      </c>
      <c r="T53" s="31">
        <f t="shared" si="22"/>
        <v>0</v>
      </c>
      <c r="U53" s="31">
        <f t="shared" si="22"/>
        <v>0</v>
      </c>
      <c r="V53" s="31">
        <f t="shared" si="22"/>
        <v>0</v>
      </c>
      <c r="W53" s="31">
        <f t="shared" si="22"/>
        <v>0</v>
      </c>
      <c r="X53" s="31">
        <f t="shared" si="23"/>
        <v>0</v>
      </c>
      <c r="Y53" s="31">
        <f t="shared" si="23"/>
        <v>0</v>
      </c>
      <c r="Z53" s="31">
        <f t="shared" si="23"/>
        <v>0</v>
      </c>
      <c r="AA53" s="31">
        <f t="shared" si="23"/>
        <v>0</v>
      </c>
      <c r="AB53" s="31">
        <f t="shared" si="23"/>
        <v>0</v>
      </c>
      <c r="AC53" s="31">
        <f t="shared" si="23"/>
        <v>0</v>
      </c>
      <c r="AD53" s="31">
        <f t="shared" si="23"/>
        <v>1</v>
      </c>
      <c r="AE53" s="31">
        <f t="shared" si="23"/>
        <v>0</v>
      </c>
      <c r="AF53" s="31">
        <f t="shared" si="23"/>
        <v>0</v>
      </c>
      <c r="AG53" s="31">
        <f t="shared" si="17"/>
        <v>1</v>
      </c>
    </row>
    <row r="54" spans="1:33" ht="10.5" x14ac:dyDescent="0.15">
      <c r="A54" s="1" t="s">
        <v>218</v>
      </c>
      <c r="B54" s="1" t="s">
        <v>219</v>
      </c>
      <c r="C54" s="95"/>
      <c r="D54" s="95"/>
      <c r="E54" s="95"/>
      <c r="F54" s="95">
        <v>1509667.6607727064</v>
      </c>
      <c r="G54" s="3"/>
      <c r="H54" s="3"/>
      <c r="I54" s="3"/>
      <c r="J54" s="3">
        <v>1509667.6607727064</v>
      </c>
      <c r="K54" s="26">
        <f t="shared" si="16"/>
        <v>2020</v>
      </c>
      <c r="L54" s="78"/>
      <c r="M54" s="37">
        <f t="shared" si="13"/>
        <v>343869.99999999948</v>
      </c>
      <c r="N54" s="31">
        <f t="shared" si="22"/>
        <v>0</v>
      </c>
      <c r="O54" s="31">
        <f t="shared" si="22"/>
        <v>0</v>
      </c>
      <c r="P54" s="31">
        <f t="shared" si="22"/>
        <v>0</v>
      </c>
      <c r="Q54" s="31">
        <f t="shared" si="22"/>
        <v>1</v>
      </c>
      <c r="R54" s="31">
        <f t="shared" si="22"/>
        <v>0</v>
      </c>
      <c r="S54" s="31">
        <f t="shared" si="22"/>
        <v>0</v>
      </c>
      <c r="T54" s="31">
        <f t="shared" si="22"/>
        <v>0</v>
      </c>
      <c r="U54" s="31">
        <f t="shared" si="22"/>
        <v>0</v>
      </c>
      <c r="V54" s="31">
        <f t="shared" si="22"/>
        <v>0</v>
      </c>
      <c r="W54" s="31">
        <f t="shared" si="22"/>
        <v>0</v>
      </c>
      <c r="X54" s="31">
        <f t="shared" si="23"/>
        <v>0</v>
      </c>
      <c r="Y54" s="31">
        <f t="shared" si="23"/>
        <v>0</v>
      </c>
      <c r="Z54" s="31">
        <f t="shared" si="23"/>
        <v>0</v>
      </c>
      <c r="AA54" s="31">
        <f t="shared" si="23"/>
        <v>0</v>
      </c>
      <c r="AB54" s="31">
        <f t="shared" si="23"/>
        <v>0</v>
      </c>
      <c r="AC54" s="31">
        <f t="shared" si="23"/>
        <v>0</v>
      </c>
      <c r="AD54" s="31">
        <f t="shared" si="23"/>
        <v>0</v>
      </c>
      <c r="AE54" s="31">
        <f t="shared" si="23"/>
        <v>0</v>
      </c>
      <c r="AF54" s="31">
        <f t="shared" si="23"/>
        <v>0</v>
      </c>
      <c r="AG54" s="31">
        <f t="shared" si="17"/>
        <v>1</v>
      </c>
    </row>
    <row r="55" spans="1:33" ht="10.5" x14ac:dyDescent="0.15">
      <c r="A55" s="1" t="s">
        <v>220</v>
      </c>
      <c r="B55" s="1" t="s">
        <v>2375</v>
      </c>
      <c r="C55" s="95">
        <v>497140.65958251688</v>
      </c>
      <c r="D55" s="95"/>
      <c r="E55" s="95"/>
      <c r="F55" s="95"/>
      <c r="G55" s="3"/>
      <c r="H55" s="3"/>
      <c r="I55" s="3"/>
      <c r="J55" s="3">
        <v>497140.65958251688</v>
      </c>
      <c r="K55" s="26">
        <f t="shared" si="16"/>
        <v>2017</v>
      </c>
      <c r="L55" s="78"/>
      <c r="M55" s="37">
        <f t="shared" si="13"/>
        <v>0</v>
      </c>
      <c r="N55" s="31">
        <f t="shared" si="22"/>
        <v>0</v>
      </c>
      <c r="O55" s="31">
        <f t="shared" si="22"/>
        <v>0</v>
      </c>
      <c r="P55" s="31">
        <f t="shared" si="22"/>
        <v>0</v>
      </c>
      <c r="Q55" s="31">
        <f t="shared" si="22"/>
        <v>1</v>
      </c>
      <c r="R55" s="31">
        <f t="shared" si="22"/>
        <v>0</v>
      </c>
      <c r="S55" s="31">
        <f t="shared" si="22"/>
        <v>0</v>
      </c>
      <c r="T55" s="31">
        <f t="shared" si="22"/>
        <v>0</v>
      </c>
      <c r="U55" s="31">
        <f t="shared" si="22"/>
        <v>0</v>
      </c>
      <c r="V55" s="31">
        <f t="shared" si="22"/>
        <v>0</v>
      </c>
      <c r="W55" s="31">
        <f t="shared" si="22"/>
        <v>0</v>
      </c>
      <c r="X55" s="31">
        <f t="shared" si="23"/>
        <v>0</v>
      </c>
      <c r="Y55" s="31">
        <f t="shared" si="23"/>
        <v>0</v>
      </c>
      <c r="Z55" s="31">
        <f t="shared" si="23"/>
        <v>0</v>
      </c>
      <c r="AA55" s="31">
        <f t="shared" si="23"/>
        <v>0</v>
      </c>
      <c r="AB55" s="31">
        <f t="shared" si="23"/>
        <v>0</v>
      </c>
      <c r="AC55" s="31">
        <f t="shared" si="23"/>
        <v>0</v>
      </c>
      <c r="AD55" s="31">
        <f t="shared" si="23"/>
        <v>0</v>
      </c>
      <c r="AE55" s="31">
        <f t="shared" si="23"/>
        <v>0</v>
      </c>
      <c r="AF55" s="31">
        <f t="shared" si="23"/>
        <v>0</v>
      </c>
      <c r="AG55" s="31">
        <f t="shared" si="17"/>
        <v>1</v>
      </c>
    </row>
    <row r="56" spans="1:33" ht="10.5" x14ac:dyDescent="0.15">
      <c r="A56" s="1" t="s">
        <v>223</v>
      </c>
      <c r="B56" s="1" t="s">
        <v>224</v>
      </c>
      <c r="C56" s="95"/>
      <c r="D56" s="95"/>
      <c r="E56" s="95">
        <v>4666808.4849737715</v>
      </c>
      <c r="F56" s="95"/>
      <c r="G56" s="3"/>
      <c r="H56" s="3"/>
      <c r="I56" s="3"/>
      <c r="J56" s="3">
        <v>4666808.4849737715</v>
      </c>
      <c r="K56" s="26">
        <f t="shared" si="16"/>
        <v>2019</v>
      </c>
      <c r="L56" s="78"/>
      <c r="M56" s="37">
        <f t="shared" si="13"/>
        <v>0</v>
      </c>
      <c r="N56" s="31">
        <f t="shared" si="22"/>
        <v>0</v>
      </c>
      <c r="O56" s="31">
        <f t="shared" si="22"/>
        <v>0</v>
      </c>
      <c r="P56" s="31">
        <f t="shared" si="22"/>
        <v>1</v>
      </c>
      <c r="Q56" s="31">
        <f t="shared" si="22"/>
        <v>0</v>
      </c>
      <c r="R56" s="31">
        <f t="shared" si="22"/>
        <v>0</v>
      </c>
      <c r="S56" s="31">
        <f t="shared" si="22"/>
        <v>0</v>
      </c>
      <c r="T56" s="31">
        <f t="shared" si="22"/>
        <v>0</v>
      </c>
      <c r="U56" s="31">
        <f t="shared" si="22"/>
        <v>0</v>
      </c>
      <c r="V56" s="31">
        <f t="shared" si="22"/>
        <v>0</v>
      </c>
      <c r="W56" s="31">
        <f t="shared" si="22"/>
        <v>0</v>
      </c>
      <c r="X56" s="31">
        <f t="shared" si="23"/>
        <v>0</v>
      </c>
      <c r="Y56" s="31">
        <f t="shared" si="23"/>
        <v>0</v>
      </c>
      <c r="Z56" s="31">
        <f t="shared" si="23"/>
        <v>0</v>
      </c>
      <c r="AA56" s="31">
        <f t="shared" si="23"/>
        <v>0</v>
      </c>
      <c r="AB56" s="31">
        <f t="shared" si="23"/>
        <v>0</v>
      </c>
      <c r="AC56" s="31">
        <f t="shared" si="23"/>
        <v>0</v>
      </c>
      <c r="AD56" s="31">
        <f t="shared" si="23"/>
        <v>0</v>
      </c>
      <c r="AE56" s="31">
        <f t="shared" si="23"/>
        <v>0</v>
      </c>
      <c r="AF56" s="31">
        <f t="shared" si="23"/>
        <v>0</v>
      </c>
      <c r="AG56" s="31">
        <f t="shared" si="17"/>
        <v>1</v>
      </c>
    </row>
    <row r="57" spans="1:33" ht="10.5" x14ac:dyDescent="0.15">
      <c r="A57" s="1" t="s">
        <v>231</v>
      </c>
      <c r="B57" s="1" t="s">
        <v>232</v>
      </c>
      <c r="C57" s="95"/>
      <c r="D57" s="95">
        <v>9317945.1382832061</v>
      </c>
      <c r="E57" s="95"/>
      <c r="F57" s="95"/>
      <c r="G57" s="3"/>
      <c r="H57" s="3"/>
      <c r="I57" s="3"/>
      <c r="J57" s="3">
        <v>9317945.1382832061</v>
      </c>
      <c r="K57" s="26">
        <f t="shared" si="16"/>
        <v>2018</v>
      </c>
      <c r="L57" s="78"/>
      <c r="M57" s="37">
        <f t="shared" si="13"/>
        <v>0</v>
      </c>
      <c r="N57" s="31">
        <f t="shared" si="22"/>
        <v>0</v>
      </c>
      <c r="O57" s="31">
        <f t="shared" si="22"/>
        <v>0</v>
      </c>
      <c r="P57" s="31">
        <f t="shared" si="22"/>
        <v>0</v>
      </c>
      <c r="Q57" s="31">
        <f t="shared" si="22"/>
        <v>0</v>
      </c>
      <c r="R57" s="31">
        <f t="shared" si="22"/>
        <v>0</v>
      </c>
      <c r="S57" s="31">
        <f t="shared" si="22"/>
        <v>0</v>
      </c>
      <c r="T57" s="31">
        <f t="shared" si="22"/>
        <v>0</v>
      </c>
      <c r="U57" s="31">
        <f t="shared" si="22"/>
        <v>0</v>
      </c>
      <c r="V57" s="31">
        <f t="shared" si="22"/>
        <v>0</v>
      </c>
      <c r="W57" s="31">
        <f t="shared" si="22"/>
        <v>1</v>
      </c>
      <c r="X57" s="31">
        <f t="shared" si="23"/>
        <v>0</v>
      </c>
      <c r="Y57" s="31">
        <f t="shared" si="23"/>
        <v>0</v>
      </c>
      <c r="Z57" s="31">
        <f t="shared" si="23"/>
        <v>0</v>
      </c>
      <c r="AA57" s="31">
        <f t="shared" si="23"/>
        <v>0</v>
      </c>
      <c r="AB57" s="31">
        <f t="shared" si="23"/>
        <v>0</v>
      </c>
      <c r="AC57" s="31">
        <f t="shared" si="23"/>
        <v>0</v>
      </c>
      <c r="AD57" s="31">
        <f t="shared" si="23"/>
        <v>0</v>
      </c>
      <c r="AE57" s="31">
        <f t="shared" si="23"/>
        <v>0</v>
      </c>
      <c r="AF57" s="31">
        <f t="shared" si="23"/>
        <v>0</v>
      </c>
      <c r="AG57" s="31">
        <f t="shared" si="17"/>
        <v>1</v>
      </c>
    </row>
    <row r="58" spans="1:33" ht="10.5" x14ac:dyDescent="0.15">
      <c r="A58" s="1" t="s">
        <v>233</v>
      </c>
      <c r="B58" s="1" t="s">
        <v>2301</v>
      </c>
      <c r="C58" s="3"/>
      <c r="D58" s="3"/>
      <c r="E58" s="3"/>
      <c r="F58" s="3">
        <v>1713592.7661474491</v>
      </c>
      <c r="G58" s="3"/>
      <c r="H58" s="3"/>
      <c r="I58" s="3"/>
      <c r="J58" s="3">
        <v>1713592.7661474491</v>
      </c>
      <c r="K58" s="26">
        <f t="shared" si="16"/>
        <v>2020</v>
      </c>
      <c r="L58" s="78"/>
      <c r="M58" s="37">
        <f t="shared" si="13"/>
        <v>310308.99999999988</v>
      </c>
      <c r="N58" s="31">
        <f t="shared" si="22"/>
        <v>0</v>
      </c>
      <c r="O58" s="31">
        <f t="shared" si="22"/>
        <v>0</v>
      </c>
      <c r="P58" s="31">
        <f t="shared" si="22"/>
        <v>0</v>
      </c>
      <c r="Q58" s="31">
        <f t="shared" si="22"/>
        <v>1</v>
      </c>
      <c r="R58" s="31">
        <f t="shared" si="22"/>
        <v>0</v>
      </c>
      <c r="S58" s="31">
        <f t="shared" si="22"/>
        <v>0</v>
      </c>
      <c r="T58" s="31">
        <f t="shared" si="22"/>
        <v>0</v>
      </c>
      <c r="U58" s="31">
        <f t="shared" si="22"/>
        <v>0</v>
      </c>
      <c r="V58" s="31">
        <f t="shared" si="22"/>
        <v>0</v>
      </c>
      <c r="W58" s="31">
        <f t="shared" si="22"/>
        <v>0</v>
      </c>
      <c r="X58" s="31">
        <f t="shared" si="23"/>
        <v>0</v>
      </c>
      <c r="Y58" s="31">
        <f t="shared" si="23"/>
        <v>0</v>
      </c>
      <c r="Z58" s="31">
        <f t="shared" si="23"/>
        <v>0</v>
      </c>
      <c r="AA58" s="31">
        <f t="shared" si="23"/>
        <v>0</v>
      </c>
      <c r="AB58" s="31">
        <f t="shared" si="23"/>
        <v>0</v>
      </c>
      <c r="AC58" s="31">
        <f t="shared" si="23"/>
        <v>0</v>
      </c>
      <c r="AD58" s="31">
        <f t="shared" si="23"/>
        <v>0</v>
      </c>
      <c r="AE58" s="31">
        <f t="shared" si="23"/>
        <v>0</v>
      </c>
      <c r="AF58" s="31">
        <f t="shared" si="23"/>
        <v>0</v>
      </c>
      <c r="AG58" s="31">
        <f t="shared" si="17"/>
        <v>1</v>
      </c>
    </row>
    <row r="59" spans="1:33" ht="10.5" x14ac:dyDescent="0.15">
      <c r="A59" s="1" t="s">
        <v>234</v>
      </c>
      <c r="B59" s="1" t="s">
        <v>2376</v>
      </c>
      <c r="C59" s="3"/>
      <c r="D59" s="3">
        <v>1019167.4445207535</v>
      </c>
      <c r="E59" s="3"/>
      <c r="F59" s="3"/>
      <c r="G59" s="3"/>
      <c r="H59" s="3"/>
      <c r="I59" s="3"/>
      <c r="J59" s="3">
        <v>1019167.4445207535</v>
      </c>
      <c r="K59" s="26">
        <f t="shared" si="16"/>
        <v>2018</v>
      </c>
      <c r="L59" s="78"/>
      <c r="M59" s="37">
        <f t="shared" si="13"/>
        <v>1100000.0000000005</v>
      </c>
      <c r="N59" s="31">
        <f t="shared" ref="N59:W68" si="24">IF(OR(LEFT($A59,1)="E",LEFT($A59,1)="Z"),IF($M59=0,VLOOKUP(MID($A59,4,5),ProjectSplits,N$2,FALSE),IF(ISNA(VLOOKUP($A59,Estimates,N$1,FALSE)),VLOOKUP(MID($A59,4,5),ProjectSplits,N$2,FALSE),VLOOKUP($A59,Estimates,N$1,FALSE))),0)</f>
        <v>0</v>
      </c>
      <c r="O59" s="31">
        <f t="shared" si="24"/>
        <v>0</v>
      </c>
      <c r="P59" s="31">
        <f t="shared" si="24"/>
        <v>0</v>
      </c>
      <c r="Q59" s="31">
        <f t="shared" si="24"/>
        <v>1</v>
      </c>
      <c r="R59" s="31">
        <f t="shared" si="24"/>
        <v>0</v>
      </c>
      <c r="S59" s="31">
        <f t="shared" si="24"/>
        <v>0</v>
      </c>
      <c r="T59" s="31">
        <f t="shared" si="24"/>
        <v>0</v>
      </c>
      <c r="U59" s="31">
        <f t="shared" si="24"/>
        <v>0</v>
      </c>
      <c r="V59" s="31">
        <f t="shared" si="24"/>
        <v>0</v>
      </c>
      <c r="W59" s="31">
        <f t="shared" si="24"/>
        <v>0</v>
      </c>
      <c r="X59" s="31">
        <f t="shared" ref="X59:AF68" si="25">IF(OR(LEFT($A59,1)="E",LEFT($A59,1)="Z"),IF($M59=0,VLOOKUP(MID($A59,4,5),ProjectSplits,X$2,FALSE),IF(ISNA(VLOOKUP($A59,Estimates,X$1,FALSE)),VLOOKUP(MID($A59,4,5),ProjectSplits,X$2,FALSE),VLOOKUP($A59,Estimates,X$1,FALSE))),0)</f>
        <v>0</v>
      </c>
      <c r="Y59" s="31">
        <f t="shared" si="25"/>
        <v>0</v>
      </c>
      <c r="Z59" s="31">
        <f t="shared" si="25"/>
        <v>0</v>
      </c>
      <c r="AA59" s="31">
        <f t="shared" si="25"/>
        <v>0</v>
      </c>
      <c r="AB59" s="31">
        <f t="shared" si="25"/>
        <v>0</v>
      </c>
      <c r="AC59" s="31">
        <f t="shared" si="25"/>
        <v>0</v>
      </c>
      <c r="AD59" s="31">
        <f t="shared" si="25"/>
        <v>0</v>
      </c>
      <c r="AE59" s="31">
        <f t="shared" si="25"/>
        <v>0</v>
      </c>
      <c r="AF59" s="31">
        <f t="shared" si="25"/>
        <v>0</v>
      </c>
      <c r="AG59" s="31">
        <f t="shared" si="17"/>
        <v>1</v>
      </c>
    </row>
    <row r="60" spans="1:33" ht="10.5" x14ac:dyDescent="0.15">
      <c r="A60" s="1" t="s">
        <v>235</v>
      </c>
      <c r="B60" s="1" t="s">
        <v>236</v>
      </c>
      <c r="C60" s="3"/>
      <c r="D60" s="3">
        <v>2624466.1013749866</v>
      </c>
      <c r="E60" s="3"/>
      <c r="F60" s="3"/>
      <c r="G60" s="3"/>
      <c r="H60" s="3"/>
      <c r="I60" s="3"/>
      <c r="J60" s="3">
        <v>2624466.1013749866</v>
      </c>
      <c r="K60" s="26">
        <f t="shared" si="16"/>
        <v>2018</v>
      </c>
      <c r="L60" s="78"/>
      <c r="M60" s="37">
        <f t="shared" si="13"/>
        <v>0</v>
      </c>
      <c r="N60" s="31">
        <f t="shared" si="24"/>
        <v>0</v>
      </c>
      <c r="O60" s="31">
        <f t="shared" si="24"/>
        <v>0</v>
      </c>
      <c r="P60" s="31">
        <f t="shared" si="24"/>
        <v>0</v>
      </c>
      <c r="Q60" s="31">
        <f t="shared" si="24"/>
        <v>0</v>
      </c>
      <c r="R60" s="31">
        <f t="shared" si="24"/>
        <v>0</v>
      </c>
      <c r="S60" s="31">
        <f t="shared" si="24"/>
        <v>0</v>
      </c>
      <c r="T60" s="31">
        <f t="shared" si="24"/>
        <v>0</v>
      </c>
      <c r="U60" s="31">
        <f t="shared" si="24"/>
        <v>1</v>
      </c>
      <c r="V60" s="31">
        <f t="shared" si="24"/>
        <v>0</v>
      </c>
      <c r="W60" s="31">
        <f t="shared" si="24"/>
        <v>0</v>
      </c>
      <c r="X60" s="31">
        <f t="shared" si="25"/>
        <v>0</v>
      </c>
      <c r="Y60" s="31">
        <f t="shared" si="25"/>
        <v>0</v>
      </c>
      <c r="Z60" s="31">
        <f t="shared" si="25"/>
        <v>0</v>
      </c>
      <c r="AA60" s="31">
        <f t="shared" si="25"/>
        <v>0</v>
      </c>
      <c r="AB60" s="31">
        <f t="shared" si="25"/>
        <v>0</v>
      </c>
      <c r="AC60" s="31">
        <f t="shared" si="25"/>
        <v>0</v>
      </c>
      <c r="AD60" s="31">
        <f t="shared" si="25"/>
        <v>0</v>
      </c>
      <c r="AE60" s="31">
        <f t="shared" si="25"/>
        <v>0</v>
      </c>
      <c r="AF60" s="31">
        <f t="shared" si="25"/>
        <v>0</v>
      </c>
      <c r="AG60" s="31">
        <f t="shared" si="17"/>
        <v>1</v>
      </c>
    </row>
    <row r="61" spans="1:33" ht="10.5" x14ac:dyDescent="0.15">
      <c r="A61" s="1" t="s">
        <v>239</v>
      </c>
      <c r="B61" s="1" t="s">
        <v>240</v>
      </c>
      <c r="C61" s="3">
        <v>24813.877601</v>
      </c>
      <c r="D61" s="3"/>
      <c r="E61" s="3"/>
      <c r="F61" s="3"/>
      <c r="G61" s="3"/>
      <c r="H61" s="3"/>
      <c r="I61" s="3"/>
      <c r="J61" s="3">
        <v>24813.877601</v>
      </c>
      <c r="K61" s="26">
        <f t="shared" si="16"/>
        <v>2017</v>
      </c>
      <c r="L61" s="78"/>
      <c r="M61" s="37">
        <f t="shared" si="13"/>
        <v>33479.999999999985</v>
      </c>
      <c r="N61" s="31">
        <f t="shared" si="24"/>
        <v>1</v>
      </c>
      <c r="O61" s="31">
        <f t="shared" si="24"/>
        <v>0</v>
      </c>
      <c r="P61" s="31">
        <f t="shared" si="24"/>
        <v>0</v>
      </c>
      <c r="Q61" s="31">
        <f t="shared" si="24"/>
        <v>0</v>
      </c>
      <c r="R61" s="31">
        <f t="shared" si="24"/>
        <v>0</v>
      </c>
      <c r="S61" s="31">
        <f t="shared" si="24"/>
        <v>0</v>
      </c>
      <c r="T61" s="31">
        <f t="shared" si="24"/>
        <v>0</v>
      </c>
      <c r="U61" s="31">
        <f t="shared" si="24"/>
        <v>0</v>
      </c>
      <c r="V61" s="31">
        <f t="shared" si="24"/>
        <v>0</v>
      </c>
      <c r="W61" s="31">
        <f t="shared" si="24"/>
        <v>0</v>
      </c>
      <c r="X61" s="31">
        <f t="shared" si="25"/>
        <v>0</v>
      </c>
      <c r="Y61" s="31">
        <f t="shared" si="25"/>
        <v>0</v>
      </c>
      <c r="Z61" s="31">
        <f t="shared" si="25"/>
        <v>0</v>
      </c>
      <c r="AA61" s="31">
        <f t="shared" si="25"/>
        <v>0</v>
      </c>
      <c r="AB61" s="31">
        <f t="shared" si="25"/>
        <v>0</v>
      </c>
      <c r="AC61" s="31">
        <f t="shared" si="25"/>
        <v>0</v>
      </c>
      <c r="AD61" s="31">
        <f t="shared" si="25"/>
        <v>0</v>
      </c>
      <c r="AE61" s="31">
        <f t="shared" si="25"/>
        <v>0</v>
      </c>
      <c r="AF61" s="31">
        <f t="shared" si="25"/>
        <v>0</v>
      </c>
      <c r="AG61" s="31">
        <f t="shared" si="17"/>
        <v>1</v>
      </c>
    </row>
    <row r="62" spans="1:33" ht="10.5" x14ac:dyDescent="0.15">
      <c r="A62" s="1" t="s">
        <v>241</v>
      </c>
      <c r="B62" s="1" t="s">
        <v>242</v>
      </c>
      <c r="C62" s="3"/>
      <c r="D62" s="3"/>
      <c r="E62" s="3">
        <v>11542137.86165192</v>
      </c>
      <c r="F62" s="3"/>
      <c r="G62" s="3"/>
      <c r="H62" s="3"/>
      <c r="I62" s="3"/>
      <c r="J62" s="3">
        <v>11542137.86165192</v>
      </c>
      <c r="K62" s="26">
        <f t="shared" si="16"/>
        <v>2019</v>
      </c>
      <c r="L62" s="78"/>
      <c r="M62" s="37">
        <f t="shared" si="13"/>
        <v>0</v>
      </c>
      <c r="N62" s="31">
        <f t="shared" si="24"/>
        <v>0</v>
      </c>
      <c r="O62" s="31">
        <f t="shared" si="24"/>
        <v>8.9915906972427545E-2</v>
      </c>
      <c r="P62" s="31">
        <f t="shared" si="24"/>
        <v>0.91008409302757254</v>
      </c>
      <c r="Q62" s="31">
        <f t="shared" si="24"/>
        <v>0</v>
      </c>
      <c r="R62" s="31">
        <f t="shared" si="24"/>
        <v>0</v>
      </c>
      <c r="S62" s="31">
        <f t="shared" si="24"/>
        <v>0</v>
      </c>
      <c r="T62" s="31">
        <f t="shared" si="24"/>
        <v>0</v>
      </c>
      <c r="U62" s="31">
        <f t="shared" si="24"/>
        <v>0</v>
      </c>
      <c r="V62" s="31">
        <f t="shared" si="24"/>
        <v>0</v>
      </c>
      <c r="W62" s="31">
        <f t="shared" si="24"/>
        <v>0</v>
      </c>
      <c r="X62" s="31">
        <f t="shared" si="25"/>
        <v>0</v>
      </c>
      <c r="Y62" s="31">
        <f t="shared" si="25"/>
        <v>0</v>
      </c>
      <c r="Z62" s="31">
        <f t="shared" si="25"/>
        <v>0</v>
      </c>
      <c r="AA62" s="31">
        <f t="shared" si="25"/>
        <v>0</v>
      </c>
      <c r="AB62" s="31">
        <f t="shared" si="25"/>
        <v>0</v>
      </c>
      <c r="AC62" s="31">
        <f t="shared" si="25"/>
        <v>0</v>
      </c>
      <c r="AD62" s="31">
        <f t="shared" si="25"/>
        <v>0</v>
      </c>
      <c r="AE62" s="31">
        <f t="shared" si="25"/>
        <v>0</v>
      </c>
      <c r="AF62" s="31">
        <f t="shared" si="25"/>
        <v>0</v>
      </c>
      <c r="AG62" s="31">
        <f t="shared" si="17"/>
        <v>1</v>
      </c>
    </row>
    <row r="63" spans="1:33" ht="10.5" x14ac:dyDescent="0.15">
      <c r="A63" s="1" t="s">
        <v>243</v>
      </c>
      <c r="B63" s="1" t="s">
        <v>244</v>
      </c>
      <c r="C63" s="3"/>
      <c r="D63" s="3"/>
      <c r="E63" s="3"/>
      <c r="F63" s="3">
        <v>14465716.64577614</v>
      </c>
      <c r="G63" s="3"/>
      <c r="H63" s="3"/>
      <c r="I63" s="3"/>
      <c r="J63" s="3">
        <v>14465716.64577614</v>
      </c>
      <c r="K63" s="26">
        <f t="shared" si="16"/>
        <v>2020</v>
      </c>
      <c r="L63" s="78"/>
      <c r="M63" s="37">
        <f t="shared" si="13"/>
        <v>0</v>
      </c>
      <c r="N63" s="31">
        <f t="shared" si="24"/>
        <v>0</v>
      </c>
      <c r="O63" s="31">
        <f t="shared" si="24"/>
        <v>6.1507014976110025E-2</v>
      </c>
      <c r="P63" s="31">
        <f t="shared" si="24"/>
        <v>0.93849298502389</v>
      </c>
      <c r="Q63" s="31">
        <f t="shared" si="24"/>
        <v>0</v>
      </c>
      <c r="R63" s="31">
        <f t="shared" si="24"/>
        <v>0</v>
      </c>
      <c r="S63" s="31">
        <f t="shared" si="24"/>
        <v>0</v>
      </c>
      <c r="T63" s="31">
        <f t="shared" si="24"/>
        <v>0</v>
      </c>
      <c r="U63" s="31">
        <f t="shared" si="24"/>
        <v>0</v>
      </c>
      <c r="V63" s="31">
        <f t="shared" si="24"/>
        <v>0</v>
      </c>
      <c r="W63" s="31">
        <f t="shared" si="24"/>
        <v>0</v>
      </c>
      <c r="X63" s="31">
        <f t="shared" si="25"/>
        <v>0</v>
      </c>
      <c r="Y63" s="31">
        <f t="shared" si="25"/>
        <v>0</v>
      </c>
      <c r="Z63" s="31">
        <f t="shared" si="25"/>
        <v>0</v>
      </c>
      <c r="AA63" s="31">
        <f t="shared" si="25"/>
        <v>0</v>
      </c>
      <c r="AB63" s="31">
        <f t="shared" si="25"/>
        <v>0</v>
      </c>
      <c r="AC63" s="31">
        <f t="shared" si="25"/>
        <v>0</v>
      </c>
      <c r="AD63" s="31">
        <f t="shared" si="25"/>
        <v>0</v>
      </c>
      <c r="AE63" s="31">
        <f t="shared" si="25"/>
        <v>0</v>
      </c>
      <c r="AF63" s="31">
        <f t="shared" si="25"/>
        <v>0</v>
      </c>
      <c r="AG63" s="31">
        <f t="shared" si="17"/>
        <v>1</v>
      </c>
    </row>
    <row r="64" spans="1:33" ht="10.5" x14ac:dyDescent="0.15">
      <c r="A64" s="1" t="s">
        <v>248</v>
      </c>
      <c r="B64" s="1" t="s">
        <v>249</v>
      </c>
      <c r="C64" s="3"/>
      <c r="D64" s="95"/>
      <c r="E64" s="95">
        <v>2000180.3460038635</v>
      </c>
      <c r="F64" s="95"/>
      <c r="G64" s="3"/>
      <c r="H64" s="3"/>
      <c r="I64" s="3"/>
      <c r="J64" s="3">
        <v>2000180.3460038635</v>
      </c>
      <c r="K64" s="26">
        <f t="shared" si="16"/>
        <v>2019</v>
      </c>
      <c r="L64" s="78"/>
      <c r="M64" s="37">
        <f t="shared" si="13"/>
        <v>2310800.0300158872</v>
      </c>
      <c r="N64" s="31">
        <f t="shared" si="24"/>
        <v>0</v>
      </c>
      <c r="O64" s="31">
        <f t="shared" si="24"/>
        <v>0</v>
      </c>
      <c r="P64" s="31">
        <f t="shared" si="24"/>
        <v>0</v>
      </c>
      <c r="Q64" s="31">
        <f t="shared" si="24"/>
        <v>0.36783797341138008</v>
      </c>
      <c r="R64" s="31">
        <f t="shared" si="24"/>
        <v>0</v>
      </c>
      <c r="S64" s="31">
        <f t="shared" si="24"/>
        <v>0</v>
      </c>
      <c r="T64" s="31">
        <f t="shared" si="24"/>
        <v>0</v>
      </c>
      <c r="U64" s="31">
        <f t="shared" si="24"/>
        <v>0</v>
      </c>
      <c r="V64" s="31">
        <f t="shared" si="24"/>
        <v>0</v>
      </c>
      <c r="W64" s="31">
        <f t="shared" si="24"/>
        <v>0</v>
      </c>
      <c r="X64" s="31">
        <f t="shared" si="25"/>
        <v>0</v>
      </c>
      <c r="Y64" s="31">
        <f t="shared" si="25"/>
        <v>0</v>
      </c>
      <c r="Z64" s="31">
        <f t="shared" si="25"/>
        <v>0</v>
      </c>
      <c r="AA64" s="31">
        <f t="shared" si="25"/>
        <v>0</v>
      </c>
      <c r="AB64" s="31">
        <f t="shared" si="25"/>
        <v>0.63216202658861986</v>
      </c>
      <c r="AC64" s="31">
        <f t="shared" si="25"/>
        <v>0</v>
      </c>
      <c r="AD64" s="31">
        <f t="shared" si="25"/>
        <v>0</v>
      </c>
      <c r="AE64" s="31">
        <f t="shared" si="25"/>
        <v>0</v>
      </c>
      <c r="AF64" s="31">
        <f t="shared" si="25"/>
        <v>0</v>
      </c>
      <c r="AG64" s="31">
        <f t="shared" si="17"/>
        <v>1</v>
      </c>
    </row>
    <row r="65" spans="1:33" ht="10.5" x14ac:dyDescent="0.15">
      <c r="A65" s="1" t="s">
        <v>250</v>
      </c>
      <c r="B65" s="1" t="s">
        <v>251</v>
      </c>
      <c r="C65" s="3"/>
      <c r="D65" s="95"/>
      <c r="E65" s="95">
        <v>1211656.0262285669</v>
      </c>
      <c r="F65" s="95"/>
      <c r="G65" s="3"/>
      <c r="H65" s="3"/>
      <c r="I65" s="3"/>
      <c r="J65" s="3">
        <v>1211656.0262285669</v>
      </c>
      <c r="K65" s="26">
        <f t="shared" si="16"/>
        <v>2019</v>
      </c>
      <c r="L65" s="78"/>
      <c r="M65" s="37">
        <f t="shared" si="13"/>
        <v>2282535.557429288</v>
      </c>
      <c r="N65" s="31">
        <f t="shared" si="24"/>
        <v>0</v>
      </c>
      <c r="O65" s="31">
        <f t="shared" si="24"/>
        <v>0</v>
      </c>
      <c r="P65" s="31">
        <f t="shared" si="24"/>
        <v>0.26286556542595613</v>
      </c>
      <c r="Q65" s="31">
        <f t="shared" si="24"/>
        <v>0.21905463788836929</v>
      </c>
      <c r="R65" s="31">
        <f t="shared" si="24"/>
        <v>0</v>
      </c>
      <c r="S65" s="31">
        <f t="shared" si="24"/>
        <v>1.0952731894418465E-2</v>
      </c>
      <c r="T65" s="31">
        <f t="shared" si="24"/>
        <v>0</v>
      </c>
      <c r="U65" s="31">
        <f t="shared" si="24"/>
        <v>0</v>
      </c>
      <c r="V65" s="31">
        <f t="shared" si="24"/>
        <v>0</v>
      </c>
      <c r="W65" s="31">
        <f t="shared" si="24"/>
        <v>0.1655332537889285</v>
      </c>
      <c r="X65" s="31">
        <f t="shared" si="25"/>
        <v>0</v>
      </c>
      <c r="Y65" s="31">
        <f t="shared" si="25"/>
        <v>3.2858195683255391E-3</v>
      </c>
      <c r="Z65" s="31">
        <f t="shared" si="25"/>
        <v>0</v>
      </c>
      <c r="AA65" s="31">
        <f t="shared" si="25"/>
        <v>0</v>
      </c>
      <c r="AB65" s="31">
        <f t="shared" si="25"/>
        <v>0.33830799143400192</v>
      </c>
      <c r="AC65" s="31">
        <f t="shared" si="25"/>
        <v>0</v>
      </c>
      <c r="AD65" s="31">
        <f t="shared" si="25"/>
        <v>0</v>
      </c>
      <c r="AE65" s="31">
        <f t="shared" si="25"/>
        <v>0</v>
      </c>
      <c r="AF65" s="31">
        <f t="shared" si="25"/>
        <v>0</v>
      </c>
      <c r="AG65" s="31">
        <f t="shared" si="17"/>
        <v>0.99999999999999978</v>
      </c>
    </row>
    <row r="66" spans="1:33" ht="10.5" x14ac:dyDescent="0.15">
      <c r="A66" s="1" t="s">
        <v>252</v>
      </c>
      <c r="B66" s="1" t="s">
        <v>253</v>
      </c>
      <c r="C66" s="3">
        <v>50571.378986000003</v>
      </c>
      <c r="D66" s="3"/>
      <c r="E66" s="3"/>
      <c r="F66" s="3"/>
      <c r="G66" s="3"/>
      <c r="H66" s="3"/>
      <c r="I66" s="3"/>
      <c r="J66" s="3">
        <v>50571.378986000003</v>
      </c>
      <c r="K66" s="26">
        <f t="shared" si="16"/>
        <v>2017</v>
      </c>
      <c r="L66" s="78"/>
      <c r="M66" s="37">
        <f t="shared" si="13"/>
        <v>43999.999999999985</v>
      </c>
      <c r="N66" s="31">
        <f t="shared" si="24"/>
        <v>0.90909090909090906</v>
      </c>
      <c r="O66" s="31">
        <f t="shared" si="24"/>
        <v>0</v>
      </c>
      <c r="P66" s="31">
        <f t="shared" si="24"/>
        <v>0</v>
      </c>
      <c r="Q66" s="31">
        <f t="shared" si="24"/>
        <v>0</v>
      </c>
      <c r="R66" s="31">
        <f t="shared" si="24"/>
        <v>0</v>
      </c>
      <c r="S66" s="31">
        <f t="shared" si="24"/>
        <v>0</v>
      </c>
      <c r="T66" s="31">
        <f t="shared" si="24"/>
        <v>0</v>
      </c>
      <c r="U66" s="31">
        <f t="shared" si="24"/>
        <v>9.0909090909090912E-2</v>
      </c>
      <c r="V66" s="31">
        <f t="shared" si="24"/>
        <v>0</v>
      </c>
      <c r="W66" s="31">
        <f t="shared" si="24"/>
        <v>0</v>
      </c>
      <c r="X66" s="31">
        <f t="shared" si="25"/>
        <v>0</v>
      </c>
      <c r="Y66" s="31">
        <f t="shared" si="25"/>
        <v>0</v>
      </c>
      <c r="Z66" s="31">
        <f t="shared" si="25"/>
        <v>0</v>
      </c>
      <c r="AA66" s="31">
        <f t="shared" si="25"/>
        <v>0</v>
      </c>
      <c r="AB66" s="31">
        <f t="shared" si="25"/>
        <v>0</v>
      </c>
      <c r="AC66" s="31">
        <f t="shared" si="25"/>
        <v>0</v>
      </c>
      <c r="AD66" s="31">
        <f t="shared" si="25"/>
        <v>0</v>
      </c>
      <c r="AE66" s="31">
        <f t="shared" si="25"/>
        <v>0</v>
      </c>
      <c r="AF66" s="31">
        <f t="shared" si="25"/>
        <v>0</v>
      </c>
      <c r="AG66" s="31">
        <f t="shared" si="17"/>
        <v>1</v>
      </c>
    </row>
    <row r="67" spans="1:33" ht="10.5" x14ac:dyDescent="0.15">
      <c r="A67" s="1" t="s">
        <v>255</v>
      </c>
      <c r="B67" s="1" t="s">
        <v>256</v>
      </c>
      <c r="C67" s="3">
        <v>180000.42833100003</v>
      </c>
      <c r="D67" s="3"/>
      <c r="E67" s="3"/>
      <c r="F67" s="3"/>
      <c r="G67" s="3"/>
      <c r="H67" s="3"/>
      <c r="I67" s="3"/>
      <c r="J67" s="3">
        <v>180000.42833100003</v>
      </c>
      <c r="K67" s="26">
        <f t="shared" si="16"/>
        <v>2017</v>
      </c>
      <c r="L67" s="78"/>
      <c r="M67" s="37">
        <f t="shared" si="13"/>
        <v>67999.999999999971</v>
      </c>
      <c r="N67" s="31">
        <f t="shared" si="24"/>
        <v>0.25</v>
      </c>
      <c r="O67" s="31">
        <f t="shared" si="24"/>
        <v>0</v>
      </c>
      <c r="P67" s="31">
        <f t="shared" si="24"/>
        <v>0</v>
      </c>
      <c r="Q67" s="31">
        <f t="shared" si="24"/>
        <v>0</v>
      </c>
      <c r="R67" s="31">
        <f t="shared" si="24"/>
        <v>0</v>
      </c>
      <c r="S67" s="31">
        <f t="shared" si="24"/>
        <v>0</v>
      </c>
      <c r="T67" s="31">
        <f t="shared" si="24"/>
        <v>0</v>
      </c>
      <c r="U67" s="31">
        <f t="shared" si="24"/>
        <v>0.75</v>
      </c>
      <c r="V67" s="31">
        <f t="shared" si="24"/>
        <v>0</v>
      </c>
      <c r="W67" s="31">
        <f t="shared" si="24"/>
        <v>0</v>
      </c>
      <c r="X67" s="31">
        <f t="shared" si="25"/>
        <v>0</v>
      </c>
      <c r="Y67" s="31">
        <f t="shared" si="25"/>
        <v>0</v>
      </c>
      <c r="Z67" s="31">
        <f t="shared" si="25"/>
        <v>0</v>
      </c>
      <c r="AA67" s="31">
        <f t="shared" si="25"/>
        <v>0</v>
      </c>
      <c r="AB67" s="31">
        <f t="shared" si="25"/>
        <v>0</v>
      </c>
      <c r="AC67" s="31">
        <f t="shared" si="25"/>
        <v>0</v>
      </c>
      <c r="AD67" s="31">
        <f t="shared" si="25"/>
        <v>0</v>
      </c>
      <c r="AE67" s="31">
        <f t="shared" si="25"/>
        <v>0</v>
      </c>
      <c r="AF67" s="31">
        <f t="shared" si="25"/>
        <v>0</v>
      </c>
      <c r="AG67" s="31">
        <f t="shared" si="17"/>
        <v>1</v>
      </c>
    </row>
    <row r="68" spans="1:33" ht="10.5" x14ac:dyDescent="0.15">
      <c r="A68" s="1" t="s">
        <v>258</v>
      </c>
      <c r="B68" s="1" t="s">
        <v>259</v>
      </c>
      <c r="C68" s="3"/>
      <c r="D68" s="3">
        <v>517895.84671825264</v>
      </c>
      <c r="E68" s="3"/>
      <c r="F68" s="3"/>
      <c r="G68" s="3"/>
      <c r="H68" s="3"/>
      <c r="I68" s="3"/>
      <c r="J68" s="3">
        <v>517895.84671825264</v>
      </c>
      <c r="K68" s="26">
        <f t="shared" si="16"/>
        <v>2018</v>
      </c>
      <c r="L68" s="78"/>
      <c r="M68" s="37">
        <f t="shared" si="13"/>
        <v>178838.00000000006</v>
      </c>
      <c r="N68" s="31">
        <f t="shared" si="24"/>
        <v>0</v>
      </c>
      <c r="O68" s="31">
        <f t="shared" si="24"/>
        <v>0</v>
      </c>
      <c r="P68" s="31">
        <f t="shared" si="24"/>
        <v>0</v>
      </c>
      <c r="Q68" s="31">
        <f t="shared" si="24"/>
        <v>1</v>
      </c>
      <c r="R68" s="31">
        <f t="shared" si="24"/>
        <v>0</v>
      </c>
      <c r="S68" s="31">
        <f t="shared" si="24"/>
        <v>0</v>
      </c>
      <c r="T68" s="31">
        <f t="shared" si="24"/>
        <v>0</v>
      </c>
      <c r="U68" s="31">
        <f t="shared" si="24"/>
        <v>0</v>
      </c>
      <c r="V68" s="31">
        <f t="shared" si="24"/>
        <v>0</v>
      </c>
      <c r="W68" s="31">
        <f t="shared" si="24"/>
        <v>0</v>
      </c>
      <c r="X68" s="31">
        <f t="shared" si="25"/>
        <v>0</v>
      </c>
      <c r="Y68" s="31">
        <f t="shared" si="25"/>
        <v>0</v>
      </c>
      <c r="Z68" s="31">
        <f t="shared" si="25"/>
        <v>0</v>
      </c>
      <c r="AA68" s="31">
        <f t="shared" si="25"/>
        <v>0</v>
      </c>
      <c r="AB68" s="31">
        <f t="shared" si="25"/>
        <v>0</v>
      </c>
      <c r="AC68" s="31">
        <f t="shared" si="25"/>
        <v>0</v>
      </c>
      <c r="AD68" s="31">
        <f t="shared" si="25"/>
        <v>0</v>
      </c>
      <c r="AE68" s="31">
        <f t="shared" si="25"/>
        <v>0</v>
      </c>
      <c r="AF68" s="31">
        <f t="shared" si="25"/>
        <v>0</v>
      </c>
      <c r="AG68" s="31">
        <f t="shared" si="17"/>
        <v>1</v>
      </c>
    </row>
    <row r="69" spans="1:33" ht="10.5" x14ac:dyDescent="0.15">
      <c r="A69" s="1" t="s">
        <v>260</v>
      </c>
      <c r="B69" s="1" t="s">
        <v>261</v>
      </c>
      <c r="C69" s="3"/>
      <c r="D69" s="3">
        <v>2315953.6257506399</v>
      </c>
      <c r="E69" s="3"/>
      <c r="F69" s="3"/>
      <c r="G69" s="3"/>
      <c r="H69" s="3"/>
      <c r="I69" s="3"/>
      <c r="J69" s="3">
        <v>2315953.6257506399</v>
      </c>
      <c r="K69" s="26">
        <f t="shared" si="16"/>
        <v>2018</v>
      </c>
      <c r="L69" s="78"/>
      <c r="M69" s="37">
        <f t="shared" si="13"/>
        <v>0</v>
      </c>
      <c r="N69" s="31">
        <f t="shared" ref="N69:W78" si="26">IF(OR(LEFT($A69,1)="E",LEFT($A69,1)="Z"),IF($M69=0,VLOOKUP(MID($A69,4,5),ProjectSplits,N$2,FALSE),IF(ISNA(VLOOKUP($A69,Estimates,N$1,FALSE)),VLOOKUP(MID($A69,4,5),ProjectSplits,N$2,FALSE),VLOOKUP($A69,Estimates,N$1,FALSE))),0)</f>
        <v>0</v>
      </c>
      <c r="O69" s="31">
        <f t="shared" si="26"/>
        <v>0</v>
      </c>
      <c r="P69" s="31">
        <f t="shared" si="26"/>
        <v>0</v>
      </c>
      <c r="Q69" s="31">
        <f t="shared" si="26"/>
        <v>0</v>
      </c>
      <c r="R69" s="31">
        <f t="shared" si="26"/>
        <v>0</v>
      </c>
      <c r="S69" s="31">
        <f t="shared" si="26"/>
        <v>0</v>
      </c>
      <c r="T69" s="31">
        <f t="shared" si="26"/>
        <v>0</v>
      </c>
      <c r="U69" s="31">
        <f t="shared" si="26"/>
        <v>0</v>
      </c>
      <c r="V69" s="31">
        <f t="shared" si="26"/>
        <v>0</v>
      </c>
      <c r="W69" s="31">
        <f t="shared" si="26"/>
        <v>0</v>
      </c>
      <c r="X69" s="31">
        <f t="shared" ref="X69:AF78" si="27">IF(OR(LEFT($A69,1)="E",LEFT($A69,1)="Z"),IF($M69=0,VLOOKUP(MID($A69,4,5),ProjectSplits,X$2,FALSE),IF(ISNA(VLOOKUP($A69,Estimates,X$1,FALSE)),VLOOKUP(MID($A69,4,5),ProjectSplits,X$2,FALSE),VLOOKUP($A69,Estimates,X$1,FALSE))),0)</f>
        <v>0</v>
      </c>
      <c r="Y69" s="31">
        <f t="shared" si="27"/>
        <v>1</v>
      </c>
      <c r="Z69" s="31">
        <f t="shared" si="27"/>
        <v>0</v>
      </c>
      <c r="AA69" s="31">
        <f t="shared" si="27"/>
        <v>0</v>
      </c>
      <c r="AB69" s="31">
        <f t="shared" si="27"/>
        <v>0</v>
      </c>
      <c r="AC69" s="31">
        <f t="shared" si="27"/>
        <v>0</v>
      </c>
      <c r="AD69" s="31">
        <f t="shared" si="27"/>
        <v>0</v>
      </c>
      <c r="AE69" s="31">
        <f t="shared" si="27"/>
        <v>0</v>
      </c>
      <c r="AF69" s="31">
        <f t="shared" si="27"/>
        <v>0</v>
      </c>
      <c r="AG69" s="31">
        <f t="shared" si="17"/>
        <v>1</v>
      </c>
    </row>
    <row r="70" spans="1:33" ht="10.5" x14ac:dyDescent="0.15">
      <c r="A70" s="1" t="s">
        <v>262</v>
      </c>
      <c r="B70" s="1" t="s">
        <v>263</v>
      </c>
      <c r="C70" s="3"/>
      <c r="D70" s="3">
        <v>787203.36306326685</v>
      </c>
      <c r="E70" s="3"/>
      <c r="F70" s="3"/>
      <c r="G70" s="3"/>
      <c r="H70" s="3"/>
      <c r="I70" s="3"/>
      <c r="J70" s="3">
        <v>787203.36306326685</v>
      </c>
      <c r="K70" s="26">
        <f t="shared" si="16"/>
        <v>2018</v>
      </c>
      <c r="L70" s="78"/>
      <c r="M70" s="37">
        <f t="shared" si="13"/>
        <v>840105.00000000047</v>
      </c>
      <c r="N70" s="31">
        <f t="shared" si="26"/>
        <v>0</v>
      </c>
      <c r="O70" s="31">
        <f t="shared" si="26"/>
        <v>0</v>
      </c>
      <c r="P70" s="31">
        <f t="shared" si="26"/>
        <v>0</v>
      </c>
      <c r="Q70" s="31">
        <f t="shared" si="26"/>
        <v>0</v>
      </c>
      <c r="R70" s="31">
        <f t="shared" si="26"/>
        <v>0</v>
      </c>
      <c r="S70" s="31">
        <f t="shared" si="26"/>
        <v>0</v>
      </c>
      <c r="T70" s="31">
        <f t="shared" si="26"/>
        <v>0</v>
      </c>
      <c r="U70" s="31">
        <f t="shared" si="26"/>
        <v>0</v>
      </c>
      <c r="V70" s="31">
        <f t="shared" si="26"/>
        <v>0</v>
      </c>
      <c r="W70" s="31">
        <f t="shared" si="26"/>
        <v>0</v>
      </c>
      <c r="X70" s="31">
        <f t="shared" si="27"/>
        <v>0</v>
      </c>
      <c r="Y70" s="31">
        <f t="shared" si="27"/>
        <v>1</v>
      </c>
      <c r="Z70" s="31">
        <f t="shared" si="27"/>
        <v>0</v>
      </c>
      <c r="AA70" s="31">
        <f t="shared" si="27"/>
        <v>0</v>
      </c>
      <c r="AB70" s="31">
        <f t="shared" si="27"/>
        <v>0</v>
      </c>
      <c r="AC70" s="31">
        <f t="shared" si="27"/>
        <v>0</v>
      </c>
      <c r="AD70" s="31">
        <f t="shared" si="27"/>
        <v>0</v>
      </c>
      <c r="AE70" s="31">
        <f t="shared" si="27"/>
        <v>0</v>
      </c>
      <c r="AF70" s="31">
        <f t="shared" si="27"/>
        <v>0</v>
      </c>
      <c r="AG70" s="31">
        <f t="shared" si="17"/>
        <v>1</v>
      </c>
    </row>
    <row r="71" spans="1:33" ht="10.5" x14ac:dyDescent="0.15">
      <c r="A71" s="1" t="s">
        <v>264</v>
      </c>
      <c r="B71" s="1" t="s">
        <v>265</v>
      </c>
      <c r="C71" s="3"/>
      <c r="D71" s="3"/>
      <c r="E71" s="3"/>
      <c r="F71" s="3">
        <v>3266583.7255884712</v>
      </c>
      <c r="G71" s="3"/>
      <c r="H71" s="3"/>
      <c r="I71" s="3"/>
      <c r="J71" s="3">
        <v>3266583.7255884712</v>
      </c>
      <c r="K71" s="26">
        <f t="shared" si="16"/>
        <v>2020</v>
      </c>
      <c r="L71" s="78"/>
      <c r="M71" s="37">
        <f t="shared" si="13"/>
        <v>1602200.020020003</v>
      </c>
      <c r="N71" s="31">
        <f t="shared" si="26"/>
        <v>0</v>
      </c>
      <c r="O71" s="31">
        <f t="shared" si="26"/>
        <v>0</v>
      </c>
      <c r="P71" s="31">
        <f t="shared" si="26"/>
        <v>0</v>
      </c>
      <c r="Q71" s="31">
        <f t="shared" si="26"/>
        <v>0</v>
      </c>
      <c r="R71" s="31">
        <f t="shared" si="26"/>
        <v>0</v>
      </c>
      <c r="S71" s="31">
        <f t="shared" si="26"/>
        <v>0</v>
      </c>
      <c r="T71" s="31">
        <f t="shared" si="26"/>
        <v>0</v>
      </c>
      <c r="U71" s="31">
        <f t="shared" si="26"/>
        <v>0</v>
      </c>
      <c r="V71" s="31">
        <f t="shared" si="26"/>
        <v>0</v>
      </c>
      <c r="W71" s="31">
        <f t="shared" si="26"/>
        <v>0</v>
      </c>
      <c r="X71" s="31">
        <f t="shared" si="27"/>
        <v>0</v>
      </c>
      <c r="Y71" s="31">
        <f t="shared" si="27"/>
        <v>0</v>
      </c>
      <c r="Z71" s="31">
        <f t="shared" si="27"/>
        <v>0</v>
      </c>
      <c r="AA71" s="31">
        <f t="shared" si="27"/>
        <v>0</v>
      </c>
      <c r="AB71" s="31">
        <f t="shared" si="27"/>
        <v>1</v>
      </c>
      <c r="AC71" s="31">
        <f t="shared" si="27"/>
        <v>0</v>
      </c>
      <c r="AD71" s="31">
        <f t="shared" si="27"/>
        <v>0</v>
      </c>
      <c r="AE71" s="31">
        <f t="shared" si="27"/>
        <v>0</v>
      </c>
      <c r="AF71" s="31">
        <f t="shared" si="27"/>
        <v>0</v>
      </c>
      <c r="AG71" s="31">
        <f t="shared" si="17"/>
        <v>1</v>
      </c>
    </row>
    <row r="72" spans="1:33" ht="10.5" x14ac:dyDescent="0.15">
      <c r="A72" s="1" t="s">
        <v>266</v>
      </c>
      <c r="B72" s="1" t="s">
        <v>267</v>
      </c>
      <c r="C72" s="3"/>
      <c r="D72" s="3"/>
      <c r="E72" s="3">
        <v>301997.60179411224</v>
      </c>
      <c r="F72" s="3"/>
      <c r="G72" s="3"/>
      <c r="H72" s="3"/>
      <c r="I72" s="3"/>
      <c r="J72" s="3">
        <v>301997.60179411224</v>
      </c>
      <c r="K72" s="26">
        <f t="shared" si="16"/>
        <v>2019</v>
      </c>
      <c r="L72" s="78"/>
      <c r="M72" s="37">
        <f t="shared" si="13"/>
        <v>0</v>
      </c>
      <c r="N72" s="31">
        <f t="shared" si="26"/>
        <v>0</v>
      </c>
      <c r="O72" s="31">
        <f t="shared" si="26"/>
        <v>0</v>
      </c>
      <c r="P72" s="31">
        <f t="shared" si="26"/>
        <v>0</v>
      </c>
      <c r="Q72" s="31">
        <f t="shared" si="26"/>
        <v>0</v>
      </c>
      <c r="R72" s="31">
        <f t="shared" si="26"/>
        <v>0</v>
      </c>
      <c r="S72" s="31">
        <f t="shared" si="26"/>
        <v>0</v>
      </c>
      <c r="T72" s="31">
        <f t="shared" si="26"/>
        <v>0</v>
      </c>
      <c r="U72" s="31">
        <f t="shared" si="26"/>
        <v>1</v>
      </c>
      <c r="V72" s="31">
        <f t="shared" si="26"/>
        <v>0</v>
      </c>
      <c r="W72" s="31">
        <f t="shared" si="26"/>
        <v>0</v>
      </c>
      <c r="X72" s="31">
        <f t="shared" si="27"/>
        <v>0</v>
      </c>
      <c r="Y72" s="31">
        <f t="shared" si="27"/>
        <v>0</v>
      </c>
      <c r="Z72" s="31">
        <f t="shared" si="27"/>
        <v>0</v>
      </c>
      <c r="AA72" s="31">
        <f t="shared" si="27"/>
        <v>0</v>
      </c>
      <c r="AB72" s="31">
        <f t="shared" si="27"/>
        <v>0</v>
      </c>
      <c r="AC72" s="31">
        <f t="shared" si="27"/>
        <v>0</v>
      </c>
      <c r="AD72" s="31">
        <f t="shared" si="27"/>
        <v>0</v>
      </c>
      <c r="AE72" s="31">
        <f t="shared" si="27"/>
        <v>0</v>
      </c>
      <c r="AF72" s="31">
        <f t="shared" si="27"/>
        <v>0</v>
      </c>
      <c r="AG72" s="31">
        <f t="shared" si="17"/>
        <v>1</v>
      </c>
    </row>
    <row r="73" spans="1:33" ht="10.5" x14ac:dyDescent="0.15">
      <c r="A73" s="1" t="s">
        <v>268</v>
      </c>
      <c r="B73" s="1" t="s">
        <v>269</v>
      </c>
      <c r="C73" s="3">
        <v>3929059.5068102926</v>
      </c>
      <c r="D73" s="3"/>
      <c r="E73" s="3"/>
      <c r="F73" s="3"/>
      <c r="G73" s="3"/>
      <c r="H73" s="3"/>
      <c r="I73" s="3"/>
      <c r="J73" s="3">
        <v>3929059.5068102926</v>
      </c>
      <c r="K73" s="26">
        <f t="shared" si="16"/>
        <v>2017</v>
      </c>
      <c r="L73" s="78"/>
      <c r="M73" s="37">
        <f t="shared" si="13"/>
        <v>1500000</v>
      </c>
      <c r="N73" s="31">
        <f t="shared" si="26"/>
        <v>0</v>
      </c>
      <c r="O73" s="31">
        <f t="shared" si="26"/>
        <v>0</v>
      </c>
      <c r="P73" s="31">
        <f t="shared" si="26"/>
        <v>0</v>
      </c>
      <c r="Q73" s="31">
        <f t="shared" si="26"/>
        <v>1</v>
      </c>
      <c r="R73" s="31">
        <f t="shared" si="26"/>
        <v>0</v>
      </c>
      <c r="S73" s="31">
        <f t="shared" si="26"/>
        <v>0</v>
      </c>
      <c r="T73" s="31">
        <f t="shared" si="26"/>
        <v>0</v>
      </c>
      <c r="U73" s="31">
        <f t="shared" si="26"/>
        <v>0</v>
      </c>
      <c r="V73" s="31">
        <f t="shared" si="26"/>
        <v>0</v>
      </c>
      <c r="W73" s="31">
        <f t="shared" si="26"/>
        <v>0</v>
      </c>
      <c r="X73" s="31">
        <f t="shared" si="27"/>
        <v>0</v>
      </c>
      <c r="Y73" s="31">
        <f t="shared" si="27"/>
        <v>0</v>
      </c>
      <c r="Z73" s="31">
        <f t="shared" si="27"/>
        <v>0</v>
      </c>
      <c r="AA73" s="31">
        <f t="shared" si="27"/>
        <v>0</v>
      </c>
      <c r="AB73" s="31">
        <f t="shared" si="27"/>
        <v>0</v>
      </c>
      <c r="AC73" s="31">
        <f t="shared" si="27"/>
        <v>0</v>
      </c>
      <c r="AD73" s="31">
        <f t="shared" si="27"/>
        <v>0</v>
      </c>
      <c r="AE73" s="31">
        <f t="shared" si="27"/>
        <v>0</v>
      </c>
      <c r="AF73" s="31">
        <f t="shared" si="27"/>
        <v>0</v>
      </c>
      <c r="AG73" s="31">
        <f t="shared" si="17"/>
        <v>1</v>
      </c>
    </row>
    <row r="74" spans="1:33" ht="10.5" x14ac:dyDescent="0.15">
      <c r="A74" s="1" t="s">
        <v>272</v>
      </c>
      <c r="B74" s="1" t="s">
        <v>273</v>
      </c>
      <c r="C74" s="3">
        <v>2723161.4021486859</v>
      </c>
      <c r="D74" s="3"/>
      <c r="E74" s="3"/>
      <c r="F74" s="3"/>
      <c r="G74" s="3"/>
      <c r="H74" s="3"/>
      <c r="I74" s="3"/>
      <c r="J74" s="3">
        <v>2723161.4021486859</v>
      </c>
      <c r="K74" s="26">
        <f t="shared" si="16"/>
        <v>2017</v>
      </c>
      <c r="L74" s="78"/>
      <c r="M74" s="37">
        <f t="shared" si="13"/>
        <v>1099999.9999999984</v>
      </c>
      <c r="N74" s="31">
        <f t="shared" si="26"/>
        <v>0</v>
      </c>
      <c r="O74" s="31">
        <f t="shared" si="26"/>
        <v>0</v>
      </c>
      <c r="P74" s="31">
        <f t="shared" si="26"/>
        <v>0</v>
      </c>
      <c r="Q74" s="31">
        <f t="shared" si="26"/>
        <v>1</v>
      </c>
      <c r="R74" s="31">
        <f t="shared" si="26"/>
        <v>0</v>
      </c>
      <c r="S74" s="31">
        <f t="shared" si="26"/>
        <v>0</v>
      </c>
      <c r="T74" s="31">
        <f t="shared" si="26"/>
        <v>0</v>
      </c>
      <c r="U74" s="31">
        <f t="shared" si="26"/>
        <v>0</v>
      </c>
      <c r="V74" s="31">
        <f t="shared" si="26"/>
        <v>0</v>
      </c>
      <c r="W74" s="31">
        <f t="shared" si="26"/>
        <v>0</v>
      </c>
      <c r="X74" s="31">
        <f t="shared" si="27"/>
        <v>0</v>
      </c>
      <c r="Y74" s="31">
        <f t="shared" si="27"/>
        <v>0</v>
      </c>
      <c r="Z74" s="31">
        <f t="shared" si="27"/>
        <v>0</v>
      </c>
      <c r="AA74" s="31">
        <f t="shared" si="27"/>
        <v>0</v>
      </c>
      <c r="AB74" s="31">
        <f t="shared" si="27"/>
        <v>0</v>
      </c>
      <c r="AC74" s="31">
        <f t="shared" si="27"/>
        <v>0</v>
      </c>
      <c r="AD74" s="31">
        <f t="shared" si="27"/>
        <v>0</v>
      </c>
      <c r="AE74" s="31">
        <f t="shared" si="27"/>
        <v>0</v>
      </c>
      <c r="AF74" s="31">
        <f t="shared" si="27"/>
        <v>0</v>
      </c>
      <c r="AG74" s="31">
        <f t="shared" si="17"/>
        <v>1</v>
      </c>
    </row>
    <row r="75" spans="1:33" ht="10.5" x14ac:dyDescent="0.15">
      <c r="A75" s="1" t="s">
        <v>274</v>
      </c>
      <c r="B75" s="1" t="s">
        <v>275</v>
      </c>
      <c r="C75" s="3">
        <v>1682499.1485687476</v>
      </c>
      <c r="D75" s="3"/>
      <c r="E75" s="3"/>
      <c r="F75" s="3"/>
      <c r="G75" s="3"/>
      <c r="H75" s="3"/>
      <c r="I75" s="3"/>
      <c r="J75" s="3">
        <v>1682499.1485687476</v>
      </c>
      <c r="K75" s="26">
        <f t="shared" si="16"/>
        <v>2017</v>
      </c>
      <c r="L75" s="78"/>
      <c r="M75" s="37">
        <f t="shared" si="13"/>
        <v>1300000.0000000009</v>
      </c>
      <c r="N75" s="31">
        <f t="shared" si="26"/>
        <v>0</v>
      </c>
      <c r="O75" s="31">
        <f t="shared" si="26"/>
        <v>0</v>
      </c>
      <c r="P75" s="31">
        <f t="shared" si="26"/>
        <v>0</v>
      </c>
      <c r="Q75" s="31">
        <f t="shared" si="26"/>
        <v>1</v>
      </c>
      <c r="R75" s="31">
        <f t="shared" si="26"/>
        <v>0</v>
      </c>
      <c r="S75" s="31">
        <f t="shared" si="26"/>
        <v>0</v>
      </c>
      <c r="T75" s="31">
        <f t="shared" si="26"/>
        <v>0</v>
      </c>
      <c r="U75" s="31">
        <f t="shared" si="26"/>
        <v>0</v>
      </c>
      <c r="V75" s="31">
        <f t="shared" si="26"/>
        <v>0</v>
      </c>
      <c r="W75" s="31">
        <f t="shared" si="26"/>
        <v>0</v>
      </c>
      <c r="X75" s="31">
        <f t="shared" si="27"/>
        <v>0</v>
      </c>
      <c r="Y75" s="31">
        <f t="shared" si="27"/>
        <v>0</v>
      </c>
      <c r="Z75" s="31">
        <f t="shared" si="27"/>
        <v>0</v>
      </c>
      <c r="AA75" s="31">
        <f t="shared" si="27"/>
        <v>0</v>
      </c>
      <c r="AB75" s="31">
        <f t="shared" si="27"/>
        <v>0</v>
      </c>
      <c r="AC75" s="31">
        <f t="shared" si="27"/>
        <v>0</v>
      </c>
      <c r="AD75" s="31">
        <f t="shared" si="27"/>
        <v>0</v>
      </c>
      <c r="AE75" s="31">
        <f t="shared" si="27"/>
        <v>0</v>
      </c>
      <c r="AF75" s="31">
        <f t="shared" si="27"/>
        <v>0</v>
      </c>
      <c r="AG75" s="31">
        <f t="shared" si="17"/>
        <v>1</v>
      </c>
    </row>
    <row r="76" spans="1:33" ht="10.5" x14ac:dyDescent="0.15">
      <c r="A76" s="1" t="s">
        <v>277</v>
      </c>
      <c r="B76" s="1" t="s">
        <v>278</v>
      </c>
      <c r="C76" s="3">
        <v>1757095.395606</v>
      </c>
      <c r="D76" s="3"/>
      <c r="E76" s="3"/>
      <c r="F76" s="3"/>
      <c r="G76" s="3"/>
      <c r="H76" s="3"/>
      <c r="I76" s="3"/>
      <c r="J76" s="3">
        <v>1757095.395606</v>
      </c>
      <c r="K76" s="26">
        <f t="shared" si="16"/>
        <v>2017</v>
      </c>
      <c r="L76" s="78"/>
      <c r="M76" s="37">
        <f t="shared" si="13"/>
        <v>1962985.0000000005</v>
      </c>
      <c r="N76" s="31">
        <f t="shared" si="26"/>
        <v>0</v>
      </c>
      <c r="O76" s="31">
        <f t="shared" si="26"/>
        <v>0</v>
      </c>
      <c r="P76" s="31">
        <f t="shared" si="26"/>
        <v>0</v>
      </c>
      <c r="Q76" s="31">
        <f t="shared" si="26"/>
        <v>0</v>
      </c>
      <c r="R76" s="31">
        <f t="shared" si="26"/>
        <v>0</v>
      </c>
      <c r="S76" s="31">
        <f t="shared" si="26"/>
        <v>0</v>
      </c>
      <c r="T76" s="31">
        <f t="shared" si="26"/>
        <v>0</v>
      </c>
      <c r="U76" s="31">
        <f t="shared" si="26"/>
        <v>0</v>
      </c>
      <c r="V76" s="31">
        <f t="shared" si="26"/>
        <v>0</v>
      </c>
      <c r="W76" s="31">
        <f t="shared" si="26"/>
        <v>1</v>
      </c>
      <c r="X76" s="31">
        <f t="shared" si="27"/>
        <v>0</v>
      </c>
      <c r="Y76" s="31">
        <f t="shared" si="27"/>
        <v>0</v>
      </c>
      <c r="Z76" s="31">
        <f t="shared" si="27"/>
        <v>0</v>
      </c>
      <c r="AA76" s="31">
        <f t="shared" si="27"/>
        <v>0</v>
      </c>
      <c r="AB76" s="31">
        <f t="shared" si="27"/>
        <v>0</v>
      </c>
      <c r="AC76" s="31">
        <f t="shared" si="27"/>
        <v>0</v>
      </c>
      <c r="AD76" s="31">
        <f t="shared" si="27"/>
        <v>0</v>
      </c>
      <c r="AE76" s="31">
        <f t="shared" si="27"/>
        <v>0</v>
      </c>
      <c r="AF76" s="31">
        <f t="shared" si="27"/>
        <v>0</v>
      </c>
      <c r="AG76" s="31">
        <f t="shared" si="17"/>
        <v>1</v>
      </c>
    </row>
    <row r="77" spans="1:33" ht="10.5" x14ac:dyDescent="0.15">
      <c r="A77" s="1" t="s">
        <v>282</v>
      </c>
      <c r="B77" s="1" t="s">
        <v>283</v>
      </c>
      <c r="C77" s="3"/>
      <c r="D77" s="3"/>
      <c r="E77" s="3">
        <v>1049675.034548132</v>
      </c>
      <c r="F77" s="3"/>
      <c r="G77" s="3"/>
      <c r="H77" s="3"/>
      <c r="I77" s="3"/>
      <c r="J77" s="3">
        <v>1049675.034548132</v>
      </c>
      <c r="K77" s="26">
        <f t="shared" si="16"/>
        <v>2019</v>
      </c>
      <c r="L77" s="78"/>
      <c r="M77" s="37">
        <f t="shared" si="13"/>
        <v>1999999.9999999991</v>
      </c>
      <c r="N77" s="31">
        <f t="shared" si="26"/>
        <v>0</v>
      </c>
      <c r="O77" s="31">
        <f t="shared" si="26"/>
        <v>0</v>
      </c>
      <c r="P77" s="31">
        <f t="shared" si="26"/>
        <v>0</v>
      </c>
      <c r="Q77" s="31">
        <f t="shared" si="26"/>
        <v>1</v>
      </c>
      <c r="R77" s="31">
        <f t="shared" si="26"/>
        <v>0</v>
      </c>
      <c r="S77" s="31">
        <f t="shared" si="26"/>
        <v>0</v>
      </c>
      <c r="T77" s="31">
        <f t="shared" si="26"/>
        <v>0</v>
      </c>
      <c r="U77" s="31">
        <f t="shared" si="26"/>
        <v>0</v>
      </c>
      <c r="V77" s="31">
        <f t="shared" si="26"/>
        <v>0</v>
      </c>
      <c r="W77" s="31">
        <f t="shared" si="26"/>
        <v>0</v>
      </c>
      <c r="X77" s="31">
        <f t="shared" si="27"/>
        <v>0</v>
      </c>
      <c r="Y77" s="31">
        <f t="shared" si="27"/>
        <v>0</v>
      </c>
      <c r="Z77" s="31">
        <f t="shared" si="27"/>
        <v>0</v>
      </c>
      <c r="AA77" s="31">
        <f t="shared" si="27"/>
        <v>0</v>
      </c>
      <c r="AB77" s="31">
        <f t="shared" si="27"/>
        <v>0</v>
      </c>
      <c r="AC77" s="31">
        <f t="shared" si="27"/>
        <v>0</v>
      </c>
      <c r="AD77" s="31">
        <f t="shared" si="27"/>
        <v>0</v>
      </c>
      <c r="AE77" s="31">
        <f t="shared" si="27"/>
        <v>0</v>
      </c>
      <c r="AF77" s="31">
        <f t="shared" si="27"/>
        <v>0</v>
      </c>
      <c r="AG77" s="31">
        <f t="shared" si="17"/>
        <v>1</v>
      </c>
    </row>
    <row r="78" spans="1:33" ht="10.5" x14ac:dyDescent="0.15">
      <c r="A78" s="1" t="s">
        <v>284</v>
      </c>
      <c r="B78" s="1" t="s">
        <v>2380</v>
      </c>
      <c r="C78" s="95">
        <v>85316.453343000016</v>
      </c>
      <c r="D78" s="3"/>
      <c r="E78" s="3"/>
      <c r="F78" s="3"/>
      <c r="G78" s="3"/>
      <c r="H78" s="3"/>
      <c r="I78" s="3"/>
      <c r="J78" s="3">
        <v>85316.453343000016</v>
      </c>
      <c r="K78" s="26">
        <f t="shared" si="16"/>
        <v>2017</v>
      </c>
      <c r="L78" s="78"/>
      <c r="M78" s="37">
        <f t="shared" si="13"/>
        <v>98699.999999999971</v>
      </c>
      <c r="N78" s="31">
        <f t="shared" si="26"/>
        <v>6.3829787234042548E-2</v>
      </c>
      <c r="O78" s="31">
        <f t="shared" si="26"/>
        <v>0</v>
      </c>
      <c r="P78" s="31">
        <f t="shared" si="26"/>
        <v>0</v>
      </c>
      <c r="Q78" s="31">
        <f t="shared" si="26"/>
        <v>0</v>
      </c>
      <c r="R78" s="31">
        <f t="shared" si="26"/>
        <v>0</v>
      </c>
      <c r="S78" s="31">
        <f t="shared" si="26"/>
        <v>0</v>
      </c>
      <c r="T78" s="31">
        <f t="shared" si="26"/>
        <v>0</v>
      </c>
      <c r="U78" s="31">
        <f t="shared" si="26"/>
        <v>0.93617021276595747</v>
      </c>
      <c r="V78" s="31">
        <f t="shared" si="26"/>
        <v>0</v>
      </c>
      <c r="W78" s="31">
        <f t="shared" si="26"/>
        <v>0</v>
      </c>
      <c r="X78" s="31">
        <f t="shared" si="27"/>
        <v>0</v>
      </c>
      <c r="Y78" s="31">
        <f t="shared" si="27"/>
        <v>0</v>
      </c>
      <c r="Z78" s="31">
        <f t="shared" si="27"/>
        <v>0</v>
      </c>
      <c r="AA78" s="31">
        <f t="shared" si="27"/>
        <v>0</v>
      </c>
      <c r="AB78" s="31">
        <f t="shared" si="27"/>
        <v>0</v>
      </c>
      <c r="AC78" s="31">
        <f t="shared" si="27"/>
        <v>0</v>
      </c>
      <c r="AD78" s="31">
        <f t="shared" si="27"/>
        <v>0</v>
      </c>
      <c r="AE78" s="31">
        <f t="shared" si="27"/>
        <v>0</v>
      </c>
      <c r="AF78" s="31">
        <f t="shared" si="27"/>
        <v>0</v>
      </c>
      <c r="AG78" s="31">
        <f t="shared" si="17"/>
        <v>1</v>
      </c>
    </row>
    <row r="79" spans="1:33" ht="10.5" x14ac:dyDescent="0.15">
      <c r="A79" s="1" t="s">
        <v>285</v>
      </c>
      <c r="B79" s="1" t="s">
        <v>286</v>
      </c>
      <c r="C79" s="3">
        <v>224699.75</v>
      </c>
      <c r="D79" s="3"/>
      <c r="E79" s="3"/>
      <c r="F79" s="3"/>
      <c r="G79" s="3"/>
      <c r="H79" s="3"/>
      <c r="I79" s="3"/>
      <c r="J79" s="3">
        <v>224699.75</v>
      </c>
      <c r="K79" s="26">
        <f t="shared" si="16"/>
        <v>2017</v>
      </c>
      <c r="L79" s="78"/>
      <c r="M79" s="37">
        <f t="shared" si="13"/>
        <v>117119.99999999997</v>
      </c>
      <c r="N79" s="31">
        <f t="shared" ref="N79:W88" si="28">IF(OR(LEFT($A79,1)="E",LEFT($A79,1)="Z"),IF($M79=0,VLOOKUP(MID($A79,4,5),ProjectSplits,N$2,FALSE),IF(ISNA(VLOOKUP($A79,Estimates,N$1,FALSE)),VLOOKUP(MID($A79,4,5),ProjectSplits,N$2,FALSE),VLOOKUP($A79,Estimates,N$1,FALSE))),0)</f>
        <v>0</v>
      </c>
      <c r="O79" s="31">
        <f t="shared" si="28"/>
        <v>0</v>
      </c>
      <c r="P79" s="31">
        <f t="shared" si="28"/>
        <v>0</v>
      </c>
      <c r="Q79" s="31">
        <f t="shared" si="28"/>
        <v>0</v>
      </c>
      <c r="R79" s="31">
        <f t="shared" si="28"/>
        <v>0</v>
      </c>
      <c r="S79" s="31">
        <f t="shared" si="28"/>
        <v>0</v>
      </c>
      <c r="T79" s="31">
        <f t="shared" si="28"/>
        <v>0</v>
      </c>
      <c r="U79" s="31">
        <f t="shared" si="28"/>
        <v>1</v>
      </c>
      <c r="V79" s="31">
        <f t="shared" si="28"/>
        <v>0</v>
      </c>
      <c r="W79" s="31">
        <f t="shared" si="28"/>
        <v>0</v>
      </c>
      <c r="X79" s="31">
        <f t="shared" ref="X79:AF88" si="29">IF(OR(LEFT($A79,1)="E",LEFT($A79,1)="Z"),IF($M79=0,VLOOKUP(MID($A79,4,5),ProjectSplits,X$2,FALSE),IF(ISNA(VLOOKUP($A79,Estimates,X$1,FALSE)),VLOOKUP(MID($A79,4,5),ProjectSplits,X$2,FALSE),VLOOKUP($A79,Estimates,X$1,FALSE))),0)</f>
        <v>0</v>
      </c>
      <c r="Y79" s="31">
        <f t="shared" si="29"/>
        <v>0</v>
      </c>
      <c r="Z79" s="31">
        <f t="shared" si="29"/>
        <v>0</v>
      </c>
      <c r="AA79" s="31">
        <f t="shared" si="29"/>
        <v>0</v>
      </c>
      <c r="AB79" s="31">
        <f t="shared" si="29"/>
        <v>0</v>
      </c>
      <c r="AC79" s="31">
        <f t="shared" si="29"/>
        <v>0</v>
      </c>
      <c r="AD79" s="31">
        <f t="shared" si="29"/>
        <v>0</v>
      </c>
      <c r="AE79" s="31">
        <f t="shared" si="29"/>
        <v>0</v>
      </c>
      <c r="AF79" s="31">
        <f t="shared" si="29"/>
        <v>0</v>
      </c>
      <c r="AG79" s="31">
        <f t="shared" si="17"/>
        <v>1</v>
      </c>
    </row>
    <row r="80" spans="1:33" ht="10.5" x14ac:dyDescent="0.15">
      <c r="A80" s="1" t="s">
        <v>287</v>
      </c>
      <c r="B80" s="1" t="s">
        <v>288</v>
      </c>
      <c r="C80" s="3"/>
      <c r="D80" s="3"/>
      <c r="E80" s="3">
        <v>1727.2340500164812</v>
      </c>
      <c r="F80" s="3"/>
      <c r="G80" s="3"/>
      <c r="H80" s="3"/>
      <c r="I80" s="3"/>
      <c r="J80" s="3">
        <v>1727.2340500164812</v>
      </c>
      <c r="K80" s="26">
        <f t="shared" si="16"/>
        <v>2019</v>
      </c>
      <c r="L80" s="78"/>
      <c r="M80" s="37">
        <f t="shared" si="13"/>
        <v>80000.000000000015</v>
      </c>
      <c r="N80" s="31">
        <f t="shared" si="28"/>
        <v>0</v>
      </c>
      <c r="O80" s="31">
        <f t="shared" si="28"/>
        <v>0</v>
      </c>
      <c r="P80" s="31">
        <f t="shared" si="28"/>
        <v>0</v>
      </c>
      <c r="Q80" s="31">
        <f t="shared" si="28"/>
        <v>1</v>
      </c>
      <c r="R80" s="31">
        <f t="shared" si="28"/>
        <v>0</v>
      </c>
      <c r="S80" s="31">
        <f t="shared" si="28"/>
        <v>0</v>
      </c>
      <c r="T80" s="31">
        <f t="shared" si="28"/>
        <v>0</v>
      </c>
      <c r="U80" s="31">
        <f t="shared" si="28"/>
        <v>0</v>
      </c>
      <c r="V80" s="31">
        <f t="shared" si="28"/>
        <v>0</v>
      </c>
      <c r="W80" s="31">
        <f t="shared" si="28"/>
        <v>0</v>
      </c>
      <c r="X80" s="31">
        <f t="shared" si="29"/>
        <v>0</v>
      </c>
      <c r="Y80" s="31">
        <f t="shared" si="29"/>
        <v>0</v>
      </c>
      <c r="Z80" s="31">
        <f t="shared" si="29"/>
        <v>0</v>
      </c>
      <c r="AA80" s="31">
        <f t="shared" si="29"/>
        <v>0</v>
      </c>
      <c r="AB80" s="31">
        <f t="shared" si="29"/>
        <v>0</v>
      </c>
      <c r="AC80" s="31">
        <f t="shared" si="29"/>
        <v>0</v>
      </c>
      <c r="AD80" s="31">
        <f t="shared" si="29"/>
        <v>0</v>
      </c>
      <c r="AE80" s="31">
        <f t="shared" si="29"/>
        <v>0</v>
      </c>
      <c r="AF80" s="31">
        <f t="shared" si="29"/>
        <v>0</v>
      </c>
      <c r="AG80" s="31">
        <f t="shared" si="17"/>
        <v>1</v>
      </c>
    </row>
    <row r="81" spans="1:33" ht="10.5" x14ac:dyDescent="0.15">
      <c r="A81" s="1" t="s">
        <v>289</v>
      </c>
      <c r="B81" s="1" t="s">
        <v>290</v>
      </c>
      <c r="C81" s="3"/>
      <c r="D81" s="3">
        <v>11947850.304818423</v>
      </c>
      <c r="E81" s="3"/>
      <c r="F81" s="3"/>
      <c r="G81" s="3"/>
      <c r="H81" s="3"/>
      <c r="I81" s="3"/>
      <c r="J81" s="3">
        <v>11947850.304818423</v>
      </c>
      <c r="K81" s="26">
        <f t="shared" si="16"/>
        <v>2018</v>
      </c>
      <c r="L81" s="78"/>
      <c r="M81" s="37">
        <f t="shared" si="13"/>
        <v>5706333.3999884129</v>
      </c>
      <c r="N81" s="31">
        <f t="shared" si="28"/>
        <v>0</v>
      </c>
      <c r="O81" s="31">
        <f t="shared" si="28"/>
        <v>0</v>
      </c>
      <c r="P81" s="31">
        <f t="shared" si="28"/>
        <v>0</v>
      </c>
      <c r="Q81" s="31">
        <f t="shared" si="28"/>
        <v>0</v>
      </c>
      <c r="R81" s="31">
        <f t="shared" si="28"/>
        <v>0</v>
      </c>
      <c r="S81" s="31">
        <f t="shared" si="28"/>
        <v>0</v>
      </c>
      <c r="T81" s="31">
        <f t="shared" si="28"/>
        <v>0</v>
      </c>
      <c r="U81" s="31">
        <f t="shared" si="28"/>
        <v>0</v>
      </c>
      <c r="V81" s="31">
        <f t="shared" si="28"/>
        <v>0</v>
      </c>
      <c r="W81" s="31">
        <f t="shared" si="28"/>
        <v>4.2203107165187555E-2</v>
      </c>
      <c r="X81" s="31">
        <f t="shared" si="29"/>
        <v>0</v>
      </c>
      <c r="Y81" s="31">
        <f t="shared" si="29"/>
        <v>2.5238272968515992E-2</v>
      </c>
      <c r="Z81" s="31">
        <f t="shared" si="29"/>
        <v>0</v>
      </c>
      <c r="AA81" s="31">
        <f t="shared" si="29"/>
        <v>0</v>
      </c>
      <c r="AB81" s="31">
        <f t="shared" si="29"/>
        <v>0.9325586198662964</v>
      </c>
      <c r="AC81" s="31">
        <f t="shared" si="29"/>
        <v>0</v>
      </c>
      <c r="AD81" s="31">
        <f t="shared" si="29"/>
        <v>0</v>
      </c>
      <c r="AE81" s="31">
        <f t="shared" si="29"/>
        <v>0</v>
      </c>
      <c r="AF81" s="31">
        <f t="shared" si="29"/>
        <v>0</v>
      </c>
      <c r="AG81" s="31">
        <f t="shared" si="17"/>
        <v>1</v>
      </c>
    </row>
    <row r="82" spans="1:33" ht="10.5" x14ac:dyDescent="0.15">
      <c r="A82" s="1" t="s">
        <v>291</v>
      </c>
      <c r="B82" s="1" t="s">
        <v>292</v>
      </c>
      <c r="C82" s="3"/>
      <c r="D82" s="3">
        <v>2379970.3322983277</v>
      </c>
      <c r="E82" s="3"/>
      <c r="F82" s="3"/>
      <c r="G82" s="3"/>
      <c r="H82" s="3"/>
      <c r="I82" s="3"/>
      <c r="J82" s="3">
        <v>2379970.3322983277</v>
      </c>
      <c r="K82" s="26">
        <f t="shared" si="16"/>
        <v>2018</v>
      </c>
      <c r="L82" s="78"/>
      <c r="M82" s="37">
        <f t="shared" si="13"/>
        <v>4747884.8124000011</v>
      </c>
      <c r="N82" s="31">
        <f t="shared" si="28"/>
        <v>0</v>
      </c>
      <c r="O82" s="31">
        <f t="shared" si="28"/>
        <v>0</v>
      </c>
      <c r="P82" s="31">
        <f t="shared" si="28"/>
        <v>0</v>
      </c>
      <c r="Q82" s="31">
        <f t="shared" si="28"/>
        <v>0</v>
      </c>
      <c r="R82" s="31">
        <f t="shared" si="28"/>
        <v>0</v>
      </c>
      <c r="S82" s="31">
        <f t="shared" si="28"/>
        <v>0</v>
      </c>
      <c r="T82" s="31">
        <f t="shared" si="28"/>
        <v>0</v>
      </c>
      <c r="U82" s="31">
        <f t="shared" si="28"/>
        <v>0</v>
      </c>
      <c r="V82" s="31">
        <f t="shared" si="28"/>
        <v>0</v>
      </c>
      <c r="W82" s="31">
        <f t="shared" si="28"/>
        <v>0</v>
      </c>
      <c r="X82" s="31">
        <f t="shared" si="29"/>
        <v>0</v>
      </c>
      <c r="Y82" s="31">
        <f t="shared" si="29"/>
        <v>0</v>
      </c>
      <c r="Z82" s="31">
        <f t="shared" si="29"/>
        <v>0</v>
      </c>
      <c r="AA82" s="31">
        <f t="shared" si="29"/>
        <v>0</v>
      </c>
      <c r="AB82" s="31">
        <f t="shared" si="29"/>
        <v>0</v>
      </c>
      <c r="AC82" s="31">
        <f t="shared" si="29"/>
        <v>1</v>
      </c>
      <c r="AD82" s="31">
        <f t="shared" si="29"/>
        <v>0</v>
      </c>
      <c r="AE82" s="31">
        <f t="shared" si="29"/>
        <v>0</v>
      </c>
      <c r="AF82" s="31">
        <f t="shared" si="29"/>
        <v>0</v>
      </c>
      <c r="AG82" s="31">
        <f t="shared" si="17"/>
        <v>1</v>
      </c>
    </row>
    <row r="83" spans="1:33" ht="10.5" x14ac:dyDescent="0.15">
      <c r="A83" s="1" t="s">
        <v>293</v>
      </c>
      <c r="B83" s="1" t="s">
        <v>294</v>
      </c>
      <c r="C83" s="3"/>
      <c r="D83" s="3"/>
      <c r="E83" s="3"/>
      <c r="F83" s="3"/>
      <c r="G83" s="3"/>
      <c r="H83" s="3"/>
      <c r="I83" s="3">
        <v>322590.95230426436</v>
      </c>
      <c r="J83" s="3">
        <v>322590.95230426436</v>
      </c>
      <c r="K83" s="26">
        <f t="shared" si="16"/>
        <v>2023</v>
      </c>
      <c r="L83" s="78"/>
      <c r="M83" s="37">
        <f t="shared" ref="M83:M146" si="30">IF(ISNA(VLOOKUP($A83,Estimates,71,FALSE)),0,VLOOKUP($A83,Estimates,71,FALSE))</f>
        <v>0</v>
      </c>
      <c r="N83" s="31">
        <f t="shared" si="28"/>
        <v>0</v>
      </c>
      <c r="O83" s="31">
        <f t="shared" si="28"/>
        <v>0</v>
      </c>
      <c r="P83" s="31">
        <f t="shared" si="28"/>
        <v>0</v>
      </c>
      <c r="Q83" s="31">
        <f t="shared" si="28"/>
        <v>0</v>
      </c>
      <c r="R83" s="31">
        <f t="shared" si="28"/>
        <v>0</v>
      </c>
      <c r="S83" s="31">
        <f t="shared" si="28"/>
        <v>0</v>
      </c>
      <c r="T83" s="31">
        <f t="shared" si="28"/>
        <v>0</v>
      </c>
      <c r="U83" s="31">
        <f t="shared" si="28"/>
        <v>1</v>
      </c>
      <c r="V83" s="31">
        <f t="shared" si="28"/>
        <v>0</v>
      </c>
      <c r="W83" s="31">
        <f t="shared" si="28"/>
        <v>0</v>
      </c>
      <c r="X83" s="31">
        <f t="shared" si="29"/>
        <v>0</v>
      </c>
      <c r="Y83" s="31">
        <f t="shared" si="29"/>
        <v>0</v>
      </c>
      <c r="Z83" s="31">
        <f t="shared" si="29"/>
        <v>0</v>
      </c>
      <c r="AA83" s="31">
        <f t="shared" si="29"/>
        <v>0</v>
      </c>
      <c r="AB83" s="31">
        <f t="shared" si="29"/>
        <v>0</v>
      </c>
      <c r="AC83" s="31">
        <f t="shared" si="29"/>
        <v>0</v>
      </c>
      <c r="AD83" s="31">
        <f t="shared" si="29"/>
        <v>0</v>
      </c>
      <c r="AE83" s="31">
        <f t="shared" si="29"/>
        <v>0</v>
      </c>
      <c r="AF83" s="31">
        <f t="shared" si="29"/>
        <v>0</v>
      </c>
      <c r="AG83" s="31">
        <f t="shared" si="17"/>
        <v>1</v>
      </c>
    </row>
    <row r="84" spans="1:33" ht="10.5" x14ac:dyDescent="0.15">
      <c r="A84" s="1" t="s">
        <v>297</v>
      </c>
      <c r="B84" s="1" t="s">
        <v>298</v>
      </c>
      <c r="C84" s="95">
        <v>6336146.3412684202</v>
      </c>
      <c r="D84" s="95"/>
      <c r="E84" s="3"/>
      <c r="F84" s="3"/>
      <c r="G84" s="3"/>
      <c r="H84" s="3"/>
      <c r="I84" s="3"/>
      <c r="J84" s="3">
        <v>6336146.3412684202</v>
      </c>
      <c r="K84" s="26">
        <f t="shared" ref="K84:K147" si="31">INDEX($C$18:$I$18,1,MATCH(J84,$C84:$I84,0))</f>
        <v>2017</v>
      </c>
      <c r="L84" s="78"/>
      <c r="M84" s="37">
        <f t="shared" si="30"/>
        <v>6029289.25</v>
      </c>
      <c r="N84" s="31">
        <f t="shared" si="28"/>
        <v>0</v>
      </c>
      <c r="O84" s="31">
        <f t="shared" si="28"/>
        <v>0</v>
      </c>
      <c r="P84" s="31">
        <f t="shared" si="28"/>
        <v>0</v>
      </c>
      <c r="Q84" s="31">
        <f t="shared" si="28"/>
        <v>0</v>
      </c>
      <c r="R84" s="31">
        <f t="shared" si="28"/>
        <v>0.80307110825708017</v>
      </c>
      <c r="S84" s="31">
        <f t="shared" si="28"/>
        <v>0.19692889174291975</v>
      </c>
      <c r="T84" s="31">
        <f t="shared" si="28"/>
        <v>0</v>
      </c>
      <c r="U84" s="31">
        <f t="shared" si="28"/>
        <v>0</v>
      </c>
      <c r="V84" s="31">
        <f t="shared" si="28"/>
        <v>0</v>
      </c>
      <c r="W84" s="31">
        <f t="shared" si="28"/>
        <v>0</v>
      </c>
      <c r="X84" s="31">
        <f t="shared" si="29"/>
        <v>0</v>
      </c>
      <c r="Y84" s="31">
        <f t="shared" si="29"/>
        <v>0</v>
      </c>
      <c r="Z84" s="31">
        <f t="shared" si="29"/>
        <v>0</v>
      </c>
      <c r="AA84" s="31">
        <f t="shared" si="29"/>
        <v>0</v>
      </c>
      <c r="AB84" s="31">
        <f t="shared" si="29"/>
        <v>0</v>
      </c>
      <c r="AC84" s="31">
        <f t="shared" si="29"/>
        <v>0</v>
      </c>
      <c r="AD84" s="31">
        <f t="shared" si="29"/>
        <v>0</v>
      </c>
      <c r="AE84" s="31">
        <f t="shared" si="29"/>
        <v>0</v>
      </c>
      <c r="AF84" s="31">
        <f t="shared" si="29"/>
        <v>0</v>
      </c>
      <c r="AG84" s="31">
        <f t="shared" ref="AG84:AG147" si="32">SUM(N84:AF84)</f>
        <v>0.99999999999999989</v>
      </c>
    </row>
    <row r="85" spans="1:33" ht="10.5" x14ac:dyDescent="0.15">
      <c r="A85" s="1" t="s">
        <v>299</v>
      </c>
      <c r="B85" s="1" t="s">
        <v>2302</v>
      </c>
      <c r="C85" s="95"/>
      <c r="D85" s="95">
        <v>688974.55109446635</v>
      </c>
      <c r="E85" s="3"/>
      <c r="F85" s="3"/>
      <c r="G85" s="3"/>
      <c r="H85" s="3"/>
      <c r="I85" s="3"/>
      <c r="J85" s="3">
        <v>688974.55109446635</v>
      </c>
      <c r="K85" s="26">
        <f t="shared" si="31"/>
        <v>2018</v>
      </c>
      <c r="L85" s="78"/>
      <c r="M85" s="37">
        <f t="shared" si="30"/>
        <v>239970.00000000015</v>
      </c>
      <c r="N85" s="31">
        <f t="shared" si="28"/>
        <v>0</v>
      </c>
      <c r="O85" s="31">
        <f t="shared" si="28"/>
        <v>0</v>
      </c>
      <c r="P85" s="31">
        <f t="shared" si="28"/>
        <v>0</v>
      </c>
      <c r="Q85" s="31">
        <f t="shared" si="28"/>
        <v>1</v>
      </c>
      <c r="R85" s="31">
        <f t="shared" si="28"/>
        <v>0</v>
      </c>
      <c r="S85" s="31">
        <f t="shared" si="28"/>
        <v>0</v>
      </c>
      <c r="T85" s="31">
        <f t="shared" si="28"/>
        <v>0</v>
      </c>
      <c r="U85" s="31">
        <f t="shared" si="28"/>
        <v>0</v>
      </c>
      <c r="V85" s="31">
        <f t="shared" si="28"/>
        <v>0</v>
      </c>
      <c r="W85" s="31">
        <f t="shared" si="28"/>
        <v>0</v>
      </c>
      <c r="X85" s="31">
        <f t="shared" si="29"/>
        <v>0</v>
      </c>
      <c r="Y85" s="31">
        <f t="shared" si="29"/>
        <v>0</v>
      </c>
      <c r="Z85" s="31">
        <f t="shared" si="29"/>
        <v>0</v>
      </c>
      <c r="AA85" s="31">
        <f t="shared" si="29"/>
        <v>0</v>
      </c>
      <c r="AB85" s="31">
        <f t="shared" si="29"/>
        <v>0</v>
      </c>
      <c r="AC85" s="31">
        <f t="shared" si="29"/>
        <v>0</v>
      </c>
      <c r="AD85" s="31">
        <f t="shared" si="29"/>
        <v>0</v>
      </c>
      <c r="AE85" s="31">
        <f t="shared" si="29"/>
        <v>0</v>
      </c>
      <c r="AF85" s="31">
        <f t="shared" si="29"/>
        <v>0</v>
      </c>
      <c r="AG85" s="31">
        <f t="shared" si="32"/>
        <v>1</v>
      </c>
    </row>
    <row r="86" spans="1:33" ht="10.5" x14ac:dyDescent="0.15">
      <c r="A86" s="1" t="s">
        <v>300</v>
      </c>
      <c r="B86" s="1" t="s">
        <v>301</v>
      </c>
      <c r="C86" s="3"/>
      <c r="D86" s="3">
        <v>6420794.3248954434</v>
      </c>
      <c r="E86" s="3"/>
      <c r="F86" s="3"/>
      <c r="G86" s="3"/>
      <c r="H86" s="3"/>
      <c r="I86" s="3"/>
      <c r="J86" s="3">
        <v>6420794.3248954434</v>
      </c>
      <c r="K86" s="26">
        <f t="shared" si="31"/>
        <v>2018</v>
      </c>
      <c r="L86" s="78"/>
      <c r="M86" s="37">
        <f t="shared" si="30"/>
        <v>3516015.8325580084</v>
      </c>
      <c r="N86" s="31">
        <f t="shared" si="28"/>
        <v>0</v>
      </c>
      <c r="O86" s="31">
        <f t="shared" si="28"/>
        <v>6.1964896088506402E-2</v>
      </c>
      <c r="P86" s="31">
        <f t="shared" si="28"/>
        <v>5.4494281362593038E-2</v>
      </c>
      <c r="Q86" s="31">
        <f t="shared" si="28"/>
        <v>0</v>
      </c>
      <c r="R86" s="31">
        <f t="shared" si="28"/>
        <v>0</v>
      </c>
      <c r="S86" s="31">
        <f t="shared" si="28"/>
        <v>0</v>
      </c>
      <c r="T86" s="31">
        <f t="shared" si="28"/>
        <v>0</v>
      </c>
      <c r="U86" s="31">
        <f t="shared" si="28"/>
        <v>0</v>
      </c>
      <c r="V86" s="31">
        <f t="shared" si="28"/>
        <v>0</v>
      </c>
      <c r="W86" s="31">
        <f t="shared" si="28"/>
        <v>0.24221734498616548</v>
      </c>
      <c r="X86" s="31">
        <f t="shared" si="29"/>
        <v>9.7043934357867928E-2</v>
      </c>
      <c r="Y86" s="31">
        <f t="shared" si="29"/>
        <v>0.15321047939897878</v>
      </c>
      <c r="Z86" s="31">
        <f t="shared" si="29"/>
        <v>2.6842882536562928E-2</v>
      </c>
      <c r="AA86" s="31">
        <f t="shared" si="29"/>
        <v>0</v>
      </c>
      <c r="AB86" s="31">
        <f t="shared" si="29"/>
        <v>0.35000553995792844</v>
      </c>
      <c r="AC86" s="31">
        <f t="shared" si="29"/>
        <v>1.4220641311396925E-2</v>
      </c>
      <c r="AD86" s="31">
        <f t="shared" si="29"/>
        <v>0</v>
      </c>
      <c r="AE86" s="31">
        <f t="shared" si="29"/>
        <v>0</v>
      </c>
      <c r="AF86" s="31">
        <f t="shared" si="29"/>
        <v>0</v>
      </c>
      <c r="AG86" s="31">
        <f t="shared" si="32"/>
        <v>0.99999999999999989</v>
      </c>
    </row>
    <row r="87" spans="1:33" ht="10.5" x14ac:dyDescent="0.15">
      <c r="A87" s="1" t="s">
        <v>302</v>
      </c>
      <c r="B87" s="1" t="s">
        <v>303</v>
      </c>
      <c r="C87" s="3"/>
      <c r="D87" s="3">
        <v>8204938.486179742</v>
      </c>
      <c r="E87" s="3"/>
      <c r="F87" s="3"/>
      <c r="G87" s="3"/>
      <c r="H87" s="3"/>
      <c r="I87" s="3"/>
      <c r="J87" s="3">
        <v>8204938.486179742</v>
      </c>
      <c r="K87" s="26">
        <f t="shared" si="31"/>
        <v>2018</v>
      </c>
      <c r="L87" s="78"/>
      <c r="M87" s="37">
        <f t="shared" si="30"/>
        <v>0</v>
      </c>
      <c r="N87" s="31">
        <f t="shared" si="28"/>
        <v>0</v>
      </c>
      <c r="O87" s="31">
        <f t="shared" si="28"/>
        <v>0</v>
      </c>
      <c r="P87" s="31">
        <f t="shared" si="28"/>
        <v>0</v>
      </c>
      <c r="Q87" s="31">
        <f t="shared" si="28"/>
        <v>0</v>
      </c>
      <c r="R87" s="31">
        <f t="shared" si="28"/>
        <v>0</v>
      </c>
      <c r="S87" s="31">
        <f t="shared" si="28"/>
        <v>0</v>
      </c>
      <c r="T87" s="31">
        <f t="shared" si="28"/>
        <v>0</v>
      </c>
      <c r="U87" s="31">
        <f t="shared" si="28"/>
        <v>0</v>
      </c>
      <c r="V87" s="31">
        <f t="shared" si="28"/>
        <v>0</v>
      </c>
      <c r="W87" s="31">
        <f t="shared" si="28"/>
        <v>1</v>
      </c>
      <c r="X87" s="31">
        <f t="shared" si="29"/>
        <v>0</v>
      </c>
      <c r="Y87" s="31">
        <f t="shared" si="29"/>
        <v>0</v>
      </c>
      <c r="Z87" s="31">
        <f t="shared" si="29"/>
        <v>0</v>
      </c>
      <c r="AA87" s="31">
        <f t="shared" si="29"/>
        <v>0</v>
      </c>
      <c r="AB87" s="31">
        <f t="shared" si="29"/>
        <v>0</v>
      </c>
      <c r="AC87" s="31">
        <f t="shared" si="29"/>
        <v>0</v>
      </c>
      <c r="AD87" s="31">
        <f t="shared" si="29"/>
        <v>0</v>
      </c>
      <c r="AE87" s="31">
        <f t="shared" si="29"/>
        <v>0</v>
      </c>
      <c r="AF87" s="31">
        <f t="shared" si="29"/>
        <v>0</v>
      </c>
      <c r="AG87" s="31">
        <f t="shared" si="32"/>
        <v>1</v>
      </c>
    </row>
    <row r="88" spans="1:33" ht="10.5" x14ac:dyDescent="0.15">
      <c r="A88" s="1" t="s">
        <v>306</v>
      </c>
      <c r="B88" s="1" t="s">
        <v>307</v>
      </c>
      <c r="C88" s="3"/>
      <c r="D88" s="3"/>
      <c r="E88" s="3">
        <v>5702661.0252521159</v>
      </c>
      <c r="F88" s="3"/>
      <c r="G88" s="3"/>
      <c r="H88" s="3"/>
      <c r="I88" s="3"/>
      <c r="J88" s="3">
        <v>5702661.0252521159</v>
      </c>
      <c r="K88" s="26">
        <f t="shared" si="31"/>
        <v>2019</v>
      </c>
      <c r="L88" s="78"/>
      <c r="M88" s="37">
        <f t="shared" si="30"/>
        <v>0</v>
      </c>
      <c r="N88" s="31">
        <f t="shared" si="28"/>
        <v>0</v>
      </c>
      <c r="O88" s="31">
        <f t="shared" si="28"/>
        <v>0</v>
      </c>
      <c r="P88" s="31">
        <f t="shared" si="28"/>
        <v>0</v>
      </c>
      <c r="Q88" s="31">
        <f t="shared" si="28"/>
        <v>0</v>
      </c>
      <c r="R88" s="31">
        <f t="shared" si="28"/>
        <v>0</v>
      </c>
      <c r="S88" s="31">
        <f t="shared" si="28"/>
        <v>0</v>
      </c>
      <c r="T88" s="31">
        <f t="shared" si="28"/>
        <v>0</v>
      </c>
      <c r="U88" s="31">
        <f t="shared" si="28"/>
        <v>0</v>
      </c>
      <c r="V88" s="31">
        <f t="shared" si="28"/>
        <v>0</v>
      </c>
      <c r="W88" s="31">
        <f t="shared" si="28"/>
        <v>0</v>
      </c>
      <c r="X88" s="31">
        <f t="shared" si="29"/>
        <v>0</v>
      </c>
      <c r="Y88" s="31">
        <f t="shared" si="29"/>
        <v>1</v>
      </c>
      <c r="Z88" s="31">
        <f t="shared" si="29"/>
        <v>0</v>
      </c>
      <c r="AA88" s="31">
        <f t="shared" si="29"/>
        <v>0</v>
      </c>
      <c r="AB88" s="31">
        <f t="shared" si="29"/>
        <v>0</v>
      </c>
      <c r="AC88" s="31">
        <f t="shared" si="29"/>
        <v>0</v>
      </c>
      <c r="AD88" s="31">
        <f t="shared" si="29"/>
        <v>0</v>
      </c>
      <c r="AE88" s="31">
        <f t="shared" si="29"/>
        <v>0</v>
      </c>
      <c r="AF88" s="31">
        <f t="shared" si="29"/>
        <v>0</v>
      </c>
      <c r="AG88" s="31">
        <f t="shared" si="32"/>
        <v>1</v>
      </c>
    </row>
    <row r="89" spans="1:33" ht="10.5" x14ac:dyDescent="0.15">
      <c r="A89" s="1" t="s">
        <v>308</v>
      </c>
      <c r="B89" s="1" t="s">
        <v>2381</v>
      </c>
      <c r="C89" s="3"/>
      <c r="D89" s="3"/>
      <c r="E89" s="3">
        <v>9768799.6109661665</v>
      </c>
      <c r="F89" s="3"/>
      <c r="G89" s="3"/>
      <c r="H89" s="3"/>
      <c r="I89" s="3"/>
      <c r="J89" s="3">
        <v>9768799.6109661665</v>
      </c>
      <c r="K89" s="26">
        <f t="shared" si="31"/>
        <v>2019</v>
      </c>
      <c r="L89" s="78"/>
      <c r="M89" s="37">
        <f t="shared" si="30"/>
        <v>6032738</v>
      </c>
      <c r="N89" s="31">
        <f t="shared" ref="N89:W98" si="33">IF(OR(LEFT($A89,1)="E",LEFT($A89,1)="Z"),IF($M89=0,VLOOKUP(MID($A89,4,5),ProjectSplits,N$2,FALSE),IF(ISNA(VLOOKUP($A89,Estimates,N$1,FALSE)),VLOOKUP(MID($A89,4,5),ProjectSplits,N$2,FALSE),VLOOKUP($A89,Estimates,N$1,FALSE))),0)</f>
        <v>0</v>
      </c>
      <c r="O89" s="31">
        <f t="shared" si="33"/>
        <v>0</v>
      </c>
      <c r="P89" s="31">
        <f t="shared" si="33"/>
        <v>0</v>
      </c>
      <c r="Q89" s="31">
        <f t="shared" si="33"/>
        <v>0</v>
      </c>
      <c r="R89" s="31">
        <f t="shared" si="33"/>
        <v>0</v>
      </c>
      <c r="S89" s="31">
        <f t="shared" si="33"/>
        <v>0</v>
      </c>
      <c r="T89" s="31">
        <f t="shared" si="33"/>
        <v>0</v>
      </c>
      <c r="U89" s="31">
        <f t="shared" si="33"/>
        <v>0</v>
      </c>
      <c r="V89" s="31">
        <f t="shared" si="33"/>
        <v>0</v>
      </c>
      <c r="W89" s="31">
        <f t="shared" si="33"/>
        <v>0</v>
      </c>
      <c r="X89" s="31">
        <f t="shared" ref="X89:AF98" si="34">IF(OR(LEFT($A89,1)="E",LEFT($A89,1)="Z"),IF($M89=0,VLOOKUP(MID($A89,4,5),ProjectSplits,X$2,FALSE),IF(ISNA(VLOOKUP($A89,Estimates,X$1,FALSE)),VLOOKUP(MID($A89,4,5),ProjectSplits,X$2,FALSE),VLOOKUP($A89,Estimates,X$1,FALSE))),0)</f>
        <v>0</v>
      </c>
      <c r="Y89" s="31">
        <f t="shared" si="34"/>
        <v>1</v>
      </c>
      <c r="Z89" s="31">
        <f t="shared" si="34"/>
        <v>0</v>
      </c>
      <c r="AA89" s="31">
        <f t="shared" si="34"/>
        <v>0</v>
      </c>
      <c r="AB89" s="31">
        <f t="shared" si="34"/>
        <v>0</v>
      </c>
      <c r="AC89" s="31">
        <f t="shared" si="34"/>
        <v>0</v>
      </c>
      <c r="AD89" s="31">
        <f t="shared" si="34"/>
        <v>0</v>
      </c>
      <c r="AE89" s="31">
        <f t="shared" si="34"/>
        <v>0</v>
      </c>
      <c r="AF89" s="31">
        <f t="shared" si="34"/>
        <v>0</v>
      </c>
      <c r="AG89" s="31">
        <f t="shared" si="32"/>
        <v>1</v>
      </c>
    </row>
    <row r="90" spans="1:33" ht="10.5" x14ac:dyDescent="0.15">
      <c r="A90" s="1" t="s">
        <v>310</v>
      </c>
      <c r="B90" s="1" t="s">
        <v>311</v>
      </c>
      <c r="C90" s="3"/>
      <c r="D90" s="3">
        <v>2357247.614056197</v>
      </c>
      <c r="E90" s="3"/>
      <c r="F90" s="3"/>
      <c r="G90" s="3"/>
      <c r="H90" s="3"/>
      <c r="I90" s="3"/>
      <c r="J90" s="3">
        <v>2357247.614056197</v>
      </c>
      <c r="K90" s="26">
        <f t="shared" si="31"/>
        <v>2018</v>
      </c>
      <c r="L90" s="78"/>
      <c r="M90" s="37">
        <f t="shared" si="30"/>
        <v>1232877.9999999986</v>
      </c>
      <c r="N90" s="31">
        <f t="shared" si="33"/>
        <v>0</v>
      </c>
      <c r="O90" s="31">
        <f t="shared" si="33"/>
        <v>0</v>
      </c>
      <c r="P90" s="31">
        <f t="shared" si="33"/>
        <v>0</v>
      </c>
      <c r="Q90" s="31">
        <f t="shared" si="33"/>
        <v>0</v>
      </c>
      <c r="R90" s="31">
        <f t="shared" si="33"/>
        <v>0</v>
      </c>
      <c r="S90" s="31">
        <f t="shared" si="33"/>
        <v>0</v>
      </c>
      <c r="T90" s="31">
        <f t="shared" si="33"/>
        <v>0</v>
      </c>
      <c r="U90" s="31">
        <f t="shared" si="33"/>
        <v>0</v>
      </c>
      <c r="V90" s="31">
        <f t="shared" si="33"/>
        <v>0</v>
      </c>
      <c r="W90" s="31">
        <f t="shared" si="33"/>
        <v>0</v>
      </c>
      <c r="X90" s="31">
        <f t="shared" si="34"/>
        <v>0</v>
      </c>
      <c r="Y90" s="31">
        <f t="shared" si="34"/>
        <v>0</v>
      </c>
      <c r="Z90" s="31">
        <f t="shared" si="34"/>
        <v>0</v>
      </c>
      <c r="AA90" s="31">
        <f t="shared" si="34"/>
        <v>0</v>
      </c>
      <c r="AB90" s="31">
        <f t="shared" si="34"/>
        <v>1</v>
      </c>
      <c r="AC90" s="31">
        <f t="shared" si="34"/>
        <v>0</v>
      </c>
      <c r="AD90" s="31">
        <f t="shared" si="34"/>
        <v>0</v>
      </c>
      <c r="AE90" s="31">
        <f t="shared" si="34"/>
        <v>0</v>
      </c>
      <c r="AF90" s="31">
        <f t="shared" si="34"/>
        <v>0</v>
      </c>
      <c r="AG90" s="31">
        <f t="shared" si="32"/>
        <v>1</v>
      </c>
    </row>
    <row r="91" spans="1:33" ht="10.5" x14ac:dyDescent="0.15">
      <c r="A91" s="1" t="s">
        <v>312</v>
      </c>
      <c r="B91" s="1" t="s">
        <v>313</v>
      </c>
      <c r="C91" s="3">
        <v>390312.79</v>
      </c>
      <c r="D91" s="3"/>
      <c r="E91" s="3"/>
      <c r="F91" s="3"/>
      <c r="G91" s="3"/>
      <c r="H91" s="3"/>
      <c r="I91" s="3"/>
      <c r="J91" s="3">
        <v>390312.79</v>
      </c>
      <c r="K91" s="26">
        <f t="shared" si="31"/>
        <v>2017</v>
      </c>
      <c r="L91" s="78"/>
      <c r="M91" s="37">
        <f t="shared" si="30"/>
        <v>251119.99999999994</v>
      </c>
      <c r="N91" s="31">
        <f t="shared" si="33"/>
        <v>0.30232558139534887</v>
      </c>
      <c r="O91" s="31">
        <f t="shared" si="33"/>
        <v>0</v>
      </c>
      <c r="P91" s="31">
        <f t="shared" si="33"/>
        <v>0</v>
      </c>
      <c r="Q91" s="31">
        <f t="shared" si="33"/>
        <v>0</v>
      </c>
      <c r="R91" s="31">
        <f t="shared" si="33"/>
        <v>0</v>
      </c>
      <c r="S91" s="31">
        <f t="shared" si="33"/>
        <v>0</v>
      </c>
      <c r="T91" s="31">
        <f t="shared" si="33"/>
        <v>0</v>
      </c>
      <c r="U91" s="31">
        <f t="shared" si="33"/>
        <v>0.69767441860465118</v>
      </c>
      <c r="V91" s="31">
        <f t="shared" si="33"/>
        <v>0</v>
      </c>
      <c r="W91" s="31">
        <f t="shared" si="33"/>
        <v>0</v>
      </c>
      <c r="X91" s="31">
        <f t="shared" si="34"/>
        <v>0</v>
      </c>
      <c r="Y91" s="31">
        <f t="shared" si="34"/>
        <v>0</v>
      </c>
      <c r="Z91" s="31">
        <f t="shared" si="34"/>
        <v>0</v>
      </c>
      <c r="AA91" s="31">
        <f t="shared" si="34"/>
        <v>0</v>
      </c>
      <c r="AB91" s="31">
        <f t="shared" si="34"/>
        <v>0</v>
      </c>
      <c r="AC91" s="31">
        <f t="shared" si="34"/>
        <v>0</v>
      </c>
      <c r="AD91" s="31">
        <f t="shared" si="34"/>
        <v>0</v>
      </c>
      <c r="AE91" s="31">
        <f t="shared" si="34"/>
        <v>0</v>
      </c>
      <c r="AF91" s="31">
        <f t="shared" si="34"/>
        <v>0</v>
      </c>
      <c r="AG91" s="31">
        <f t="shared" si="32"/>
        <v>1</v>
      </c>
    </row>
    <row r="92" spans="1:33" ht="10.5" x14ac:dyDescent="0.15">
      <c r="A92" s="1" t="s">
        <v>314</v>
      </c>
      <c r="B92" s="1" t="s">
        <v>315</v>
      </c>
      <c r="C92" s="3">
        <v>448453.02</v>
      </c>
      <c r="D92" s="3"/>
      <c r="E92" s="3"/>
      <c r="F92" s="3"/>
      <c r="G92" s="3"/>
      <c r="H92" s="3"/>
      <c r="I92" s="3"/>
      <c r="J92" s="3">
        <v>448453.02</v>
      </c>
      <c r="K92" s="26">
        <f t="shared" si="31"/>
        <v>2017</v>
      </c>
      <c r="L92" s="78"/>
      <c r="M92" s="37">
        <f t="shared" si="30"/>
        <v>1962985.0000000005</v>
      </c>
      <c r="N92" s="31">
        <f t="shared" si="33"/>
        <v>0</v>
      </c>
      <c r="O92" s="31">
        <f t="shared" si="33"/>
        <v>0</v>
      </c>
      <c r="P92" s="31">
        <f t="shared" si="33"/>
        <v>0</v>
      </c>
      <c r="Q92" s="31">
        <f t="shared" si="33"/>
        <v>0</v>
      </c>
      <c r="R92" s="31">
        <f t="shared" si="33"/>
        <v>0</v>
      </c>
      <c r="S92" s="31">
        <f t="shared" si="33"/>
        <v>0</v>
      </c>
      <c r="T92" s="31">
        <f t="shared" si="33"/>
        <v>0</v>
      </c>
      <c r="U92" s="31">
        <f t="shared" si="33"/>
        <v>0</v>
      </c>
      <c r="V92" s="31">
        <f t="shared" si="33"/>
        <v>0</v>
      </c>
      <c r="W92" s="31">
        <f t="shared" si="33"/>
        <v>1</v>
      </c>
      <c r="X92" s="31">
        <f t="shared" si="34"/>
        <v>0</v>
      </c>
      <c r="Y92" s="31">
        <f t="shared" si="34"/>
        <v>0</v>
      </c>
      <c r="Z92" s="31">
        <f t="shared" si="34"/>
        <v>0</v>
      </c>
      <c r="AA92" s="31">
        <f t="shared" si="34"/>
        <v>0</v>
      </c>
      <c r="AB92" s="31">
        <f t="shared" si="34"/>
        <v>0</v>
      </c>
      <c r="AC92" s="31">
        <f t="shared" si="34"/>
        <v>0</v>
      </c>
      <c r="AD92" s="31">
        <f t="shared" si="34"/>
        <v>0</v>
      </c>
      <c r="AE92" s="31">
        <f t="shared" si="34"/>
        <v>0</v>
      </c>
      <c r="AF92" s="31">
        <f t="shared" si="34"/>
        <v>0</v>
      </c>
      <c r="AG92" s="31">
        <f t="shared" si="32"/>
        <v>1</v>
      </c>
    </row>
    <row r="93" spans="1:33" ht="10.5" x14ac:dyDescent="0.15">
      <c r="A93" s="1" t="s">
        <v>318</v>
      </c>
      <c r="B93" s="1" t="s">
        <v>2303</v>
      </c>
      <c r="C93" s="3"/>
      <c r="D93" s="3"/>
      <c r="E93" s="3"/>
      <c r="F93" s="3">
        <v>745604.69215209922</v>
      </c>
      <c r="G93" s="3"/>
      <c r="H93" s="3"/>
      <c r="I93" s="3"/>
      <c r="J93" s="3">
        <v>745604.69215209922</v>
      </c>
      <c r="K93" s="26">
        <f t="shared" si="31"/>
        <v>2020</v>
      </c>
      <c r="L93" s="78"/>
      <c r="M93" s="37">
        <f t="shared" si="30"/>
        <v>179280.00000000006</v>
      </c>
      <c r="N93" s="31">
        <f t="shared" si="33"/>
        <v>0</v>
      </c>
      <c r="O93" s="31">
        <f t="shared" si="33"/>
        <v>0</v>
      </c>
      <c r="P93" s="31">
        <f t="shared" si="33"/>
        <v>0</v>
      </c>
      <c r="Q93" s="31">
        <f t="shared" si="33"/>
        <v>1</v>
      </c>
      <c r="R93" s="31">
        <f t="shared" si="33"/>
        <v>0</v>
      </c>
      <c r="S93" s="31">
        <f t="shared" si="33"/>
        <v>0</v>
      </c>
      <c r="T93" s="31">
        <f t="shared" si="33"/>
        <v>0</v>
      </c>
      <c r="U93" s="31">
        <f t="shared" si="33"/>
        <v>0</v>
      </c>
      <c r="V93" s="31">
        <f t="shared" si="33"/>
        <v>0</v>
      </c>
      <c r="W93" s="31">
        <f t="shared" si="33"/>
        <v>0</v>
      </c>
      <c r="X93" s="31">
        <f t="shared" si="34"/>
        <v>0</v>
      </c>
      <c r="Y93" s="31">
        <f t="shared" si="34"/>
        <v>0</v>
      </c>
      <c r="Z93" s="31">
        <f t="shared" si="34"/>
        <v>0</v>
      </c>
      <c r="AA93" s="31">
        <f t="shared" si="34"/>
        <v>0</v>
      </c>
      <c r="AB93" s="31">
        <f t="shared" si="34"/>
        <v>0</v>
      </c>
      <c r="AC93" s="31">
        <f t="shared" si="34"/>
        <v>0</v>
      </c>
      <c r="AD93" s="31">
        <f t="shared" si="34"/>
        <v>0</v>
      </c>
      <c r="AE93" s="31">
        <f t="shared" si="34"/>
        <v>0</v>
      </c>
      <c r="AF93" s="31">
        <f t="shared" si="34"/>
        <v>0</v>
      </c>
      <c r="AG93" s="31">
        <f t="shared" si="32"/>
        <v>1</v>
      </c>
    </row>
    <row r="94" spans="1:33" ht="10.5" x14ac:dyDescent="0.15">
      <c r="A94" s="1" t="s">
        <v>319</v>
      </c>
      <c r="B94" s="1" t="s">
        <v>320</v>
      </c>
      <c r="C94" s="3">
        <v>491564.87206826085</v>
      </c>
      <c r="D94" s="3"/>
      <c r="E94" s="3"/>
      <c r="F94" s="3"/>
      <c r="G94" s="3"/>
      <c r="H94" s="3"/>
      <c r="I94" s="3"/>
      <c r="J94" s="3">
        <v>491564.87206826085</v>
      </c>
      <c r="K94" s="26">
        <f t="shared" si="31"/>
        <v>2017</v>
      </c>
      <c r="L94" s="78"/>
      <c r="M94" s="37">
        <f t="shared" si="30"/>
        <v>1199999.9999999984</v>
      </c>
      <c r="N94" s="31">
        <f t="shared" si="33"/>
        <v>0</v>
      </c>
      <c r="O94" s="31">
        <f t="shared" si="33"/>
        <v>0</v>
      </c>
      <c r="P94" s="31">
        <f t="shared" si="33"/>
        <v>0</v>
      </c>
      <c r="Q94" s="31">
        <f t="shared" si="33"/>
        <v>1</v>
      </c>
      <c r="R94" s="31">
        <f t="shared" si="33"/>
        <v>0</v>
      </c>
      <c r="S94" s="31">
        <f t="shared" si="33"/>
        <v>0</v>
      </c>
      <c r="T94" s="31">
        <f t="shared" si="33"/>
        <v>0</v>
      </c>
      <c r="U94" s="31">
        <f t="shared" si="33"/>
        <v>0</v>
      </c>
      <c r="V94" s="31">
        <f t="shared" si="33"/>
        <v>0</v>
      </c>
      <c r="W94" s="31">
        <f t="shared" si="33"/>
        <v>0</v>
      </c>
      <c r="X94" s="31">
        <f t="shared" si="34"/>
        <v>0</v>
      </c>
      <c r="Y94" s="31">
        <f t="shared" si="34"/>
        <v>0</v>
      </c>
      <c r="Z94" s="31">
        <f t="shared" si="34"/>
        <v>0</v>
      </c>
      <c r="AA94" s="31">
        <f t="shared" si="34"/>
        <v>0</v>
      </c>
      <c r="AB94" s="31">
        <f t="shared" si="34"/>
        <v>0</v>
      </c>
      <c r="AC94" s="31">
        <f t="shared" si="34"/>
        <v>0</v>
      </c>
      <c r="AD94" s="31">
        <f t="shared" si="34"/>
        <v>0</v>
      </c>
      <c r="AE94" s="31">
        <f t="shared" si="34"/>
        <v>0</v>
      </c>
      <c r="AF94" s="31">
        <f t="shared" si="34"/>
        <v>0</v>
      </c>
      <c r="AG94" s="31">
        <f t="shared" si="32"/>
        <v>1</v>
      </c>
    </row>
    <row r="95" spans="1:33" ht="10.5" x14ac:dyDescent="0.15">
      <c r="A95" s="1" t="s">
        <v>322</v>
      </c>
      <c r="B95" s="1" t="s">
        <v>323</v>
      </c>
      <c r="C95" s="3"/>
      <c r="D95" s="3"/>
      <c r="E95" s="3"/>
      <c r="F95" s="3"/>
      <c r="G95" s="3"/>
      <c r="H95" s="3"/>
      <c r="I95" s="3">
        <v>1658805.1668144423</v>
      </c>
      <c r="J95" s="3">
        <v>1658805.1668144423</v>
      </c>
      <c r="K95" s="26">
        <f t="shared" si="31"/>
        <v>2023</v>
      </c>
      <c r="L95" s="78"/>
      <c r="M95" s="37">
        <f t="shared" si="30"/>
        <v>280000.00000000006</v>
      </c>
      <c r="N95" s="31">
        <f t="shared" si="33"/>
        <v>0</v>
      </c>
      <c r="O95" s="31">
        <f t="shared" si="33"/>
        <v>0</v>
      </c>
      <c r="P95" s="31">
        <f t="shared" si="33"/>
        <v>0</v>
      </c>
      <c r="Q95" s="31">
        <f t="shared" si="33"/>
        <v>1</v>
      </c>
      <c r="R95" s="31">
        <f t="shared" si="33"/>
        <v>0</v>
      </c>
      <c r="S95" s="31">
        <f t="shared" si="33"/>
        <v>0</v>
      </c>
      <c r="T95" s="31">
        <f t="shared" si="33"/>
        <v>0</v>
      </c>
      <c r="U95" s="31">
        <f t="shared" si="33"/>
        <v>0</v>
      </c>
      <c r="V95" s="31">
        <f t="shared" si="33"/>
        <v>0</v>
      </c>
      <c r="W95" s="31">
        <f t="shared" si="33"/>
        <v>0</v>
      </c>
      <c r="X95" s="31">
        <f t="shared" si="34"/>
        <v>0</v>
      </c>
      <c r="Y95" s="31">
        <f t="shared" si="34"/>
        <v>0</v>
      </c>
      <c r="Z95" s="31">
        <f t="shared" si="34"/>
        <v>0</v>
      </c>
      <c r="AA95" s="31">
        <f t="shared" si="34"/>
        <v>0</v>
      </c>
      <c r="AB95" s="31">
        <f t="shared" si="34"/>
        <v>0</v>
      </c>
      <c r="AC95" s="31">
        <f t="shared" si="34"/>
        <v>0</v>
      </c>
      <c r="AD95" s="31">
        <f t="shared" si="34"/>
        <v>0</v>
      </c>
      <c r="AE95" s="31">
        <f t="shared" si="34"/>
        <v>0</v>
      </c>
      <c r="AF95" s="31">
        <f t="shared" si="34"/>
        <v>0</v>
      </c>
      <c r="AG95" s="31">
        <f t="shared" si="32"/>
        <v>1</v>
      </c>
    </row>
    <row r="96" spans="1:33" ht="10.5" x14ac:dyDescent="0.15">
      <c r="A96" s="1" t="s">
        <v>324</v>
      </c>
      <c r="B96" s="1" t="s">
        <v>325</v>
      </c>
      <c r="C96" s="3">
        <v>5027230.5339673935</v>
      </c>
      <c r="D96" s="3"/>
      <c r="E96" s="3"/>
      <c r="F96" s="3"/>
      <c r="G96" s="3"/>
      <c r="H96" s="3"/>
      <c r="I96" s="3"/>
      <c r="J96" s="3">
        <v>5027230.5339673935</v>
      </c>
      <c r="K96" s="26">
        <f t="shared" si="31"/>
        <v>2017</v>
      </c>
      <c r="L96" s="78"/>
      <c r="M96" s="37">
        <f t="shared" si="30"/>
        <v>8237319.3731999993</v>
      </c>
      <c r="N96" s="31">
        <f t="shared" si="33"/>
        <v>0</v>
      </c>
      <c r="O96" s="31">
        <f t="shared" si="33"/>
        <v>0.11751392769222635</v>
      </c>
      <c r="P96" s="31">
        <f t="shared" si="33"/>
        <v>0.52638483510875078</v>
      </c>
      <c r="Q96" s="31">
        <f t="shared" si="33"/>
        <v>0.3412905937757601</v>
      </c>
      <c r="R96" s="31">
        <f t="shared" si="33"/>
        <v>0</v>
      </c>
      <c r="S96" s="31">
        <f t="shared" si="33"/>
        <v>0</v>
      </c>
      <c r="T96" s="31">
        <f t="shared" si="33"/>
        <v>0</v>
      </c>
      <c r="U96" s="31">
        <f t="shared" si="33"/>
        <v>0</v>
      </c>
      <c r="V96" s="31">
        <f t="shared" si="33"/>
        <v>0</v>
      </c>
      <c r="W96" s="31">
        <f t="shared" si="33"/>
        <v>0</v>
      </c>
      <c r="X96" s="31">
        <f t="shared" si="34"/>
        <v>0</v>
      </c>
      <c r="Y96" s="31">
        <f t="shared" si="34"/>
        <v>0</v>
      </c>
      <c r="Z96" s="31">
        <f t="shared" si="34"/>
        <v>0</v>
      </c>
      <c r="AA96" s="31">
        <f t="shared" si="34"/>
        <v>0</v>
      </c>
      <c r="AB96" s="31">
        <f t="shared" si="34"/>
        <v>1.4810643423262822E-2</v>
      </c>
      <c r="AC96" s="31">
        <f t="shared" si="34"/>
        <v>0</v>
      </c>
      <c r="AD96" s="31">
        <f t="shared" si="34"/>
        <v>0</v>
      </c>
      <c r="AE96" s="31">
        <f t="shared" si="34"/>
        <v>0</v>
      </c>
      <c r="AF96" s="31">
        <f t="shared" si="34"/>
        <v>0</v>
      </c>
      <c r="AG96" s="31">
        <f t="shared" si="32"/>
        <v>1</v>
      </c>
    </row>
    <row r="97" spans="1:33" ht="10.5" x14ac:dyDescent="0.15">
      <c r="A97" s="1" t="s">
        <v>327</v>
      </c>
      <c r="B97" s="1" t="s">
        <v>328</v>
      </c>
      <c r="C97" s="3">
        <v>3002922.2341913925</v>
      </c>
      <c r="D97" s="3"/>
      <c r="E97" s="3"/>
      <c r="F97" s="3"/>
      <c r="G97" s="3"/>
      <c r="H97" s="3"/>
      <c r="I97" s="3"/>
      <c r="J97" s="3">
        <v>3002922.2341913925</v>
      </c>
      <c r="K97" s="26">
        <f t="shared" si="31"/>
        <v>2017</v>
      </c>
      <c r="L97" s="78"/>
      <c r="M97" s="37">
        <f t="shared" si="30"/>
        <v>2245065.0217359997</v>
      </c>
      <c r="N97" s="31">
        <f t="shared" si="33"/>
        <v>0</v>
      </c>
      <c r="O97" s="31">
        <f t="shared" si="33"/>
        <v>0</v>
      </c>
      <c r="P97" s="31">
        <f t="shared" si="33"/>
        <v>0.18262277307405861</v>
      </c>
      <c r="Q97" s="31">
        <f t="shared" si="33"/>
        <v>0</v>
      </c>
      <c r="R97" s="31">
        <f t="shared" si="33"/>
        <v>0</v>
      </c>
      <c r="S97" s="31">
        <f t="shared" si="33"/>
        <v>4.4542139774052004E-3</v>
      </c>
      <c r="T97" s="31">
        <f t="shared" si="33"/>
        <v>0</v>
      </c>
      <c r="U97" s="31">
        <f t="shared" si="33"/>
        <v>0</v>
      </c>
      <c r="V97" s="31">
        <f t="shared" si="33"/>
        <v>0</v>
      </c>
      <c r="W97" s="31">
        <f t="shared" si="33"/>
        <v>0</v>
      </c>
      <c r="X97" s="31">
        <f t="shared" si="34"/>
        <v>0</v>
      </c>
      <c r="Y97" s="31">
        <f t="shared" si="34"/>
        <v>0.16596402247935182</v>
      </c>
      <c r="Z97" s="31">
        <f t="shared" si="34"/>
        <v>0</v>
      </c>
      <c r="AA97" s="31">
        <f t="shared" si="34"/>
        <v>0</v>
      </c>
      <c r="AB97" s="31">
        <f t="shared" si="34"/>
        <v>0.64695899046918437</v>
      </c>
      <c r="AC97" s="31">
        <f t="shared" si="34"/>
        <v>0</v>
      </c>
      <c r="AD97" s="31">
        <f t="shared" si="34"/>
        <v>0</v>
      </c>
      <c r="AE97" s="31">
        <f t="shared" si="34"/>
        <v>0</v>
      </c>
      <c r="AF97" s="31">
        <f t="shared" si="34"/>
        <v>0</v>
      </c>
      <c r="AG97" s="31">
        <f t="shared" si="32"/>
        <v>1</v>
      </c>
    </row>
    <row r="98" spans="1:33" ht="10.5" x14ac:dyDescent="0.15">
      <c r="A98" s="1" t="s">
        <v>329</v>
      </c>
      <c r="B98" s="1" t="s">
        <v>330</v>
      </c>
      <c r="C98" s="3">
        <v>7784885.0789049072</v>
      </c>
      <c r="D98" s="3"/>
      <c r="E98" s="3"/>
      <c r="F98" s="3"/>
      <c r="G98" s="3"/>
      <c r="H98" s="3"/>
      <c r="I98" s="3"/>
      <c r="J98" s="3">
        <v>7784885.0789049072</v>
      </c>
      <c r="K98" s="26">
        <f t="shared" si="31"/>
        <v>2017</v>
      </c>
      <c r="L98" s="78"/>
      <c r="M98" s="37">
        <f t="shared" si="30"/>
        <v>0</v>
      </c>
      <c r="N98" s="31">
        <f t="shared" si="33"/>
        <v>0</v>
      </c>
      <c r="O98" s="31">
        <f t="shared" si="33"/>
        <v>3.9925960539177836E-3</v>
      </c>
      <c r="P98" s="31">
        <f t="shared" si="33"/>
        <v>1.3616127541060563E-2</v>
      </c>
      <c r="Q98" s="31">
        <f t="shared" si="33"/>
        <v>0</v>
      </c>
      <c r="R98" s="31">
        <f t="shared" si="33"/>
        <v>0</v>
      </c>
      <c r="S98" s="31">
        <f t="shared" si="33"/>
        <v>1.5922388746142845E-2</v>
      </c>
      <c r="T98" s="31">
        <f t="shared" si="33"/>
        <v>0</v>
      </c>
      <c r="U98" s="31">
        <f t="shared" si="33"/>
        <v>0</v>
      </c>
      <c r="V98" s="31">
        <f t="shared" si="33"/>
        <v>0</v>
      </c>
      <c r="W98" s="31">
        <f t="shared" si="33"/>
        <v>0.50709511173172517</v>
      </c>
      <c r="X98" s="31">
        <f t="shared" si="34"/>
        <v>6.7729564069964948E-3</v>
      </c>
      <c r="Y98" s="31">
        <f t="shared" si="34"/>
        <v>0.15305726565830502</v>
      </c>
      <c r="Z98" s="31">
        <f t="shared" si="34"/>
        <v>1.7864563701651726E-2</v>
      </c>
      <c r="AA98" s="31">
        <f t="shared" si="34"/>
        <v>0</v>
      </c>
      <c r="AB98" s="31">
        <f t="shared" si="34"/>
        <v>0.22881428304707402</v>
      </c>
      <c r="AC98" s="31">
        <f t="shared" si="34"/>
        <v>8.5553133561364538E-3</v>
      </c>
      <c r="AD98" s="31">
        <f t="shared" si="34"/>
        <v>4.4309393756990056E-2</v>
      </c>
      <c r="AE98" s="31">
        <f t="shared" si="34"/>
        <v>0</v>
      </c>
      <c r="AF98" s="31">
        <f t="shared" si="34"/>
        <v>0</v>
      </c>
      <c r="AG98" s="31">
        <f t="shared" si="32"/>
        <v>1</v>
      </c>
    </row>
    <row r="99" spans="1:33" ht="10.5" x14ac:dyDescent="0.15">
      <c r="A99" s="1" t="s">
        <v>332</v>
      </c>
      <c r="B99" s="1" t="s">
        <v>333</v>
      </c>
      <c r="C99" s="3"/>
      <c r="D99" s="3"/>
      <c r="E99" s="3">
        <v>1179622.5585653691</v>
      </c>
      <c r="F99" s="3"/>
      <c r="G99" s="3"/>
      <c r="H99" s="3"/>
      <c r="I99" s="3"/>
      <c r="J99" s="3">
        <v>1179622.5585653691</v>
      </c>
      <c r="K99" s="26">
        <f t="shared" si="31"/>
        <v>2019</v>
      </c>
      <c r="L99" s="78"/>
      <c r="M99" s="37">
        <f t="shared" si="30"/>
        <v>0</v>
      </c>
      <c r="N99" s="31">
        <f t="shared" ref="N99:W108" si="35">IF(OR(LEFT($A99,1)="E",LEFT($A99,1)="Z"),IF($M99=0,VLOOKUP(MID($A99,4,5),ProjectSplits,N$2,FALSE),IF(ISNA(VLOOKUP($A99,Estimates,N$1,FALSE)),VLOOKUP(MID($A99,4,5),ProjectSplits,N$2,FALSE),VLOOKUP($A99,Estimates,N$1,FALSE))),0)</f>
        <v>0</v>
      </c>
      <c r="O99" s="31">
        <f t="shared" si="35"/>
        <v>0</v>
      </c>
      <c r="P99" s="31">
        <f t="shared" si="35"/>
        <v>0</v>
      </c>
      <c r="Q99" s="31">
        <f t="shared" si="35"/>
        <v>0</v>
      </c>
      <c r="R99" s="31">
        <f t="shared" si="35"/>
        <v>0</v>
      </c>
      <c r="S99" s="31">
        <f t="shared" si="35"/>
        <v>0</v>
      </c>
      <c r="T99" s="31">
        <f t="shared" si="35"/>
        <v>0</v>
      </c>
      <c r="U99" s="31">
        <f t="shared" si="35"/>
        <v>0</v>
      </c>
      <c r="V99" s="31">
        <f t="shared" si="35"/>
        <v>0</v>
      </c>
      <c r="W99" s="31">
        <f t="shared" si="35"/>
        <v>0</v>
      </c>
      <c r="X99" s="31">
        <f t="shared" ref="X99:AF108" si="36">IF(OR(LEFT($A99,1)="E",LEFT($A99,1)="Z"),IF($M99=0,VLOOKUP(MID($A99,4,5),ProjectSplits,X$2,FALSE),IF(ISNA(VLOOKUP($A99,Estimates,X$1,FALSE)),VLOOKUP(MID($A99,4,5),ProjectSplits,X$2,FALSE),VLOOKUP($A99,Estimates,X$1,FALSE))),0)</f>
        <v>0</v>
      </c>
      <c r="Y99" s="31">
        <f t="shared" si="36"/>
        <v>4.4818930827109207E-2</v>
      </c>
      <c r="Z99" s="31">
        <f t="shared" si="36"/>
        <v>0</v>
      </c>
      <c r="AA99" s="31">
        <f t="shared" si="36"/>
        <v>0</v>
      </c>
      <c r="AB99" s="31">
        <f t="shared" si="36"/>
        <v>0.95518106917289081</v>
      </c>
      <c r="AC99" s="31">
        <f t="shared" si="36"/>
        <v>0</v>
      </c>
      <c r="AD99" s="31">
        <f t="shared" si="36"/>
        <v>0</v>
      </c>
      <c r="AE99" s="31">
        <f t="shared" si="36"/>
        <v>0</v>
      </c>
      <c r="AF99" s="31">
        <f t="shared" si="36"/>
        <v>0</v>
      </c>
      <c r="AG99" s="31">
        <f t="shared" si="32"/>
        <v>1</v>
      </c>
    </row>
    <row r="100" spans="1:33" ht="10.5" x14ac:dyDescent="0.15">
      <c r="A100" s="1" t="s">
        <v>336</v>
      </c>
      <c r="B100" s="1" t="s">
        <v>337</v>
      </c>
      <c r="C100" s="3"/>
      <c r="D100" s="3"/>
      <c r="E100" s="3"/>
      <c r="F100" s="3"/>
      <c r="G100" s="3"/>
      <c r="H100" s="3"/>
      <c r="I100" s="3">
        <v>419400.78269617568</v>
      </c>
      <c r="J100" s="3">
        <v>419400.78269617568</v>
      </c>
      <c r="K100" s="26">
        <f t="shared" si="31"/>
        <v>2023</v>
      </c>
      <c r="L100" s="78"/>
      <c r="M100" s="37">
        <f t="shared" si="30"/>
        <v>0</v>
      </c>
      <c r="N100" s="31">
        <f t="shared" si="35"/>
        <v>0</v>
      </c>
      <c r="O100" s="31">
        <f t="shared" si="35"/>
        <v>0</v>
      </c>
      <c r="P100" s="31">
        <f t="shared" si="35"/>
        <v>0</v>
      </c>
      <c r="Q100" s="31">
        <f t="shared" si="35"/>
        <v>1</v>
      </c>
      <c r="R100" s="31">
        <f t="shared" si="35"/>
        <v>0</v>
      </c>
      <c r="S100" s="31">
        <f t="shared" si="35"/>
        <v>0</v>
      </c>
      <c r="T100" s="31">
        <f t="shared" si="35"/>
        <v>0</v>
      </c>
      <c r="U100" s="31">
        <f t="shared" si="35"/>
        <v>0</v>
      </c>
      <c r="V100" s="31">
        <f t="shared" si="35"/>
        <v>0</v>
      </c>
      <c r="W100" s="31">
        <f t="shared" si="35"/>
        <v>0</v>
      </c>
      <c r="X100" s="31">
        <f t="shared" si="36"/>
        <v>0</v>
      </c>
      <c r="Y100" s="31">
        <f t="shared" si="36"/>
        <v>0</v>
      </c>
      <c r="Z100" s="31">
        <f t="shared" si="36"/>
        <v>0</v>
      </c>
      <c r="AA100" s="31">
        <f t="shared" si="36"/>
        <v>0</v>
      </c>
      <c r="AB100" s="31">
        <f t="shared" si="36"/>
        <v>0</v>
      </c>
      <c r="AC100" s="31">
        <f t="shared" si="36"/>
        <v>0</v>
      </c>
      <c r="AD100" s="31">
        <f t="shared" si="36"/>
        <v>0</v>
      </c>
      <c r="AE100" s="31">
        <f t="shared" si="36"/>
        <v>0</v>
      </c>
      <c r="AF100" s="31">
        <f t="shared" si="36"/>
        <v>0</v>
      </c>
      <c r="AG100" s="31">
        <f t="shared" si="32"/>
        <v>1</v>
      </c>
    </row>
    <row r="101" spans="1:33" ht="10.5" x14ac:dyDescent="0.15">
      <c r="A101" s="1" t="s">
        <v>338</v>
      </c>
      <c r="B101" s="1" t="s">
        <v>339</v>
      </c>
      <c r="C101" s="3"/>
      <c r="D101" s="3"/>
      <c r="E101" s="3">
        <v>5522589.349027276</v>
      </c>
      <c r="F101" s="3"/>
      <c r="G101" s="3"/>
      <c r="H101" s="3"/>
      <c r="I101" s="3"/>
      <c r="J101" s="3">
        <v>5522589.349027276</v>
      </c>
      <c r="K101" s="26">
        <f t="shared" si="31"/>
        <v>2019</v>
      </c>
      <c r="L101" s="78"/>
      <c r="M101" s="37">
        <f t="shared" si="30"/>
        <v>5624778.6299999971</v>
      </c>
      <c r="N101" s="31">
        <f t="shared" si="35"/>
        <v>0</v>
      </c>
      <c r="O101" s="31">
        <f t="shared" si="35"/>
        <v>0</v>
      </c>
      <c r="P101" s="31">
        <f t="shared" si="35"/>
        <v>1</v>
      </c>
      <c r="Q101" s="31">
        <f t="shared" si="35"/>
        <v>0</v>
      </c>
      <c r="R101" s="31">
        <f t="shared" si="35"/>
        <v>0</v>
      </c>
      <c r="S101" s="31">
        <f t="shared" si="35"/>
        <v>0</v>
      </c>
      <c r="T101" s="31">
        <f t="shared" si="35"/>
        <v>0</v>
      </c>
      <c r="U101" s="31">
        <f t="shared" si="35"/>
        <v>0</v>
      </c>
      <c r="V101" s="31">
        <f t="shared" si="35"/>
        <v>0</v>
      </c>
      <c r="W101" s="31">
        <f t="shared" si="35"/>
        <v>0</v>
      </c>
      <c r="X101" s="31">
        <f t="shared" si="36"/>
        <v>0</v>
      </c>
      <c r="Y101" s="31">
        <f t="shared" si="36"/>
        <v>0</v>
      </c>
      <c r="Z101" s="31">
        <f t="shared" si="36"/>
        <v>0</v>
      </c>
      <c r="AA101" s="31">
        <f t="shared" si="36"/>
        <v>0</v>
      </c>
      <c r="AB101" s="31">
        <f t="shared" si="36"/>
        <v>0</v>
      </c>
      <c r="AC101" s="31">
        <f t="shared" si="36"/>
        <v>0</v>
      </c>
      <c r="AD101" s="31">
        <f t="shared" si="36"/>
        <v>0</v>
      </c>
      <c r="AE101" s="31">
        <f t="shared" si="36"/>
        <v>0</v>
      </c>
      <c r="AF101" s="31">
        <f t="shared" si="36"/>
        <v>0</v>
      </c>
      <c r="AG101" s="31">
        <f t="shared" si="32"/>
        <v>1</v>
      </c>
    </row>
    <row r="102" spans="1:33" ht="10.5" x14ac:dyDescent="0.15">
      <c r="A102" s="1" t="s">
        <v>340</v>
      </c>
      <c r="B102" s="1" t="s">
        <v>142</v>
      </c>
      <c r="C102" s="3">
        <v>1646692.9872506021</v>
      </c>
      <c r="D102" s="3"/>
      <c r="E102" s="3"/>
      <c r="F102" s="3"/>
      <c r="G102" s="3"/>
      <c r="H102" s="3"/>
      <c r="I102" s="3"/>
      <c r="J102" s="3">
        <v>1646692.9872506021</v>
      </c>
      <c r="K102" s="26">
        <f t="shared" si="31"/>
        <v>2017</v>
      </c>
      <c r="L102" s="78"/>
      <c r="M102" s="37">
        <f t="shared" si="30"/>
        <v>1436800</v>
      </c>
      <c r="N102" s="31">
        <f t="shared" si="35"/>
        <v>0</v>
      </c>
      <c r="O102" s="31">
        <f t="shared" si="35"/>
        <v>0</v>
      </c>
      <c r="P102" s="31">
        <f t="shared" si="35"/>
        <v>1</v>
      </c>
      <c r="Q102" s="31">
        <f t="shared" si="35"/>
        <v>0</v>
      </c>
      <c r="R102" s="31">
        <f t="shared" si="35"/>
        <v>0</v>
      </c>
      <c r="S102" s="31">
        <f t="shared" si="35"/>
        <v>0</v>
      </c>
      <c r="T102" s="31">
        <f t="shared" si="35"/>
        <v>0</v>
      </c>
      <c r="U102" s="31">
        <f t="shared" si="35"/>
        <v>0</v>
      </c>
      <c r="V102" s="31">
        <f t="shared" si="35"/>
        <v>0</v>
      </c>
      <c r="W102" s="31">
        <f t="shared" si="35"/>
        <v>0</v>
      </c>
      <c r="X102" s="31">
        <f t="shared" si="36"/>
        <v>0</v>
      </c>
      <c r="Y102" s="31">
        <f t="shared" si="36"/>
        <v>0</v>
      </c>
      <c r="Z102" s="31">
        <f t="shared" si="36"/>
        <v>0</v>
      </c>
      <c r="AA102" s="31">
        <f t="shared" si="36"/>
        <v>0</v>
      </c>
      <c r="AB102" s="31">
        <f t="shared" si="36"/>
        <v>0</v>
      </c>
      <c r="AC102" s="31">
        <f t="shared" si="36"/>
        <v>0</v>
      </c>
      <c r="AD102" s="31">
        <f t="shared" si="36"/>
        <v>0</v>
      </c>
      <c r="AE102" s="31">
        <f t="shared" si="36"/>
        <v>0</v>
      </c>
      <c r="AF102" s="31">
        <f t="shared" si="36"/>
        <v>0</v>
      </c>
      <c r="AG102" s="31">
        <f t="shared" si="32"/>
        <v>1</v>
      </c>
    </row>
    <row r="103" spans="1:33" ht="10.5" x14ac:dyDescent="0.15">
      <c r="A103" s="1" t="s">
        <v>341</v>
      </c>
      <c r="B103" s="1" t="s">
        <v>342</v>
      </c>
      <c r="C103" s="3"/>
      <c r="D103" s="3">
        <v>1168759.3423857526</v>
      </c>
      <c r="E103" s="3"/>
      <c r="F103" s="3"/>
      <c r="G103" s="3"/>
      <c r="H103" s="3"/>
      <c r="I103" s="3"/>
      <c r="J103" s="3">
        <v>1168759.3423857526</v>
      </c>
      <c r="K103" s="26">
        <f t="shared" si="31"/>
        <v>2018</v>
      </c>
      <c r="L103" s="78"/>
      <c r="M103" s="37">
        <f t="shared" si="30"/>
        <v>0</v>
      </c>
      <c r="N103" s="31">
        <f t="shared" si="35"/>
        <v>0</v>
      </c>
      <c r="O103" s="31">
        <f t="shared" si="35"/>
        <v>0</v>
      </c>
      <c r="P103" s="31">
        <f t="shared" si="35"/>
        <v>0</v>
      </c>
      <c r="Q103" s="31">
        <f t="shared" si="35"/>
        <v>1</v>
      </c>
      <c r="R103" s="31">
        <f t="shared" si="35"/>
        <v>0</v>
      </c>
      <c r="S103" s="31">
        <f t="shared" si="35"/>
        <v>0</v>
      </c>
      <c r="T103" s="31">
        <f t="shared" si="35"/>
        <v>0</v>
      </c>
      <c r="U103" s="31">
        <f t="shared" si="35"/>
        <v>0</v>
      </c>
      <c r="V103" s="31">
        <f t="shared" si="35"/>
        <v>0</v>
      </c>
      <c r="W103" s="31">
        <f t="shared" si="35"/>
        <v>0</v>
      </c>
      <c r="X103" s="31">
        <f t="shared" si="36"/>
        <v>0</v>
      </c>
      <c r="Y103" s="31">
        <f t="shared" si="36"/>
        <v>0</v>
      </c>
      <c r="Z103" s="31">
        <f t="shared" si="36"/>
        <v>0</v>
      </c>
      <c r="AA103" s="31">
        <f t="shared" si="36"/>
        <v>0</v>
      </c>
      <c r="AB103" s="31">
        <f t="shared" si="36"/>
        <v>0</v>
      </c>
      <c r="AC103" s="31">
        <f t="shared" si="36"/>
        <v>0</v>
      </c>
      <c r="AD103" s="31">
        <f t="shared" si="36"/>
        <v>0</v>
      </c>
      <c r="AE103" s="31">
        <f t="shared" si="36"/>
        <v>0</v>
      </c>
      <c r="AF103" s="31">
        <f t="shared" si="36"/>
        <v>0</v>
      </c>
      <c r="AG103" s="31">
        <f t="shared" si="32"/>
        <v>1</v>
      </c>
    </row>
    <row r="104" spans="1:33" ht="10.5" x14ac:dyDescent="0.15">
      <c r="A104" s="1" t="s">
        <v>343</v>
      </c>
      <c r="B104" s="1" t="s">
        <v>344</v>
      </c>
      <c r="C104" s="3"/>
      <c r="D104" s="3"/>
      <c r="E104" s="3"/>
      <c r="F104" s="3"/>
      <c r="G104" s="3"/>
      <c r="H104" s="3">
        <v>984885.43501656502</v>
      </c>
      <c r="I104" s="3"/>
      <c r="J104" s="3">
        <v>984885.43501656502</v>
      </c>
      <c r="K104" s="26">
        <f t="shared" si="31"/>
        <v>2022</v>
      </c>
      <c r="L104" s="78"/>
      <c r="M104" s="37">
        <f t="shared" si="30"/>
        <v>169999.99999999974</v>
      </c>
      <c r="N104" s="31">
        <f t="shared" si="35"/>
        <v>0</v>
      </c>
      <c r="O104" s="31">
        <f t="shared" si="35"/>
        <v>0</v>
      </c>
      <c r="P104" s="31">
        <f t="shared" si="35"/>
        <v>0</v>
      </c>
      <c r="Q104" s="31">
        <f t="shared" si="35"/>
        <v>1</v>
      </c>
      <c r="R104" s="31">
        <f t="shared" si="35"/>
        <v>0</v>
      </c>
      <c r="S104" s="31">
        <f t="shared" si="35"/>
        <v>0</v>
      </c>
      <c r="T104" s="31">
        <f t="shared" si="35"/>
        <v>0</v>
      </c>
      <c r="U104" s="31">
        <f t="shared" si="35"/>
        <v>0</v>
      </c>
      <c r="V104" s="31">
        <f t="shared" si="35"/>
        <v>0</v>
      </c>
      <c r="W104" s="31">
        <f t="shared" si="35"/>
        <v>0</v>
      </c>
      <c r="X104" s="31">
        <f t="shared" si="36"/>
        <v>0</v>
      </c>
      <c r="Y104" s="31">
        <f t="shared" si="36"/>
        <v>0</v>
      </c>
      <c r="Z104" s="31">
        <f t="shared" si="36"/>
        <v>0</v>
      </c>
      <c r="AA104" s="31">
        <f t="shared" si="36"/>
        <v>0</v>
      </c>
      <c r="AB104" s="31">
        <f t="shared" si="36"/>
        <v>0</v>
      </c>
      <c r="AC104" s="31">
        <f t="shared" si="36"/>
        <v>0</v>
      </c>
      <c r="AD104" s="31">
        <f t="shared" si="36"/>
        <v>0</v>
      </c>
      <c r="AE104" s="31">
        <f t="shared" si="36"/>
        <v>0</v>
      </c>
      <c r="AF104" s="31">
        <f t="shared" si="36"/>
        <v>0</v>
      </c>
      <c r="AG104" s="31">
        <f t="shared" si="32"/>
        <v>1</v>
      </c>
    </row>
    <row r="105" spans="1:33" ht="10.5" x14ac:dyDescent="0.15">
      <c r="A105" s="1" t="s">
        <v>345</v>
      </c>
      <c r="B105" s="1" t="s">
        <v>2382</v>
      </c>
      <c r="C105" s="3"/>
      <c r="D105" s="3">
        <v>977961.62771996716</v>
      </c>
      <c r="E105" s="3"/>
      <c r="F105" s="3"/>
      <c r="G105" s="3"/>
      <c r="H105" s="3"/>
      <c r="I105" s="3"/>
      <c r="J105" s="3">
        <v>977961.62771996716</v>
      </c>
      <c r="K105" s="26">
        <f t="shared" si="31"/>
        <v>2018</v>
      </c>
      <c r="L105" s="78"/>
      <c r="M105" s="37">
        <f t="shared" si="30"/>
        <v>211832.99999999974</v>
      </c>
      <c r="N105" s="31">
        <f t="shared" si="35"/>
        <v>0</v>
      </c>
      <c r="O105" s="31">
        <f t="shared" si="35"/>
        <v>0</v>
      </c>
      <c r="P105" s="31">
        <f t="shared" si="35"/>
        <v>0</v>
      </c>
      <c r="Q105" s="31">
        <f t="shared" si="35"/>
        <v>1</v>
      </c>
      <c r="R105" s="31">
        <f t="shared" si="35"/>
        <v>0</v>
      </c>
      <c r="S105" s="31">
        <f t="shared" si="35"/>
        <v>0</v>
      </c>
      <c r="T105" s="31">
        <f t="shared" si="35"/>
        <v>0</v>
      </c>
      <c r="U105" s="31">
        <f t="shared" si="35"/>
        <v>0</v>
      </c>
      <c r="V105" s="31">
        <f t="shared" si="35"/>
        <v>0</v>
      </c>
      <c r="W105" s="31">
        <f t="shared" si="35"/>
        <v>0</v>
      </c>
      <c r="X105" s="31">
        <f t="shared" si="36"/>
        <v>0</v>
      </c>
      <c r="Y105" s="31">
        <f t="shared" si="36"/>
        <v>0</v>
      </c>
      <c r="Z105" s="31">
        <f t="shared" si="36"/>
        <v>0</v>
      </c>
      <c r="AA105" s="31">
        <f t="shared" si="36"/>
        <v>0</v>
      </c>
      <c r="AB105" s="31">
        <f t="shared" si="36"/>
        <v>0</v>
      </c>
      <c r="AC105" s="31">
        <f t="shared" si="36"/>
        <v>0</v>
      </c>
      <c r="AD105" s="31">
        <f t="shared" si="36"/>
        <v>0</v>
      </c>
      <c r="AE105" s="31">
        <f t="shared" si="36"/>
        <v>0</v>
      </c>
      <c r="AF105" s="31">
        <f t="shared" si="36"/>
        <v>0</v>
      </c>
      <c r="AG105" s="31">
        <f t="shared" si="32"/>
        <v>1</v>
      </c>
    </row>
    <row r="106" spans="1:33" ht="10.5" x14ac:dyDescent="0.15">
      <c r="A106" s="1" t="s">
        <v>346</v>
      </c>
      <c r="B106" s="1" t="s">
        <v>2304</v>
      </c>
      <c r="C106" s="3"/>
      <c r="D106" s="3"/>
      <c r="E106" s="3">
        <v>1979492.537680418</v>
      </c>
      <c r="F106" s="3"/>
      <c r="G106" s="3"/>
      <c r="H106" s="3"/>
      <c r="I106" s="3"/>
      <c r="J106" s="3">
        <v>1979492.537680418</v>
      </c>
      <c r="K106" s="26">
        <f t="shared" si="31"/>
        <v>2019</v>
      </c>
      <c r="L106" s="78"/>
      <c r="M106" s="37">
        <f t="shared" si="30"/>
        <v>449800.00000000058</v>
      </c>
      <c r="N106" s="31">
        <f t="shared" si="35"/>
        <v>0</v>
      </c>
      <c r="O106" s="31">
        <f t="shared" si="35"/>
        <v>0</v>
      </c>
      <c r="P106" s="31">
        <f t="shared" si="35"/>
        <v>0</v>
      </c>
      <c r="Q106" s="31">
        <f t="shared" si="35"/>
        <v>1</v>
      </c>
      <c r="R106" s="31">
        <f t="shared" si="35"/>
        <v>0</v>
      </c>
      <c r="S106" s="31">
        <f t="shared" si="35"/>
        <v>0</v>
      </c>
      <c r="T106" s="31">
        <f t="shared" si="35"/>
        <v>0</v>
      </c>
      <c r="U106" s="31">
        <f t="shared" si="35"/>
        <v>0</v>
      </c>
      <c r="V106" s="31">
        <f t="shared" si="35"/>
        <v>0</v>
      </c>
      <c r="W106" s="31">
        <f t="shared" si="35"/>
        <v>0</v>
      </c>
      <c r="X106" s="31">
        <f t="shared" si="36"/>
        <v>0</v>
      </c>
      <c r="Y106" s="31">
        <f t="shared" si="36"/>
        <v>0</v>
      </c>
      <c r="Z106" s="31">
        <f t="shared" si="36"/>
        <v>0</v>
      </c>
      <c r="AA106" s="31">
        <f t="shared" si="36"/>
        <v>0</v>
      </c>
      <c r="AB106" s="31">
        <f t="shared" si="36"/>
        <v>0</v>
      </c>
      <c r="AC106" s="31">
        <f t="shared" si="36"/>
        <v>0</v>
      </c>
      <c r="AD106" s="31">
        <f t="shared" si="36"/>
        <v>0</v>
      </c>
      <c r="AE106" s="31">
        <f t="shared" si="36"/>
        <v>0</v>
      </c>
      <c r="AF106" s="31">
        <f t="shared" si="36"/>
        <v>0</v>
      </c>
      <c r="AG106" s="31">
        <f t="shared" si="32"/>
        <v>1</v>
      </c>
    </row>
    <row r="107" spans="1:33" ht="10.5" x14ac:dyDescent="0.15">
      <c r="A107" s="1" t="s">
        <v>347</v>
      </c>
      <c r="B107" s="1" t="s">
        <v>2305</v>
      </c>
      <c r="C107" s="3"/>
      <c r="D107" s="3"/>
      <c r="E107" s="3">
        <v>1302624.319259882</v>
      </c>
      <c r="F107" s="3"/>
      <c r="G107" s="3"/>
      <c r="H107" s="3"/>
      <c r="I107" s="3"/>
      <c r="J107" s="3">
        <v>1302624.319259882</v>
      </c>
      <c r="K107" s="26">
        <f t="shared" si="31"/>
        <v>2019</v>
      </c>
      <c r="L107" s="78"/>
      <c r="M107" s="37">
        <f t="shared" si="30"/>
        <v>242337</v>
      </c>
      <c r="N107" s="31">
        <f t="shared" si="35"/>
        <v>0</v>
      </c>
      <c r="O107" s="31">
        <f t="shared" si="35"/>
        <v>0</v>
      </c>
      <c r="P107" s="31">
        <f t="shared" si="35"/>
        <v>0</v>
      </c>
      <c r="Q107" s="31">
        <f t="shared" si="35"/>
        <v>1</v>
      </c>
      <c r="R107" s="31">
        <f t="shared" si="35"/>
        <v>0</v>
      </c>
      <c r="S107" s="31">
        <f t="shared" si="35"/>
        <v>0</v>
      </c>
      <c r="T107" s="31">
        <f t="shared" si="35"/>
        <v>0</v>
      </c>
      <c r="U107" s="31">
        <f t="shared" si="35"/>
        <v>0</v>
      </c>
      <c r="V107" s="31">
        <f t="shared" si="35"/>
        <v>0</v>
      </c>
      <c r="W107" s="31">
        <f t="shared" si="35"/>
        <v>0</v>
      </c>
      <c r="X107" s="31">
        <f t="shared" si="36"/>
        <v>0</v>
      </c>
      <c r="Y107" s="31">
        <f t="shared" si="36"/>
        <v>0</v>
      </c>
      <c r="Z107" s="31">
        <f t="shared" si="36"/>
        <v>0</v>
      </c>
      <c r="AA107" s="31">
        <f t="shared" si="36"/>
        <v>0</v>
      </c>
      <c r="AB107" s="31">
        <f t="shared" si="36"/>
        <v>0</v>
      </c>
      <c r="AC107" s="31">
        <f t="shared" si="36"/>
        <v>0</v>
      </c>
      <c r="AD107" s="31">
        <f t="shared" si="36"/>
        <v>0</v>
      </c>
      <c r="AE107" s="31">
        <f t="shared" si="36"/>
        <v>0</v>
      </c>
      <c r="AF107" s="31">
        <f t="shared" si="36"/>
        <v>0</v>
      </c>
      <c r="AG107" s="31">
        <f t="shared" si="32"/>
        <v>1</v>
      </c>
    </row>
    <row r="108" spans="1:33" ht="10.5" x14ac:dyDescent="0.15">
      <c r="A108" s="1" t="s">
        <v>348</v>
      </c>
      <c r="B108" s="1" t="s">
        <v>349</v>
      </c>
      <c r="C108" s="3"/>
      <c r="D108" s="3"/>
      <c r="E108" s="3">
        <v>2147607.9628713783</v>
      </c>
      <c r="F108" s="3"/>
      <c r="G108" s="3"/>
      <c r="H108" s="3"/>
      <c r="I108" s="3"/>
      <c r="J108" s="3">
        <v>2147607.9628713783</v>
      </c>
      <c r="K108" s="26">
        <f t="shared" si="31"/>
        <v>2019</v>
      </c>
      <c r="L108" s="78"/>
      <c r="M108" s="37">
        <f t="shared" si="30"/>
        <v>210000.00000000023</v>
      </c>
      <c r="N108" s="31">
        <f t="shared" si="35"/>
        <v>0</v>
      </c>
      <c r="O108" s="31">
        <f t="shared" si="35"/>
        <v>0</v>
      </c>
      <c r="P108" s="31">
        <f t="shared" si="35"/>
        <v>0</v>
      </c>
      <c r="Q108" s="31">
        <f t="shared" si="35"/>
        <v>1</v>
      </c>
      <c r="R108" s="31">
        <f t="shared" si="35"/>
        <v>0</v>
      </c>
      <c r="S108" s="31">
        <f t="shared" si="35"/>
        <v>0</v>
      </c>
      <c r="T108" s="31">
        <f t="shared" si="35"/>
        <v>0</v>
      </c>
      <c r="U108" s="31">
        <f t="shared" si="35"/>
        <v>0</v>
      </c>
      <c r="V108" s="31">
        <f t="shared" si="35"/>
        <v>0</v>
      </c>
      <c r="W108" s="31">
        <f t="shared" si="35"/>
        <v>0</v>
      </c>
      <c r="X108" s="31">
        <f t="shared" si="36"/>
        <v>0</v>
      </c>
      <c r="Y108" s="31">
        <f t="shared" si="36"/>
        <v>0</v>
      </c>
      <c r="Z108" s="31">
        <f t="shared" si="36"/>
        <v>0</v>
      </c>
      <c r="AA108" s="31">
        <f t="shared" si="36"/>
        <v>0</v>
      </c>
      <c r="AB108" s="31">
        <f t="shared" si="36"/>
        <v>0</v>
      </c>
      <c r="AC108" s="31">
        <f t="shared" si="36"/>
        <v>0</v>
      </c>
      <c r="AD108" s="31">
        <f t="shared" si="36"/>
        <v>0</v>
      </c>
      <c r="AE108" s="31">
        <f t="shared" si="36"/>
        <v>0</v>
      </c>
      <c r="AF108" s="31">
        <f t="shared" si="36"/>
        <v>0</v>
      </c>
      <c r="AG108" s="31">
        <f t="shared" si="32"/>
        <v>1</v>
      </c>
    </row>
    <row r="109" spans="1:33" ht="10.5" x14ac:dyDescent="0.15">
      <c r="A109" s="1" t="s">
        <v>352</v>
      </c>
      <c r="B109" s="1" t="s">
        <v>353</v>
      </c>
      <c r="C109" s="3"/>
      <c r="D109" s="3">
        <v>129487.08953607969</v>
      </c>
      <c r="E109" s="3"/>
      <c r="F109" s="3"/>
      <c r="G109" s="3"/>
      <c r="H109" s="3"/>
      <c r="I109" s="3"/>
      <c r="J109" s="3">
        <v>129487.08953607969</v>
      </c>
      <c r="K109" s="26">
        <f t="shared" si="31"/>
        <v>2018</v>
      </c>
      <c r="L109" s="78"/>
      <c r="M109" s="37">
        <f t="shared" si="30"/>
        <v>100499.99999999997</v>
      </c>
      <c r="N109" s="31">
        <f t="shared" ref="N109:W118" si="37">IF(OR(LEFT($A109,1)="E",LEFT($A109,1)="Z"),IF($M109=0,VLOOKUP(MID($A109,4,5),ProjectSplits,N$2,FALSE),IF(ISNA(VLOOKUP($A109,Estimates,N$1,FALSE)),VLOOKUP(MID($A109,4,5),ProjectSplits,N$2,FALSE),VLOOKUP($A109,Estimates,N$1,FALSE))),0)</f>
        <v>1</v>
      </c>
      <c r="O109" s="31">
        <f t="shared" si="37"/>
        <v>0</v>
      </c>
      <c r="P109" s="31">
        <f t="shared" si="37"/>
        <v>0</v>
      </c>
      <c r="Q109" s="31">
        <f t="shared" si="37"/>
        <v>0</v>
      </c>
      <c r="R109" s="31">
        <f t="shared" si="37"/>
        <v>0</v>
      </c>
      <c r="S109" s="31">
        <f t="shared" si="37"/>
        <v>0</v>
      </c>
      <c r="T109" s="31">
        <f t="shared" si="37"/>
        <v>0</v>
      </c>
      <c r="U109" s="31">
        <f t="shared" si="37"/>
        <v>0</v>
      </c>
      <c r="V109" s="31">
        <f t="shared" si="37"/>
        <v>0</v>
      </c>
      <c r="W109" s="31">
        <f t="shared" si="37"/>
        <v>0</v>
      </c>
      <c r="X109" s="31">
        <f t="shared" ref="X109:AF118" si="38">IF(OR(LEFT($A109,1)="E",LEFT($A109,1)="Z"),IF($M109=0,VLOOKUP(MID($A109,4,5),ProjectSplits,X$2,FALSE),IF(ISNA(VLOOKUP($A109,Estimates,X$1,FALSE)),VLOOKUP(MID($A109,4,5),ProjectSplits,X$2,FALSE),VLOOKUP($A109,Estimates,X$1,FALSE))),0)</f>
        <v>0</v>
      </c>
      <c r="Y109" s="31">
        <f t="shared" si="38"/>
        <v>0</v>
      </c>
      <c r="Z109" s="31">
        <f t="shared" si="38"/>
        <v>0</v>
      </c>
      <c r="AA109" s="31">
        <f t="shared" si="38"/>
        <v>0</v>
      </c>
      <c r="AB109" s="31">
        <f t="shared" si="38"/>
        <v>0</v>
      </c>
      <c r="AC109" s="31">
        <f t="shared" si="38"/>
        <v>0</v>
      </c>
      <c r="AD109" s="31">
        <f t="shared" si="38"/>
        <v>0</v>
      </c>
      <c r="AE109" s="31">
        <f t="shared" si="38"/>
        <v>0</v>
      </c>
      <c r="AF109" s="31">
        <f t="shared" si="38"/>
        <v>0</v>
      </c>
      <c r="AG109" s="31">
        <f t="shared" si="32"/>
        <v>1</v>
      </c>
    </row>
    <row r="110" spans="1:33" ht="10.5" x14ac:dyDescent="0.15">
      <c r="A110" s="1" t="s">
        <v>354</v>
      </c>
      <c r="B110" s="1" t="s">
        <v>355</v>
      </c>
      <c r="C110" s="3"/>
      <c r="D110" s="3">
        <v>236215.77090499288</v>
      </c>
      <c r="E110" s="3"/>
      <c r="F110" s="3"/>
      <c r="G110" s="3"/>
      <c r="H110" s="3"/>
      <c r="I110" s="3"/>
      <c r="J110" s="3">
        <v>236215.77090499288</v>
      </c>
      <c r="K110" s="26">
        <f t="shared" si="31"/>
        <v>2018</v>
      </c>
      <c r="L110" s="78"/>
      <c r="M110" s="37">
        <f t="shared" si="30"/>
        <v>173719.99999999994</v>
      </c>
      <c r="N110" s="31">
        <f t="shared" si="37"/>
        <v>0.30232558139534887</v>
      </c>
      <c r="O110" s="31">
        <f t="shared" si="37"/>
        <v>0</v>
      </c>
      <c r="P110" s="31">
        <f t="shared" si="37"/>
        <v>0</v>
      </c>
      <c r="Q110" s="31">
        <f t="shared" si="37"/>
        <v>0</v>
      </c>
      <c r="R110" s="31">
        <f t="shared" si="37"/>
        <v>0</v>
      </c>
      <c r="S110" s="31">
        <f t="shared" si="37"/>
        <v>0</v>
      </c>
      <c r="T110" s="31">
        <f t="shared" si="37"/>
        <v>0</v>
      </c>
      <c r="U110" s="31">
        <f t="shared" si="37"/>
        <v>0.69767441860465118</v>
      </c>
      <c r="V110" s="31">
        <f t="shared" si="37"/>
        <v>0</v>
      </c>
      <c r="W110" s="31">
        <f t="shared" si="37"/>
        <v>0</v>
      </c>
      <c r="X110" s="31">
        <f t="shared" si="38"/>
        <v>0</v>
      </c>
      <c r="Y110" s="31">
        <f t="shared" si="38"/>
        <v>0</v>
      </c>
      <c r="Z110" s="31">
        <f t="shared" si="38"/>
        <v>0</v>
      </c>
      <c r="AA110" s="31">
        <f t="shared" si="38"/>
        <v>0</v>
      </c>
      <c r="AB110" s="31">
        <f t="shared" si="38"/>
        <v>0</v>
      </c>
      <c r="AC110" s="31">
        <f t="shared" si="38"/>
        <v>0</v>
      </c>
      <c r="AD110" s="31">
        <f t="shared" si="38"/>
        <v>0</v>
      </c>
      <c r="AE110" s="31">
        <f t="shared" si="38"/>
        <v>0</v>
      </c>
      <c r="AF110" s="31">
        <f t="shared" si="38"/>
        <v>0</v>
      </c>
      <c r="AG110" s="31">
        <f t="shared" si="32"/>
        <v>1</v>
      </c>
    </row>
    <row r="111" spans="1:33" ht="10.5" x14ac:dyDescent="0.15">
      <c r="A111" s="1" t="s">
        <v>356</v>
      </c>
      <c r="B111" s="1" t="s">
        <v>357</v>
      </c>
      <c r="C111" s="3"/>
      <c r="D111" s="3">
        <v>144520.21303346005</v>
      </c>
      <c r="E111" s="3"/>
      <c r="F111" s="3"/>
      <c r="G111" s="3"/>
      <c r="H111" s="3"/>
      <c r="I111" s="3"/>
      <c r="J111" s="3">
        <v>144520.21303346005</v>
      </c>
      <c r="K111" s="26">
        <f t="shared" si="31"/>
        <v>2018</v>
      </c>
      <c r="L111" s="78"/>
      <c r="M111" s="37">
        <f t="shared" si="30"/>
        <v>106639.99999999997</v>
      </c>
      <c r="N111" s="31">
        <f t="shared" si="37"/>
        <v>0.65116279069767447</v>
      </c>
      <c r="O111" s="31">
        <f t="shared" si="37"/>
        <v>0</v>
      </c>
      <c r="P111" s="31">
        <f t="shared" si="37"/>
        <v>0</v>
      </c>
      <c r="Q111" s="31">
        <f t="shared" si="37"/>
        <v>0</v>
      </c>
      <c r="R111" s="31">
        <f t="shared" si="37"/>
        <v>0</v>
      </c>
      <c r="S111" s="31">
        <f t="shared" si="37"/>
        <v>0</v>
      </c>
      <c r="T111" s="31">
        <f t="shared" si="37"/>
        <v>0</v>
      </c>
      <c r="U111" s="31">
        <f t="shared" si="37"/>
        <v>0.34883720930232559</v>
      </c>
      <c r="V111" s="31">
        <f t="shared" si="37"/>
        <v>0</v>
      </c>
      <c r="W111" s="31">
        <f t="shared" si="37"/>
        <v>0</v>
      </c>
      <c r="X111" s="31">
        <f t="shared" si="38"/>
        <v>0</v>
      </c>
      <c r="Y111" s="31">
        <f t="shared" si="38"/>
        <v>0</v>
      </c>
      <c r="Z111" s="31">
        <f t="shared" si="38"/>
        <v>0</v>
      </c>
      <c r="AA111" s="31">
        <f t="shared" si="38"/>
        <v>0</v>
      </c>
      <c r="AB111" s="31">
        <f t="shared" si="38"/>
        <v>0</v>
      </c>
      <c r="AC111" s="31">
        <f t="shared" si="38"/>
        <v>0</v>
      </c>
      <c r="AD111" s="31">
        <f t="shared" si="38"/>
        <v>0</v>
      </c>
      <c r="AE111" s="31">
        <f t="shared" si="38"/>
        <v>0</v>
      </c>
      <c r="AF111" s="31">
        <f t="shared" si="38"/>
        <v>0</v>
      </c>
      <c r="AG111" s="31">
        <f t="shared" si="32"/>
        <v>1</v>
      </c>
    </row>
    <row r="112" spans="1:33" ht="10.5" x14ac:dyDescent="0.15">
      <c r="A112" s="481" t="s">
        <v>358</v>
      </c>
      <c r="B112" s="56" t="s">
        <v>359</v>
      </c>
      <c r="C112" s="480">
        <v>29746869.692642454</v>
      </c>
      <c r="D112" s="480"/>
      <c r="E112" s="480"/>
      <c r="F112" s="480"/>
      <c r="G112" s="480"/>
      <c r="H112" s="480"/>
      <c r="I112" s="480"/>
      <c r="J112" s="480">
        <v>29746869.692642454</v>
      </c>
      <c r="K112" s="26">
        <f t="shared" si="31"/>
        <v>2017</v>
      </c>
      <c r="L112" s="78"/>
      <c r="M112" s="37">
        <f t="shared" si="30"/>
        <v>49095474.99999994</v>
      </c>
      <c r="N112" s="31">
        <f t="shared" si="37"/>
        <v>0</v>
      </c>
      <c r="O112" s="31">
        <f t="shared" si="37"/>
        <v>0</v>
      </c>
      <c r="P112" s="31">
        <f t="shared" si="37"/>
        <v>0</v>
      </c>
      <c r="Q112" s="31">
        <f t="shared" si="37"/>
        <v>0</v>
      </c>
      <c r="R112" s="31">
        <f t="shared" si="37"/>
        <v>0</v>
      </c>
      <c r="S112" s="31">
        <f t="shared" si="37"/>
        <v>0</v>
      </c>
      <c r="T112" s="31">
        <f t="shared" si="37"/>
        <v>0</v>
      </c>
      <c r="U112" s="31">
        <f t="shared" si="37"/>
        <v>0</v>
      </c>
      <c r="V112" s="31">
        <f t="shared" si="37"/>
        <v>0</v>
      </c>
      <c r="W112" s="31">
        <f t="shared" si="37"/>
        <v>1</v>
      </c>
      <c r="X112" s="31">
        <f t="shared" si="38"/>
        <v>0</v>
      </c>
      <c r="Y112" s="31">
        <f t="shared" si="38"/>
        <v>0</v>
      </c>
      <c r="Z112" s="31">
        <f t="shared" si="38"/>
        <v>0</v>
      </c>
      <c r="AA112" s="31">
        <f t="shared" si="38"/>
        <v>0</v>
      </c>
      <c r="AB112" s="31">
        <f t="shared" si="38"/>
        <v>0</v>
      </c>
      <c r="AC112" s="31">
        <f t="shared" si="38"/>
        <v>0</v>
      </c>
      <c r="AD112" s="31">
        <f t="shared" si="38"/>
        <v>0</v>
      </c>
      <c r="AE112" s="31">
        <f t="shared" si="38"/>
        <v>0</v>
      </c>
      <c r="AF112" s="31">
        <f t="shared" si="38"/>
        <v>0</v>
      </c>
      <c r="AG112" s="31">
        <f t="shared" si="32"/>
        <v>1</v>
      </c>
    </row>
    <row r="113" spans="1:33" ht="10.5" x14ac:dyDescent="0.15">
      <c r="A113" s="1" t="s">
        <v>360</v>
      </c>
      <c r="B113" s="1" t="s">
        <v>361</v>
      </c>
      <c r="C113" s="3"/>
      <c r="D113" s="3">
        <v>2151808.8625665046</v>
      </c>
      <c r="E113" s="3"/>
      <c r="F113" s="3"/>
      <c r="G113" s="3"/>
      <c r="H113" s="3"/>
      <c r="I113" s="3"/>
      <c r="J113" s="3">
        <v>2151808.8625665046</v>
      </c>
      <c r="K113" s="26">
        <f t="shared" si="31"/>
        <v>2018</v>
      </c>
      <c r="L113" s="78"/>
      <c r="M113" s="37">
        <f t="shared" si="30"/>
        <v>1962985.0000000005</v>
      </c>
      <c r="N113" s="31">
        <f t="shared" si="37"/>
        <v>0</v>
      </c>
      <c r="O113" s="31">
        <f t="shared" si="37"/>
        <v>0</v>
      </c>
      <c r="P113" s="31">
        <f t="shared" si="37"/>
        <v>0</v>
      </c>
      <c r="Q113" s="31">
        <f t="shared" si="37"/>
        <v>0</v>
      </c>
      <c r="R113" s="31">
        <f t="shared" si="37"/>
        <v>0</v>
      </c>
      <c r="S113" s="31">
        <f t="shared" si="37"/>
        <v>0</v>
      </c>
      <c r="T113" s="31">
        <f t="shared" si="37"/>
        <v>0</v>
      </c>
      <c r="U113" s="31">
        <f t="shared" si="37"/>
        <v>0</v>
      </c>
      <c r="V113" s="31">
        <f t="shared" si="37"/>
        <v>0</v>
      </c>
      <c r="W113" s="31">
        <f t="shared" si="37"/>
        <v>1</v>
      </c>
      <c r="X113" s="31">
        <f t="shared" si="38"/>
        <v>0</v>
      </c>
      <c r="Y113" s="31">
        <f t="shared" si="38"/>
        <v>0</v>
      </c>
      <c r="Z113" s="31">
        <f t="shared" si="38"/>
        <v>0</v>
      </c>
      <c r="AA113" s="31">
        <f t="shared" si="38"/>
        <v>0</v>
      </c>
      <c r="AB113" s="31">
        <f t="shared" si="38"/>
        <v>0</v>
      </c>
      <c r="AC113" s="31">
        <f t="shared" si="38"/>
        <v>0</v>
      </c>
      <c r="AD113" s="31">
        <f t="shared" si="38"/>
        <v>0</v>
      </c>
      <c r="AE113" s="31">
        <f t="shared" si="38"/>
        <v>0</v>
      </c>
      <c r="AF113" s="31">
        <f t="shared" si="38"/>
        <v>0</v>
      </c>
      <c r="AG113" s="31">
        <f t="shared" si="32"/>
        <v>1</v>
      </c>
    </row>
    <row r="114" spans="1:33" ht="10.5" x14ac:dyDescent="0.15">
      <c r="A114" s="1" t="s">
        <v>362</v>
      </c>
      <c r="B114" s="1" t="s">
        <v>363</v>
      </c>
      <c r="C114" s="3">
        <v>3045625.7381512588</v>
      </c>
      <c r="D114" s="3"/>
      <c r="E114" s="3"/>
      <c r="F114" s="3"/>
      <c r="G114" s="3"/>
      <c r="H114" s="3"/>
      <c r="I114" s="3"/>
      <c r="J114" s="3">
        <v>3045625.7381512588</v>
      </c>
      <c r="K114" s="26">
        <f t="shared" si="31"/>
        <v>2017</v>
      </c>
      <c r="L114" s="78"/>
      <c r="M114" s="37">
        <f t="shared" si="30"/>
        <v>0</v>
      </c>
      <c r="N114" s="31">
        <f t="shared" si="37"/>
        <v>0</v>
      </c>
      <c r="O114" s="31">
        <f t="shared" si="37"/>
        <v>1.2598210977913676E-2</v>
      </c>
      <c r="P114" s="31">
        <f t="shared" si="37"/>
        <v>4.0410234138469919E-2</v>
      </c>
      <c r="Q114" s="31">
        <f t="shared" si="37"/>
        <v>1.9519967422123616E-2</v>
      </c>
      <c r="R114" s="31">
        <f t="shared" si="37"/>
        <v>0</v>
      </c>
      <c r="S114" s="31">
        <f t="shared" si="37"/>
        <v>5.2750171450762124E-4</v>
      </c>
      <c r="T114" s="31">
        <f t="shared" si="37"/>
        <v>0</v>
      </c>
      <c r="U114" s="31">
        <f t="shared" si="37"/>
        <v>0</v>
      </c>
      <c r="V114" s="31">
        <f t="shared" si="37"/>
        <v>0</v>
      </c>
      <c r="W114" s="31">
        <f t="shared" si="37"/>
        <v>0.20535383112557634</v>
      </c>
      <c r="X114" s="31">
        <f t="shared" si="38"/>
        <v>6.9132359534140365E-4</v>
      </c>
      <c r="Y114" s="31">
        <f t="shared" si="38"/>
        <v>0.10775079637737764</v>
      </c>
      <c r="Z114" s="31">
        <f t="shared" si="38"/>
        <v>8.184812382001588E-3</v>
      </c>
      <c r="AA114" s="31">
        <f t="shared" si="38"/>
        <v>0</v>
      </c>
      <c r="AB114" s="31">
        <f t="shared" si="38"/>
        <v>0.13438161930988823</v>
      </c>
      <c r="AC114" s="31">
        <f t="shared" si="38"/>
        <v>0.29999201374783002</v>
      </c>
      <c r="AD114" s="31">
        <f t="shared" si="38"/>
        <v>1.6595559557543139E-4</v>
      </c>
      <c r="AE114" s="31">
        <f t="shared" si="38"/>
        <v>0</v>
      </c>
      <c r="AF114" s="31">
        <f t="shared" si="38"/>
        <v>0.17042373361339447</v>
      </c>
      <c r="AG114" s="31">
        <f t="shared" si="32"/>
        <v>0.99999999999999989</v>
      </c>
    </row>
    <row r="115" spans="1:33" ht="10.5" x14ac:dyDescent="0.15">
      <c r="A115" s="1" t="s">
        <v>364</v>
      </c>
      <c r="B115" s="1" t="s">
        <v>365</v>
      </c>
      <c r="C115" s="95"/>
      <c r="D115" s="95">
        <v>219271.92294605833</v>
      </c>
      <c r="E115" s="95"/>
      <c r="F115" s="3"/>
      <c r="G115" s="3"/>
      <c r="H115" s="3"/>
      <c r="I115" s="3"/>
      <c r="J115" s="3">
        <v>219271.92294605833</v>
      </c>
      <c r="K115" s="26">
        <f t="shared" si="31"/>
        <v>2018</v>
      </c>
      <c r="L115" s="78"/>
      <c r="M115" s="37">
        <f t="shared" si="30"/>
        <v>130559.99999999997</v>
      </c>
      <c r="N115" s="31">
        <f t="shared" si="37"/>
        <v>0</v>
      </c>
      <c r="O115" s="31">
        <f t="shared" si="37"/>
        <v>0</v>
      </c>
      <c r="P115" s="31">
        <f t="shared" si="37"/>
        <v>0</v>
      </c>
      <c r="Q115" s="31">
        <f t="shared" si="37"/>
        <v>0</v>
      </c>
      <c r="R115" s="31">
        <f t="shared" si="37"/>
        <v>0</v>
      </c>
      <c r="S115" s="31">
        <f t="shared" si="37"/>
        <v>0</v>
      </c>
      <c r="T115" s="31">
        <f t="shared" si="37"/>
        <v>0</v>
      </c>
      <c r="U115" s="31">
        <f t="shared" si="37"/>
        <v>1</v>
      </c>
      <c r="V115" s="31">
        <f t="shared" si="37"/>
        <v>0</v>
      </c>
      <c r="W115" s="31">
        <f t="shared" si="37"/>
        <v>0</v>
      </c>
      <c r="X115" s="31">
        <f t="shared" si="38"/>
        <v>0</v>
      </c>
      <c r="Y115" s="31">
        <f t="shared" si="38"/>
        <v>0</v>
      </c>
      <c r="Z115" s="31">
        <f t="shared" si="38"/>
        <v>0</v>
      </c>
      <c r="AA115" s="31">
        <f t="shared" si="38"/>
        <v>0</v>
      </c>
      <c r="AB115" s="31">
        <f t="shared" si="38"/>
        <v>0</v>
      </c>
      <c r="AC115" s="31">
        <f t="shared" si="38"/>
        <v>0</v>
      </c>
      <c r="AD115" s="31">
        <f t="shared" si="38"/>
        <v>0</v>
      </c>
      <c r="AE115" s="31">
        <f t="shared" si="38"/>
        <v>0</v>
      </c>
      <c r="AF115" s="31">
        <f t="shared" si="38"/>
        <v>0</v>
      </c>
      <c r="AG115" s="31">
        <f t="shared" si="32"/>
        <v>1</v>
      </c>
    </row>
    <row r="116" spans="1:33" ht="10.5" x14ac:dyDescent="0.15">
      <c r="A116" s="1" t="s">
        <v>366</v>
      </c>
      <c r="B116" s="1" t="s">
        <v>2383</v>
      </c>
      <c r="C116" s="95"/>
      <c r="D116" s="95">
        <v>167386.76531034842</v>
      </c>
      <c r="E116" s="95"/>
      <c r="F116" s="3"/>
      <c r="G116" s="3"/>
      <c r="H116" s="3"/>
      <c r="I116" s="3"/>
      <c r="J116" s="3">
        <v>167386.76531034842</v>
      </c>
      <c r="K116" s="26">
        <f t="shared" si="31"/>
        <v>2018</v>
      </c>
      <c r="L116" s="78"/>
      <c r="M116" s="37">
        <f t="shared" si="30"/>
        <v>37400.000000000029</v>
      </c>
      <c r="N116" s="31">
        <f t="shared" si="37"/>
        <v>0</v>
      </c>
      <c r="O116" s="31">
        <f t="shared" si="37"/>
        <v>0</v>
      </c>
      <c r="P116" s="31">
        <f t="shared" si="37"/>
        <v>0</v>
      </c>
      <c r="Q116" s="31">
        <f t="shared" si="37"/>
        <v>1</v>
      </c>
      <c r="R116" s="31">
        <f t="shared" si="37"/>
        <v>0</v>
      </c>
      <c r="S116" s="31">
        <f t="shared" si="37"/>
        <v>0</v>
      </c>
      <c r="T116" s="31">
        <f t="shared" si="37"/>
        <v>0</v>
      </c>
      <c r="U116" s="31">
        <f t="shared" si="37"/>
        <v>0</v>
      </c>
      <c r="V116" s="31">
        <f t="shared" si="37"/>
        <v>0</v>
      </c>
      <c r="W116" s="31">
        <f t="shared" si="37"/>
        <v>0</v>
      </c>
      <c r="X116" s="31">
        <f t="shared" si="38"/>
        <v>0</v>
      </c>
      <c r="Y116" s="31">
        <f t="shared" si="38"/>
        <v>0</v>
      </c>
      <c r="Z116" s="31">
        <f t="shared" si="38"/>
        <v>0</v>
      </c>
      <c r="AA116" s="31">
        <f t="shared" si="38"/>
        <v>0</v>
      </c>
      <c r="AB116" s="31">
        <f t="shared" si="38"/>
        <v>0</v>
      </c>
      <c r="AC116" s="31">
        <f t="shared" si="38"/>
        <v>0</v>
      </c>
      <c r="AD116" s="31">
        <f t="shared" si="38"/>
        <v>0</v>
      </c>
      <c r="AE116" s="31">
        <f t="shared" si="38"/>
        <v>0</v>
      </c>
      <c r="AF116" s="31">
        <f t="shared" si="38"/>
        <v>0</v>
      </c>
      <c r="AG116" s="31">
        <f t="shared" si="32"/>
        <v>1</v>
      </c>
    </row>
    <row r="117" spans="1:33" ht="10.5" x14ac:dyDescent="0.15">
      <c r="A117" s="1" t="s">
        <v>371</v>
      </c>
      <c r="B117" s="1" t="s">
        <v>2306</v>
      </c>
      <c r="C117" s="95"/>
      <c r="D117" s="95"/>
      <c r="E117" s="95"/>
      <c r="F117" s="3">
        <v>275928.10144433583</v>
      </c>
      <c r="G117" s="3"/>
      <c r="H117" s="3"/>
      <c r="I117" s="3"/>
      <c r="J117" s="3">
        <v>275928.10144433583</v>
      </c>
      <c r="K117" s="26">
        <f t="shared" si="31"/>
        <v>2020</v>
      </c>
      <c r="L117" s="78"/>
      <c r="M117" s="37">
        <f t="shared" si="30"/>
        <v>12500.000000000002</v>
      </c>
      <c r="N117" s="31">
        <f t="shared" si="37"/>
        <v>0</v>
      </c>
      <c r="O117" s="31">
        <f t="shared" si="37"/>
        <v>0</v>
      </c>
      <c r="P117" s="31">
        <f t="shared" si="37"/>
        <v>0</v>
      </c>
      <c r="Q117" s="31">
        <f t="shared" si="37"/>
        <v>1</v>
      </c>
      <c r="R117" s="31">
        <f t="shared" si="37"/>
        <v>0</v>
      </c>
      <c r="S117" s="31">
        <f t="shared" si="37"/>
        <v>0</v>
      </c>
      <c r="T117" s="31">
        <f t="shared" si="37"/>
        <v>0</v>
      </c>
      <c r="U117" s="31">
        <f t="shared" si="37"/>
        <v>0</v>
      </c>
      <c r="V117" s="31">
        <f t="shared" si="37"/>
        <v>0</v>
      </c>
      <c r="W117" s="31">
        <f t="shared" si="37"/>
        <v>0</v>
      </c>
      <c r="X117" s="31">
        <f t="shared" si="38"/>
        <v>0</v>
      </c>
      <c r="Y117" s="31">
        <f t="shared" si="38"/>
        <v>0</v>
      </c>
      <c r="Z117" s="31">
        <f t="shared" si="38"/>
        <v>0</v>
      </c>
      <c r="AA117" s="31">
        <f t="shared" si="38"/>
        <v>0</v>
      </c>
      <c r="AB117" s="31">
        <f t="shared" si="38"/>
        <v>0</v>
      </c>
      <c r="AC117" s="31">
        <f t="shared" si="38"/>
        <v>0</v>
      </c>
      <c r="AD117" s="31">
        <f t="shared" si="38"/>
        <v>0</v>
      </c>
      <c r="AE117" s="31">
        <f t="shared" si="38"/>
        <v>0</v>
      </c>
      <c r="AF117" s="31">
        <f t="shared" si="38"/>
        <v>0</v>
      </c>
      <c r="AG117" s="31">
        <f t="shared" si="32"/>
        <v>1</v>
      </c>
    </row>
    <row r="118" spans="1:33" ht="10.5" x14ac:dyDescent="0.15">
      <c r="A118" s="1" t="s">
        <v>372</v>
      </c>
      <c r="B118" s="1" t="s">
        <v>373</v>
      </c>
      <c r="C118" s="95"/>
      <c r="D118" s="95"/>
      <c r="E118" s="95">
        <v>353445.49283437035</v>
      </c>
      <c r="F118" s="3"/>
      <c r="G118" s="3"/>
      <c r="H118" s="3"/>
      <c r="I118" s="3"/>
      <c r="J118" s="3">
        <v>353445.49283437035</v>
      </c>
      <c r="K118" s="26">
        <f t="shared" si="31"/>
        <v>2019</v>
      </c>
      <c r="L118" s="78"/>
      <c r="M118" s="37">
        <f t="shared" si="30"/>
        <v>235500.00000000009</v>
      </c>
      <c r="N118" s="31">
        <f t="shared" si="37"/>
        <v>0.69851380042462841</v>
      </c>
      <c r="O118" s="31">
        <f t="shared" si="37"/>
        <v>0</v>
      </c>
      <c r="P118" s="31">
        <f t="shared" si="37"/>
        <v>0</v>
      </c>
      <c r="Q118" s="31">
        <f t="shared" si="37"/>
        <v>0</v>
      </c>
      <c r="R118" s="31">
        <f t="shared" si="37"/>
        <v>0</v>
      </c>
      <c r="S118" s="31">
        <f t="shared" si="37"/>
        <v>0</v>
      </c>
      <c r="T118" s="31">
        <f t="shared" si="37"/>
        <v>0</v>
      </c>
      <c r="U118" s="31">
        <f t="shared" si="37"/>
        <v>0.30148619957537154</v>
      </c>
      <c r="V118" s="31">
        <f t="shared" si="37"/>
        <v>0</v>
      </c>
      <c r="W118" s="31">
        <f t="shared" si="37"/>
        <v>0</v>
      </c>
      <c r="X118" s="31">
        <f t="shared" si="38"/>
        <v>0</v>
      </c>
      <c r="Y118" s="31">
        <f t="shared" si="38"/>
        <v>0</v>
      </c>
      <c r="Z118" s="31">
        <f t="shared" si="38"/>
        <v>0</v>
      </c>
      <c r="AA118" s="31">
        <f t="shared" si="38"/>
        <v>0</v>
      </c>
      <c r="AB118" s="31">
        <f t="shared" si="38"/>
        <v>0</v>
      </c>
      <c r="AC118" s="31">
        <f t="shared" si="38"/>
        <v>0</v>
      </c>
      <c r="AD118" s="31">
        <f t="shared" si="38"/>
        <v>0</v>
      </c>
      <c r="AE118" s="31">
        <f t="shared" si="38"/>
        <v>0</v>
      </c>
      <c r="AF118" s="31">
        <f t="shared" si="38"/>
        <v>0</v>
      </c>
      <c r="AG118" s="31">
        <f t="shared" si="32"/>
        <v>1</v>
      </c>
    </row>
    <row r="119" spans="1:33" ht="10.5" x14ac:dyDescent="0.15">
      <c r="A119" s="1" t="s">
        <v>374</v>
      </c>
      <c r="B119" s="1" t="s">
        <v>375</v>
      </c>
      <c r="C119" s="95"/>
      <c r="D119" s="95"/>
      <c r="E119" s="95">
        <v>148611.39531248354</v>
      </c>
      <c r="F119" s="3"/>
      <c r="G119" s="3"/>
      <c r="H119" s="3"/>
      <c r="I119" s="3"/>
      <c r="J119" s="3">
        <v>148611.39531248354</v>
      </c>
      <c r="K119" s="26">
        <f t="shared" si="31"/>
        <v>2019</v>
      </c>
      <c r="L119" s="78"/>
      <c r="M119" s="37">
        <f t="shared" si="30"/>
        <v>122000.0000000001</v>
      </c>
      <c r="N119" s="31">
        <f t="shared" ref="N119:W128" si="39">IF(OR(LEFT($A119,1)="E",LEFT($A119,1)="Z"),IF($M119=0,VLOOKUP(MID($A119,4,5),ProjectSplits,N$2,FALSE),IF(ISNA(VLOOKUP($A119,Estimates,N$1,FALSE)),VLOOKUP(MID($A119,4,5),ProjectSplits,N$2,FALSE),VLOOKUP($A119,Estimates,N$1,FALSE))),0)</f>
        <v>0</v>
      </c>
      <c r="O119" s="31">
        <f t="shared" si="39"/>
        <v>0</v>
      </c>
      <c r="P119" s="31">
        <f t="shared" si="39"/>
        <v>0</v>
      </c>
      <c r="Q119" s="31">
        <f t="shared" si="39"/>
        <v>0</v>
      </c>
      <c r="R119" s="31">
        <f t="shared" si="39"/>
        <v>0</v>
      </c>
      <c r="S119" s="31">
        <f t="shared" si="39"/>
        <v>0</v>
      </c>
      <c r="T119" s="31">
        <f t="shared" si="39"/>
        <v>0</v>
      </c>
      <c r="U119" s="31">
        <f t="shared" si="39"/>
        <v>1</v>
      </c>
      <c r="V119" s="31">
        <f t="shared" si="39"/>
        <v>0</v>
      </c>
      <c r="W119" s="31">
        <f t="shared" si="39"/>
        <v>0</v>
      </c>
      <c r="X119" s="31">
        <f t="shared" ref="X119:AF128" si="40">IF(OR(LEFT($A119,1)="E",LEFT($A119,1)="Z"),IF($M119=0,VLOOKUP(MID($A119,4,5),ProjectSplits,X$2,FALSE),IF(ISNA(VLOOKUP($A119,Estimates,X$1,FALSE)),VLOOKUP(MID($A119,4,5),ProjectSplits,X$2,FALSE),VLOOKUP($A119,Estimates,X$1,FALSE))),0)</f>
        <v>0</v>
      </c>
      <c r="Y119" s="31">
        <f t="shared" si="40"/>
        <v>0</v>
      </c>
      <c r="Z119" s="31">
        <f t="shared" si="40"/>
        <v>0</v>
      </c>
      <c r="AA119" s="31">
        <f t="shared" si="40"/>
        <v>0</v>
      </c>
      <c r="AB119" s="31">
        <f t="shared" si="40"/>
        <v>0</v>
      </c>
      <c r="AC119" s="31">
        <f t="shared" si="40"/>
        <v>0</v>
      </c>
      <c r="AD119" s="31">
        <f t="shared" si="40"/>
        <v>0</v>
      </c>
      <c r="AE119" s="31">
        <f t="shared" si="40"/>
        <v>0</v>
      </c>
      <c r="AF119" s="31">
        <f t="shared" si="40"/>
        <v>0</v>
      </c>
      <c r="AG119" s="31">
        <f t="shared" si="32"/>
        <v>1</v>
      </c>
    </row>
    <row r="120" spans="1:33" ht="10.5" x14ac:dyDescent="0.15">
      <c r="A120" s="1" t="s">
        <v>376</v>
      </c>
      <c r="B120" s="1" t="s">
        <v>377</v>
      </c>
      <c r="C120" s="95"/>
      <c r="D120" s="95"/>
      <c r="E120" s="95"/>
      <c r="F120" s="3"/>
      <c r="G120" s="3"/>
      <c r="H120" s="3"/>
      <c r="I120" s="3">
        <v>2401124.7685065861</v>
      </c>
      <c r="J120" s="3">
        <v>2401124.7685065861</v>
      </c>
      <c r="K120" s="26">
        <f t="shared" si="31"/>
        <v>2023</v>
      </c>
      <c r="L120" s="78"/>
      <c r="M120" s="37">
        <f t="shared" si="30"/>
        <v>0</v>
      </c>
      <c r="N120" s="31">
        <f t="shared" si="39"/>
        <v>0</v>
      </c>
      <c r="O120" s="31">
        <f t="shared" si="39"/>
        <v>0</v>
      </c>
      <c r="P120" s="31">
        <f t="shared" si="39"/>
        <v>0</v>
      </c>
      <c r="Q120" s="31">
        <f t="shared" si="39"/>
        <v>0</v>
      </c>
      <c r="R120" s="31">
        <f t="shared" si="39"/>
        <v>0</v>
      </c>
      <c r="S120" s="31">
        <f t="shared" si="39"/>
        <v>0</v>
      </c>
      <c r="T120" s="31">
        <f t="shared" si="39"/>
        <v>0</v>
      </c>
      <c r="U120" s="31">
        <f t="shared" si="39"/>
        <v>1</v>
      </c>
      <c r="V120" s="31">
        <f t="shared" si="39"/>
        <v>0</v>
      </c>
      <c r="W120" s="31">
        <f t="shared" si="39"/>
        <v>0</v>
      </c>
      <c r="X120" s="31">
        <f t="shared" si="40"/>
        <v>0</v>
      </c>
      <c r="Y120" s="31">
        <f t="shared" si="40"/>
        <v>0</v>
      </c>
      <c r="Z120" s="31">
        <f t="shared" si="40"/>
        <v>0</v>
      </c>
      <c r="AA120" s="31">
        <f t="shared" si="40"/>
        <v>0</v>
      </c>
      <c r="AB120" s="31">
        <f t="shared" si="40"/>
        <v>0</v>
      </c>
      <c r="AC120" s="31">
        <f t="shared" si="40"/>
        <v>0</v>
      </c>
      <c r="AD120" s="31">
        <f t="shared" si="40"/>
        <v>0</v>
      </c>
      <c r="AE120" s="31">
        <f t="shared" si="40"/>
        <v>0</v>
      </c>
      <c r="AF120" s="31">
        <f t="shared" si="40"/>
        <v>0</v>
      </c>
      <c r="AG120" s="31">
        <f t="shared" si="32"/>
        <v>1</v>
      </c>
    </row>
    <row r="121" spans="1:33" ht="10.5" x14ac:dyDescent="0.15">
      <c r="A121" s="1" t="s">
        <v>379</v>
      </c>
      <c r="B121" s="1" t="s">
        <v>380</v>
      </c>
      <c r="C121" s="95"/>
      <c r="D121" s="95"/>
      <c r="E121" s="95">
        <v>2348043.0569889727</v>
      </c>
      <c r="F121" s="3"/>
      <c r="G121" s="3"/>
      <c r="H121" s="3"/>
      <c r="I121" s="3"/>
      <c r="J121" s="3">
        <v>2348043.0569889727</v>
      </c>
      <c r="K121" s="26">
        <f t="shared" si="31"/>
        <v>2019</v>
      </c>
      <c r="L121" s="78"/>
      <c r="M121" s="37">
        <f t="shared" si="30"/>
        <v>2094358.0000000002</v>
      </c>
      <c r="N121" s="31">
        <f t="shared" si="39"/>
        <v>0</v>
      </c>
      <c r="O121" s="31">
        <f t="shared" si="39"/>
        <v>0</v>
      </c>
      <c r="P121" s="31">
        <f t="shared" si="39"/>
        <v>0</v>
      </c>
      <c r="Q121" s="31">
        <f t="shared" si="39"/>
        <v>0</v>
      </c>
      <c r="R121" s="31">
        <f t="shared" si="39"/>
        <v>0</v>
      </c>
      <c r="S121" s="31">
        <f t="shared" si="39"/>
        <v>0</v>
      </c>
      <c r="T121" s="31">
        <f t="shared" si="39"/>
        <v>0</v>
      </c>
      <c r="U121" s="31">
        <f t="shared" si="39"/>
        <v>0</v>
      </c>
      <c r="V121" s="31">
        <f t="shared" si="39"/>
        <v>0</v>
      </c>
      <c r="W121" s="31">
        <f t="shared" si="39"/>
        <v>1</v>
      </c>
      <c r="X121" s="31">
        <f t="shared" si="40"/>
        <v>0</v>
      </c>
      <c r="Y121" s="31">
        <f t="shared" si="40"/>
        <v>0</v>
      </c>
      <c r="Z121" s="31">
        <f t="shared" si="40"/>
        <v>0</v>
      </c>
      <c r="AA121" s="31">
        <f t="shared" si="40"/>
        <v>0</v>
      </c>
      <c r="AB121" s="31">
        <f t="shared" si="40"/>
        <v>0</v>
      </c>
      <c r="AC121" s="31">
        <f t="shared" si="40"/>
        <v>0</v>
      </c>
      <c r="AD121" s="31">
        <f t="shared" si="40"/>
        <v>0</v>
      </c>
      <c r="AE121" s="31">
        <f t="shared" si="40"/>
        <v>0</v>
      </c>
      <c r="AF121" s="31">
        <f t="shared" si="40"/>
        <v>0</v>
      </c>
      <c r="AG121" s="31">
        <f t="shared" si="32"/>
        <v>1</v>
      </c>
    </row>
    <row r="122" spans="1:33" ht="10.5" x14ac:dyDescent="0.15">
      <c r="A122" s="1" t="s">
        <v>381</v>
      </c>
      <c r="B122" s="1" t="s">
        <v>2307</v>
      </c>
      <c r="C122" s="95"/>
      <c r="D122" s="95"/>
      <c r="E122" s="95"/>
      <c r="F122" s="3"/>
      <c r="G122" s="3"/>
      <c r="H122" s="3">
        <v>2077691.1249521272</v>
      </c>
      <c r="I122" s="3"/>
      <c r="J122" s="3">
        <v>2077691.1249521272</v>
      </c>
      <c r="K122" s="26">
        <f t="shared" si="31"/>
        <v>2022</v>
      </c>
      <c r="L122" s="78"/>
      <c r="M122" s="37">
        <f t="shared" si="30"/>
        <v>1141371.0000000005</v>
      </c>
      <c r="N122" s="31">
        <f t="shared" si="39"/>
        <v>0</v>
      </c>
      <c r="O122" s="31">
        <f t="shared" si="39"/>
        <v>0</v>
      </c>
      <c r="P122" s="31">
        <f t="shared" si="39"/>
        <v>0</v>
      </c>
      <c r="Q122" s="31">
        <f t="shared" si="39"/>
        <v>1</v>
      </c>
      <c r="R122" s="31">
        <f t="shared" si="39"/>
        <v>0</v>
      </c>
      <c r="S122" s="31">
        <f t="shared" si="39"/>
        <v>0</v>
      </c>
      <c r="T122" s="31">
        <f t="shared" si="39"/>
        <v>0</v>
      </c>
      <c r="U122" s="31">
        <f t="shared" si="39"/>
        <v>0</v>
      </c>
      <c r="V122" s="31">
        <f t="shared" si="39"/>
        <v>0</v>
      </c>
      <c r="W122" s="31">
        <f t="shared" si="39"/>
        <v>0</v>
      </c>
      <c r="X122" s="31">
        <f t="shared" si="40"/>
        <v>0</v>
      </c>
      <c r="Y122" s="31">
        <f t="shared" si="40"/>
        <v>0</v>
      </c>
      <c r="Z122" s="31">
        <f t="shared" si="40"/>
        <v>0</v>
      </c>
      <c r="AA122" s="31">
        <f t="shared" si="40"/>
        <v>0</v>
      </c>
      <c r="AB122" s="31">
        <f t="shared" si="40"/>
        <v>0</v>
      </c>
      <c r="AC122" s="31">
        <f t="shared" si="40"/>
        <v>0</v>
      </c>
      <c r="AD122" s="31">
        <f t="shared" si="40"/>
        <v>0</v>
      </c>
      <c r="AE122" s="31">
        <f t="shared" si="40"/>
        <v>0</v>
      </c>
      <c r="AF122" s="31">
        <f t="shared" si="40"/>
        <v>0</v>
      </c>
      <c r="AG122" s="31">
        <f t="shared" si="32"/>
        <v>1</v>
      </c>
    </row>
    <row r="123" spans="1:33" ht="10.5" x14ac:dyDescent="0.15">
      <c r="A123" s="1" t="s">
        <v>382</v>
      </c>
      <c r="B123" s="1" t="s">
        <v>2308</v>
      </c>
      <c r="C123" s="95"/>
      <c r="D123" s="95"/>
      <c r="E123" s="95">
        <v>1296844.5171889558</v>
      </c>
      <c r="F123" s="3"/>
      <c r="G123" s="3"/>
      <c r="H123" s="3"/>
      <c r="I123" s="3"/>
      <c r="J123" s="3">
        <v>1296844.5171889558</v>
      </c>
      <c r="K123" s="26">
        <f t="shared" si="31"/>
        <v>2019</v>
      </c>
      <c r="L123" s="78"/>
      <c r="M123" s="37">
        <f t="shared" si="30"/>
        <v>60250.000000000029</v>
      </c>
      <c r="N123" s="31">
        <f t="shared" si="39"/>
        <v>0</v>
      </c>
      <c r="O123" s="31">
        <f t="shared" si="39"/>
        <v>0</v>
      </c>
      <c r="P123" s="31">
        <f t="shared" si="39"/>
        <v>0</v>
      </c>
      <c r="Q123" s="31">
        <f t="shared" si="39"/>
        <v>1</v>
      </c>
      <c r="R123" s="31">
        <f t="shared" si="39"/>
        <v>0</v>
      </c>
      <c r="S123" s="31">
        <f t="shared" si="39"/>
        <v>0</v>
      </c>
      <c r="T123" s="31">
        <f t="shared" si="39"/>
        <v>0</v>
      </c>
      <c r="U123" s="31">
        <f t="shared" si="39"/>
        <v>0</v>
      </c>
      <c r="V123" s="31">
        <f t="shared" si="39"/>
        <v>0</v>
      </c>
      <c r="W123" s="31">
        <f t="shared" si="39"/>
        <v>0</v>
      </c>
      <c r="X123" s="31">
        <f t="shared" si="40"/>
        <v>0</v>
      </c>
      <c r="Y123" s="31">
        <f t="shared" si="40"/>
        <v>0</v>
      </c>
      <c r="Z123" s="31">
        <f t="shared" si="40"/>
        <v>0</v>
      </c>
      <c r="AA123" s="31">
        <f t="shared" si="40"/>
        <v>0</v>
      </c>
      <c r="AB123" s="31">
        <f t="shared" si="40"/>
        <v>0</v>
      </c>
      <c r="AC123" s="31">
        <f t="shared" si="40"/>
        <v>0</v>
      </c>
      <c r="AD123" s="31">
        <f t="shared" si="40"/>
        <v>0</v>
      </c>
      <c r="AE123" s="31">
        <f t="shared" si="40"/>
        <v>0</v>
      </c>
      <c r="AF123" s="31">
        <f t="shared" si="40"/>
        <v>0</v>
      </c>
      <c r="AG123" s="31">
        <f t="shared" si="32"/>
        <v>1</v>
      </c>
    </row>
    <row r="124" spans="1:33" ht="10.5" x14ac:dyDescent="0.15">
      <c r="A124" s="1" t="s">
        <v>383</v>
      </c>
      <c r="B124" s="1" t="s">
        <v>384</v>
      </c>
      <c r="C124" s="3"/>
      <c r="D124" s="3"/>
      <c r="E124" s="3"/>
      <c r="F124" s="3"/>
      <c r="G124" s="3">
        <v>2532561.0215913383</v>
      </c>
      <c r="H124" s="3"/>
      <c r="I124" s="3"/>
      <c r="J124" s="3">
        <v>2532561.0215913383</v>
      </c>
      <c r="K124" s="26">
        <f t="shared" si="31"/>
        <v>2021</v>
      </c>
      <c r="L124" s="78"/>
      <c r="M124" s="37">
        <f t="shared" si="30"/>
        <v>1769192.0000000023</v>
      </c>
      <c r="N124" s="31">
        <f t="shared" si="39"/>
        <v>0</v>
      </c>
      <c r="O124" s="31">
        <f t="shared" si="39"/>
        <v>0</v>
      </c>
      <c r="P124" s="31">
        <f t="shared" si="39"/>
        <v>0</v>
      </c>
      <c r="Q124" s="31">
        <f t="shared" si="39"/>
        <v>1</v>
      </c>
      <c r="R124" s="31">
        <f t="shared" si="39"/>
        <v>0</v>
      </c>
      <c r="S124" s="31">
        <f t="shared" si="39"/>
        <v>0</v>
      </c>
      <c r="T124" s="31">
        <f t="shared" si="39"/>
        <v>0</v>
      </c>
      <c r="U124" s="31">
        <f t="shared" si="39"/>
        <v>0</v>
      </c>
      <c r="V124" s="31">
        <f t="shared" si="39"/>
        <v>0</v>
      </c>
      <c r="W124" s="31">
        <f t="shared" si="39"/>
        <v>0</v>
      </c>
      <c r="X124" s="31">
        <f t="shared" si="40"/>
        <v>0</v>
      </c>
      <c r="Y124" s="31">
        <f t="shared" si="40"/>
        <v>0</v>
      </c>
      <c r="Z124" s="31">
        <f t="shared" si="40"/>
        <v>0</v>
      </c>
      <c r="AA124" s="31">
        <f t="shared" si="40"/>
        <v>0</v>
      </c>
      <c r="AB124" s="31">
        <f t="shared" si="40"/>
        <v>0</v>
      </c>
      <c r="AC124" s="31">
        <f t="shared" si="40"/>
        <v>0</v>
      </c>
      <c r="AD124" s="31">
        <f t="shared" si="40"/>
        <v>0</v>
      </c>
      <c r="AE124" s="31">
        <f t="shared" si="40"/>
        <v>0</v>
      </c>
      <c r="AF124" s="31">
        <f t="shared" si="40"/>
        <v>0</v>
      </c>
      <c r="AG124" s="31">
        <f t="shared" si="32"/>
        <v>1</v>
      </c>
    </row>
    <row r="125" spans="1:33" ht="10.5" x14ac:dyDescent="0.15">
      <c r="A125" s="1" t="s">
        <v>385</v>
      </c>
      <c r="B125" s="1" t="s">
        <v>2309</v>
      </c>
      <c r="C125" s="3"/>
      <c r="D125" s="3"/>
      <c r="E125" s="3"/>
      <c r="F125" s="3"/>
      <c r="G125" s="3"/>
      <c r="H125" s="3"/>
      <c r="I125" s="3">
        <v>1311164.426256909</v>
      </c>
      <c r="J125" s="3">
        <v>1311164.426256909</v>
      </c>
      <c r="K125" s="26">
        <f t="shared" si="31"/>
        <v>2023</v>
      </c>
      <c r="L125" s="78"/>
      <c r="M125" s="37">
        <f t="shared" si="30"/>
        <v>220000</v>
      </c>
      <c r="N125" s="31">
        <f t="shared" si="39"/>
        <v>0</v>
      </c>
      <c r="O125" s="31">
        <f t="shared" si="39"/>
        <v>0</v>
      </c>
      <c r="P125" s="31">
        <f t="shared" si="39"/>
        <v>0</v>
      </c>
      <c r="Q125" s="31">
        <f t="shared" si="39"/>
        <v>1</v>
      </c>
      <c r="R125" s="31">
        <f t="shared" si="39"/>
        <v>0</v>
      </c>
      <c r="S125" s="31">
        <f t="shared" si="39"/>
        <v>0</v>
      </c>
      <c r="T125" s="31">
        <f t="shared" si="39"/>
        <v>0</v>
      </c>
      <c r="U125" s="31">
        <f t="shared" si="39"/>
        <v>0</v>
      </c>
      <c r="V125" s="31">
        <f t="shared" si="39"/>
        <v>0</v>
      </c>
      <c r="W125" s="31">
        <f t="shared" si="39"/>
        <v>0</v>
      </c>
      <c r="X125" s="31">
        <f t="shared" si="40"/>
        <v>0</v>
      </c>
      <c r="Y125" s="31">
        <f t="shared" si="40"/>
        <v>0</v>
      </c>
      <c r="Z125" s="31">
        <f t="shared" si="40"/>
        <v>0</v>
      </c>
      <c r="AA125" s="31">
        <f t="shared" si="40"/>
        <v>0</v>
      </c>
      <c r="AB125" s="31">
        <f t="shared" si="40"/>
        <v>0</v>
      </c>
      <c r="AC125" s="31">
        <f t="shared" si="40"/>
        <v>0</v>
      </c>
      <c r="AD125" s="31">
        <f t="shared" si="40"/>
        <v>0</v>
      </c>
      <c r="AE125" s="31">
        <f t="shared" si="40"/>
        <v>0</v>
      </c>
      <c r="AF125" s="31">
        <f t="shared" si="40"/>
        <v>0</v>
      </c>
      <c r="AG125" s="31">
        <f t="shared" si="32"/>
        <v>1</v>
      </c>
    </row>
    <row r="126" spans="1:33" ht="10.5" x14ac:dyDescent="0.15">
      <c r="A126" s="1" t="s">
        <v>388</v>
      </c>
      <c r="B126" s="1" t="s">
        <v>389</v>
      </c>
      <c r="C126" s="3"/>
      <c r="D126" s="3"/>
      <c r="E126" s="3"/>
      <c r="F126" s="3"/>
      <c r="G126" s="3"/>
      <c r="H126" s="3">
        <v>3406347.3890877338</v>
      </c>
      <c r="I126" s="3"/>
      <c r="J126" s="3">
        <v>3406347.3890877338</v>
      </c>
      <c r="K126" s="26">
        <f t="shared" si="31"/>
        <v>2022</v>
      </c>
      <c r="L126" s="78"/>
      <c r="M126" s="37">
        <f t="shared" si="30"/>
        <v>0</v>
      </c>
      <c r="N126" s="31">
        <f t="shared" si="39"/>
        <v>0</v>
      </c>
      <c r="O126" s="31">
        <f t="shared" si="39"/>
        <v>0</v>
      </c>
      <c r="P126" s="31">
        <f t="shared" si="39"/>
        <v>0</v>
      </c>
      <c r="Q126" s="31">
        <f t="shared" si="39"/>
        <v>0</v>
      </c>
      <c r="R126" s="31">
        <f t="shared" si="39"/>
        <v>0</v>
      </c>
      <c r="S126" s="31">
        <f t="shared" si="39"/>
        <v>0</v>
      </c>
      <c r="T126" s="31">
        <f t="shared" si="39"/>
        <v>0</v>
      </c>
      <c r="U126" s="31">
        <f t="shared" si="39"/>
        <v>1</v>
      </c>
      <c r="V126" s="31">
        <f t="shared" si="39"/>
        <v>0</v>
      </c>
      <c r="W126" s="31">
        <f t="shared" si="39"/>
        <v>0</v>
      </c>
      <c r="X126" s="31">
        <f t="shared" si="40"/>
        <v>0</v>
      </c>
      <c r="Y126" s="31">
        <f t="shared" si="40"/>
        <v>0</v>
      </c>
      <c r="Z126" s="31">
        <f t="shared" si="40"/>
        <v>0</v>
      </c>
      <c r="AA126" s="31">
        <f t="shared" si="40"/>
        <v>0</v>
      </c>
      <c r="AB126" s="31">
        <f t="shared" si="40"/>
        <v>0</v>
      </c>
      <c r="AC126" s="31">
        <f t="shared" si="40"/>
        <v>0</v>
      </c>
      <c r="AD126" s="31">
        <f t="shared" si="40"/>
        <v>0</v>
      </c>
      <c r="AE126" s="31">
        <f t="shared" si="40"/>
        <v>0</v>
      </c>
      <c r="AF126" s="31">
        <f t="shared" si="40"/>
        <v>0</v>
      </c>
      <c r="AG126" s="31">
        <f t="shared" si="32"/>
        <v>1</v>
      </c>
    </row>
    <row r="127" spans="1:33" ht="10.5" x14ac:dyDescent="0.15">
      <c r="A127" s="1" t="s">
        <v>390</v>
      </c>
      <c r="B127" s="1" t="s">
        <v>391</v>
      </c>
      <c r="C127" s="3"/>
      <c r="D127" s="3"/>
      <c r="E127" s="3">
        <v>1625444.7915768444</v>
      </c>
      <c r="F127" s="3"/>
      <c r="G127" s="3"/>
      <c r="H127" s="3"/>
      <c r="I127" s="3"/>
      <c r="J127" s="3">
        <v>1625444.7915768444</v>
      </c>
      <c r="K127" s="26">
        <f t="shared" si="31"/>
        <v>2019</v>
      </c>
      <c r="L127" s="78"/>
      <c r="M127" s="37">
        <f t="shared" si="30"/>
        <v>300000.00000000012</v>
      </c>
      <c r="N127" s="31">
        <f t="shared" si="39"/>
        <v>0</v>
      </c>
      <c r="O127" s="31">
        <f t="shared" si="39"/>
        <v>0</v>
      </c>
      <c r="P127" s="31">
        <f t="shared" si="39"/>
        <v>0</v>
      </c>
      <c r="Q127" s="31">
        <f t="shared" si="39"/>
        <v>1</v>
      </c>
      <c r="R127" s="31">
        <f t="shared" si="39"/>
        <v>0</v>
      </c>
      <c r="S127" s="31">
        <f t="shared" si="39"/>
        <v>0</v>
      </c>
      <c r="T127" s="31">
        <f t="shared" si="39"/>
        <v>0</v>
      </c>
      <c r="U127" s="31">
        <f t="shared" si="39"/>
        <v>0</v>
      </c>
      <c r="V127" s="31">
        <f t="shared" si="39"/>
        <v>0</v>
      </c>
      <c r="W127" s="31">
        <f t="shared" si="39"/>
        <v>0</v>
      </c>
      <c r="X127" s="31">
        <f t="shared" si="40"/>
        <v>0</v>
      </c>
      <c r="Y127" s="31">
        <f t="shared" si="40"/>
        <v>0</v>
      </c>
      <c r="Z127" s="31">
        <f t="shared" si="40"/>
        <v>0</v>
      </c>
      <c r="AA127" s="31">
        <f t="shared" si="40"/>
        <v>0</v>
      </c>
      <c r="AB127" s="31">
        <f t="shared" si="40"/>
        <v>0</v>
      </c>
      <c r="AC127" s="31">
        <f t="shared" si="40"/>
        <v>0</v>
      </c>
      <c r="AD127" s="31">
        <f t="shared" si="40"/>
        <v>0</v>
      </c>
      <c r="AE127" s="31">
        <f t="shared" si="40"/>
        <v>0</v>
      </c>
      <c r="AF127" s="31">
        <f t="shared" si="40"/>
        <v>0</v>
      </c>
      <c r="AG127" s="31">
        <f t="shared" si="32"/>
        <v>1</v>
      </c>
    </row>
    <row r="128" spans="1:33" ht="10.5" x14ac:dyDescent="0.15">
      <c r="A128" s="1" t="s">
        <v>394</v>
      </c>
      <c r="B128" s="1" t="s">
        <v>395</v>
      </c>
      <c r="C128" s="3"/>
      <c r="D128" s="3"/>
      <c r="E128" s="3">
        <v>656429.43012404488</v>
      </c>
      <c r="F128" s="3"/>
      <c r="G128" s="3"/>
      <c r="H128" s="3"/>
      <c r="I128" s="3"/>
      <c r="J128" s="3">
        <v>656429.43012404488</v>
      </c>
      <c r="K128" s="26">
        <f t="shared" si="31"/>
        <v>2019</v>
      </c>
      <c r="L128" s="78"/>
      <c r="M128" s="37">
        <f t="shared" si="30"/>
        <v>455000</v>
      </c>
      <c r="N128" s="31">
        <f t="shared" si="39"/>
        <v>1</v>
      </c>
      <c r="O128" s="31">
        <f t="shared" si="39"/>
        <v>0</v>
      </c>
      <c r="P128" s="31">
        <f t="shared" si="39"/>
        <v>0</v>
      </c>
      <c r="Q128" s="31">
        <f t="shared" si="39"/>
        <v>0</v>
      </c>
      <c r="R128" s="31">
        <f t="shared" si="39"/>
        <v>0</v>
      </c>
      <c r="S128" s="31">
        <f t="shared" si="39"/>
        <v>0</v>
      </c>
      <c r="T128" s="31">
        <f t="shared" si="39"/>
        <v>0</v>
      </c>
      <c r="U128" s="31">
        <f t="shared" si="39"/>
        <v>0</v>
      </c>
      <c r="V128" s="31">
        <f t="shared" si="39"/>
        <v>0</v>
      </c>
      <c r="W128" s="31">
        <f t="shared" si="39"/>
        <v>0</v>
      </c>
      <c r="X128" s="31">
        <f t="shared" si="40"/>
        <v>0</v>
      </c>
      <c r="Y128" s="31">
        <f t="shared" si="40"/>
        <v>0</v>
      </c>
      <c r="Z128" s="31">
        <f t="shared" si="40"/>
        <v>0</v>
      </c>
      <c r="AA128" s="31">
        <f t="shared" si="40"/>
        <v>0</v>
      </c>
      <c r="AB128" s="31">
        <f t="shared" si="40"/>
        <v>0</v>
      </c>
      <c r="AC128" s="31">
        <f t="shared" si="40"/>
        <v>0</v>
      </c>
      <c r="AD128" s="31">
        <f t="shared" si="40"/>
        <v>0</v>
      </c>
      <c r="AE128" s="31">
        <f t="shared" si="40"/>
        <v>0</v>
      </c>
      <c r="AF128" s="31">
        <f t="shared" si="40"/>
        <v>0</v>
      </c>
      <c r="AG128" s="31">
        <f t="shared" si="32"/>
        <v>1</v>
      </c>
    </row>
    <row r="129" spans="1:33" ht="10.5" x14ac:dyDescent="0.15">
      <c r="A129" s="1" t="s">
        <v>396</v>
      </c>
      <c r="B129" s="1" t="s">
        <v>397</v>
      </c>
      <c r="C129" s="3"/>
      <c r="D129" s="3"/>
      <c r="E129" s="3"/>
      <c r="F129" s="3">
        <v>344664.49374639307</v>
      </c>
      <c r="G129" s="3"/>
      <c r="H129" s="3"/>
      <c r="I129" s="3"/>
      <c r="J129" s="3">
        <v>344664.49374639307</v>
      </c>
      <c r="K129" s="26">
        <f t="shared" si="31"/>
        <v>2020</v>
      </c>
      <c r="L129" s="78"/>
      <c r="M129" s="37">
        <f t="shared" si="30"/>
        <v>232999.99999999991</v>
      </c>
      <c r="N129" s="31">
        <f t="shared" ref="N129:W138" si="41">IF(OR(LEFT($A129,1)="E",LEFT($A129,1)="Z"),IF($M129=0,VLOOKUP(MID($A129,4,5),ProjectSplits,N$2,FALSE),IF(ISNA(VLOOKUP($A129,Estimates,N$1,FALSE)),VLOOKUP(MID($A129,4,5),ProjectSplits,N$2,FALSE),VLOOKUP($A129,Estimates,N$1,FALSE))),0)</f>
        <v>0.69957081545064381</v>
      </c>
      <c r="O129" s="31">
        <f t="shared" si="41"/>
        <v>0</v>
      </c>
      <c r="P129" s="31">
        <f t="shared" si="41"/>
        <v>0</v>
      </c>
      <c r="Q129" s="31">
        <f t="shared" si="41"/>
        <v>0</v>
      </c>
      <c r="R129" s="31">
        <f t="shared" si="41"/>
        <v>0</v>
      </c>
      <c r="S129" s="31">
        <f t="shared" si="41"/>
        <v>0</v>
      </c>
      <c r="T129" s="31">
        <f t="shared" si="41"/>
        <v>0</v>
      </c>
      <c r="U129" s="31">
        <f t="shared" si="41"/>
        <v>0.30042918454935619</v>
      </c>
      <c r="V129" s="31">
        <f t="shared" si="41"/>
        <v>0</v>
      </c>
      <c r="W129" s="31">
        <f t="shared" si="41"/>
        <v>0</v>
      </c>
      <c r="X129" s="31">
        <f t="shared" ref="X129:AF138" si="42">IF(OR(LEFT($A129,1)="E",LEFT($A129,1)="Z"),IF($M129=0,VLOOKUP(MID($A129,4,5),ProjectSplits,X$2,FALSE),IF(ISNA(VLOOKUP($A129,Estimates,X$1,FALSE)),VLOOKUP(MID($A129,4,5),ProjectSplits,X$2,FALSE),VLOOKUP($A129,Estimates,X$1,FALSE))),0)</f>
        <v>0</v>
      </c>
      <c r="Y129" s="31">
        <f t="shared" si="42"/>
        <v>0</v>
      </c>
      <c r="Z129" s="31">
        <f t="shared" si="42"/>
        <v>0</v>
      </c>
      <c r="AA129" s="31">
        <f t="shared" si="42"/>
        <v>0</v>
      </c>
      <c r="AB129" s="31">
        <f t="shared" si="42"/>
        <v>0</v>
      </c>
      <c r="AC129" s="31">
        <f t="shared" si="42"/>
        <v>0</v>
      </c>
      <c r="AD129" s="31">
        <f t="shared" si="42"/>
        <v>0</v>
      </c>
      <c r="AE129" s="31">
        <f t="shared" si="42"/>
        <v>0</v>
      </c>
      <c r="AF129" s="31">
        <f t="shared" si="42"/>
        <v>0</v>
      </c>
      <c r="AG129" s="31">
        <f t="shared" si="32"/>
        <v>1</v>
      </c>
    </row>
    <row r="130" spans="1:33" ht="10.5" x14ac:dyDescent="0.15">
      <c r="A130" s="1" t="s">
        <v>398</v>
      </c>
      <c r="B130" s="1" t="s">
        <v>399</v>
      </c>
      <c r="C130" s="3"/>
      <c r="D130" s="3"/>
      <c r="E130" s="3"/>
      <c r="F130" s="3">
        <v>208313.38461337876</v>
      </c>
      <c r="G130" s="3"/>
      <c r="H130" s="3"/>
      <c r="I130" s="3"/>
      <c r="J130" s="3">
        <v>208313.38461337876</v>
      </c>
      <c r="K130" s="26">
        <f t="shared" si="31"/>
        <v>2020</v>
      </c>
      <c r="L130" s="78"/>
      <c r="M130" s="37">
        <f t="shared" si="30"/>
        <v>163000.00000000003</v>
      </c>
      <c r="N130" s="31">
        <f t="shared" si="41"/>
        <v>0</v>
      </c>
      <c r="O130" s="31">
        <f t="shared" si="41"/>
        <v>0</v>
      </c>
      <c r="P130" s="31">
        <f t="shared" si="41"/>
        <v>0</v>
      </c>
      <c r="Q130" s="31">
        <f t="shared" si="41"/>
        <v>0</v>
      </c>
      <c r="R130" s="31">
        <f t="shared" si="41"/>
        <v>0</v>
      </c>
      <c r="S130" s="31">
        <f t="shared" si="41"/>
        <v>0</v>
      </c>
      <c r="T130" s="31">
        <f t="shared" si="41"/>
        <v>0</v>
      </c>
      <c r="U130" s="31">
        <f t="shared" si="41"/>
        <v>1</v>
      </c>
      <c r="V130" s="31">
        <f t="shared" si="41"/>
        <v>0</v>
      </c>
      <c r="W130" s="31">
        <f t="shared" si="41"/>
        <v>0</v>
      </c>
      <c r="X130" s="31">
        <f t="shared" si="42"/>
        <v>0</v>
      </c>
      <c r="Y130" s="31">
        <f t="shared" si="42"/>
        <v>0</v>
      </c>
      <c r="Z130" s="31">
        <f t="shared" si="42"/>
        <v>0</v>
      </c>
      <c r="AA130" s="31">
        <f t="shared" si="42"/>
        <v>0</v>
      </c>
      <c r="AB130" s="31">
        <f t="shared" si="42"/>
        <v>0</v>
      </c>
      <c r="AC130" s="31">
        <f t="shared" si="42"/>
        <v>0</v>
      </c>
      <c r="AD130" s="31">
        <f t="shared" si="42"/>
        <v>0</v>
      </c>
      <c r="AE130" s="31">
        <f t="shared" si="42"/>
        <v>0</v>
      </c>
      <c r="AF130" s="31">
        <f t="shared" si="42"/>
        <v>0</v>
      </c>
      <c r="AG130" s="31">
        <f t="shared" si="32"/>
        <v>1</v>
      </c>
    </row>
    <row r="131" spans="1:33" ht="10.5" x14ac:dyDescent="0.15">
      <c r="A131" s="1" t="s">
        <v>400</v>
      </c>
      <c r="B131" s="1" t="s">
        <v>2384</v>
      </c>
      <c r="C131" s="3"/>
      <c r="D131" s="3"/>
      <c r="E131" s="3"/>
      <c r="F131" s="3"/>
      <c r="G131" s="3">
        <v>1576865.2851654212</v>
      </c>
      <c r="H131" s="3"/>
      <c r="I131" s="3"/>
      <c r="J131" s="3">
        <v>1576865.2851654212</v>
      </c>
      <c r="K131" s="26">
        <f t="shared" si="31"/>
        <v>2021</v>
      </c>
      <c r="L131" s="78"/>
      <c r="M131" s="37">
        <f t="shared" si="30"/>
        <v>336119.99999999959</v>
      </c>
      <c r="N131" s="31">
        <f t="shared" si="41"/>
        <v>0</v>
      </c>
      <c r="O131" s="31">
        <f t="shared" si="41"/>
        <v>0</v>
      </c>
      <c r="P131" s="31">
        <f t="shared" si="41"/>
        <v>0</v>
      </c>
      <c r="Q131" s="31">
        <f t="shared" si="41"/>
        <v>1</v>
      </c>
      <c r="R131" s="31">
        <f t="shared" si="41"/>
        <v>0</v>
      </c>
      <c r="S131" s="31">
        <f t="shared" si="41"/>
        <v>0</v>
      </c>
      <c r="T131" s="31">
        <f t="shared" si="41"/>
        <v>0</v>
      </c>
      <c r="U131" s="31">
        <f t="shared" si="41"/>
        <v>0</v>
      </c>
      <c r="V131" s="31">
        <f t="shared" si="41"/>
        <v>0</v>
      </c>
      <c r="W131" s="31">
        <f t="shared" si="41"/>
        <v>0</v>
      </c>
      <c r="X131" s="31">
        <f t="shared" si="42"/>
        <v>0</v>
      </c>
      <c r="Y131" s="31">
        <f t="shared" si="42"/>
        <v>0</v>
      </c>
      <c r="Z131" s="31">
        <f t="shared" si="42"/>
        <v>0</v>
      </c>
      <c r="AA131" s="31">
        <f t="shared" si="42"/>
        <v>0</v>
      </c>
      <c r="AB131" s="31">
        <f t="shared" si="42"/>
        <v>0</v>
      </c>
      <c r="AC131" s="31">
        <f t="shared" si="42"/>
        <v>0</v>
      </c>
      <c r="AD131" s="31">
        <f t="shared" si="42"/>
        <v>0</v>
      </c>
      <c r="AE131" s="31">
        <f t="shared" si="42"/>
        <v>0</v>
      </c>
      <c r="AF131" s="31">
        <f t="shared" si="42"/>
        <v>0</v>
      </c>
      <c r="AG131" s="31">
        <f t="shared" si="32"/>
        <v>1</v>
      </c>
    </row>
    <row r="132" spans="1:33" ht="10.5" x14ac:dyDescent="0.15">
      <c r="A132" s="1" t="s">
        <v>401</v>
      </c>
      <c r="B132" s="1" t="s">
        <v>2313</v>
      </c>
      <c r="C132" s="3"/>
      <c r="D132" s="3"/>
      <c r="E132" s="3"/>
      <c r="F132" s="3">
        <v>2538066.6682547866</v>
      </c>
      <c r="G132" s="3"/>
      <c r="H132" s="3"/>
      <c r="I132" s="3"/>
      <c r="J132" s="3">
        <v>2538066.6682547866</v>
      </c>
      <c r="K132" s="26">
        <f t="shared" si="31"/>
        <v>2020</v>
      </c>
      <c r="L132" s="78"/>
      <c r="M132" s="37">
        <f t="shared" si="30"/>
        <v>460000.00000000041</v>
      </c>
      <c r="N132" s="31">
        <f t="shared" si="41"/>
        <v>0</v>
      </c>
      <c r="O132" s="31">
        <f t="shared" si="41"/>
        <v>0</v>
      </c>
      <c r="P132" s="31">
        <f t="shared" si="41"/>
        <v>0</v>
      </c>
      <c r="Q132" s="31">
        <f t="shared" si="41"/>
        <v>1</v>
      </c>
      <c r="R132" s="31">
        <f t="shared" si="41"/>
        <v>0</v>
      </c>
      <c r="S132" s="31">
        <f t="shared" si="41"/>
        <v>0</v>
      </c>
      <c r="T132" s="31">
        <f t="shared" si="41"/>
        <v>0</v>
      </c>
      <c r="U132" s="31">
        <f t="shared" si="41"/>
        <v>0</v>
      </c>
      <c r="V132" s="31">
        <f t="shared" si="41"/>
        <v>0</v>
      </c>
      <c r="W132" s="31">
        <f t="shared" si="41"/>
        <v>0</v>
      </c>
      <c r="X132" s="31">
        <f t="shared" si="42"/>
        <v>0</v>
      </c>
      <c r="Y132" s="31">
        <f t="shared" si="42"/>
        <v>0</v>
      </c>
      <c r="Z132" s="31">
        <f t="shared" si="42"/>
        <v>0</v>
      </c>
      <c r="AA132" s="31">
        <f t="shared" si="42"/>
        <v>0</v>
      </c>
      <c r="AB132" s="31">
        <f t="shared" si="42"/>
        <v>0</v>
      </c>
      <c r="AC132" s="31">
        <f t="shared" si="42"/>
        <v>0</v>
      </c>
      <c r="AD132" s="31">
        <f t="shared" si="42"/>
        <v>0</v>
      </c>
      <c r="AE132" s="31">
        <f t="shared" si="42"/>
        <v>0</v>
      </c>
      <c r="AF132" s="31">
        <f t="shared" si="42"/>
        <v>0</v>
      </c>
      <c r="AG132" s="31">
        <f t="shared" si="32"/>
        <v>1</v>
      </c>
    </row>
    <row r="133" spans="1:33" ht="10.5" x14ac:dyDescent="0.15">
      <c r="A133" s="1" t="s">
        <v>402</v>
      </c>
      <c r="B133" s="1" t="s">
        <v>403</v>
      </c>
      <c r="C133" s="3"/>
      <c r="D133" s="3"/>
      <c r="E133" s="3"/>
      <c r="F133" s="3"/>
      <c r="G133" s="3">
        <v>1467452.5432759903</v>
      </c>
      <c r="H133" s="3"/>
      <c r="I133" s="3"/>
      <c r="J133" s="3">
        <v>1467452.5432759903</v>
      </c>
      <c r="K133" s="26">
        <f t="shared" si="31"/>
        <v>2021</v>
      </c>
      <c r="L133" s="78"/>
      <c r="M133" s="37">
        <f t="shared" si="30"/>
        <v>260000.00000000047</v>
      </c>
      <c r="N133" s="31">
        <f t="shared" si="41"/>
        <v>0</v>
      </c>
      <c r="O133" s="31">
        <f t="shared" si="41"/>
        <v>0</v>
      </c>
      <c r="P133" s="31">
        <f t="shared" si="41"/>
        <v>0</v>
      </c>
      <c r="Q133" s="31">
        <f t="shared" si="41"/>
        <v>1</v>
      </c>
      <c r="R133" s="31">
        <f t="shared" si="41"/>
        <v>0</v>
      </c>
      <c r="S133" s="31">
        <f t="shared" si="41"/>
        <v>0</v>
      </c>
      <c r="T133" s="31">
        <f t="shared" si="41"/>
        <v>0</v>
      </c>
      <c r="U133" s="31">
        <f t="shared" si="41"/>
        <v>0</v>
      </c>
      <c r="V133" s="31">
        <f t="shared" si="41"/>
        <v>0</v>
      </c>
      <c r="W133" s="31">
        <f t="shared" si="41"/>
        <v>0</v>
      </c>
      <c r="X133" s="31">
        <f t="shared" si="42"/>
        <v>0</v>
      </c>
      <c r="Y133" s="31">
        <f t="shared" si="42"/>
        <v>0</v>
      </c>
      <c r="Z133" s="31">
        <f t="shared" si="42"/>
        <v>0</v>
      </c>
      <c r="AA133" s="31">
        <f t="shared" si="42"/>
        <v>0</v>
      </c>
      <c r="AB133" s="31">
        <f t="shared" si="42"/>
        <v>0</v>
      </c>
      <c r="AC133" s="31">
        <f t="shared" si="42"/>
        <v>0</v>
      </c>
      <c r="AD133" s="31">
        <f t="shared" si="42"/>
        <v>0</v>
      </c>
      <c r="AE133" s="31">
        <f t="shared" si="42"/>
        <v>0</v>
      </c>
      <c r="AF133" s="31">
        <f t="shared" si="42"/>
        <v>0</v>
      </c>
      <c r="AG133" s="31">
        <f t="shared" si="32"/>
        <v>1</v>
      </c>
    </row>
    <row r="134" spans="1:33" ht="10.5" x14ac:dyDescent="0.15">
      <c r="A134" s="1" t="s">
        <v>404</v>
      </c>
      <c r="B134" s="1" t="s">
        <v>405</v>
      </c>
      <c r="C134" s="3"/>
      <c r="D134" s="3"/>
      <c r="E134" s="3"/>
      <c r="F134" s="3"/>
      <c r="G134" s="3">
        <v>2034159.2335668372</v>
      </c>
      <c r="H134" s="3"/>
      <c r="I134" s="3"/>
      <c r="J134" s="3">
        <v>2034159.2335668372</v>
      </c>
      <c r="K134" s="26">
        <f t="shared" si="31"/>
        <v>2021</v>
      </c>
      <c r="L134" s="78"/>
      <c r="M134" s="37">
        <f t="shared" si="30"/>
        <v>180000.00000000015</v>
      </c>
      <c r="N134" s="31">
        <f t="shared" si="41"/>
        <v>0</v>
      </c>
      <c r="O134" s="31">
        <f t="shared" si="41"/>
        <v>0</v>
      </c>
      <c r="P134" s="31">
        <f t="shared" si="41"/>
        <v>0</v>
      </c>
      <c r="Q134" s="31">
        <f t="shared" si="41"/>
        <v>1</v>
      </c>
      <c r="R134" s="31">
        <f t="shared" si="41"/>
        <v>0</v>
      </c>
      <c r="S134" s="31">
        <f t="shared" si="41"/>
        <v>0</v>
      </c>
      <c r="T134" s="31">
        <f t="shared" si="41"/>
        <v>0</v>
      </c>
      <c r="U134" s="31">
        <f t="shared" si="41"/>
        <v>0</v>
      </c>
      <c r="V134" s="31">
        <f t="shared" si="41"/>
        <v>0</v>
      </c>
      <c r="W134" s="31">
        <f t="shared" si="41"/>
        <v>0</v>
      </c>
      <c r="X134" s="31">
        <f t="shared" si="42"/>
        <v>0</v>
      </c>
      <c r="Y134" s="31">
        <f t="shared" si="42"/>
        <v>0</v>
      </c>
      <c r="Z134" s="31">
        <f t="shared" si="42"/>
        <v>0</v>
      </c>
      <c r="AA134" s="31">
        <f t="shared" si="42"/>
        <v>0</v>
      </c>
      <c r="AB134" s="31">
        <f t="shared" si="42"/>
        <v>0</v>
      </c>
      <c r="AC134" s="31">
        <f t="shared" si="42"/>
        <v>0</v>
      </c>
      <c r="AD134" s="31">
        <f t="shared" si="42"/>
        <v>0</v>
      </c>
      <c r="AE134" s="31">
        <f t="shared" si="42"/>
        <v>0</v>
      </c>
      <c r="AF134" s="31">
        <f t="shared" si="42"/>
        <v>0</v>
      </c>
      <c r="AG134" s="31">
        <f t="shared" si="32"/>
        <v>1</v>
      </c>
    </row>
    <row r="135" spans="1:33" ht="10.5" x14ac:dyDescent="0.15">
      <c r="A135" s="1" t="s">
        <v>406</v>
      </c>
      <c r="B135" s="1" t="s">
        <v>407</v>
      </c>
      <c r="C135" s="3"/>
      <c r="D135" s="3"/>
      <c r="E135" s="3"/>
      <c r="F135" s="3">
        <v>2399843.5274897777</v>
      </c>
      <c r="G135" s="3"/>
      <c r="H135" s="3"/>
      <c r="I135" s="3"/>
      <c r="J135" s="3">
        <v>2399843.5274897777</v>
      </c>
      <c r="K135" s="26">
        <f t="shared" si="31"/>
        <v>2020</v>
      </c>
      <c r="L135" s="78"/>
      <c r="M135" s="37">
        <f t="shared" si="30"/>
        <v>2094358</v>
      </c>
      <c r="N135" s="31">
        <f t="shared" si="41"/>
        <v>0</v>
      </c>
      <c r="O135" s="31">
        <f t="shared" si="41"/>
        <v>0</v>
      </c>
      <c r="P135" s="31">
        <f t="shared" si="41"/>
        <v>0</v>
      </c>
      <c r="Q135" s="31">
        <f t="shared" si="41"/>
        <v>0</v>
      </c>
      <c r="R135" s="31">
        <f t="shared" si="41"/>
        <v>0</v>
      </c>
      <c r="S135" s="31">
        <f t="shared" si="41"/>
        <v>0</v>
      </c>
      <c r="T135" s="31">
        <f t="shared" si="41"/>
        <v>0</v>
      </c>
      <c r="U135" s="31">
        <f t="shared" si="41"/>
        <v>0</v>
      </c>
      <c r="V135" s="31">
        <f t="shared" si="41"/>
        <v>0</v>
      </c>
      <c r="W135" s="31">
        <f t="shared" si="41"/>
        <v>1</v>
      </c>
      <c r="X135" s="31">
        <f t="shared" si="42"/>
        <v>0</v>
      </c>
      <c r="Y135" s="31">
        <f t="shared" si="42"/>
        <v>0</v>
      </c>
      <c r="Z135" s="31">
        <f t="shared" si="42"/>
        <v>0</v>
      </c>
      <c r="AA135" s="31">
        <f t="shared" si="42"/>
        <v>0</v>
      </c>
      <c r="AB135" s="31">
        <f t="shared" si="42"/>
        <v>0</v>
      </c>
      <c r="AC135" s="31">
        <f t="shared" si="42"/>
        <v>0</v>
      </c>
      <c r="AD135" s="31">
        <f t="shared" si="42"/>
        <v>0</v>
      </c>
      <c r="AE135" s="31">
        <f t="shared" si="42"/>
        <v>0</v>
      </c>
      <c r="AF135" s="31">
        <f t="shared" si="42"/>
        <v>0</v>
      </c>
      <c r="AG135" s="31">
        <f t="shared" si="32"/>
        <v>1</v>
      </c>
    </row>
    <row r="136" spans="1:33" ht="10.5" x14ac:dyDescent="0.15">
      <c r="A136" s="1" t="s">
        <v>408</v>
      </c>
      <c r="B136" s="1" t="s">
        <v>409</v>
      </c>
      <c r="C136" s="3"/>
      <c r="D136" s="3">
        <v>2160040.7029354405</v>
      </c>
      <c r="E136" s="3"/>
      <c r="F136" s="3"/>
      <c r="G136" s="3"/>
      <c r="H136" s="3"/>
      <c r="I136" s="3"/>
      <c r="J136" s="3">
        <v>2160040.7029354405</v>
      </c>
      <c r="K136" s="26">
        <f t="shared" si="31"/>
        <v>2018</v>
      </c>
      <c r="L136" s="78"/>
      <c r="M136" s="37">
        <f t="shared" si="30"/>
        <v>107250.0000000001</v>
      </c>
      <c r="N136" s="31">
        <f t="shared" si="41"/>
        <v>0</v>
      </c>
      <c r="O136" s="31">
        <f t="shared" si="41"/>
        <v>0</v>
      </c>
      <c r="P136" s="31">
        <f t="shared" si="41"/>
        <v>0</v>
      </c>
      <c r="Q136" s="31">
        <f t="shared" si="41"/>
        <v>1</v>
      </c>
      <c r="R136" s="31">
        <f t="shared" si="41"/>
        <v>0</v>
      </c>
      <c r="S136" s="31">
        <f t="shared" si="41"/>
        <v>0</v>
      </c>
      <c r="T136" s="31">
        <f t="shared" si="41"/>
        <v>0</v>
      </c>
      <c r="U136" s="31">
        <f t="shared" si="41"/>
        <v>0</v>
      </c>
      <c r="V136" s="31">
        <f t="shared" si="41"/>
        <v>0</v>
      </c>
      <c r="W136" s="31">
        <f t="shared" si="41"/>
        <v>0</v>
      </c>
      <c r="X136" s="31">
        <f t="shared" si="42"/>
        <v>0</v>
      </c>
      <c r="Y136" s="31">
        <f t="shared" si="42"/>
        <v>0</v>
      </c>
      <c r="Z136" s="31">
        <f t="shared" si="42"/>
        <v>0</v>
      </c>
      <c r="AA136" s="31">
        <f t="shared" si="42"/>
        <v>0</v>
      </c>
      <c r="AB136" s="31">
        <f t="shared" si="42"/>
        <v>0</v>
      </c>
      <c r="AC136" s="31">
        <f t="shared" si="42"/>
        <v>0</v>
      </c>
      <c r="AD136" s="31">
        <f t="shared" si="42"/>
        <v>0</v>
      </c>
      <c r="AE136" s="31">
        <f t="shared" si="42"/>
        <v>0</v>
      </c>
      <c r="AF136" s="31">
        <f t="shared" si="42"/>
        <v>0</v>
      </c>
      <c r="AG136" s="31">
        <f t="shared" si="32"/>
        <v>1</v>
      </c>
    </row>
    <row r="137" spans="1:33" ht="10.5" x14ac:dyDescent="0.15">
      <c r="A137" s="1" t="s">
        <v>411</v>
      </c>
      <c r="B137" s="1" t="s">
        <v>412</v>
      </c>
      <c r="C137" s="3"/>
      <c r="D137" s="3"/>
      <c r="E137" s="3"/>
      <c r="F137" s="3"/>
      <c r="G137" s="3">
        <v>255566.09565183756</v>
      </c>
      <c r="H137" s="3"/>
      <c r="I137" s="3"/>
      <c r="J137" s="3">
        <v>255566.09565183756</v>
      </c>
      <c r="K137" s="26">
        <f t="shared" si="31"/>
        <v>2021</v>
      </c>
      <c r="L137" s="78"/>
      <c r="M137" s="37">
        <f t="shared" si="30"/>
        <v>170999.99999999997</v>
      </c>
      <c r="N137" s="31">
        <f t="shared" si="41"/>
        <v>1</v>
      </c>
      <c r="O137" s="31">
        <f t="shared" si="41"/>
        <v>0</v>
      </c>
      <c r="P137" s="31">
        <f t="shared" si="41"/>
        <v>0</v>
      </c>
      <c r="Q137" s="31">
        <f t="shared" si="41"/>
        <v>0</v>
      </c>
      <c r="R137" s="31">
        <f t="shared" si="41"/>
        <v>0</v>
      </c>
      <c r="S137" s="31">
        <f t="shared" si="41"/>
        <v>0</v>
      </c>
      <c r="T137" s="31">
        <f t="shared" si="41"/>
        <v>0</v>
      </c>
      <c r="U137" s="31">
        <f t="shared" si="41"/>
        <v>0</v>
      </c>
      <c r="V137" s="31">
        <f t="shared" si="41"/>
        <v>0</v>
      </c>
      <c r="W137" s="31">
        <f t="shared" si="41"/>
        <v>0</v>
      </c>
      <c r="X137" s="31">
        <f t="shared" si="42"/>
        <v>0</v>
      </c>
      <c r="Y137" s="31">
        <f t="shared" si="42"/>
        <v>0</v>
      </c>
      <c r="Z137" s="31">
        <f t="shared" si="42"/>
        <v>0</v>
      </c>
      <c r="AA137" s="31">
        <f t="shared" si="42"/>
        <v>0</v>
      </c>
      <c r="AB137" s="31">
        <f t="shared" si="42"/>
        <v>0</v>
      </c>
      <c r="AC137" s="31">
        <f t="shared" si="42"/>
        <v>0</v>
      </c>
      <c r="AD137" s="31">
        <f t="shared" si="42"/>
        <v>0</v>
      </c>
      <c r="AE137" s="31">
        <f t="shared" si="42"/>
        <v>0</v>
      </c>
      <c r="AF137" s="31">
        <f t="shared" si="42"/>
        <v>0</v>
      </c>
      <c r="AG137" s="31">
        <f t="shared" si="32"/>
        <v>1</v>
      </c>
    </row>
    <row r="138" spans="1:33" ht="10.5" x14ac:dyDescent="0.15">
      <c r="A138" s="1" t="s">
        <v>413</v>
      </c>
      <c r="B138" s="1" t="s">
        <v>414</v>
      </c>
      <c r="C138" s="3"/>
      <c r="D138" s="3"/>
      <c r="E138" s="3"/>
      <c r="F138" s="3"/>
      <c r="G138" s="3">
        <v>366692.57445512363</v>
      </c>
      <c r="H138" s="3"/>
      <c r="I138" s="3"/>
      <c r="J138" s="3">
        <v>366692.57445512363</v>
      </c>
      <c r="K138" s="26">
        <f t="shared" si="31"/>
        <v>2021</v>
      </c>
      <c r="L138" s="78"/>
      <c r="M138" s="37">
        <f t="shared" si="30"/>
        <v>244999.99999999994</v>
      </c>
      <c r="N138" s="31">
        <f t="shared" si="41"/>
        <v>0.76326530612244892</v>
      </c>
      <c r="O138" s="31">
        <f t="shared" si="41"/>
        <v>0</v>
      </c>
      <c r="P138" s="31">
        <f t="shared" si="41"/>
        <v>0</v>
      </c>
      <c r="Q138" s="31">
        <f t="shared" si="41"/>
        <v>0</v>
      </c>
      <c r="R138" s="31">
        <f t="shared" si="41"/>
        <v>0</v>
      </c>
      <c r="S138" s="31">
        <f t="shared" si="41"/>
        <v>0</v>
      </c>
      <c r="T138" s="31">
        <f t="shared" si="41"/>
        <v>0</v>
      </c>
      <c r="U138" s="31">
        <f t="shared" si="41"/>
        <v>0.23673469387755106</v>
      </c>
      <c r="V138" s="31">
        <f t="shared" si="41"/>
        <v>0</v>
      </c>
      <c r="W138" s="31">
        <f t="shared" si="41"/>
        <v>0</v>
      </c>
      <c r="X138" s="31">
        <f t="shared" si="42"/>
        <v>0</v>
      </c>
      <c r="Y138" s="31">
        <f t="shared" si="42"/>
        <v>0</v>
      </c>
      <c r="Z138" s="31">
        <f t="shared" si="42"/>
        <v>0</v>
      </c>
      <c r="AA138" s="31">
        <f t="shared" si="42"/>
        <v>0</v>
      </c>
      <c r="AB138" s="31">
        <f t="shared" si="42"/>
        <v>0</v>
      </c>
      <c r="AC138" s="31">
        <f t="shared" si="42"/>
        <v>0</v>
      </c>
      <c r="AD138" s="31">
        <f t="shared" si="42"/>
        <v>0</v>
      </c>
      <c r="AE138" s="31">
        <f t="shared" si="42"/>
        <v>0</v>
      </c>
      <c r="AF138" s="31">
        <f t="shared" si="42"/>
        <v>0</v>
      </c>
      <c r="AG138" s="31">
        <f t="shared" si="32"/>
        <v>1</v>
      </c>
    </row>
    <row r="139" spans="1:33" ht="10.5" x14ac:dyDescent="0.15">
      <c r="A139" s="1" t="s">
        <v>415</v>
      </c>
      <c r="B139" s="1" t="s">
        <v>416</v>
      </c>
      <c r="C139" s="3"/>
      <c r="D139" s="3"/>
      <c r="E139" s="3"/>
      <c r="F139" s="3"/>
      <c r="G139" s="3">
        <v>171759.34283595733</v>
      </c>
      <c r="H139" s="3"/>
      <c r="I139" s="3"/>
      <c r="J139" s="3">
        <v>171759.34283595733</v>
      </c>
      <c r="K139" s="26">
        <f t="shared" si="31"/>
        <v>2021</v>
      </c>
      <c r="L139" s="78"/>
      <c r="M139" s="37">
        <f t="shared" si="30"/>
        <v>114500</v>
      </c>
      <c r="N139" s="31">
        <f t="shared" ref="N139:W148" si="43">IF(OR(LEFT($A139,1)="E",LEFT($A139,1)="Z"),IF($M139=0,VLOOKUP(MID($A139,4,5),ProjectSplits,N$2,FALSE),IF(ISNA(VLOOKUP($A139,Estimates,N$1,FALSE)),VLOOKUP(MID($A139,4,5),ProjectSplits,N$2,FALSE),VLOOKUP($A139,Estimates,N$1,FALSE))),0)</f>
        <v>1</v>
      </c>
      <c r="O139" s="31">
        <f t="shared" si="43"/>
        <v>0</v>
      </c>
      <c r="P139" s="31">
        <f t="shared" si="43"/>
        <v>0</v>
      </c>
      <c r="Q139" s="31">
        <f t="shared" si="43"/>
        <v>0</v>
      </c>
      <c r="R139" s="31">
        <f t="shared" si="43"/>
        <v>0</v>
      </c>
      <c r="S139" s="31">
        <f t="shared" si="43"/>
        <v>0</v>
      </c>
      <c r="T139" s="31">
        <f t="shared" si="43"/>
        <v>0</v>
      </c>
      <c r="U139" s="31">
        <f t="shared" si="43"/>
        <v>0</v>
      </c>
      <c r="V139" s="31">
        <f t="shared" si="43"/>
        <v>0</v>
      </c>
      <c r="W139" s="31">
        <f t="shared" si="43"/>
        <v>0</v>
      </c>
      <c r="X139" s="31">
        <f t="shared" ref="X139:AF148" si="44">IF(OR(LEFT($A139,1)="E",LEFT($A139,1)="Z"),IF($M139=0,VLOOKUP(MID($A139,4,5),ProjectSplits,X$2,FALSE),IF(ISNA(VLOOKUP($A139,Estimates,X$1,FALSE)),VLOOKUP(MID($A139,4,5),ProjectSplits,X$2,FALSE),VLOOKUP($A139,Estimates,X$1,FALSE))),0)</f>
        <v>0</v>
      </c>
      <c r="Y139" s="31">
        <f t="shared" si="44"/>
        <v>0</v>
      </c>
      <c r="Z139" s="31">
        <f t="shared" si="44"/>
        <v>0</v>
      </c>
      <c r="AA139" s="31">
        <f t="shared" si="44"/>
        <v>0</v>
      </c>
      <c r="AB139" s="31">
        <f t="shared" si="44"/>
        <v>0</v>
      </c>
      <c r="AC139" s="31">
        <f t="shared" si="44"/>
        <v>0</v>
      </c>
      <c r="AD139" s="31">
        <f t="shared" si="44"/>
        <v>0</v>
      </c>
      <c r="AE139" s="31">
        <f t="shared" si="44"/>
        <v>0</v>
      </c>
      <c r="AF139" s="31">
        <f t="shared" si="44"/>
        <v>0</v>
      </c>
      <c r="AG139" s="31">
        <f t="shared" si="32"/>
        <v>1</v>
      </c>
    </row>
    <row r="140" spans="1:33" ht="10.5" x14ac:dyDescent="0.15">
      <c r="A140" s="1" t="s">
        <v>418</v>
      </c>
      <c r="B140" s="1" t="s">
        <v>419</v>
      </c>
      <c r="C140" s="3"/>
      <c r="D140" s="3"/>
      <c r="E140" s="3"/>
      <c r="F140" s="3"/>
      <c r="G140" s="3">
        <v>275834.51491327636</v>
      </c>
      <c r="H140" s="3"/>
      <c r="I140" s="3"/>
      <c r="J140" s="3">
        <v>275834.51491327636</v>
      </c>
      <c r="K140" s="26">
        <f t="shared" si="31"/>
        <v>2021</v>
      </c>
      <c r="L140" s="78"/>
      <c r="M140" s="37">
        <f t="shared" si="30"/>
        <v>217000</v>
      </c>
      <c r="N140" s="31">
        <f t="shared" si="43"/>
        <v>0</v>
      </c>
      <c r="O140" s="31">
        <f t="shared" si="43"/>
        <v>0</v>
      </c>
      <c r="P140" s="31">
        <f t="shared" si="43"/>
        <v>0</v>
      </c>
      <c r="Q140" s="31">
        <f t="shared" si="43"/>
        <v>0</v>
      </c>
      <c r="R140" s="31">
        <f t="shared" si="43"/>
        <v>0</v>
      </c>
      <c r="S140" s="31">
        <f t="shared" si="43"/>
        <v>0</v>
      </c>
      <c r="T140" s="31">
        <f t="shared" si="43"/>
        <v>0</v>
      </c>
      <c r="U140" s="31">
        <f t="shared" si="43"/>
        <v>1</v>
      </c>
      <c r="V140" s="31">
        <f t="shared" si="43"/>
        <v>0</v>
      </c>
      <c r="W140" s="31">
        <f t="shared" si="43"/>
        <v>0</v>
      </c>
      <c r="X140" s="31">
        <f t="shared" si="44"/>
        <v>0</v>
      </c>
      <c r="Y140" s="31">
        <f t="shared" si="44"/>
        <v>0</v>
      </c>
      <c r="Z140" s="31">
        <f t="shared" si="44"/>
        <v>0</v>
      </c>
      <c r="AA140" s="31">
        <f t="shared" si="44"/>
        <v>0</v>
      </c>
      <c r="AB140" s="31">
        <f t="shared" si="44"/>
        <v>0</v>
      </c>
      <c r="AC140" s="31">
        <f t="shared" si="44"/>
        <v>0</v>
      </c>
      <c r="AD140" s="31">
        <f t="shared" si="44"/>
        <v>0</v>
      </c>
      <c r="AE140" s="31">
        <f t="shared" si="44"/>
        <v>0</v>
      </c>
      <c r="AF140" s="31">
        <f t="shared" si="44"/>
        <v>0</v>
      </c>
      <c r="AG140" s="31">
        <f t="shared" si="32"/>
        <v>1</v>
      </c>
    </row>
    <row r="141" spans="1:33" ht="10.5" x14ac:dyDescent="0.15">
      <c r="A141" s="1" t="s">
        <v>420</v>
      </c>
      <c r="B141" s="1" t="s">
        <v>421</v>
      </c>
      <c r="C141" s="3"/>
      <c r="D141" s="3"/>
      <c r="E141" s="3"/>
      <c r="F141" s="3"/>
      <c r="G141" s="3"/>
      <c r="H141" s="3"/>
      <c r="I141" s="3">
        <v>7515585.749470165</v>
      </c>
      <c r="J141" s="3">
        <v>7515585.749470165</v>
      </c>
      <c r="K141" s="26">
        <f t="shared" si="31"/>
        <v>2023</v>
      </c>
      <c r="L141" s="78"/>
      <c r="M141" s="37">
        <f t="shared" si="30"/>
        <v>5155050.0829000007</v>
      </c>
      <c r="N141" s="31">
        <f t="shared" si="43"/>
        <v>0</v>
      </c>
      <c r="O141" s="31">
        <f t="shared" si="43"/>
        <v>0</v>
      </c>
      <c r="P141" s="31">
        <f t="shared" si="43"/>
        <v>1</v>
      </c>
      <c r="Q141" s="31">
        <f t="shared" si="43"/>
        <v>0</v>
      </c>
      <c r="R141" s="31">
        <f t="shared" si="43"/>
        <v>0</v>
      </c>
      <c r="S141" s="31">
        <f t="shared" si="43"/>
        <v>0</v>
      </c>
      <c r="T141" s="31">
        <f t="shared" si="43"/>
        <v>0</v>
      </c>
      <c r="U141" s="31">
        <f t="shared" si="43"/>
        <v>0</v>
      </c>
      <c r="V141" s="31">
        <f t="shared" si="43"/>
        <v>0</v>
      </c>
      <c r="W141" s="31">
        <f t="shared" si="43"/>
        <v>0</v>
      </c>
      <c r="X141" s="31">
        <f t="shared" si="44"/>
        <v>0</v>
      </c>
      <c r="Y141" s="31">
        <f t="shared" si="44"/>
        <v>0</v>
      </c>
      <c r="Z141" s="31">
        <f t="shared" si="44"/>
        <v>0</v>
      </c>
      <c r="AA141" s="31">
        <f t="shared" si="44"/>
        <v>0</v>
      </c>
      <c r="AB141" s="31">
        <f t="shared" si="44"/>
        <v>0</v>
      </c>
      <c r="AC141" s="31">
        <f t="shared" si="44"/>
        <v>0</v>
      </c>
      <c r="AD141" s="31">
        <f t="shared" si="44"/>
        <v>0</v>
      </c>
      <c r="AE141" s="31">
        <f t="shared" si="44"/>
        <v>0</v>
      </c>
      <c r="AF141" s="31">
        <f t="shared" si="44"/>
        <v>0</v>
      </c>
      <c r="AG141" s="31">
        <f t="shared" si="32"/>
        <v>1</v>
      </c>
    </row>
    <row r="142" spans="1:33" ht="10.5" x14ac:dyDescent="0.15">
      <c r="A142" s="1" t="s">
        <v>422</v>
      </c>
      <c r="B142" s="1" t="s">
        <v>423</v>
      </c>
      <c r="C142" s="3"/>
      <c r="D142" s="3"/>
      <c r="E142" s="3"/>
      <c r="F142" s="3"/>
      <c r="G142" s="3"/>
      <c r="H142" s="3"/>
      <c r="I142" s="3">
        <v>2143104.2568435869</v>
      </c>
      <c r="J142" s="3">
        <v>2143104.2568435869</v>
      </c>
      <c r="K142" s="26">
        <f t="shared" si="31"/>
        <v>2023</v>
      </c>
      <c r="L142" s="78"/>
      <c r="M142" s="37">
        <f t="shared" si="30"/>
        <v>180000.00000000015</v>
      </c>
      <c r="N142" s="31">
        <f t="shared" si="43"/>
        <v>0</v>
      </c>
      <c r="O142" s="31">
        <f t="shared" si="43"/>
        <v>0</v>
      </c>
      <c r="P142" s="31">
        <f t="shared" si="43"/>
        <v>0</v>
      </c>
      <c r="Q142" s="31">
        <f t="shared" si="43"/>
        <v>1</v>
      </c>
      <c r="R142" s="31">
        <f t="shared" si="43"/>
        <v>0</v>
      </c>
      <c r="S142" s="31">
        <f t="shared" si="43"/>
        <v>0</v>
      </c>
      <c r="T142" s="31">
        <f t="shared" si="43"/>
        <v>0</v>
      </c>
      <c r="U142" s="31">
        <f t="shared" si="43"/>
        <v>0</v>
      </c>
      <c r="V142" s="31">
        <f t="shared" si="43"/>
        <v>0</v>
      </c>
      <c r="W142" s="31">
        <f t="shared" si="43"/>
        <v>0</v>
      </c>
      <c r="X142" s="31">
        <f t="shared" si="44"/>
        <v>0</v>
      </c>
      <c r="Y142" s="31">
        <f t="shared" si="44"/>
        <v>0</v>
      </c>
      <c r="Z142" s="31">
        <f t="shared" si="44"/>
        <v>0</v>
      </c>
      <c r="AA142" s="31">
        <f t="shared" si="44"/>
        <v>0</v>
      </c>
      <c r="AB142" s="31">
        <f t="shared" si="44"/>
        <v>0</v>
      </c>
      <c r="AC142" s="31">
        <f t="shared" si="44"/>
        <v>0</v>
      </c>
      <c r="AD142" s="31">
        <f t="shared" si="44"/>
        <v>0</v>
      </c>
      <c r="AE142" s="31">
        <f t="shared" si="44"/>
        <v>0</v>
      </c>
      <c r="AF142" s="31">
        <f t="shared" si="44"/>
        <v>0</v>
      </c>
      <c r="AG142" s="31">
        <f t="shared" si="32"/>
        <v>1</v>
      </c>
    </row>
    <row r="143" spans="1:33" ht="10.5" x14ac:dyDescent="0.15">
      <c r="A143" s="1" t="s">
        <v>424</v>
      </c>
      <c r="B143" s="1" t="s">
        <v>425</v>
      </c>
      <c r="C143" s="3"/>
      <c r="D143" s="3"/>
      <c r="E143" s="3"/>
      <c r="F143" s="3"/>
      <c r="G143" s="3"/>
      <c r="H143" s="3">
        <v>376020.49735432776</v>
      </c>
      <c r="I143" s="3"/>
      <c r="J143" s="3">
        <v>376020.49735432776</v>
      </c>
      <c r="K143" s="26">
        <f t="shared" si="31"/>
        <v>2022</v>
      </c>
      <c r="L143" s="78"/>
      <c r="M143" s="37">
        <f t="shared" si="30"/>
        <v>244999.99999999997</v>
      </c>
      <c r="N143" s="31">
        <f t="shared" si="43"/>
        <v>1</v>
      </c>
      <c r="O143" s="31">
        <f t="shared" si="43"/>
        <v>0</v>
      </c>
      <c r="P143" s="31">
        <f t="shared" si="43"/>
        <v>0</v>
      </c>
      <c r="Q143" s="31">
        <f t="shared" si="43"/>
        <v>0</v>
      </c>
      <c r="R143" s="31">
        <f t="shared" si="43"/>
        <v>0</v>
      </c>
      <c r="S143" s="31">
        <f t="shared" si="43"/>
        <v>0</v>
      </c>
      <c r="T143" s="31">
        <f t="shared" si="43"/>
        <v>0</v>
      </c>
      <c r="U143" s="31">
        <f t="shared" si="43"/>
        <v>0</v>
      </c>
      <c r="V143" s="31">
        <f t="shared" si="43"/>
        <v>0</v>
      </c>
      <c r="W143" s="31">
        <f t="shared" si="43"/>
        <v>0</v>
      </c>
      <c r="X143" s="31">
        <f t="shared" si="44"/>
        <v>0</v>
      </c>
      <c r="Y143" s="31">
        <f t="shared" si="44"/>
        <v>0</v>
      </c>
      <c r="Z143" s="31">
        <f t="shared" si="44"/>
        <v>0</v>
      </c>
      <c r="AA143" s="31">
        <f t="shared" si="44"/>
        <v>0</v>
      </c>
      <c r="AB143" s="31">
        <f t="shared" si="44"/>
        <v>0</v>
      </c>
      <c r="AC143" s="31">
        <f t="shared" si="44"/>
        <v>0</v>
      </c>
      <c r="AD143" s="31">
        <f t="shared" si="44"/>
        <v>0</v>
      </c>
      <c r="AE143" s="31">
        <f t="shared" si="44"/>
        <v>0</v>
      </c>
      <c r="AF143" s="31">
        <f t="shared" si="44"/>
        <v>0</v>
      </c>
      <c r="AG143" s="31">
        <f t="shared" si="32"/>
        <v>1</v>
      </c>
    </row>
    <row r="144" spans="1:33" ht="10.5" x14ac:dyDescent="0.15">
      <c r="A144" s="1" t="s">
        <v>426</v>
      </c>
      <c r="B144" s="1" t="s">
        <v>427</v>
      </c>
      <c r="C144" s="3"/>
      <c r="D144" s="3"/>
      <c r="E144" s="3"/>
      <c r="F144" s="3"/>
      <c r="G144" s="3"/>
      <c r="H144" s="3">
        <v>392543.71899012552</v>
      </c>
      <c r="I144" s="3"/>
      <c r="J144" s="3">
        <v>392543.71899012552</v>
      </c>
      <c r="K144" s="26">
        <f t="shared" si="31"/>
        <v>2022</v>
      </c>
      <c r="L144" s="78"/>
      <c r="M144" s="37">
        <f t="shared" si="30"/>
        <v>255999.99999999994</v>
      </c>
      <c r="N144" s="31">
        <f t="shared" si="43"/>
        <v>0.76171875000000011</v>
      </c>
      <c r="O144" s="31">
        <f t="shared" si="43"/>
        <v>0</v>
      </c>
      <c r="P144" s="31">
        <f t="shared" si="43"/>
        <v>0</v>
      </c>
      <c r="Q144" s="31">
        <f t="shared" si="43"/>
        <v>0</v>
      </c>
      <c r="R144" s="31">
        <f t="shared" si="43"/>
        <v>0</v>
      </c>
      <c r="S144" s="31">
        <f t="shared" si="43"/>
        <v>0</v>
      </c>
      <c r="T144" s="31">
        <f t="shared" si="43"/>
        <v>0</v>
      </c>
      <c r="U144" s="31">
        <f t="shared" si="43"/>
        <v>0.23828125</v>
      </c>
      <c r="V144" s="31">
        <f t="shared" si="43"/>
        <v>0</v>
      </c>
      <c r="W144" s="31">
        <f t="shared" si="43"/>
        <v>0</v>
      </c>
      <c r="X144" s="31">
        <f t="shared" si="44"/>
        <v>0</v>
      </c>
      <c r="Y144" s="31">
        <f t="shared" si="44"/>
        <v>0</v>
      </c>
      <c r="Z144" s="31">
        <f t="shared" si="44"/>
        <v>0</v>
      </c>
      <c r="AA144" s="31">
        <f t="shared" si="44"/>
        <v>0</v>
      </c>
      <c r="AB144" s="31">
        <f t="shared" si="44"/>
        <v>0</v>
      </c>
      <c r="AC144" s="31">
        <f t="shared" si="44"/>
        <v>0</v>
      </c>
      <c r="AD144" s="31">
        <f t="shared" si="44"/>
        <v>0</v>
      </c>
      <c r="AE144" s="31">
        <f t="shared" si="44"/>
        <v>0</v>
      </c>
      <c r="AF144" s="31">
        <f t="shared" si="44"/>
        <v>0</v>
      </c>
      <c r="AG144" s="31">
        <f t="shared" si="32"/>
        <v>1</v>
      </c>
    </row>
    <row r="145" spans="1:33" ht="10.5" x14ac:dyDescent="0.15">
      <c r="A145" s="1" t="s">
        <v>428</v>
      </c>
      <c r="B145" s="1" t="s">
        <v>429</v>
      </c>
      <c r="C145" s="3"/>
      <c r="D145" s="3"/>
      <c r="E145" s="3"/>
      <c r="F145" s="3"/>
      <c r="G145" s="3"/>
      <c r="H145" s="3">
        <v>264679.03510183276</v>
      </c>
      <c r="I145" s="3"/>
      <c r="J145" s="3">
        <v>264679.03510183276</v>
      </c>
      <c r="K145" s="26">
        <f t="shared" si="31"/>
        <v>2022</v>
      </c>
      <c r="L145" s="78"/>
      <c r="M145" s="37">
        <f t="shared" si="30"/>
        <v>203999.99999999994</v>
      </c>
      <c r="N145" s="31">
        <f t="shared" si="43"/>
        <v>0</v>
      </c>
      <c r="O145" s="31">
        <f t="shared" si="43"/>
        <v>0</v>
      </c>
      <c r="P145" s="31">
        <f t="shared" si="43"/>
        <v>0</v>
      </c>
      <c r="Q145" s="31">
        <f t="shared" si="43"/>
        <v>0</v>
      </c>
      <c r="R145" s="31">
        <f t="shared" si="43"/>
        <v>0</v>
      </c>
      <c r="S145" s="31">
        <f t="shared" si="43"/>
        <v>0</v>
      </c>
      <c r="T145" s="31">
        <f t="shared" si="43"/>
        <v>0</v>
      </c>
      <c r="U145" s="31">
        <f t="shared" si="43"/>
        <v>1</v>
      </c>
      <c r="V145" s="31">
        <f t="shared" si="43"/>
        <v>0</v>
      </c>
      <c r="W145" s="31">
        <f t="shared" si="43"/>
        <v>0</v>
      </c>
      <c r="X145" s="31">
        <f t="shared" si="44"/>
        <v>0</v>
      </c>
      <c r="Y145" s="31">
        <f t="shared" si="44"/>
        <v>0</v>
      </c>
      <c r="Z145" s="31">
        <f t="shared" si="44"/>
        <v>0</v>
      </c>
      <c r="AA145" s="31">
        <f t="shared" si="44"/>
        <v>0</v>
      </c>
      <c r="AB145" s="31">
        <f t="shared" si="44"/>
        <v>0</v>
      </c>
      <c r="AC145" s="31">
        <f t="shared" si="44"/>
        <v>0</v>
      </c>
      <c r="AD145" s="31">
        <f t="shared" si="44"/>
        <v>0</v>
      </c>
      <c r="AE145" s="31">
        <f t="shared" si="44"/>
        <v>0</v>
      </c>
      <c r="AF145" s="31">
        <f t="shared" si="44"/>
        <v>0</v>
      </c>
      <c r="AG145" s="31">
        <f t="shared" si="32"/>
        <v>1</v>
      </c>
    </row>
    <row r="146" spans="1:33" ht="10.5" x14ac:dyDescent="0.15">
      <c r="A146" s="1" t="s">
        <v>430</v>
      </c>
      <c r="B146" s="1" t="s">
        <v>2385</v>
      </c>
      <c r="C146" s="3"/>
      <c r="D146" s="3"/>
      <c r="E146" s="3"/>
      <c r="F146" s="3"/>
      <c r="G146" s="3"/>
      <c r="H146" s="3">
        <v>1389996.3218268265</v>
      </c>
      <c r="I146" s="3"/>
      <c r="J146" s="3">
        <v>1389996.3218268265</v>
      </c>
      <c r="K146" s="26">
        <f t="shared" si="31"/>
        <v>2022</v>
      </c>
      <c r="L146" s="78"/>
      <c r="M146" s="37">
        <f t="shared" si="30"/>
        <v>287759.99999999988</v>
      </c>
      <c r="N146" s="31">
        <f t="shared" si="43"/>
        <v>0</v>
      </c>
      <c r="O146" s="31">
        <f t="shared" si="43"/>
        <v>0</v>
      </c>
      <c r="P146" s="31">
        <f t="shared" si="43"/>
        <v>0</v>
      </c>
      <c r="Q146" s="31">
        <f t="shared" si="43"/>
        <v>1</v>
      </c>
      <c r="R146" s="31">
        <f t="shared" si="43"/>
        <v>0</v>
      </c>
      <c r="S146" s="31">
        <f t="shared" si="43"/>
        <v>0</v>
      </c>
      <c r="T146" s="31">
        <f t="shared" si="43"/>
        <v>0</v>
      </c>
      <c r="U146" s="31">
        <f t="shared" si="43"/>
        <v>0</v>
      </c>
      <c r="V146" s="31">
        <f t="shared" si="43"/>
        <v>0</v>
      </c>
      <c r="W146" s="31">
        <f t="shared" si="43"/>
        <v>0</v>
      </c>
      <c r="X146" s="31">
        <f t="shared" si="44"/>
        <v>0</v>
      </c>
      <c r="Y146" s="31">
        <f t="shared" si="44"/>
        <v>0</v>
      </c>
      <c r="Z146" s="31">
        <f t="shared" si="44"/>
        <v>0</v>
      </c>
      <c r="AA146" s="31">
        <f t="shared" si="44"/>
        <v>0</v>
      </c>
      <c r="AB146" s="31">
        <f t="shared" si="44"/>
        <v>0</v>
      </c>
      <c r="AC146" s="31">
        <f t="shared" si="44"/>
        <v>0</v>
      </c>
      <c r="AD146" s="31">
        <f t="shared" si="44"/>
        <v>0</v>
      </c>
      <c r="AE146" s="31">
        <f t="shared" si="44"/>
        <v>0</v>
      </c>
      <c r="AF146" s="31">
        <f t="shared" si="44"/>
        <v>0</v>
      </c>
      <c r="AG146" s="31">
        <f t="shared" si="32"/>
        <v>1</v>
      </c>
    </row>
    <row r="147" spans="1:33" ht="10.5" x14ac:dyDescent="0.15">
      <c r="A147" s="1" t="s">
        <v>431</v>
      </c>
      <c r="B147" s="1" t="s">
        <v>2315</v>
      </c>
      <c r="C147" s="3"/>
      <c r="D147" s="3"/>
      <c r="E147" s="3"/>
      <c r="F147" s="3"/>
      <c r="G147" s="3"/>
      <c r="H147" s="3"/>
      <c r="I147" s="3">
        <v>1546908.477475201</v>
      </c>
      <c r="J147" s="3">
        <v>1546908.477475201</v>
      </c>
      <c r="K147" s="26">
        <f t="shared" si="31"/>
        <v>2023</v>
      </c>
      <c r="L147" s="78"/>
      <c r="M147" s="37">
        <f t="shared" ref="M147:M210" si="45">IF(ISNA(VLOOKUP($A147,Estimates,71,FALSE)),0,VLOOKUP($A147,Estimates,71,FALSE))</f>
        <v>259899.99999999994</v>
      </c>
      <c r="N147" s="31">
        <f t="shared" si="43"/>
        <v>0</v>
      </c>
      <c r="O147" s="31">
        <f t="shared" si="43"/>
        <v>0</v>
      </c>
      <c r="P147" s="31">
        <f t="shared" si="43"/>
        <v>0</v>
      </c>
      <c r="Q147" s="31">
        <f t="shared" si="43"/>
        <v>1</v>
      </c>
      <c r="R147" s="31">
        <f t="shared" si="43"/>
        <v>0</v>
      </c>
      <c r="S147" s="31">
        <f t="shared" si="43"/>
        <v>0</v>
      </c>
      <c r="T147" s="31">
        <f t="shared" si="43"/>
        <v>0</v>
      </c>
      <c r="U147" s="31">
        <f t="shared" si="43"/>
        <v>0</v>
      </c>
      <c r="V147" s="31">
        <f t="shared" si="43"/>
        <v>0</v>
      </c>
      <c r="W147" s="31">
        <f t="shared" si="43"/>
        <v>0</v>
      </c>
      <c r="X147" s="31">
        <f t="shared" si="44"/>
        <v>0</v>
      </c>
      <c r="Y147" s="31">
        <f t="shared" si="44"/>
        <v>0</v>
      </c>
      <c r="Z147" s="31">
        <f t="shared" si="44"/>
        <v>0</v>
      </c>
      <c r="AA147" s="31">
        <f t="shared" si="44"/>
        <v>0</v>
      </c>
      <c r="AB147" s="31">
        <f t="shared" si="44"/>
        <v>0</v>
      </c>
      <c r="AC147" s="31">
        <f t="shared" si="44"/>
        <v>0</v>
      </c>
      <c r="AD147" s="31">
        <f t="shared" si="44"/>
        <v>0</v>
      </c>
      <c r="AE147" s="31">
        <f t="shared" si="44"/>
        <v>0</v>
      </c>
      <c r="AF147" s="31">
        <f t="shared" si="44"/>
        <v>0</v>
      </c>
      <c r="AG147" s="31">
        <f t="shared" si="32"/>
        <v>1</v>
      </c>
    </row>
    <row r="148" spans="1:33" ht="10.5" x14ac:dyDescent="0.15">
      <c r="A148" s="1" t="s">
        <v>432</v>
      </c>
      <c r="B148" s="1" t="s">
        <v>433</v>
      </c>
      <c r="C148" s="3"/>
      <c r="D148" s="3"/>
      <c r="E148" s="3"/>
      <c r="F148" s="3"/>
      <c r="G148" s="3">
        <v>1024071.2681609576</v>
      </c>
      <c r="H148" s="3"/>
      <c r="I148" s="3"/>
      <c r="J148" s="3">
        <v>1024071.2681609576</v>
      </c>
      <c r="K148" s="26">
        <f t="shared" ref="K148:K211" si="46">INDEX($C$18:$I$18,1,MATCH(J148,$C148:$I148,0))</f>
        <v>2021</v>
      </c>
      <c r="L148" s="78"/>
      <c r="M148" s="37">
        <f t="shared" si="45"/>
        <v>0</v>
      </c>
      <c r="N148" s="31">
        <f t="shared" si="43"/>
        <v>0</v>
      </c>
      <c r="O148" s="31">
        <f t="shared" si="43"/>
        <v>0</v>
      </c>
      <c r="P148" s="31">
        <f t="shared" si="43"/>
        <v>0</v>
      </c>
      <c r="Q148" s="31">
        <f t="shared" si="43"/>
        <v>1</v>
      </c>
      <c r="R148" s="31">
        <f t="shared" si="43"/>
        <v>0</v>
      </c>
      <c r="S148" s="31">
        <f t="shared" si="43"/>
        <v>0</v>
      </c>
      <c r="T148" s="31">
        <f t="shared" si="43"/>
        <v>0</v>
      </c>
      <c r="U148" s="31">
        <f t="shared" si="43"/>
        <v>0</v>
      </c>
      <c r="V148" s="31">
        <f t="shared" si="43"/>
        <v>0</v>
      </c>
      <c r="W148" s="31">
        <f t="shared" si="43"/>
        <v>0</v>
      </c>
      <c r="X148" s="31">
        <f t="shared" si="44"/>
        <v>0</v>
      </c>
      <c r="Y148" s="31">
        <f t="shared" si="44"/>
        <v>0</v>
      </c>
      <c r="Z148" s="31">
        <f t="shared" si="44"/>
        <v>0</v>
      </c>
      <c r="AA148" s="31">
        <f t="shared" si="44"/>
        <v>0</v>
      </c>
      <c r="AB148" s="31">
        <f t="shared" si="44"/>
        <v>0</v>
      </c>
      <c r="AC148" s="31">
        <f t="shared" si="44"/>
        <v>0</v>
      </c>
      <c r="AD148" s="31">
        <f t="shared" si="44"/>
        <v>0</v>
      </c>
      <c r="AE148" s="31">
        <f t="shared" si="44"/>
        <v>0</v>
      </c>
      <c r="AF148" s="31">
        <f t="shared" si="44"/>
        <v>0</v>
      </c>
      <c r="AG148" s="31">
        <f t="shared" ref="AG148:AG211" si="47">SUM(N148:AF148)</f>
        <v>1</v>
      </c>
    </row>
    <row r="149" spans="1:33" ht="10.5" x14ac:dyDescent="0.15">
      <c r="A149" s="1" t="s">
        <v>434</v>
      </c>
      <c r="B149" s="1" t="s">
        <v>435</v>
      </c>
      <c r="C149" s="3"/>
      <c r="D149" s="3"/>
      <c r="E149" s="3"/>
      <c r="F149" s="3"/>
      <c r="G149" s="3">
        <v>5274429.9347581752</v>
      </c>
      <c r="H149" s="3"/>
      <c r="I149" s="3"/>
      <c r="J149" s="3">
        <v>5274429.9347581752</v>
      </c>
      <c r="K149" s="26">
        <f t="shared" si="46"/>
        <v>2021</v>
      </c>
      <c r="L149" s="78"/>
      <c r="M149" s="37">
        <f t="shared" si="45"/>
        <v>2432639.9249999993</v>
      </c>
      <c r="N149" s="31">
        <f t="shared" ref="N149:W158" si="48">IF(OR(LEFT($A149,1)="E",LEFT($A149,1)="Z"),IF($M149=0,VLOOKUP(MID($A149,4,5),ProjectSplits,N$2,FALSE),IF(ISNA(VLOOKUP($A149,Estimates,N$1,FALSE)),VLOOKUP(MID($A149,4,5),ProjectSplits,N$2,FALSE),VLOOKUP($A149,Estimates,N$1,FALSE))),0)</f>
        <v>0</v>
      </c>
      <c r="O149" s="31">
        <f t="shared" si="48"/>
        <v>0.12332278275832378</v>
      </c>
      <c r="P149" s="31">
        <f t="shared" si="48"/>
        <v>0.50480138362441784</v>
      </c>
      <c r="Q149" s="31">
        <f t="shared" si="48"/>
        <v>0</v>
      </c>
      <c r="R149" s="31">
        <f t="shared" si="48"/>
        <v>0</v>
      </c>
      <c r="S149" s="31">
        <f t="shared" si="48"/>
        <v>0</v>
      </c>
      <c r="T149" s="31">
        <f t="shared" si="48"/>
        <v>0</v>
      </c>
      <c r="U149" s="31">
        <f t="shared" si="48"/>
        <v>0</v>
      </c>
      <c r="V149" s="31">
        <f t="shared" si="48"/>
        <v>0</v>
      </c>
      <c r="W149" s="31">
        <f t="shared" si="48"/>
        <v>0</v>
      </c>
      <c r="X149" s="31">
        <f t="shared" ref="X149:AF158" si="49">IF(OR(LEFT($A149,1)="E",LEFT($A149,1)="Z"),IF($M149=0,VLOOKUP(MID($A149,4,5),ProjectSplits,X$2,FALSE),IF(ISNA(VLOOKUP($A149,Estimates,X$1,FALSE)),VLOOKUP(MID($A149,4,5),ProjectSplits,X$2,FALSE),VLOOKUP($A149,Estimates,X$1,FALSE))),0)</f>
        <v>0</v>
      </c>
      <c r="Y149" s="31">
        <f t="shared" si="49"/>
        <v>0</v>
      </c>
      <c r="Z149" s="31">
        <f t="shared" si="49"/>
        <v>0</v>
      </c>
      <c r="AA149" s="31">
        <f t="shared" si="49"/>
        <v>0</v>
      </c>
      <c r="AB149" s="31">
        <f t="shared" si="49"/>
        <v>0.37187583361725846</v>
      </c>
      <c r="AC149" s="31">
        <f t="shared" si="49"/>
        <v>0</v>
      </c>
      <c r="AD149" s="31">
        <f t="shared" si="49"/>
        <v>0</v>
      </c>
      <c r="AE149" s="31">
        <f t="shared" si="49"/>
        <v>0</v>
      </c>
      <c r="AF149" s="31">
        <f t="shared" si="49"/>
        <v>0</v>
      </c>
      <c r="AG149" s="31">
        <f t="shared" si="47"/>
        <v>1</v>
      </c>
    </row>
    <row r="150" spans="1:33" ht="10.5" x14ac:dyDescent="0.15">
      <c r="A150" s="1" t="s">
        <v>438</v>
      </c>
      <c r="B150" s="1" t="s">
        <v>439</v>
      </c>
      <c r="C150" s="3"/>
      <c r="D150" s="3"/>
      <c r="E150" s="3"/>
      <c r="F150" s="3"/>
      <c r="G150" s="3"/>
      <c r="H150" s="3"/>
      <c r="I150" s="3">
        <v>161739.24229706635</v>
      </c>
      <c r="J150" s="3">
        <v>161739.24229706635</v>
      </c>
      <c r="K150" s="26">
        <f t="shared" si="46"/>
        <v>2023</v>
      </c>
      <c r="L150" s="78"/>
      <c r="M150" s="37">
        <f t="shared" si="45"/>
        <v>122000.00000000007</v>
      </c>
      <c r="N150" s="31">
        <f t="shared" si="48"/>
        <v>0</v>
      </c>
      <c r="O150" s="31">
        <f t="shared" si="48"/>
        <v>0</v>
      </c>
      <c r="P150" s="31">
        <f t="shared" si="48"/>
        <v>0</v>
      </c>
      <c r="Q150" s="31">
        <f t="shared" si="48"/>
        <v>0</v>
      </c>
      <c r="R150" s="31">
        <f t="shared" si="48"/>
        <v>0</v>
      </c>
      <c r="S150" s="31">
        <f t="shared" si="48"/>
        <v>0</v>
      </c>
      <c r="T150" s="31">
        <f t="shared" si="48"/>
        <v>0</v>
      </c>
      <c r="U150" s="31">
        <f t="shared" si="48"/>
        <v>1</v>
      </c>
      <c r="V150" s="31">
        <f t="shared" si="48"/>
        <v>0</v>
      </c>
      <c r="W150" s="31">
        <f t="shared" si="48"/>
        <v>0</v>
      </c>
      <c r="X150" s="31">
        <f t="shared" si="49"/>
        <v>0</v>
      </c>
      <c r="Y150" s="31">
        <f t="shared" si="49"/>
        <v>0</v>
      </c>
      <c r="Z150" s="31">
        <f t="shared" si="49"/>
        <v>0</v>
      </c>
      <c r="AA150" s="31">
        <f t="shared" si="49"/>
        <v>0</v>
      </c>
      <c r="AB150" s="31">
        <f t="shared" si="49"/>
        <v>0</v>
      </c>
      <c r="AC150" s="31">
        <f t="shared" si="49"/>
        <v>0</v>
      </c>
      <c r="AD150" s="31">
        <f t="shared" si="49"/>
        <v>0</v>
      </c>
      <c r="AE150" s="31">
        <f t="shared" si="49"/>
        <v>0</v>
      </c>
      <c r="AF150" s="31">
        <f t="shared" si="49"/>
        <v>0</v>
      </c>
      <c r="AG150" s="31">
        <f t="shared" si="47"/>
        <v>1</v>
      </c>
    </row>
    <row r="151" spans="1:33" ht="10.5" x14ac:dyDescent="0.15">
      <c r="A151" s="1" t="s">
        <v>445</v>
      </c>
      <c r="B151" s="1" t="s">
        <v>2316</v>
      </c>
      <c r="C151" s="3"/>
      <c r="D151" s="3"/>
      <c r="E151" s="3"/>
      <c r="F151" s="3"/>
      <c r="G151" s="3"/>
      <c r="H151" s="3">
        <v>2671911.5471261693</v>
      </c>
      <c r="I151" s="3"/>
      <c r="J151" s="3">
        <v>2671911.5471261693</v>
      </c>
      <c r="K151" s="26">
        <f t="shared" si="46"/>
        <v>2022</v>
      </c>
      <c r="L151" s="78"/>
      <c r="M151" s="37">
        <f t="shared" si="45"/>
        <v>459999.99999999948</v>
      </c>
      <c r="N151" s="31">
        <f t="shared" si="48"/>
        <v>0</v>
      </c>
      <c r="O151" s="31">
        <f t="shared" si="48"/>
        <v>0</v>
      </c>
      <c r="P151" s="31">
        <f t="shared" si="48"/>
        <v>0</v>
      </c>
      <c r="Q151" s="31">
        <f t="shared" si="48"/>
        <v>1</v>
      </c>
      <c r="R151" s="31">
        <f t="shared" si="48"/>
        <v>0</v>
      </c>
      <c r="S151" s="31">
        <f t="shared" si="48"/>
        <v>0</v>
      </c>
      <c r="T151" s="31">
        <f t="shared" si="48"/>
        <v>0</v>
      </c>
      <c r="U151" s="31">
        <f t="shared" si="48"/>
        <v>0</v>
      </c>
      <c r="V151" s="31">
        <f t="shared" si="48"/>
        <v>0</v>
      </c>
      <c r="W151" s="31">
        <f t="shared" si="48"/>
        <v>0</v>
      </c>
      <c r="X151" s="31">
        <f t="shared" si="49"/>
        <v>0</v>
      </c>
      <c r="Y151" s="31">
        <f t="shared" si="49"/>
        <v>0</v>
      </c>
      <c r="Z151" s="31">
        <f t="shared" si="49"/>
        <v>0</v>
      </c>
      <c r="AA151" s="31">
        <f t="shared" si="49"/>
        <v>0</v>
      </c>
      <c r="AB151" s="31">
        <f t="shared" si="49"/>
        <v>0</v>
      </c>
      <c r="AC151" s="31">
        <f t="shared" si="49"/>
        <v>0</v>
      </c>
      <c r="AD151" s="31">
        <f t="shared" si="49"/>
        <v>0</v>
      </c>
      <c r="AE151" s="31">
        <f t="shared" si="49"/>
        <v>0</v>
      </c>
      <c r="AF151" s="31">
        <f t="shared" si="49"/>
        <v>0</v>
      </c>
      <c r="AG151" s="31">
        <f t="shared" si="47"/>
        <v>1</v>
      </c>
    </row>
    <row r="152" spans="1:33" ht="10.5" x14ac:dyDescent="0.15">
      <c r="A152" s="1" t="s">
        <v>446</v>
      </c>
      <c r="B152" s="1" t="s">
        <v>2317</v>
      </c>
      <c r="C152" s="3"/>
      <c r="D152" s="3"/>
      <c r="E152" s="3"/>
      <c r="F152" s="3"/>
      <c r="G152" s="3"/>
      <c r="H152" s="3"/>
      <c r="I152" s="3">
        <v>2564120.377474633</v>
      </c>
      <c r="J152" s="3">
        <v>2564120.377474633</v>
      </c>
      <c r="K152" s="26">
        <f t="shared" si="46"/>
        <v>2023</v>
      </c>
      <c r="L152" s="78"/>
      <c r="M152" s="37">
        <f t="shared" si="45"/>
        <v>432300.00000000058</v>
      </c>
      <c r="N152" s="31">
        <f t="shared" si="48"/>
        <v>0</v>
      </c>
      <c r="O152" s="31">
        <f t="shared" si="48"/>
        <v>0</v>
      </c>
      <c r="P152" s="31">
        <f t="shared" si="48"/>
        <v>0</v>
      </c>
      <c r="Q152" s="31">
        <f t="shared" si="48"/>
        <v>1</v>
      </c>
      <c r="R152" s="31">
        <f t="shared" si="48"/>
        <v>0</v>
      </c>
      <c r="S152" s="31">
        <f t="shared" si="48"/>
        <v>0</v>
      </c>
      <c r="T152" s="31">
        <f t="shared" si="48"/>
        <v>0</v>
      </c>
      <c r="U152" s="31">
        <f t="shared" si="48"/>
        <v>0</v>
      </c>
      <c r="V152" s="31">
        <f t="shared" si="48"/>
        <v>0</v>
      </c>
      <c r="W152" s="31">
        <f t="shared" si="48"/>
        <v>0</v>
      </c>
      <c r="X152" s="31">
        <f t="shared" si="49"/>
        <v>0</v>
      </c>
      <c r="Y152" s="31">
        <f t="shared" si="49"/>
        <v>0</v>
      </c>
      <c r="Z152" s="31">
        <f t="shared" si="49"/>
        <v>0</v>
      </c>
      <c r="AA152" s="31">
        <f t="shared" si="49"/>
        <v>0</v>
      </c>
      <c r="AB152" s="31">
        <f t="shared" si="49"/>
        <v>0</v>
      </c>
      <c r="AC152" s="31">
        <f t="shared" si="49"/>
        <v>0</v>
      </c>
      <c r="AD152" s="31">
        <f t="shared" si="49"/>
        <v>0</v>
      </c>
      <c r="AE152" s="31">
        <f t="shared" si="49"/>
        <v>0</v>
      </c>
      <c r="AF152" s="31">
        <f t="shared" si="49"/>
        <v>0</v>
      </c>
      <c r="AG152" s="31">
        <f t="shared" si="47"/>
        <v>1</v>
      </c>
    </row>
    <row r="153" spans="1:33" ht="10.5" x14ac:dyDescent="0.15">
      <c r="A153" s="1" t="s">
        <v>447</v>
      </c>
      <c r="B153" s="1" t="s">
        <v>2319</v>
      </c>
      <c r="C153" s="3"/>
      <c r="D153" s="3"/>
      <c r="E153" s="3"/>
      <c r="F153" s="3"/>
      <c r="G153" s="3"/>
      <c r="H153" s="3"/>
      <c r="I153" s="3">
        <v>478217.71981534152</v>
      </c>
      <c r="J153" s="3">
        <v>478217.71981534152</v>
      </c>
      <c r="K153" s="26">
        <f t="shared" si="46"/>
        <v>2023</v>
      </c>
      <c r="L153" s="78"/>
      <c r="M153" s="37">
        <f t="shared" si="45"/>
        <v>80000</v>
      </c>
      <c r="N153" s="31">
        <f t="shared" si="48"/>
        <v>0</v>
      </c>
      <c r="O153" s="31">
        <f t="shared" si="48"/>
        <v>0</v>
      </c>
      <c r="P153" s="31">
        <f t="shared" si="48"/>
        <v>0</v>
      </c>
      <c r="Q153" s="31">
        <f t="shared" si="48"/>
        <v>1</v>
      </c>
      <c r="R153" s="31">
        <f t="shared" si="48"/>
        <v>0</v>
      </c>
      <c r="S153" s="31">
        <f t="shared" si="48"/>
        <v>0</v>
      </c>
      <c r="T153" s="31">
        <f t="shared" si="48"/>
        <v>0</v>
      </c>
      <c r="U153" s="31">
        <f t="shared" si="48"/>
        <v>0</v>
      </c>
      <c r="V153" s="31">
        <f t="shared" si="48"/>
        <v>0</v>
      </c>
      <c r="W153" s="31">
        <f t="shared" si="48"/>
        <v>0</v>
      </c>
      <c r="X153" s="31">
        <f t="shared" si="49"/>
        <v>0</v>
      </c>
      <c r="Y153" s="31">
        <f t="shared" si="49"/>
        <v>0</v>
      </c>
      <c r="Z153" s="31">
        <f t="shared" si="49"/>
        <v>0</v>
      </c>
      <c r="AA153" s="31">
        <f t="shared" si="49"/>
        <v>0</v>
      </c>
      <c r="AB153" s="31">
        <f t="shared" si="49"/>
        <v>0</v>
      </c>
      <c r="AC153" s="31">
        <f t="shared" si="49"/>
        <v>0</v>
      </c>
      <c r="AD153" s="31">
        <f t="shared" si="49"/>
        <v>0</v>
      </c>
      <c r="AE153" s="31">
        <f t="shared" si="49"/>
        <v>0</v>
      </c>
      <c r="AF153" s="31">
        <f t="shared" si="49"/>
        <v>0</v>
      </c>
      <c r="AG153" s="31">
        <f t="shared" si="47"/>
        <v>1</v>
      </c>
    </row>
    <row r="154" spans="1:33" ht="10.5" x14ac:dyDescent="0.15">
      <c r="A154" s="1" t="s">
        <v>449</v>
      </c>
      <c r="B154" s="1" t="s">
        <v>2320</v>
      </c>
      <c r="C154" s="3"/>
      <c r="D154" s="3"/>
      <c r="E154" s="3"/>
      <c r="F154" s="3"/>
      <c r="G154" s="3"/>
      <c r="H154" s="3"/>
      <c r="I154" s="3">
        <v>1010931.9196449519</v>
      </c>
      <c r="J154" s="3">
        <v>1010931.9196449519</v>
      </c>
      <c r="K154" s="26">
        <f t="shared" si="46"/>
        <v>2023</v>
      </c>
      <c r="L154" s="78"/>
      <c r="M154" s="37">
        <f t="shared" si="45"/>
        <v>160000.00000000009</v>
      </c>
      <c r="N154" s="31">
        <f t="shared" si="48"/>
        <v>0</v>
      </c>
      <c r="O154" s="31">
        <f t="shared" si="48"/>
        <v>0</v>
      </c>
      <c r="P154" s="31">
        <f t="shared" si="48"/>
        <v>0</v>
      </c>
      <c r="Q154" s="31">
        <f t="shared" si="48"/>
        <v>1</v>
      </c>
      <c r="R154" s="31">
        <f t="shared" si="48"/>
        <v>0</v>
      </c>
      <c r="S154" s="31">
        <f t="shared" si="48"/>
        <v>0</v>
      </c>
      <c r="T154" s="31">
        <f t="shared" si="48"/>
        <v>0</v>
      </c>
      <c r="U154" s="31">
        <f t="shared" si="48"/>
        <v>0</v>
      </c>
      <c r="V154" s="31">
        <f t="shared" si="48"/>
        <v>0</v>
      </c>
      <c r="W154" s="31">
        <f t="shared" si="48"/>
        <v>0</v>
      </c>
      <c r="X154" s="31">
        <f t="shared" si="49"/>
        <v>0</v>
      </c>
      <c r="Y154" s="31">
        <f t="shared" si="49"/>
        <v>0</v>
      </c>
      <c r="Z154" s="31">
        <f t="shared" si="49"/>
        <v>0</v>
      </c>
      <c r="AA154" s="31">
        <f t="shared" si="49"/>
        <v>0</v>
      </c>
      <c r="AB154" s="31">
        <f t="shared" si="49"/>
        <v>0</v>
      </c>
      <c r="AC154" s="31">
        <f t="shared" si="49"/>
        <v>0</v>
      </c>
      <c r="AD154" s="31">
        <f t="shared" si="49"/>
        <v>0</v>
      </c>
      <c r="AE154" s="31">
        <f t="shared" si="49"/>
        <v>0</v>
      </c>
      <c r="AF154" s="31">
        <f t="shared" si="49"/>
        <v>0</v>
      </c>
      <c r="AG154" s="31">
        <f t="shared" si="47"/>
        <v>1</v>
      </c>
    </row>
    <row r="155" spans="1:33" ht="10.5" x14ac:dyDescent="0.15">
      <c r="A155" s="1" t="s">
        <v>452</v>
      </c>
      <c r="B155" s="1" t="s">
        <v>2387</v>
      </c>
      <c r="C155" s="3">
        <v>333365.28695593833</v>
      </c>
      <c r="D155" s="3"/>
      <c r="E155" s="3"/>
      <c r="F155" s="3"/>
      <c r="G155" s="3"/>
      <c r="H155" s="3"/>
      <c r="I155" s="3"/>
      <c r="J155" s="3">
        <v>333365.28695593833</v>
      </c>
      <c r="K155" s="26">
        <f t="shared" si="46"/>
        <v>2017</v>
      </c>
      <c r="L155" s="78"/>
      <c r="M155" s="37">
        <f t="shared" si="45"/>
        <v>0</v>
      </c>
      <c r="N155" s="31">
        <f t="shared" si="48"/>
        <v>0</v>
      </c>
      <c r="O155" s="31">
        <f t="shared" si="48"/>
        <v>0</v>
      </c>
      <c r="P155" s="31">
        <f t="shared" si="48"/>
        <v>0</v>
      </c>
      <c r="Q155" s="31">
        <f t="shared" si="48"/>
        <v>1</v>
      </c>
      <c r="R155" s="31">
        <f t="shared" si="48"/>
        <v>0</v>
      </c>
      <c r="S155" s="31">
        <f t="shared" si="48"/>
        <v>0</v>
      </c>
      <c r="T155" s="31">
        <f t="shared" si="48"/>
        <v>0</v>
      </c>
      <c r="U155" s="31">
        <f t="shared" si="48"/>
        <v>0</v>
      </c>
      <c r="V155" s="31">
        <f t="shared" si="48"/>
        <v>0</v>
      </c>
      <c r="W155" s="31">
        <f t="shared" si="48"/>
        <v>0</v>
      </c>
      <c r="X155" s="31">
        <f t="shared" si="49"/>
        <v>0</v>
      </c>
      <c r="Y155" s="31">
        <f t="shared" si="49"/>
        <v>0</v>
      </c>
      <c r="Z155" s="31">
        <f t="shared" si="49"/>
        <v>0</v>
      </c>
      <c r="AA155" s="31">
        <f t="shared" si="49"/>
        <v>0</v>
      </c>
      <c r="AB155" s="31">
        <f t="shared" si="49"/>
        <v>0</v>
      </c>
      <c r="AC155" s="31">
        <f t="shared" si="49"/>
        <v>0</v>
      </c>
      <c r="AD155" s="31">
        <f t="shared" si="49"/>
        <v>0</v>
      </c>
      <c r="AE155" s="31">
        <f t="shared" si="49"/>
        <v>0</v>
      </c>
      <c r="AF155" s="31">
        <f t="shared" si="49"/>
        <v>0</v>
      </c>
      <c r="AG155" s="31">
        <f t="shared" si="47"/>
        <v>1</v>
      </c>
    </row>
    <row r="156" spans="1:33" ht="10.5" x14ac:dyDescent="0.15">
      <c r="A156" s="1" t="s">
        <v>454</v>
      </c>
      <c r="B156" s="1" t="s">
        <v>2388</v>
      </c>
      <c r="C156" s="3"/>
      <c r="D156" s="3"/>
      <c r="E156" s="3">
        <v>465276.79302754544</v>
      </c>
      <c r="F156" s="3"/>
      <c r="G156" s="3"/>
      <c r="H156" s="3"/>
      <c r="I156" s="3"/>
      <c r="J156" s="3">
        <v>465276.79302754544</v>
      </c>
      <c r="K156" s="26">
        <f t="shared" si="46"/>
        <v>2019</v>
      </c>
      <c r="L156" s="78"/>
      <c r="M156" s="37">
        <f t="shared" si="45"/>
        <v>0</v>
      </c>
      <c r="N156" s="31">
        <f t="shared" si="48"/>
        <v>0</v>
      </c>
      <c r="O156" s="31">
        <f t="shared" si="48"/>
        <v>0</v>
      </c>
      <c r="P156" s="31">
        <f t="shared" si="48"/>
        <v>0</v>
      </c>
      <c r="Q156" s="31">
        <f t="shared" si="48"/>
        <v>0</v>
      </c>
      <c r="R156" s="31">
        <f t="shared" si="48"/>
        <v>0</v>
      </c>
      <c r="S156" s="31">
        <f t="shared" si="48"/>
        <v>0</v>
      </c>
      <c r="T156" s="31">
        <f t="shared" si="48"/>
        <v>1</v>
      </c>
      <c r="U156" s="31">
        <f t="shared" si="48"/>
        <v>0</v>
      </c>
      <c r="V156" s="31">
        <f t="shared" si="48"/>
        <v>0</v>
      </c>
      <c r="W156" s="31">
        <f t="shared" si="48"/>
        <v>0</v>
      </c>
      <c r="X156" s="31">
        <f t="shared" si="49"/>
        <v>0</v>
      </c>
      <c r="Y156" s="31">
        <f t="shared" si="49"/>
        <v>0</v>
      </c>
      <c r="Z156" s="31">
        <f t="shared" si="49"/>
        <v>0</v>
      </c>
      <c r="AA156" s="31">
        <f t="shared" si="49"/>
        <v>0</v>
      </c>
      <c r="AB156" s="31">
        <f t="shared" si="49"/>
        <v>0</v>
      </c>
      <c r="AC156" s="31">
        <f t="shared" si="49"/>
        <v>0</v>
      </c>
      <c r="AD156" s="31">
        <f t="shared" si="49"/>
        <v>0</v>
      </c>
      <c r="AE156" s="31">
        <f t="shared" si="49"/>
        <v>0</v>
      </c>
      <c r="AF156" s="31">
        <f t="shared" si="49"/>
        <v>0</v>
      </c>
      <c r="AG156" s="31">
        <f t="shared" si="47"/>
        <v>1</v>
      </c>
    </row>
    <row r="157" spans="1:33" ht="10.5" x14ac:dyDescent="0.15">
      <c r="A157" s="1" t="s">
        <v>455</v>
      </c>
      <c r="B157" s="1" t="s">
        <v>456</v>
      </c>
      <c r="C157" s="3">
        <v>375302.29867357307</v>
      </c>
      <c r="D157" s="3"/>
      <c r="E157" s="3"/>
      <c r="F157" s="3"/>
      <c r="G157" s="3"/>
      <c r="H157" s="3"/>
      <c r="I157" s="3"/>
      <c r="J157" s="3">
        <v>375302.29867357307</v>
      </c>
      <c r="K157" s="26">
        <f t="shared" si="46"/>
        <v>2017</v>
      </c>
      <c r="L157" s="78"/>
      <c r="M157" s="37">
        <f t="shared" si="45"/>
        <v>0</v>
      </c>
      <c r="N157" s="31">
        <f t="shared" si="48"/>
        <v>0</v>
      </c>
      <c r="O157" s="31">
        <f t="shared" si="48"/>
        <v>0</v>
      </c>
      <c r="P157" s="31">
        <f t="shared" si="48"/>
        <v>0</v>
      </c>
      <c r="Q157" s="31">
        <f t="shared" si="48"/>
        <v>0</v>
      </c>
      <c r="R157" s="31">
        <f t="shared" si="48"/>
        <v>0</v>
      </c>
      <c r="S157" s="31">
        <f t="shared" si="48"/>
        <v>0</v>
      </c>
      <c r="T157" s="31">
        <f t="shared" si="48"/>
        <v>1</v>
      </c>
      <c r="U157" s="31">
        <f t="shared" si="48"/>
        <v>0</v>
      </c>
      <c r="V157" s="31">
        <f t="shared" si="48"/>
        <v>0</v>
      </c>
      <c r="W157" s="31">
        <f t="shared" si="48"/>
        <v>0</v>
      </c>
      <c r="X157" s="31">
        <f t="shared" si="49"/>
        <v>0</v>
      </c>
      <c r="Y157" s="31">
        <f t="shared" si="49"/>
        <v>0</v>
      </c>
      <c r="Z157" s="31">
        <f t="shared" si="49"/>
        <v>0</v>
      </c>
      <c r="AA157" s="31">
        <f t="shared" si="49"/>
        <v>0</v>
      </c>
      <c r="AB157" s="31">
        <f t="shared" si="49"/>
        <v>0</v>
      </c>
      <c r="AC157" s="31">
        <f t="shared" si="49"/>
        <v>0</v>
      </c>
      <c r="AD157" s="31">
        <f t="shared" si="49"/>
        <v>0</v>
      </c>
      <c r="AE157" s="31">
        <f t="shared" si="49"/>
        <v>0</v>
      </c>
      <c r="AF157" s="31">
        <f t="shared" si="49"/>
        <v>0</v>
      </c>
      <c r="AG157" s="31">
        <f t="shared" si="47"/>
        <v>1</v>
      </c>
    </row>
    <row r="158" spans="1:33" ht="10.5" x14ac:dyDescent="0.15">
      <c r="A158" s="1" t="s">
        <v>457</v>
      </c>
      <c r="B158" s="1" t="s">
        <v>458</v>
      </c>
      <c r="C158" s="3"/>
      <c r="D158" s="3"/>
      <c r="E158" s="3"/>
      <c r="F158" s="3"/>
      <c r="G158" s="3">
        <v>675447.62451682135</v>
      </c>
      <c r="H158" s="3"/>
      <c r="I158" s="3"/>
      <c r="J158" s="3">
        <v>675447.62451682135</v>
      </c>
      <c r="K158" s="26">
        <f t="shared" si="46"/>
        <v>2021</v>
      </c>
      <c r="L158" s="78"/>
      <c r="M158" s="37">
        <f t="shared" si="45"/>
        <v>0</v>
      </c>
      <c r="N158" s="31">
        <f t="shared" si="48"/>
        <v>0</v>
      </c>
      <c r="O158" s="31">
        <f t="shared" si="48"/>
        <v>0</v>
      </c>
      <c r="P158" s="31">
        <f t="shared" si="48"/>
        <v>0</v>
      </c>
      <c r="Q158" s="31">
        <f t="shared" si="48"/>
        <v>1</v>
      </c>
      <c r="R158" s="31">
        <f t="shared" si="48"/>
        <v>0</v>
      </c>
      <c r="S158" s="31">
        <f t="shared" si="48"/>
        <v>0</v>
      </c>
      <c r="T158" s="31">
        <f t="shared" si="48"/>
        <v>0</v>
      </c>
      <c r="U158" s="31">
        <f t="shared" si="48"/>
        <v>0</v>
      </c>
      <c r="V158" s="31">
        <f t="shared" si="48"/>
        <v>0</v>
      </c>
      <c r="W158" s="31">
        <f t="shared" si="48"/>
        <v>0</v>
      </c>
      <c r="X158" s="31">
        <f t="shared" si="49"/>
        <v>0</v>
      </c>
      <c r="Y158" s="31">
        <f t="shared" si="49"/>
        <v>0</v>
      </c>
      <c r="Z158" s="31">
        <f t="shared" si="49"/>
        <v>0</v>
      </c>
      <c r="AA158" s="31">
        <f t="shared" si="49"/>
        <v>0</v>
      </c>
      <c r="AB158" s="31">
        <f t="shared" si="49"/>
        <v>0</v>
      </c>
      <c r="AC158" s="31">
        <f t="shared" si="49"/>
        <v>0</v>
      </c>
      <c r="AD158" s="31">
        <f t="shared" si="49"/>
        <v>0</v>
      </c>
      <c r="AE158" s="31">
        <f t="shared" si="49"/>
        <v>0</v>
      </c>
      <c r="AF158" s="31">
        <f t="shared" si="49"/>
        <v>0</v>
      </c>
      <c r="AG158" s="31">
        <f t="shared" si="47"/>
        <v>1</v>
      </c>
    </row>
    <row r="159" spans="1:33" ht="10.5" x14ac:dyDescent="0.15">
      <c r="A159" s="1" t="s">
        <v>459</v>
      </c>
      <c r="B159" s="1" t="s">
        <v>460</v>
      </c>
      <c r="C159" s="95"/>
      <c r="D159" s="95"/>
      <c r="E159" s="95"/>
      <c r="F159" s="3"/>
      <c r="G159" s="3">
        <v>566660.17180304497</v>
      </c>
      <c r="H159" s="3"/>
      <c r="I159" s="3"/>
      <c r="J159" s="3">
        <v>566660.17180304497</v>
      </c>
      <c r="K159" s="26">
        <f t="shared" si="46"/>
        <v>2021</v>
      </c>
      <c r="L159" s="78"/>
      <c r="M159" s="37">
        <f t="shared" si="45"/>
        <v>0</v>
      </c>
      <c r="N159" s="31">
        <f t="shared" ref="N159:W168" si="50">IF(OR(LEFT($A159,1)="E",LEFT($A159,1)="Z"),IF($M159=0,VLOOKUP(MID($A159,4,5),ProjectSplits,N$2,FALSE),IF(ISNA(VLOOKUP($A159,Estimates,N$1,FALSE)),VLOOKUP(MID($A159,4,5),ProjectSplits,N$2,FALSE),VLOOKUP($A159,Estimates,N$1,FALSE))),0)</f>
        <v>0</v>
      </c>
      <c r="O159" s="31">
        <f t="shared" si="50"/>
        <v>0</v>
      </c>
      <c r="P159" s="31">
        <f t="shared" si="50"/>
        <v>0</v>
      </c>
      <c r="Q159" s="31">
        <f t="shared" si="50"/>
        <v>1</v>
      </c>
      <c r="R159" s="31">
        <f t="shared" si="50"/>
        <v>0</v>
      </c>
      <c r="S159" s="31">
        <f t="shared" si="50"/>
        <v>0</v>
      </c>
      <c r="T159" s="31">
        <f t="shared" si="50"/>
        <v>0</v>
      </c>
      <c r="U159" s="31">
        <f t="shared" si="50"/>
        <v>0</v>
      </c>
      <c r="V159" s="31">
        <f t="shared" si="50"/>
        <v>0</v>
      </c>
      <c r="W159" s="31">
        <f t="shared" si="50"/>
        <v>0</v>
      </c>
      <c r="X159" s="31">
        <f t="shared" ref="X159:AF168" si="51">IF(OR(LEFT($A159,1)="E",LEFT($A159,1)="Z"),IF($M159=0,VLOOKUP(MID($A159,4,5),ProjectSplits,X$2,FALSE),IF(ISNA(VLOOKUP($A159,Estimates,X$1,FALSE)),VLOOKUP(MID($A159,4,5),ProjectSplits,X$2,FALSE),VLOOKUP($A159,Estimates,X$1,FALSE))),0)</f>
        <v>0</v>
      </c>
      <c r="Y159" s="31">
        <f t="shared" si="51"/>
        <v>0</v>
      </c>
      <c r="Z159" s="31">
        <f t="shared" si="51"/>
        <v>0</v>
      </c>
      <c r="AA159" s="31">
        <f t="shared" si="51"/>
        <v>0</v>
      </c>
      <c r="AB159" s="31">
        <f t="shared" si="51"/>
        <v>0</v>
      </c>
      <c r="AC159" s="31">
        <f t="shared" si="51"/>
        <v>0</v>
      </c>
      <c r="AD159" s="31">
        <f t="shared" si="51"/>
        <v>0</v>
      </c>
      <c r="AE159" s="31">
        <f t="shared" si="51"/>
        <v>0</v>
      </c>
      <c r="AF159" s="31">
        <f t="shared" si="51"/>
        <v>0</v>
      </c>
      <c r="AG159" s="31">
        <f t="shared" si="47"/>
        <v>1</v>
      </c>
    </row>
    <row r="160" spans="1:33" ht="10.5" x14ac:dyDescent="0.15">
      <c r="A160" s="1" t="s">
        <v>461</v>
      </c>
      <c r="B160" s="1" t="s">
        <v>462</v>
      </c>
      <c r="C160" s="95">
        <v>395728.62518276414</v>
      </c>
      <c r="D160" s="95"/>
      <c r="E160" s="95"/>
      <c r="F160" s="3"/>
      <c r="G160" s="3"/>
      <c r="H160" s="3"/>
      <c r="I160" s="3"/>
      <c r="J160" s="3">
        <v>395728.62518276414</v>
      </c>
      <c r="K160" s="26">
        <f t="shared" si="46"/>
        <v>2017</v>
      </c>
      <c r="L160" s="78"/>
      <c r="M160" s="37">
        <f t="shared" si="45"/>
        <v>0</v>
      </c>
      <c r="N160" s="31">
        <f t="shared" si="50"/>
        <v>0</v>
      </c>
      <c r="O160" s="31">
        <f t="shared" si="50"/>
        <v>0</v>
      </c>
      <c r="P160" s="31">
        <f t="shared" si="50"/>
        <v>0</v>
      </c>
      <c r="Q160" s="31">
        <f t="shared" si="50"/>
        <v>1</v>
      </c>
      <c r="R160" s="31">
        <f t="shared" si="50"/>
        <v>0</v>
      </c>
      <c r="S160" s="31">
        <f t="shared" si="50"/>
        <v>0</v>
      </c>
      <c r="T160" s="31">
        <f t="shared" si="50"/>
        <v>0</v>
      </c>
      <c r="U160" s="31">
        <f t="shared" si="50"/>
        <v>0</v>
      </c>
      <c r="V160" s="31">
        <f t="shared" si="50"/>
        <v>0</v>
      </c>
      <c r="W160" s="31">
        <f t="shared" si="50"/>
        <v>0</v>
      </c>
      <c r="X160" s="31">
        <f t="shared" si="51"/>
        <v>0</v>
      </c>
      <c r="Y160" s="31">
        <f t="shared" si="51"/>
        <v>0</v>
      </c>
      <c r="Z160" s="31">
        <f t="shared" si="51"/>
        <v>0</v>
      </c>
      <c r="AA160" s="31">
        <f t="shared" si="51"/>
        <v>0</v>
      </c>
      <c r="AB160" s="31">
        <f t="shared" si="51"/>
        <v>0</v>
      </c>
      <c r="AC160" s="31">
        <f t="shared" si="51"/>
        <v>0</v>
      </c>
      <c r="AD160" s="31">
        <f t="shared" si="51"/>
        <v>0</v>
      </c>
      <c r="AE160" s="31">
        <f t="shared" si="51"/>
        <v>0</v>
      </c>
      <c r="AF160" s="31">
        <f t="shared" si="51"/>
        <v>0</v>
      </c>
      <c r="AG160" s="31">
        <f t="shared" si="47"/>
        <v>1</v>
      </c>
    </row>
    <row r="161" spans="1:33" ht="10.5" x14ac:dyDescent="0.15">
      <c r="A161" s="1" t="s">
        <v>463</v>
      </c>
      <c r="B161" s="1" t="s">
        <v>464</v>
      </c>
      <c r="C161" s="95"/>
      <c r="D161" s="95"/>
      <c r="E161" s="95"/>
      <c r="F161" s="3"/>
      <c r="G161" s="3"/>
      <c r="H161" s="3"/>
      <c r="I161" s="3">
        <v>1087360.2281593266</v>
      </c>
      <c r="J161" s="3">
        <v>1087360.2281593266</v>
      </c>
      <c r="K161" s="26">
        <f t="shared" si="46"/>
        <v>2023</v>
      </c>
      <c r="L161" s="78"/>
      <c r="M161" s="37">
        <f t="shared" si="45"/>
        <v>0</v>
      </c>
      <c r="N161" s="31">
        <f t="shared" si="50"/>
        <v>0</v>
      </c>
      <c r="O161" s="31">
        <f t="shared" si="50"/>
        <v>0</v>
      </c>
      <c r="P161" s="31">
        <f t="shared" si="50"/>
        <v>0</v>
      </c>
      <c r="Q161" s="31">
        <f t="shared" si="50"/>
        <v>1</v>
      </c>
      <c r="R161" s="31">
        <f t="shared" si="50"/>
        <v>0</v>
      </c>
      <c r="S161" s="31">
        <f t="shared" si="50"/>
        <v>0</v>
      </c>
      <c r="T161" s="31">
        <f t="shared" si="50"/>
        <v>0</v>
      </c>
      <c r="U161" s="31">
        <f t="shared" si="50"/>
        <v>0</v>
      </c>
      <c r="V161" s="31">
        <f t="shared" si="50"/>
        <v>0</v>
      </c>
      <c r="W161" s="31">
        <f t="shared" si="50"/>
        <v>0</v>
      </c>
      <c r="X161" s="31">
        <f t="shared" si="51"/>
        <v>0</v>
      </c>
      <c r="Y161" s="31">
        <f t="shared" si="51"/>
        <v>0</v>
      </c>
      <c r="Z161" s="31">
        <f t="shared" si="51"/>
        <v>0</v>
      </c>
      <c r="AA161" s="31">
        <f t="shared" si="51"/>
        <v>0</v>
      </c>
      <c r="AB161" s="31">
        <f t="shared" si="51"/>
        <v>0</v>
      </c>
      <c r="AC161" s="31">
        <f t="shared" si="51"/>
        <v>0</v>
      </c>
      <c r="AD161" s="31">
        <f t="shared" si="51"/>
        <v>0</v>
      </c>
      <c r="AE161" s="31">
        <f t="shared" si="51"/>
        <v>0</v>
      </c>
      <c r="AF161" s="31">
        <f t="shared" si="51"/>
        <v>0</v>
      </c>
      <c r="AG161" s="31">
        <f t="shared" si="47"/>
        <v>1</v>
      </c>
    </row>
    <row r="162" spans="1:33" ht="10.5" x14ac:dyDescent="0.15">
      <c r="A162" s="1" t="s">
        <v>465</v>
      </c>
      <c r="B162" s="1" t="s">
        <v>466</v>
      </c>
      <c r="C162" s="95"/>
      <c r="D162" s="95"/>
      <c r="E162" s="95"/>
      <c r="F162" s="3"/>
      <c r="G162" s="3"/>
      <c r="H162" s="3"/>
      <c r="I162" s="3">
        <v>1804701.2553640637</v>
      </c>
      <c r="J162" s="3">
        <v>1804701.2553640637</v>
      </c>
      <c r="K162" s="26">
        <f t="shared" si="46"/>
        <v>2023</v>
      </c>
      <c r="L162" s="78"/>
      <c r="M162" s="37">
        <f t="shared" si="45"/>
        <v>0</v>
      </c>
      <c r="N162" s="31">
        <f t="shared" si="50"/>
        <v>0</v>
      </c>
      <c r="O162" s="31">
        <f t="shared" si="50"/>
        <v>0</v>
      </c>
      <c r="P162" s="31">
        <f t="shared" si="50"/>
        <v>0</v>
      </c>
      <c r="Q162" s="31">
        <f t="shared" si="50"/>
        <v>0</v>
      </c>
      <c r="R162" s="31">
        <f t="shared" si="50"/>
        <v>0</v>
      </c>
      <c r="S162" s="31">
        <f t="shared" si="50"/>
        <v>0</v>
      </c>
      <c r="T162" s="31">
        <f t="shared" si="50"/>
        <v>1</v>
      </c>
      <c r="U162" s="31">
        <f t="shared" si="50"/>
        <v>0</v>
      </c>
      <c r="V162" s="31">
        <f t="shared" si="50"/>
        <v>0</v>
      </c>
      <c r="W162" s="31">
        <f t="shared" si="50"/>
        <v>0</v>
      </c>
      <c r="X162" s="31">
        <f t="shared" si="51"/>
        <v>0</v>
      </c>
      <c r="Y162" s="31">
        <f t="shared" si="51"/>
        <v>0</v>
      </c>
      <c r="Z162" s="31">
        <f t="shared" si="51"/>
        <v>0</v>
      </c>
      <c r="AA162" s="31">
        <f t="shared" si="51"/>
        <v>0</v>
      </c>
      <c r="AB162" s="31">
        <f t="shared" si="51"/>
        <v>0</v>
      </c>
      <c r="AC162" s="31">
        <f t="shared" si="51"/>
        <v>0</v>
      </c>
      <c r="AD162" s="31">
        <f t="shared" si="51"/>
        <v>0</v>
      </c>
      <c r="AE162" s="31">
        <f t="shared" si="51"/>
        <v>0</v>
      </c>
      <c r="AF162" s="31">
        <f t="shared" si="51"/>
        <v>0</v>
      </c>
      <c r="AG162" s="31">
        <f t="shared" si="47"/>
        <v>1</v>
      </c>
    </row>
    <row r="163" spans="1:33" ht="10.5" x14ac:dyDescent="0.15">
      <c r="A163" s="1" t="s">
        <v>467</v>
      </c>
      <c r="B163" s="1" t="s">
        <v>2321</v>
      </c>
      <c r="C163" s="95"/>
      <c r="D163" s="95">
        <v>334955.44378133659</v>
      </c>
      <c r="E163" s="95"/>
      <c r="F163" s="3"/>
      <c r="G163" s="3"/>
      <c r="H163" s="3"/>
      <c r="I163" s="3"/>
      <c r="J163" s="3">
        <v>334955.44378133659</v>
      </c>
      <c r="K163" s="26">
        <f t="shared" si="46"/>
        <v>2018</v>
      </c>
      <c r="L163" s="78"/>
      <c r="M163" s="37">
        <f t="shared" si="45"/>
        <v>0</v>
      </c>
      <c r="N163" s="31">
        <f t="shared" si="50"/>
        <v>0</v>
      </c>
      <c r="O163" s="31">
        <f t="shared" si="50"/>
        <v>0</v>
      </c>
      <c r="P163" s="31">
        <f t="shared" si="50"/>
        <v>0</v>
      </c>
      <c r="Q163" s="31">
        <f t="shared" si="50"/>
        <v>1</v>
      </c>
      <c r="R163" s="31">
        <f t="shared" si="50"/>
        <v>0</v>
      </c>
      <c r="S163" s="31">
        <f t="shared" si="50"/>
        <v>0</v>
      </c>
      <c r="T163" s="31">
        <f t="shared" si="50"/>
        <v>0</v>
      </c>
      <c r="U163" s="31">
        <f t="shared" si="50"/>
        <v>0</v>
      </c>
      <c r="V163" s="31">
        <f t="shared" si="50"/>
        <v>0</v>
      </c>
      <c r="W163" s="31">
        <f t="shared" si="50"/>
        <v>0</v>
      </c>
      <c r="X163" s="31">
        <f t="shared" si="51"/>
        <v>0</v>
      </c>
      <c r="Y163" s="31">
        <f t="shared" si="51"/>
        <v>0</v>
      </c>
      <c r="Z163" s="31">
        <f t="shared" si="51"/>
        <v>0</v>
      </c>
      <c r="AA163" s="31">
        <f t="shared" si="51"/>
        <v>0</v>
      </c>
      <c r="AB163" s="31">
        <f t="shared" si="51"/>
        <v>0</v>
      </c>
      <c r="AC163" s="31">
        <f t="shared" si="51"/>
        <v>0</v>
      </c>
      <c r="AD163" s="31">
        <f t="shared" si="51"/>
        <v>0</v>
      </c>
      <c r="AE163" s="31">
        <f t="shared" si="51"/>
        <v>0</v>
      </c>
      <c r="AF163" s="31">
        <f t="shared" si="51"/>
        <v>0</v>
      </c>
      <c r="AG163" s="31">
        <f t="shared" si="47"/>
        <v>1</v>
      </c>
    </row>
    <row r="164" spans="1:33" ht="10.5" x14ac:dyDescent="0.15">
      <c r="A164" s="1" t="s">
        <v>468</v>
      </c>
      <c r="B164" s="1" t="s">
        <v>469</v>
      </c>
      <c r="C164" s="95"/>
      <c r="D164" s="95">
        <v>1935485.9682529969</v>
      </c>
      <c r="E164" s="95"/>
      <c r="F164" s="3"/>
      <c r="G164" s="3"/>
      <c r="H164" s="3"/>
      <c r="I164" s="3"/>
      <c r="J164" s="3">
        <v>1935485.9682529969</v>
      </c>
      <c r="K164" s="26">
        <f t="shared" si="46"/>
        <v>2018</v>
      </c>
      <c r="L164" s="78"/>
      <c r="M164" s="37">
        <f t="shared" si="45"/>
        <v>0</v>
      </c>
      <c r="N164" s="31">
        <f t="shared" si="50"/>
        <v>0</v>
      </c>
      <c r="O164" s="31">
        <f t="shared" si="50"/>
        <v>0</v>
      </c>
      <c r="P164" s="31">
        <f t="shared" si="50"/>
        <v>0</v>
      </c>
      <c r="Q164" s="31">
        <f t="shared" si="50"/>
        <v>1</v>
      </c>
      <c r="R164" s="31">
        <f t="shared" si="50"/>
        <v>0</v>
      </c>
      <c r="S164" s="31">
        <f t="shared" si="50"/>
        <v>0</v>
      </c>
      <c r="T164" s="31">
        <f t="shared" si="50"/>
        <v>0</v>
      </c>
      <c r="U164" s="31">
        <f t="shared" si="50"/>
        <v>0</v>
      </c>
      <c r="V164" s="31">
        <f t="shared" si="50"/>
        <v>0</v>
      </c>
      <c r="W164" s="31">
        <f t="shared" si="50"/>
        <v>0</v>
      </c>
      <c r="X164" s="31">
        <f t="shared" si="51"/>
        <v>0</v>
      </c>
      <c r="Y164" s="31">
        <f t="shared" si="51"/>
        <v>0</v>
      </c>
      <c r="Z164" s="31">
        <f t="shared" si="51"/>
        <v>0</v>
      </c>
      <c r="AA164" s="31">
        <f t="shared" si="51"/>
        <v>0</v>
      </c>
      <c r="AB164" s="31">
        <f t="shared" si="51"/>
        <v>0</v>
      </c>
      <c r="AC164" s="31">
        <f t="shared" si="51"/>
        <v>0</v>
      </c>
      <c r="AD164" s="31">
        <f t="shared" si="51"/>
        <v>0</v>
      </c>
      <c r="AE164" s="31">
        <f t="shared" si="51"/>
        <v>0</v>
      </c>
      <c r="AF164" s="31">
        <f t="shared" si="51"/>
        <v>0</v>
      </c>
      <c r="AG164" s="31">
        <f t="shared" si="47"/>
        <v>1</v>
      </c>
    </row>
    <row r="165" spans="1:33" ht="10.5" x14ac:dyDescent="0.15">
      <c r="A165" s="1" t="s">
        <v>470</v>
      </c>
      <c r="B165" s="1" t="s">
        <v>471</v>
      </c>
      <c r="C165" s="95"/>
      <c r="D165" s="95"/>
      <c r="E165" s="95"/>
      <c r="F165" s="3">
        <v>999015.28727178765</v>
      </c>
      <c r="G165" s="3"/>
      <c r="H165" s="3"/>
      <c r="I165" s="3"/>
      <c r="J165" s="3">
        <v>999015.28727178765</v>
      </c>
      <c r="K165" s="26">
        <f t="shared" si="46"/>
        <v>2020</v>
      </c>
      <c r="L165" s="78"/>
      <c r="M165" s="37">
        <f t="shared" si="45"/>
        <v>0</v>
      </c>
      <c r="N165" s="31">
        <f t="shared" si="50"/>
        <v>0</v>
      </c>
      <c r="O165" s="31">
        <f t="shared" si="50"/>
        <v>0</v>
      </c>
      <c r="P165" s="31">
        <f t="shared" si="50"/>
        <v>0</v>
      </c>
      <c r="Q165" s="31">
        <f t="shared" si="50"/>
        <v>1</v>
      </c>
      <c r="R165" s="31">
        <f t="shared" si="50"/>
        <v>0</v>
      </c>
      <c r="S165" s="31">
        <f t="shared" si="50"/>
        <v>0</v>
      </c>
      <c r="T165" s="31">
        <f t="shared" si="50"/>
        <v>0</v>
      </c>
      <c r="U165" s="31">
        <f t="shared" si="50"/>
        <v>0</v>
      </c>
      <c r="V165" s="31">
        <f t="shared" si="50"/>
        <v>0</v>
      </c>
      <c r="W165" s="31">
        <f t="shared" si="50"/>
        <v>0</v>
      </c>
      <c r="X165" s="31">
        <f t="shared" si="51"/>
        <v>0</v>
      </c>
      <c r="Y165" s="31">
        <f t="shared" si="51"/>
        <v>0</v>
      </c>
      <c r="Z165" s="31">
        <f t="shared" si="51"/>
        <v>0</v>
      </c>
      <c r="AA165" s="31">
        <f t="shared" si="51"/>
        <v>0</v>
      </c>
      <c r="AB165" s="31">
        <f t="shared" si="51"/>
        <v>0</v>
      </c>
      <c r="AC165" s="31">
        <f t="shared" si="51"/>
        <v>0</v>
      </c>
      <c r="AD165" s="31">
        <f t="shared" si="51"/>
        <v>0</v>
      </c>
      <c r="AE165" s="31">
        <f t="shared" si="51"/>
        <v>0</v>
      </c>
      <c r="AF165" s="31">
        <f t="shared" si="51"/>
        <v>0</v>
      </c>
      <c r="AG165" s="31">
        <f t="shared" si="47"/>
        <v>1</v>
      </c>
    </row>
    <row r="166" spans="1:33" ht="10.5" x14ac:dyDescent="0.15">
      <c r="A166" s="1" t="s">
        <v>472</v>
      </c>
      <c r="B166" s="1" t="s">
        <v>2322</v>
      </c>
      <c r="C166" s="95">
        <v>460605.75891563663</v>
      </c>
      <c r="D166" s="95"/>
      <c r="E166" s="95"/>
      <c r="F166" s="3"/>
      <c r="G166" s="3"/>
      <c r="H166" s="3"/>
      <c r="I166" s="3"/>
      <c r="J166" s="3">
        <v>460605.75891563663</v>
      </c>
      <c r="K166" s="26">
        <f t="shared" si="46"/>
        <v>2017</v>
      </c>
      <c r="L166" s="78"/>
      <c r="M166" s="37">
        <f t="shared" si="45"/>
        <v>0</v>
      </c>
      <c r="N166" s="31">
        <f t="shared" si="50"/>
        <v>0</v>
      </c>
      <c r="O166" s="31">
        <f t="shared" si="50"/>
        <v>0</v>
      </c>
      <c r="P166" s="31">
        <f t="shared" si="50"/>
        <v>0</v>
      </c>
      <c r="Q166" s="31">
        <f t="shared" si="50"/>
        <v>1</v>
      </c>
      <c r="R166" s="31">
        <f t="shared" si="50"/>
        <v>0</v>
      </c>
      <c r="S166" s="31">
        <f t="shared" si="50"/>
        <v>0</v>
      </c>
      <c r="T166" s="31">
        <f t="shared" si="50"/>
        <v>0</v>
      </c>
      <c r="U166" s="31">
        <f t="shared" si="50"/>
        <v>0</v>
      </c>
      <c r="V166" s="31">
        <f t="shared" si="50"/>
        <v>0</v>
      </c>
      <c r="W166" s="31">
        <f t="shared" si="50"/>
        <v>0</v>
      </c>
      <c r="X166" s="31">
        <f t="shared" si="51"/>
        <v>0</v>
      </c>
      <c r="Y166" s="31">
        <f t="shared" si="51"/>
        <v>0</v>
      </c>
      <c r="Z166" s="31">
        <f t="shared" si="51"/>
        <v>0</v>
      </c>
      <c r="AA166" s="31">
        <f t="shared" si="51"/>
        <v>0</v>
      </c>
      <c r="AB166" s="31">
        <f t="shared" si="51"/>
        <v>0</v>
      </c>
      <c r="AC166" s="31">
        <f t="shared" si="51"/>
        <v>0</v>
      </c>
      <c r="AD166" s="31">
        <f t="shared" si="51"/>
        <v>0</v>
      </c>
      <c r="AE166" s="31">
        <f t="shared" si="51"/>
        <v>0</v>
      </c>
      <c r="AF166" s="31">
        <f t="shared" si="51"/>
        <v>0</v>
      </c>
      <c r="AG166" s="31">
        <f t="shared" si="47"/>
        <v>1</v>
      </c>
    </row>
    <row r="167" spans="1:33" ht="10.5" x14ac:dyDescent="0.15">
      <c r="A167" s="1" t="s">
        <v>473</v>
      </c>
      <c r="B167" s="1" t="s">
        <v>474</v>
      </c>
      <c r="C167" s="95"/>
      <c r="D167" s="95"/>
      <c r="E167" s="95"/>
      <c r="F167" s="3">
        <v>552952.84170193318</v>
      </c>
      <c r="G167" s="3"/>
      <c r="H167" s="3"/>
      <c r="I167" s="3"/>
      <c r="J167" s="3">
        <v>552952.84170193318</v>
      </c>
      <c r="K167" s="26">
        <f t="shared" si="46"/>
        <v>2020</v>
      </c>
      <c r="L167" s="78"/>
      <c r="M167" s="37">
        <f t="shared" si="45"/>
        <v>25000</v>
      </c>
      <c r="N167" s="31">
        <f t="shared" si="50"/>
        <v>0</v>
      </c>
      <c r="O167" s="31">
        <f t="shared" si="50"/>
        <v>0</v>
      </c>
      <c r="P167" s="31">
        <f t="shared" si="50"/>
        <v>0</v>
      </c>
      <c r="Q167" s="31">
        <f t="shared" si="50"/>
        <v>1</v>
      </c>
      <c r="R167" s="31">
        <f t="shared" si="50"/>
        <v>0</v>
      </c>
      <c r="S167" s="31">
        <f t="shared" si="50"/>
        <v>0</v>
      </c>
      <c r="T167" s="31">
        <f t="shared" si="50"/>
        <v>0</v>
      </c>
      <c r="U167" s="31">
        <f t="shared" si="50"/>
        <v>0</v>
      </c>
      <c r="V167" s="31">
        <f t="shared" si="50"/>
        <v>0</v>
      </c>
      <c r="W167" s="31">
        <f t="shared" si="50"/>
        <v>0</v>
      </c>
      <c r="X167" s="31">
        <f t="shared" si="51"/>
        <v>0</v>
      </c>
      <c r="Y167" s="31">
        <f t="shared" si="51"/>
        <v>0</v>
      </c>
      <c r="Z167" s="31">
        <f t="shared" si="51"/>
        <v>0</v>
      </c>
      <c r="AA167" s="31">
        <f t="shared" si="51"/>
        <v>0</v>
      </c>
      <c r="AB167" s="31">
        <f t="shared" si="51"/>
        <v>0</v>
      </c>
      <c r="AC167" s="31">
        <f t="shared" si="51"/>
        <v>0</v>
      </c>
      <c r="AD167" s="31">
        <f t="shared" si="51"/>
        <v>0</v>
      </c>
      <c r="AE167" s="31">
        <f t="shared" si="51"/>
        <v>0</v>
      </c>
      <c r="AF167" s="31">
        <f t="shared" si="51"/>
        <v>0</v>
      </c>
      <c r="AG167" s="31">
        <f t="shared" si="47"/>
        <v>1</v>
      </c>
    </row>
    <row r="168" spans="1:33" ht="10.5" x14ac:dyDescent="0.15">
      <c r="A168" s="1" t="s">
        <v>479</v>
      </c>
      <c r="B168" s="1" t="s">
        <v>480</v>
      </c>
      <c r="C168" s="95"/>
      <c r="D168" s="95"/>
      <c r="E168" s="95">
        <v>718742.27112740267</v>
      </c>
      <c r="F168" s="3"/>
      <c r="G168" s="3"/>
      <c r="H168" s="3"/>
      <c r="I168" s="3"/>
      <c r="J168" s="3">
        <v>718742.27112740267</v>
      </c>
      <c r="K168" s="26">
        <f t="shared" si="46"/>
        <v>2019</v>
      </c>
      <c r="L168" s="78"/>
      <c r="M168" s="37">
        <f t="shared" si="45"/>
        <v>0</v>
      </c>
      <c r="N168" s="31">
        <f t="shared" si="50"/>
        <v>0</v>
      </c>
      <c r="O168" s="31">
        <f t="shared" si="50"/>
        <v>0</v>
      </c>
      <c r="P168" s="31">
        <f t="shared" si="50"/>
        <v>0</v>
      </c>
      <c r="Q168" s="31">
        <f t="shared" si="50"/>
        <v>1</v>
      </c>
      <c r="R168" s="31">
        <f t="shared" si="50"/>
        <v>0</v>
      </c>
      <c r="S168" s="31">
        <f t="shared" si="50"/>
        <v>0</v>
      </c>
      <c r="T168" s="31">
        <f t="shared" si="50"/>
        <v>0</v>
      </c>
      <c r="U168" s="31">
        <f t="shared" si="50"/>
        <v>0</v>
      </c>
      <c r="V168" s="31">
        <f t="shared" si="50"/>
        <v>0</v>
      </c>
      <c r="W168" s="31">
        <f t="shared" si="50"/>
        <v>0</v>
      </c>
      <c r="X168" s="31">
        <f t="shared" si="51"/>
        <v>0</v>
      </c>
      <c r="Y168" s="31">
        <f t="shared" si="51"/>
        <v>0</v>
      </c>
      <c r="Z168" s="31">
        <f t="shared" si="51"/>
        <v>0</v>
      </c>
      <c r="AA168" s="31">
        <f t="shared" si="51"/>
        <v>0</v>
      </c>
      <c r="AB168" s="31">
        <f t="shared" si="51"/>
        <v>0</v>
      </c>
      <c r="AC168" s="31">
        <f t="shared" si="51"/>
        <v>0</v>
      </c>
      <c r="AD168" s="31">
        <f t="shared" si="51"/>
        <v>0</v>
      </c>
      <c r="AE168" s="31">
        <f t="shared" si="51"/>
        <v>0</v>
      </c>
      <c r="AF168" s="31">
        <f t="shared" si="51"/>
        <v>0</v>
      </c>
      <c r="AG168" s="31">
        <f t="shared" si="47"/>
        <v>1</v>
      </c>
    </row>
    <row r="169" spans="1:33" ht="10.5" x14ac:dyDescent="0.15">
      <c r="A169" s="1" t="s">
        <v>481</v>
      </c>
      <c r="B169" s="1" t="s">
        <v>482</v>
      </c>
      <c r="C169" s="95"/>
      <c r="D169" s="95"/>
      <c r="E169" s="95"/>
      <c r="F169" s="3"/>
      <c r="G169" s="3">
        <v>2430748.8912260695</v>
      </c>
      <c r="H169" s="3"/>
      <c r="I169" s="3"/>
      <c r="J169" s="3">
        <v>2430748.8912260695</v>
      </c>
      <c r="K169" s="26">
        <f t="shared" si="46"/>
        <v>2021</v>
      </c>
      <c r="L169" s="78"/>
      <c r="M169" s="37">
        <f t="shared" si="45"/>
        <v>2094357.9999999995</v>
      </c>
      <c r="N169" s="31">
        <f t="shared" ref="N169:W178" si="52">IF(OR(LEFT($A169,1)="E",LEFT($A169,1)="Z"),IF($M169=0,VLOOKUP(MID($A169,4,5),ProjectSplits,N$2,FALSE),IF(ISNA(VLOOKUP($A169,Estimates,N$1,FALSE)),VLOOKUP(MID($A169,4,5),ProjectSplits,N$2,FALSE),VLOOKUP($A169,Estimates,N$1,FALSE))),0)</f>
        <v>0</v>
      </c>
      <c r="O169" s="31">
        <f t="shared" si="52"/>
        <v>0</v>
      </c>
      <c r="P169" s="31">
        <f t="shared" si="52"/>
        <v>0</v>
      </c>
      <c r="Q169" s="31">
        <f t="shared" si="52"/>
        <v>0</v>
      </c>
      <c r="R169" s="31">
        <f t="shared" si="52"/>
        <v>0</v>
      </c>
      <c r="S169" s="31">
        <f t="shared" si="52"/>
        <v>0</v>
      </c>
      <c r="T169" s="31">
        <f t="shared" si="52"/>
        <v>0</v>
      </c>
      <c r="U169" s="31">
        <f t="shared" si="52"/>
        <v>0</v>
      </c>
      <c r="V169" s="31">
        <f t="shared" si="52"/>
        <v>0</v>
      </c>
      <c r="W169" s="31">
        <f t="shared" si="52"/>
        <v>1</v>
      </c>
      <c r="X169" s="31">
        <f t="shared" ref="X169:AF178" si="53">IF(OR(LEFT($A169,1)="E",LEFT($A169,1)="Z"),IF($M169=0,VLOOKUP(MID($A169,4,5),ProjectSplits,X$2,FALSE),IF(ISNA(VLOOKUP($A169,Estimates,X$1,FALSE)),VLOOKUP(MID($A169,4,5),ProjectSplits,X$2,FALSE),VLOOKUP($A169,Estimates,X$1,FALSE))),0)</f>
        <v>0</v>
      </c>
      <c r="Y169" s="31">
        <f t="shared" si="53"/>
        <v>0</v>
      </c>
      <c r="Z169" s="31">
        <f t="shared" si="53"/>
        <v>0</v>
      </c>
      <c r="AA169" s="31">
        <f t="shared" si="53"/>
        <v>0</v>
      </c>
      <c r="AB169" s="31">
        <f t="shared" si="53"/>
        <v>0</v>
      </c>
      <c r="AC169" s="31">
        <f t="shared" si="53"/>
        <v>0</v>
      </c>
      <c r="AD169" s="31">
        <f t="shared" si="53"/>
        <v>0</v>
      </c>
      <c r="AE169" s="31">
        <f t="shared" si="53"/>
        <v>0</v>
      </c>
      <c r="AF169" s="31">
        <f t="shared" si="53"/>
        <v>0</v>
      </c>
      <c r="AG169" s="31">
        <f t="shared" si="47"/>
        <v>1</v>
      </c>
    </row>
    <row r="170" spans="1:33" ht="10.5" x14ac:dyDescent="0.15">
      <c r="A170" s="1" t="s">
        <v>483</v>
      </c>
      <c r="B170" s="1" t="s">
        <v>484</v>
      </c>
      <c r="C170" s="95"/>
      <c r="D170" s="95"/>
      <c r="E170" s="95"/>
      <c r="F170" s="3"/>
      <c r="G170" s="3"/>
      <c r="H170" s="3">
        <v>2482012.934796745</v>
      </c>
      <c r="I170" s="3"/>
      <c r="J170" s="3">
        <v>2482012.934796745</v>
      </c>
      <c r="K170" s="26">
        <f t="shared" si="46"/>
        <v>2022</v>
      </c>
      <c r="L170" s="78"/>
      <c r="M170" s="37">
        <f t="shared" si="45"/>
        <v>2094358.0000000005</v>
      </c>
      <c r="N170" s="31">
        <f t="shared" si="52"/>
        <v>0</v>
      </c>
      <c r="O170" s="31">
        <f t="shared" si="52"/>
        <v>0</v>
      </c>
      <c r="P170" s="31">
        <f t="shared" si="52"/>
        <v>0</v>
      </c>
      <c r="Q170" s="31">
        <f t="shared" si="52"/>
        <v>0</v>
      </c>
      <c r="R170" s="31">
        <f t="shared" si="52"/>
        <v>0</v>
      </c>
      <c r="S170" s="31">
        <f t="shared" si="52"/>
        <v>0</v>
      </c>
      <c r="T170" s="31">
        <f t="shared" si="52"/>
        <v>0</v>
      </c>
      <c r="U170" s="31">
        <f t="shared" si="52"/>
        <v>0</v>
      </c>
      <c r="V170" s="31">
        <f t="shared" si="52"/>
        <v>0</v>
      </c>
      <c r="W170" s="31">
        <f t="shared" si="52"/>
        <v>1</v>
      </c>
      <c r="X170" s="31">
        <f t="shared" si="53"/>
        <v>0</v>
      </c>
      <c r="Y170" s="31">
        <f t="shared" si="53"/>
        <v>0</v>
      </c>
      <c r="Z170" s="31">
        <f t="shared" si="53"/>
        <v>0</v>
      </c>
      <c r="AA170" s="31">
        <f t="shared" si="53"/>
        <v>0</v>
      </c>
      <c r="AB170" s="31">
        <f t="shared" si="53"/>
        <v>0</v>
      </c>
      <c r="AC170" s="31">
        <f t="shared" si="53"/>
        <v>0</v>
      </c>
      <c r="AD170" s="31">
        <f t="shared" si="53"/>
        <v>0</v>
      </c>
      <c r="AE170" s="31">
        <f t="shared" si="53"/>
        <v>0</v>
      </c>
      <c r="AF170" s="31">
        <f t="shared" si="53"/>
        <v>0</v>
      </c>
      <c r="AG170" s="31">
        <f t="shared" si="47"/>
        <v>1</v>
      </c>
    </row>
    <row r="171" spans="1:33" ht="10.5" x14ac:dyDescent="0.15">
      <c r="A171" s="1" t="s">
        <v>485</v>
      </c>
      <c r="B171" s="1" t="s">
        <v>486</v>
      </c>
      <c r="C171" s="95"/>
      <c r="D171" s="95"/>
      <c r="E171" s="95"/>
      <c r="F171" s="3"/>
      <c r="G171" s="3"/>
      <c r="H171" s="3"/>
      <c r="I171" s="3">
        <v>2532847.111694715</v>
      </c>
      <c r="J171" s="3">
        <v>2532847.111694715</v>
      </c>
      <c r="K171" s="26">
        <f t="shared" si="46"/>
        <v>2023</v>
      </c>
      <c r="L171" s="78"/>
      <c r="M171" s="37">
        <f t="shared" si="45"/>
        <v>2094358</v>
      </c>
      <c r="N171" s="31">
        <f t="shared" si="52"/>
        <v>0</v>
      </c>
      <c r="O171" s="31">
        <f t="shared" si="52"/>
        <v>0</v>
      </c>
      <c r="P171" s="31">
        <f t="shared" si="52"/>
        <v>0</v>
      </c>
      <c r="Q171" s="31">
        <f t="shared" si="52"/>
        <v>0</v>
      </c>
      <c r="R171" s="31">
        <f t="shared" si="52"/>
        <v>0</v>
      </c>
      <c r="S171" s="31">
        <f t="shared" si="52"/>
        <v>0</v>
      </c>
      <c r="T171" s="31">
        <f t="shared" si="52"/>
        <v>0</v>
      </c>
      <c r="U171" s="31">
        <f t="shared" si="52"/>
        <v>0</v>
      </c>
      <c r="V171" s="31">
        <f t="shared" si="52"/>
        <v>0</v>
      </c>
      <c r="W171" s="31">
        <f t="shared" si="52"/>
        <v>1</v>
      </c>
      <c r="X171" s="31">
        <f t="shared" si="53"/>
        <v>0</v>
      </c>
      <c r="Y171" s="31">
        <f t="shared" si="53"/>
        <v>0</v>
      </c>
      <c r="Z171" s="31">
        <f t="shared" si="53"/>
        <v>0</v>
      </c>
      <c r="AA171" s="31">
        <f t="shared" si="53"/>
        <v>0</v>
      </c>
      <c r="AB171" s="31">
        <f t="shared" si="53"/>
        <v>0</v>
      </c>
      <c r="AC171" s="31">
        <f t="shared" si="53"/>
        <v>0</v>
      </c>
      <c r="AD171" s="31">
        <f t="shared" si="53"/>
        <v>0</v>
      </c>
      <c r="AE171" s="31">
        <f t="shared" si="53"/>
        <v>0</v>
      </c>
      <c r="AF171" s="31">
        <f t="shared" si="53"/>
        <v>0</v>
      </c>
      <c r="AG171" s="31">
        <f t="shared" si="47"/>
        <v>1</v>
      </c>
    </row>
    <row r="172" spans="1:33" ht="10.5" x14ac:dyDescent="0.15">
      <c r="A172" s="1" t="s">
        <v>487</v>
      </c>
      <c r="B172" s="1" t="s">
        <v>488</v>
      </c>
      <c r="C172" s="95">
        <v>87112.607638000001</v>
      </c>
      <c r="D172" s="95"/>
      <c r="E172" s="95"/>
      <c r="F172" s="3"/>
      <c r="G172" s="3"/>
      <c r="H172" s="3"/>
      <c r="I172" s="3"/>
      <c r="J172" s="3">
        <v>87112.607638000001</v>
      </c>
      <c r="K172" s="26">
        <f t="shared" si="46"/>
        <v>2017</v>
      </c>
      <c r="L172" s="78"/>
      <c r="M172" s="37">
        <f t="shared" si="45"/>
        <v>0</v>
      </c>
      <c r="N172" s="31">
        <f t="shared" si="52"/>
        <v>1</v>
      </c>
      <c r="O172" s="31">
        <f t="shared" si="52"/>
        <v>0</v>
      </c>
      <c r="P172" s="31">
        <f t="shared" si="52"/>
        <v>0</v>
      </c>
      <c r="Q172" s="31">
        <f t="shared" si="52"/>
        <v>0</v>
      </c>
      <c r="R172" s="31">
        <f t="shared" si="52"/>
        <v>0</v>
      </c>
      <c r="S172" s="31">
        <f t="shared" si="52"/>
        <v>0</v>
      </c>
      <c r="T172" s="31">
        <f t="shared" si="52"/>
        <v>0</v>
      </c>
      <c r="U172" s="31">
        <f t="shared" si="52"/>
        <v>0</v>
      </c>
      <c r="V172" s="31">
        <f t="shared" si="52"/>
        <v>0</v>
      </c>
      <c r="W172" s="31">
        <f t="shared" si="52"/>
        <v>0</v>
      </c>
      <c r="X172" s="31">
        <f t="shared" si="53"/>
        <v>0</v>
      </c>
      <c r="Y172" s="31">
        <f t="shared" si="53"/>
        <v>0</v>
      </c>
      <c r="Z172" s="31">
        <f t="shared" si="53"/>
        <v>0</v>
      </c>
      <c r="AA172" s="31">
        <f t="shared" si="53"/>
        <v>0</v>
      </c>
      <c r="AB172" s="31">
        <f t="shared" si="53"/>
        <v>0</v>
      </c>
      <c r="AC172" s="31">
        <f t="shared" si="53"/>
        <v>0</v>
      </c>
      <c r="AD172" s="31">
        <f t="shared" si="53"/>
        <v>0</v>
      </c>
      <c r="AE172" s="31">
        <f t="shared" si="53"/>
        <v>0</v>
      </c>
      <c r="AF172" s="31">
        <f t="shared" si="53"/>
        <v>0</v>
      </c>
      <c r="AG172" s="31">
        <f t="shared" si="47"/>
        <v>1</v>
      </c>
    </row>
    <row r="173" spans="1:33" ht="10.5" x14ac:dyDescent="0.15">
      <c r="A173" s="1" t="s">
        <v>489</v>
      </c>
      <c r="B173" s="1" t="s">
        <v>490</v>
      </c>
      <c r="C173" s="95"/>
      <c r="D173" s="95">
        <v>1394815.8695086122</v>
      </c>
      <c r="E173" s="95"/>
      <c r="F173" s="3"/>
      <c r="G173" s="3"/>
      <c r="H173" s="3"/>
      <c r="I173" s="3"/>
      <c r="J173" s="3">
        <v>1394815.8695086122</v>
      </c>
      <c r="K173" s="26">
        <f t="shared" si="46"/>
        <v>2018</v>
      </c>
      <c r="L173" s="78"/>
      <c r="M173" s="37">
        <f t="shared" si="45"/>
        <v>0</v>
      </c>
      <c r="N173" s="31">
        <f t="shared" si="52"/>
        <v>0</v>
      </c>
      <c r="O173" s="31">
        <f t="shared" si="52"/>
        <v>0</v>
      </c>
      <c r="P173" s="31">
        <f t="shared" si="52"/>
        <v>0</v>
      </c>
      <c r="Q173" s="31">
        <f t="shared" si="52"/>
        <v>0</v>
      </c>
      <c r="R173" s="31">
        <f t="shared" si="52"/>
        <v>0</v>
      </c>
      <c r="S173" s="31">
        <f t="shared" si="52"/>
        <v>0</v>
      </c>
      <c r="T173" s="31">
        <f t="shared" si="52"/>
        <v>0</v>
      </c>
      <c r="U173" s="31">
        <f t="shared" si="52"/>
        <v>1</v>
      </c>
      <c r="V173" s="31">
        <f t="shared" si="52"/>
        <v>0</v>
      </c>
      <c r="W173" s="31">
        <f t="shared" si="52"/>
        <v>0</v>
      </c>
      <c r="X173" s="31">
        <f t="shared" si="53"/>
        <v>0</v>
      </c>
      <c r="Y173" s="31">
        <f t="shared" si="53"/>
        <v>0</v>
      </c>
      <c r="Z173" s="31">
        <f t="shared" si="53"/>
        <v>0</v>
      </c>
      <c r="AA173" s="31">
        <f t="shared" si="53"/>
        <v>0</v>
      </c>
      <c r="AB173" s="31">
        <f t="shared" si="53"/>
        <v>0</v>
      </c>
      <c r="AC173" s="31">
        <f t="shared" si="53"/>
        <v>0</v>
      </c>
      <c r="AD173" s="31">
        <f t="shared" si="53"/>
        <v>0</v>
      </c>
      <c r="AE173" s="31">
        <f t="shared" si="53"/>
        <v>0</v>
      </c>
      <c r="AF173" s="31">
        <f t="shared" si="53"/>
        <v>0</v>
      </c>
      <c r="AG173" s="31">
        <f t="shared" si="47"/>
        <v>1</v>
      </c>
    </row>
    <row r="174" spans="1:33" ht="10.5" x14ac:dyDescent="0.15">
      <c r="A174" s="1" t="s">
        <v>491</v>
      </c>
      <c r="B174" s="1" t="s">
        <v>492</v>
      </c>
      <c r="C174" s="95"/>
      <c r="D174" s="95"/>
      <c r="E174" s="95"/>
      <c r="F174" s="3"/>
      <c r="G174" s="3"/>
      <c r="H174" s="3"/>
      <c r="I174" s="3">
        <v>33462781.724663943</v>
      </c>
      <c r="J174" s="3">
        <v>33462781.724663943</v>
      </c>
      <c r="K174" s="26">
        <f t="shared" si="46"/>
        <v>2023</v>
      </c>
      <c r="L174" s="78"/>
      <c r="M174" s="37">
        <f t="shared" si="45"/>
        <v>15248999.999999996</v>
      </c>
      <c r="N174" s="31">
        <f t="shared" si="52"/>
        <v>0</v>
      </c>
      <c r="O174" s="31">
        <f t="shared" si="52"/>
        <v>0</v>
      </c>
      <c r="P174" s="31">
        <f t="shared" si="52"/>
        <v>1.9988195947275238E-2</v>
      </c>
      <c r="Q174" s="31">
        <f t="shared" si="52"/>
        <v>0</v>
      </c>
      <c r="R174" s="31">
        <f t="shared" si="52"/>
        <v>0</v>
      </c>
      <c r="S174" s="31">
        <f t="shared" si="52"/>
        <v>0</v>
      </c>
      <c r="T174" s="31">
        <f t="shared" si="52"/>
        <v>0</v>
      </c>
      <c r="U174" s="31">
        <f t="shared" si="52"/>
        <v>0</v>
      </c>
      <c r="V174" s="31">
        <f t="shared" si="52"/>
        <v>0</v>
      </c>
      <c r="W174" s="31">
        <f t="shared" si="52"/>
        <v>0</v>
      </c>
      <c r="X174" s="31">
        <f t="shared" si="53"/>
        <v>0</v>
      </c>
      <c r="Y174" s="31">
        <f t="shared" si="53"/>
        <v>0</v>
      </c>
      <c r="Z174" s="31">
        <f t="shared" si="53"/>
        <v>0</v>
      </c>
      <c r="AA174" s="31">
        <f t="shared" si="53"/>
        <v>0</v>
      </c>
      <c r="AB174" s="31">
        <f t="shared" si="53"/>
        <v>0.98001180405272481</v>
      </c>
      <c r="AC174" s="31">
        <f t="shared" si="53"/>
        <v>0</v>
      </c>
      <c r="AD174" s="31">
        <f t="shared" si="53"/>
        <v>0</v>
      </c>
      <c r="AE174" s="31">
        <f t="shared" si="53"/>
        <v>0</v>
      </c>
      <c r="AF174" s="31">
        <f t="shared" si="53"/>
        <v>0</v>
      </c>
      <c r="AG174" s="31">
        <f t="shared" si="47"/>
        <v>1</v>
      </c>
    </row>
    <row r="175" spans="1:33" ht="10.5" x14ac:dyDescent="0.15">
      <c r="A175" s="1" t="s">
        <v>493</v>
      </c>
      <c r="B175" s="1" t="s">
        <v>494</v>
      </c>
      <c r="C175" s="95"/>
      <c r="D175" s="95"/>
      <c r="E175" s="95"/>
      <c r="F175" s="3"/>
      <c r="G175" s="3"/>
      <c r="H175" s="3"/>
      <c r="I175" s="3">
        <v>5312583.5337742753</v>
      </c>
      <c r="J175" s="3">
        <v>5312583.5337742753</v>
      </c>
      <c r="K175" s="26">
        <f t="shared" si="46"/>
        <v>2023</v>
      </c>
      <c r="L175" s="78"/>
      <c r="M175" s="37">
        <f t="shared" si="45"/>
        <v>2221795.109677894</v>
      </c>
      <c r="N175" s="31">
        <f t="shared" si="52"/>
        <v>0</v>
      </c>
      <c r="O175" s="31">
        <f t="shared" si="52"/>
        <v>0</v>
      </c>
      <c r="P175" s="31">
        <f t="shared" si="52"/>
        <v>0</v>
      </c>
      <c r="Q175" s="31">
        <f t="shared" si="52"/>
        <v>0</v>
      </c>
      <c r="R175" s="31">
        <f t="shared" si="52"/>
        <v>0</v>
      </c>
      <c r="S175" s="31">
        <f t="shared" si="52"/>
        <v>0</v>
      </c>
      <c r="T175" s="31">
        <f t="shared" si="52"/>
        <v>0</v>
      </c>
      <c r="U175" s="31">
        <f t="shared" si="52"/>
        <v>0</v>
      </c>
      <c r="V175" s="31">
        <f t="shared" si="52"/>
        <v>0</v>
      </c>
      <c r="W175" s="31">
        <f t="shared" si="52"/>
        <v>0.89952951762853728</v>
      </c>
      <c r="X175" s="31">
        <f t="shared" si="53"/>
        <v>0</v>
      </c>
      <c r="Y175" s="31">
        <f t="shared" si="53"/>
        <v>6.3563388804275991E-2</v>
      </c>
      <c r="Z175" s="31">
        <f t="shared" si="53"/>
        <v>0</v>
      </c>
      <c r="AA175" s="31">
        <f t="shared" si="53"/>
        <v>0</v>
      </c>
      <c r="AB175" s="31">
        <f t="shared" si="53"/>
        <v>3.6907093567186758E-2</v>
      </c>
      <c r="AC175" s="31">
        <f t="shared" si="53"/>
        <v>0</v>
      </c>
      <c r="AD175" s="31">
        <f t="shared" si="53"/>
        <v>0</v>
      </c>
      <c r="AE175" s="31">
        <f t="shared" si="53"/>
        <v>0</v>
      </c>
      <c r="AF175" s="31">
        <f t="shared" si="53"/>
        <v>0</v>
      </c>
      <c r="AG175" s="31">
        <f t="shared" si="47"/>
        <v>1</v>
      </c>
    </row>
    <row r="176" spans="1:33" ht="10.5" x14ac:dyDescent="0.15">
      <c r="A176" s="1" t="s">
        <v>495</v>
      </c>
      <c r="B176" s="1" t="s">
        <v>496</v>
      </c>
      <c r="C176" s="95"/>
      <c r="D176" s="95"/>
      <c r="E176" s="95"/>
      <c r="F176" s="3"/>
      <c r="G176" s="3"/>
      <c r="H176" s="3"/>
      <c r="I176" s="3">
        <v>5392497.6025366336</v>
      </c>
      <c r="J176" s="3">
        <v>5392497.6025366336</v>
      </c>
      <c r="K176" s="26">
        <f t="shared" si="46"/>
        <v>2023</v>
      </c>
      <c r="L176" s="78"/>
      <c r="M176" s="37">
        <f t="shared" si="45"/>
        <v>3058550.1401999989</v>
      </c>
      <c r="N176" s="31">
        <f t="shared" si="52"/>
        <v>0</v>
      </c>
      <c r="O176" s="31">
        <f t="shared" si="52"/>
        <v>0</v>
      </c>
      <c r="P176" s="31">
        <f t="shared" si="52"/>
        <v>0</v>
      </c>
      <c r="Q176" s="31">
        <f t="shared" si="52"/>
        <v>0</v>
      </c>
      <c r="R176" s="31">
        <f t="shared" si="52"/>
        <v>0</v>
      </c>
      <c r="S176" s="31">
        <f t="shared" si="52"/>
        <v>0</v>
      </c>
      <c r="T176" s="31">
        <f t="shared" si="52"/>
        <v>0</v>
      </c>
      <c r="U176" s="31">
        <f t="shared" si="52"/>
        <v>0</v>
      </c>
      <c r="V176" s="31">
        <f t="shared" si="52"/>
        <v>0</v>
      </c>
      <c r="W176" s="31">
        <f t="shared" si="52"/>
        <v>0.89892446125477488</v>
      </c>
      <c r="X176" s="31">
        <f t="shared" si="53"/>
        <v>0</v>
      </c>
      <c r="Y176" s="31">
        <f t="shared" si="53"/>
        <v>2.2606986980922152E-2</v>
      </c>
      <c r="Z176" s="31">
        <f t="shared" si="53"/>
        <v>0</v>
      </c>
      <c r="AA176" s="31">
        <f t="shared" si="53"/>
        <v>0</v>
      </c>
      <c r="AB176" s="31">
        <f t="shared" si="53"/>
        <v>7.8468551764303077E-2</v>
      </c>
      <c r="AC176" s="31">
        <f t="shared" si="53"/>
        <v>0</v>
      </c>
      <c r="AD176" s="31">
        <f t="shared" si="53"/>
        <v>0</v>
      </c>
      <c r="AE176" s="31">
        <f t="shared" si="53"/>
        <v>0</v>
      </c>
      <c r="AF176" s="31">
        <f t="shared" si="53"/>
        <v>0</v>
      </c>
      <c r="AG176" s="31">
        <f t="shared" si="47"/>
        <v>1</v>
      </c>
    </row>
    <row r="177" spans="1:33" ht="10.5" x14ac:dyDescent="0.15">
      <c r="A177" s="1" t="s">
        <v>497</v>
      </c>
      <c r="B177" s="1" t="s">
        <v>498</v>
      </c>
      <c r="C177" s="95"/>
      <c r="D177" s="95"/>
      <c r="E177" s="95"/>
      <c r="F177" s="3"/>
      <c r="G177" s="3"/>
      <c r="H177" s="3"/>
      <c r="I177" s="3">
        <v>12167652.113688953</v>
      </c>
      <c r="J177" s="3">
        <v>12167652.113688953</v>
      </c>
      <c r="K177" s="26">
        <f t="shared" si="46"/>
        <v>2023</v>
      </c>
      <c r="L177" s="78"/>
      <c r="M177" s="37">
        <f t="shared" si="45"/>
        <v>7361640.7495999988</v>
      </c>
      <c r="N177" s="31">
        <f t="shared" si="52"/>
        <v>0</v>
      </c>
      <c r="O177" s="31">
        <f t="shared" si="52"/>
        <v>0</v>
      </c>
      <c r="P177" s="31">
        <f t="shared" si="52"/>
        <v>0</v>
      </c>
      <c r="Q177" s="31">
        <f t="shared" si="52"/>
        <v>0</v>
      </c>
      <c r="R177" s="31">
        <f t="shared" si="52"/>
        <v>0</v>
      </c>
      <c r="S177" s="31">
        <f t="shared" si="52"/>
        <v>0</v>
      </c>
      <c r="T177" s="31">
        <f t="shared" si="52"/>
        <v>0</v>
      </c>
      <c r="U177" s="31">
        <f t="shared" si="52"/>
        <v>0</v>
      </c>
      <c r="V177" s="31">
        <f t="shared" si="52"/>
        <v>0</v>
      </c>
      <c r="W177" s="31">
        <f t="shared" si="52"/>
        <v>0.89724490948011804</v>
      </c>
      <c r="X177" s="31">
        <f t="shared" si="53"/>
        <v>0</v>
      </c>
      <c r="Y177" s="31">
        <f t="shared" si="53"/>
        <v>3.4292091965193609E-2</v>
      </c>
      <c r="Z177" s="31">
        <f t="shared" si="53"/>
        <v>0</v>
      </c>
      <c r="AA177" s="31">
        <f t="shared" si="53"/>
        <v>0</v>
      </c>
      <c r="AB177" s="31">
        <f t="shared" si="53"/>
        <v>6.8462998554688417E-2</v>
      </c>
      <c r="AC177" s="31">
        <f t="shared" si="53"/>
        <v>0</v>
      </c>
      <c r="AD177" s="31">
        <f t="shared" si="53"/>
        <v>0</v>
      </c>
      <c r="AE177" s="31">
        <f t="shared" si="53"/>
        <v>0</v>
      </c>
      <c r="AF177" s="31">
        <f t="shared" si="53"/>
        <v>0</v>
      </c>
      <c r="AG177" s="31">
        <f t="shared" si="47"/>
        <v>1</v>
      </c>
    </row>
    <row r="178" spans="1:33" ht="10.5" x14ac:dyDescent="0.15">
      <c r="A178" s="1" t="s">
        <v>500</v>
      </c>
      <c r="B178" s="1" t="s">
        <v>501</v>
      </c>
      <c r="C178" s="95"/>
      <c r="D178" s="95">
        <v>3250866.1755255614</v>
      </c>
      <c r="E178" s="95"/>
      <c r="F178" s="3"/>
      <c r="G178" s="3"/>
      <c r="H178" s="3"/>
      <c r="I178" s="3"/>
      <c r="J178" s="3">
        <v>3250866.1755255614</v>
      </c>
      <c r="K178" s="26">
        <f t="shared" si="46"/>
        <v>2018</v>
      </c>
      <c r="L178" s="78"/>
      <c r="M178" s="37">
        <f t="shared" si="45"/>
        <v>0</v>
      </c>
      <c r="N178" s="31">
        <f t="shared" si="52"/>
        <v>0</v>
      </c>
      <c r="O178" s="31">
        <f t="shared" si="52"/>
        <v>0</v>
      </c>
      <c r="P178" s="31">
        <f t="shared" si="52"/>
        <v>0</v>
      </c>
      <c r="Q178" s="31">
        <f t="shared" si="52"/>
        <v>0</v>
      </c>
      <c r="R178" s="31">
        <f t="shared" si="52"/>
        <v>0</v>
      </c>
      <c r="S178" s="31">
        <f t="shared" si="52"/>
        <v>0</v>
      </c>
      <c r="T178" s="31">
        <f t="shared" si="52"/>
        <v>0</v>
      </c>
      <c r="U178" s="31">
        <f t="shared" si="52"/>
        <v>0</v>
      </c>
      <c r="V178" s="31">
        <f t="shared" si="52"/>
        <v>0</v>
      </c>
      <c r="W178" s="31">
        <f t="shared" si="52"/>
        <v>0</v>
      </c>
      <c r="X178" s="31">
        <f t="shared" si="53"/>
        <v>0</v>
      </c>
      <c r="Y178" s="31">
        <f t="shared" si="53"/>
        <v>0</v>
      </c>
      <c r="Z178" s="31">
        <f t="shared" si="53"/>
        <v>0</v>
      </c>
      <c r="AA178" s="31">
        <f t="shared" si="53"/>
        <v>0</v>
      </c>
      <c r="AB178" s="31">
        <f t="shared" si="53"/>
        <v>0</v>
      </c>
      <c r="AC178" s="31">
        <f t="shared" si="53"/>
        <v>0</v>
      </c>
      <c r="AD178" s="31">
        <f t="shared" si="53"/>
        <v>0</v>
      </c>
      <c r="AE178" s="31">
        <f t="shared" si="53"/>
        <v>0</v>
      </c>
      <c r="AF178" s="31">
        <f t="shared" si="53"/>
        <v>1</v>
      </c>
      <c r="AG178" s="31">
        <f t="shared" si="47"/>
        <v>1</v>
      </c>
    </row>
    <row r="179" spans="1:33" ht="10.5" x14ac:dyDescent="0.15">
      <c r="A179" s="1" t="s">
        <v>502</v>
      </c>
      <c r="B179" s="1" t="s">
        <v>503</v>
      </c>
      <c r="C179" s="3">
        <v>2308913.2515050001</v>
      </c>
      <c r="D179" s="3"/>
      <c r="E179" s="3"/>
      <c r="F179" s="3"/>
      <c r="G179" s="3"/>
      <c r="H179" s="3"/>
      <c r="I179" s="3"/>
      <c r="J179" s="3">
        <v>2308913.2515050001</v>
      </c>
      <c r="K179" s="26">
        <f t="shared" si="46"/>
        <v>2017</v>
      </c>
      <c r="L179" s="78"/>
      <c r="M179" s="37">
        <f t="shared" si="45"/>
        <v>1366642.3195024</v>
      </c>
      <c r="N179" s="31">
        <f t="shared" ref="N179:W188" si="54">IF(OR(LEFT($A179,1)="E",LEFT($A179,1)="Z"),IF($M179=0,VLOOKUP(MID($A179,4,5),ProjectSplits,N$2,FALSE),IF(ISNA(VLOOKUP($A179,Estimates,N$1,FALSE)),VLOOKUP(MID($A179,4,5),ProjectSplits,N$2,FALSE),VLOOKUP($A179,Estimates,N$1,FALSE))),0)</f>
        <v>0</v>
      </c>
      <c r="O179" s="31">
        <f t="shared" si="54"/>
        <v>0</v>
      </c>
      <c r="P179" s="31">
        <f t="shared" si="54"/>
        <v>0</v>
      </c>
      <c r="Q179" s="31">
        <f t="shared" si="54"/>
        <v>0</v>
      </c>
      <c r="R179" s="31">
        <f t="shared" si="54"/>
        <v>0</v>
      </c>
      <c r="S179" s="31">
        <f t="shared" si="54"/>
        <v>0</v>
      </c>
      <c r="T179" s="31">
        <f t="shared" si="54"/>
        <v>0</v>
      </c>
      <c r="U179" s="31">
        <f t="shared" si="54"/>
        <v>0</v>
      </c>
      <c r="V179" s="31">
        <f t="shared" si="54"/>
        <v>0</v>
      </c>
      <c r="W179" s="31">
        <f t="shared" si="54"/>
        <v>0</v>
      </c>
      <c r="X179" s="31">
        <f t="shared" ref="X179:AF188" si="55">IF(OR(LEFT($A179,1)="E",LEFT($A179,1)="Z"),IF($M179=0,VLOOKUP(MID($A179,4,5),ProjectSplits,X$2,FALSE),IF(ISNA(VLOOKUP($A179,Estimates,X$1,FALSE)),VLOOKUP(MID($A179,4,5),ProjectSplits,X$2,FALSE),VLOOKUP($A179,Estimates,X$1,FALSE))),0)</f>
        <v>0</v>
      </c>
      <c r="Y179" s="31">
        <f t="shared" si="55"/>
        <v>0</v>
      </c>
      <c r="Z179" s="31">
        <f t="shared" si="55"/>
        <v>0</v>
      </c>
      <c r="AA179" s="31">
        <f t="shared" si="55"/>
        <v>0</v>
      </c>
      <c r="AB179" s="31">
        <f t="shared" si="55"/>
        <v>0</v>
      </c>
      <c r="AC179" s="31">
        <f t="shared" si="55"/>
        <v>0</v>
      </c>
      <c r="AD179" s="31">
        <f t="shared" si="55"/>
        <v>0</v>
      </c>
      <c r="AE179" s="31">
        <f t="shared" si="55"/>
        <v>0</v>
      </c>
      <c r="AF179" s="31">
        <f t="shared" si="55"/>
        <v>1</v>
      </c>
      <c r="AG179" s="31">
        <f t="shared" si="47"/>
        <v>1</v>
      </c>
    </row>
    <row r="180" spans="1:33" ht="10.5" x14ac:dyDescent="0.15">
      <c r="A180" s="1" t="s">
        <v>504</v>
      </c>
      <c r="B180" s="1" t="s">
        <v>505</v>
      </c>
      <c r="C180" s="3">
        <v>1763756.3325640003</v>
      </c>
      <c r="D180" s="3"/>
      <c r="E180" s="3"/>
      <c r="F180" s="3"/>
      <c r="G180" s="3"/>
      <c r="H180" s="3"/>
      <c r="I180" s="3"/>
      <c r="J180" s="3">
        <v>1763756.3325640003</v>
      </c>
      <c r="K180" s="26">
        <f t="shared" si="46"/>
        <v>2017</v>
      </c>
      <c r="L180" s="78"/>
      <c r="M180" s="37">
        <f t="shared" si="45"/>
        <v>0</v>
      </c>
      <c r="N180" s="31">
        <f t="shared" si="54"/>
        <v>0</v>
      </c>
      <c r="O180" s="31">
        <f t="shared" si="54"/>
        <v>0</v>
      </c>
      <c r="P180" s="31">
        <f t="shared" si="54"/>
        <v>0</v>
      </c>
      <c r="Q180" s="31">
        <f t="shared" si="54"/>
        <v>0</v>
      </c>
      <c r="R180" s="31">
        <f t="shared" si="54"/>
        <v>0</v>
      </c>
      <c r="S180" s="31">
        <f t="shared" si="54"/>
        <v>0</v>
      </c>
      <c r="T180" s="31">
        <f t="shared" si="54"/>
        <v>0</v>
      </c>
      <c r="U180" s="31">
        <f t="shared" si="54"/>
        <v>0</v>
      </c>
      <c r="V180" s="31">
        <f t="shared" si="54"/>
        <v>0</v>
      </c>
      <c r="W180" s="31">
        <f t="shared" si="54"/>
        <v>0</v>
      </c>
      <c r="X180" s="31">
        <f t="shared" si="55"/>
        <v>0</v>
      </c>
      <c r="Y180" s="31">
        <f t="shared" si="55"/>
        <v>0</v>
      </c>
      <c r="Z180" s="31">
        <f t="shared" si="55"/>
        <v>0</v>
      </c>
      <c r="AA180" s="31">
        <f t="shared" si="55"/>
        <v>0</v>
      </c>
      <c r="AB180" s="31">
        <f t="shared" si="55"/>
        <v>0</v>
      </c>
      <c r="AC180" s="31">
        <f t="shared" si="55"/>
        <v>0</v>
      </c>
      <c r="AD180" s="31">
        <f t="shared" si="55"/>
        <v>0</v>
      </c>
      <c r="AE180" s="31">
        <f t="shared" si="55"/>
        <v>0</v>
      </c>
      <c r="AF180" s="31">
        <f t="shared" si="55"/>
        <v>1</v>
      </c>
      <c r="AG180" s="31">
        <f t="shared" si="47"/>
        <v>1</v>
      </c>
    </row>
    <row r="181" spans="1:33" ht="10.5" x14ac:dyDescent="0.15">
      <c r="A181" s="1" t="s">
        <v>508</v>
      </c>
      <c r="B181" s="1" t="s">
        <v>2389</v>
      </c>
      <c r="C181" s="3"/>
      <c r="D181" s="3"/>
      <c r="E181" s="3"/>
      <c r="F181" s="3"/>
      <c r="G181" s="3">
        <v>1716041.1069776288</v>
      </c>
      <c r="H181" s="3"/>
      <c r="I181" s="3"/>
      <c r="J181" s="3">
        <v>1716041.1069776288</v>
      </c>
      <c r="K181" s="26">
        <f t="shared" si="46"/>
        <v>2021</v>
      </c>
      <c r="L181" s="78"/>
      <c r="M181" s="37">
        <f t="shared" si="45"/>
        <v>868848.25439436187</v>
      </c>
      <c r="N181" s="31">
        <f t="shared" si="54"/>
        <v>0</v>
      </c>
      <c r="O181" s="31">
        <f t="shared" si="54"/>
        <v>0</v>
      </c>
      <c r="P181" s="31">
        <f t="shared" si="54"/>
        <v>0</v>
      </c>
      <c r="Q181" s="31">
        <f t="shared" si="54"/>
        <v>0</v>
      </c>
      <c r="R181" s="31">
        <f t="shared" si="54"/>
        <v>0</v>
      </c>
      <c r="S181" s="31">
        <f t="shared" si="54"/>
        <v>0</v>
      </c>
      <c r="T181" s="31">
        <f t="shared" si="54"/>
        <v>0</v>
      </c>
      <c r="U181" s="31">
        <f t="shared" si="54"/>
        <v>0</v>
      </c>
      <c r="V181" s="31">
        <f t="shared" si="54"/>
        <v>0</v>
      </c>
      <c r="W181" s="31">
        <f t="shared" si="54"/>
        <v>0.50097729632133636</v>
      </c>
      <c r="X181" s="31">
        <f t="shared" si="55"/>
        <v>0</v>
      </c>
      <c r="Y181" s="31">
        <f t="shared" si="55"/>
        <v>8.2609362025849176E-2</v>
      </c>
      <c r="Z181" s="31">
        <f t="shared" si="55"/>
        <v>0</v>
      </c>
      <c r="AA181" s="31">
        <f t="shared" si="55"/>
        <v>0</v>
      </c>
      <c r="AB181" s="31">
        <f t="shared" si="55"/>
        <v>0.35886589335316527</v>
      </c>
      <c r="AC181" s="31">
        <f t="shared" si="55"/>
        <v>5.754744829964923E-2</v>
      </c>
      <c r="AD181" s="31">
        <f t="shared" si="55"/>
        <v>0</v>
      </c>
      <c r="AE181" s="31">
        <f t="shared" si="55"/>
        <v>0</v>
      </c>
      <c r="AF181" s="31">
        <f t="shared" si="55"/>
        <v>0</v>
      </c>
      <c r="AG181" s="31">
        <f t="shared" si="47"/>
        <v>1</v>
      </c>
    </row>
    <row r="182" spans="1:33" ht="10.5" x14ac:dyDescent="0.15">
      <c r="A182" s="1" t="s">
        <v>510</v>
      </c>
      <c r="B182" s="1" t="s">
        <v>511</v>
      </c>
      <c r="C182" s="3"/>
      <c r="D182" s="3"/>
      <c r="E182" s="3"/>
      <c r="F182" s="3"/>
      <c r="G182" s="3"/>
      <c r="H182" s="3">
        <v>1183972.3880841436</v>
      </c>
      <c r="I182" s="3"/>
      <c r="J182" s="3">
        <v>1183972.3880841436</v>
      </c>
      <c r="K182" s="26">
        <f t="shared" si="46"/>
        <v>2022</v>
      </c>
      <c r="L182" s="78"/>
      <c r="M182" s="37">
        <f t="shared" si="45"/>
        <v>542544.99999999907</v>
      </c>
      <c r="N182" s="31">
        <f t="shared" si="54"/>
        <v>0</v>
      </c>
      <c r="O182" s="31">
        <f t="shared" si="54"/>
        <v>0</v>
      </c>
      <c r="P182" s="31">
        <f t="shared" si="54"/>
        <v>0</v>
      </c>
      <c r="Q182" s="31">
        <f t="shared" si="54"/>
        <v>0</v>
      </c>
      <c r="R182" s="31">
        <f t="shared" si="54"/>
        <v>0</v>
      </c>
      <c r="S182" s="31">
        <f t="shared" si="54"/>
        <v>0</v>
      </c>
      <c r="T182" s="31">
        <f t="shared" si="54"/>
        <v>0</v>
      </c>
      <c r="U182" s="31">
        <f t="shared" si="54"/>
        <v>0</v>
      </c>
      <c r="V182" s="31">
        <f t="shared" si="54"/>
        <v>0</v>
      </c>
      <c r="W182" s="31">
        <f t="shared" si="54"/>
        <v>0.15924946317816957</v>
      </c>
      <c r="X182" s="31">
        <f t="shared" si="55"/>
        <v>0</v>
      </c>
      <c r="Y182" s="31">
        <f t="shared" si="55"/>
        <v>0</v>
      </c>
      <c r="Z182" s="31">
        <f t="shared" si="55"/>
        <v>0</v>
      </c>
      <c r="AA182" s="31">
        <f t="shared" si="55"/>
        <v>0</v>
      </c>
      <c r="AB182" s="31">
        <f t="shared" si="55"/>
        <v>0.84075053682183043</v>
      </c>
      <c r="AC182" s="31">
        <f t="shared" si="55"/>
        <v>0</v>
      </c>
      <c r="AD182" s="31">
        <f t="shared" si="55"/>
        <v>0</v>
      </c>
      <c r="AE182" s="31">
        <f t="shared" si="55"/>
        <v>0</v>
      </c>
      <c r="AF182" s="31">
        <f t="shared" si="55"/>
        <v>0</v>
      </c>
      <c r="AG182" s="31">
        <f t="shared" si="47"/>
        <v>1</v>
      </c>
    </row>
    <row r="183" spans="1:33" ht="10.5" x14ac:dyDescent="0.15">
      <c r="A183" s="1" t="s">
        <v>512</v>
      </c>
      <c r="B183" s="1" t="s">
        <v>513</v>
      </c>
      <c r="C183" s="3"/>
      <c r="D183" s="3"/>
      <c r="E183" s="3"/>
      <c r="F183" s="3"/>
      <c r="G183" s="3">
        <v>10201695.287876043</v>
      </c>
      <c r="H183" s="3"/>
      <c r="I183" s="3"/>
      <c r="J183" s="3">
        <v>10201695.287876043</v>
      </c>
      <c r="K183" s="26">
        <f t="shared" si="46"/>
        <v>2021</v>
      </c>
      <c r="L183" s="78"/>
      <c r="M183" s="37">
        <f t="shared" si="45"/>
        <v>5026557.317995986</v>
      </c>
      <c r="N183" s="31">
        <f t="shared" si="54"/>
        <v>0</v>
      </c>
      <c r="O183" s="31">
        <f t="shared" si="54"/>
        <v>0</v>
      </c>
      <c r="P183" s="31">
        <f t="shared" si="54"/>
        <v>0</v>
      </c>
      <c r="Q183" s="31">
        <f t="shared" si="54"/>
        <v>0</v>
      </c>
      <c r="R183" s="31">
        <f t="shared" si="54"/>
        <v>0</v>
      </c>
      <c r="S183" s="31">
        <f t="shared" si="54"/>
        <v>0</v>
      </c>
      <c r="T183" s="31">
        <f t="shared" si="54"/>
        <v>0</v>
      </c>
      <c r="U183" s="31">
        <f t="shared" si="54"/>
        <v>0</v>
      </c>
      <c r="V183" s="31">
        <f t="shared" si="54"/>
        <v>0</v>
      </c>
      <c r="W183" s="31">
        <f t="shared" si="54"/>
        <v>0.25864201435552758</v>
      </c>
      <c r="X183" s="31">
        <f t="shared" si="55"/>
        <v>2.1247146556947979E-2</v>
      </c>
      <c r="Y183" s="31">
        <f t="shared" si="55"/>
        <v>0.68708624800095996</v>
      </c>
      <c r="Z183" s="31">
        <f t="shared" si="55"/>
        <v>0</v>
      </c>
      <c r="AA183" s="31">
        <f t="shared" si="55"/>
        <v>0</v>
      </c>
      <c r="AB183" s="31">
        <f t="shared" si="55"/>
        <v>3.3024591086564484E-2</v>
      </c>
      <c r="AC183" s="31">
        <f t="shared" si="55"/>
        <v>0</v>
      </c>
      <c r="AD183" s="31">
        <f t="shared" si="55"/>
        <v>0</v>
      </c>
      <c r="AE183" s="31">
        <f t="shared" si="55"/>
        <v>0</v>
      </c>
      <c r="AF183" s="31">
        <f t="shared" si="55"/>
        <v>0</v>
      </c>
      <c r="AG183" s="31">
        <f t="shared" si="47"/>
        <v>1</v>
      </c>
    </row>
    <row r="184" spans="1:33" ht="10.5" x14ac:dyDescent="0.15">
      <c r="A184" s="1" t="s">
        <v>514</v>
      </c>
      <c r="B184" s="1" t="s">
        <v>515</v>
      </c>
      <c r="C184" s="3"/>
      <c r="D184" s="3"/>
      <c r="E184" s="3"/>
      <c r="F184" s="3"/>
      <c r="G184" s="3">
        <v>7492485.4213244366</v>
      </c>
      <c r="H184" s="3"/>
      <c r="I184" s="3"/>
      <c r="J184" s="3">
        <v>7492485.4213244366</v>
      </c>
      <c r="K184" s="26">
        <f t="shared" si="46"/>
        <v>2021</v>
      </c>
      <c r="L184" s="78"/>
      <c r="M184" s="37">
        <f t="shared" si="45"/>
        <v>3844158.4000000013</v>
      </c>
      <c r="N184" s="31">
        <f t="shared" si="54"/>
        <v>0</v>
      </c>
      <c r="O184" s="31">
        <f t="shared" si="54"/>
        <v>0</v>
      </c>
      <c r="P184" s="31">
        <f t="shared" si="54"/>
        <v>0</v>
      </c>
      <c r="Q184" s="31">
        <f t="shared" si="54"/>
        <v>0</v>
      </c>
      <c r="R184" s="31">
        <f t="shared" si="54"/>
        <v>0</v>
      </c>
      <c r="S184" s="31">
        <f t="shared" si="54"/>
        <v>0</v>
      </c>
      <c r="T184" s="31">
        <f t="shared" si="54"/>
        <v>0</v>
      </c>
      <c r="U184" s="31">
        <f t="shared" si="54"/>
        <v>0</v>
      </c>
      <c r="V184" s="31">
        <f t="shared" si="54"/>
        <v>0</v>
      </c>
      <c r="W184" s="31">
        <f t="shared" si="54"/>
        <v>0.96626699877923861</v>
      </c>
      <c r="X184" s="31">
        <f t="shared" si="55"/>
        <v>0</v>
      </c>
      <c r="Y184" s="31">
        <f t="shared" si="55"/>
        <v>3.3733001220761359E-2</v>
      </c>
      <c r="Z184" s="31">
        <f t="shared" si="55"/>
        <v>0</v>
      </c>
      <c r="AA184" s="31">
        <f t="shared" si="55"/>
        <v>0</v>
      </c>
      <c r="AB184" s="31">
        <f t="shared" si="55"/>
        <v>0</v>
      </c>
      <c r="AC184" s="31">
        <f t="shared" si="55"/>
        <v>0</v>
      </c>
      <c r="AD184" s="31">
        <f t="shared" si="55"/>
        <v>0</v>
      </c>
      <c r="AE184" s="31">
        <f t="shared" si="55"/>
        <v>0</v>
      </c>
      <c r="AF184" s="31">
        <f t="shared" si="55"/>
        <v>0</v>
      </c>
      <c r="AG184" s="31">
        <f t="shared" si="47"/>
        <v>1</v>
      </c>
    </row>
    <row r="185" spans="1:33" ht="10.5" x14ac:dyDescent="0.15">
      <c r="A185" s="1" t="s">
        <v>518</v>
      </c>
      <c r="B185" s="1" t="s">
        <v>2390</v>
      </c>
      <c r="C185" s="3"/>
      <c r="D185" s="3"/>
      <c r="E185" s="3"/>
      <c r="F185" s="3">
        <v>3142169.3941205726</v>
      </c>
      <c r="G185" s="3"/>
      <c r="H185" s="3"/>
      <c r="I185" s="3"/>
      <c r="J185" s="3">
        <v>3142169.3941205726</v>
      </c>
      <c r="K185" s="26">
        <f t="shared" si="46"/>
        <v>2020</v>
      </c>
      <c r="L185" s="78"/>
      <c r="M185" s="37">
        <f t="shared" si="45"/>
        <v>1565826.1946773399</v>
      </c>
      <c r="N185" s="31">
        <f t="shared" si="54"/>
        <v>0</v>
      </c>
      <c r="O185" s="31">
        <f t="shared" si="54"/>
        <v>0</v>
      </c>
      <c r="P185" s="31">
        <f t="shared" si="54"/>
        <v>0</v>
      </c>
      <c r="Q185" s="31">
        <f t="shared" si="54"/>
        <v>0</v>
      </c>
      <c r="R185" s="31">
        <f t="shared" si="54"/>
        <v>0</v>
      </c>
      <c r="S185" s="31">
        <f t="shared" si="54"/>
        <v>0</v>
      </c>
      <c r="T185" s="31">
        <f t="shared" si="54"/>
        <v>0</v>
      </c>
      <c r="U185" s="31">
        <f t="shared" si="54"/>
        <v>0</v>
      </c>
      <c r="V185" s="31">
        <f t="shared" si="54"/>
        <v>0</v>
      </c>
      <c r="W185" s="31">
        <f t="shared" si="54"/>
        <v>0.69836818000366996</v>
      </c>
      <c r="X185" s="31">
        <f t="shared" si="55"/>
        <v>0</v>
      </c>
      <c r="Y185" s="31">
        <f t="shared" si="55"/>
        <v>0.12108815175037685</v>
      </c>
      <c r="Z185" s="31">
        <f t="shared" si="55"/>
        <v>0</v>
      </c>
      <c r="AA185" s="31">
        <f t="shared" si="55"/>
        <v>0</v>
      </c>
      <c r="AB185" s="31">
        <f t="shared" si="55"/>
        <v>0.18054366824595322</v>
      </c>
      <c r="AC185" s="31">
        <f t="shared" si="55"/>
        <v>0</v>
      </c>
      <c r="AD185" s="31">
        <f t="shared" si="55"/>
        <v>0</v>
      </c>
      <c r="AE185" s="31">
        <f t="shared" si="55"/>
        <v>0</v>
      </c>
      <c r="AF185" s="31">
        <f t="shared" si="55"/>
        <v>0</v>
      </c>
      <c r="AG185" s="31">
        <f t="shared" si="47"/>
        <v>1</v>
      </c>
    </row>
    <row r="186" spans="1:33" ht="10.5" x14ac:dyDescent="0.15">
      <c r="A186" s="1" t="s">
        <v>520</v>
      </c>
      <c r="B186" s="1" t="s">
        <v>521</v>
      </c>
      <c r="C186" s="3"/>
      <c r="D186" s="3"/>
      <c r="E186" s="3">
        <v>1020416.0804287057</v>
      </c>
      <c r="F186" s="3"/>
      <c r="G186" s="3"/>
      <c r="H186" s="3"/>
      <c r="I186" s="3"/>
      <c r="J186" s="3">
        <v>1020416.0804287057</v>
      </c>
      <c r="K186" s="26">
        <f t="shared" si="46"/>
        <v>2019</v>
      </c>
      <c r="L186" s="78"/>
      <c r="M186" s="37">
        <f t="shared" si="45"/>
        <v>200000.00000000035</v>
      </c>
      <c r="N186" s="31">
        <f t="shared" si="54"/>
        <v>0</v>
      </c>
      <c r="O186" s="31">
        <f t="shared" si="54"/>
        <v>0</v>
      </c>
      <c r="P186" s="31">
        <f t="shared" si="54"/>
        <v>0</v>
      </c>
      <c r="Q186" s="31">
        <f t="shared" si="54"/>
        <v>1</v>
      </c>
      <c r="R186" s="31">
        <f t="shared" si="54"/>
        <v>0</v>
      </c>
      <c r="S186" s="31">
        <f t="shared" si="54"/>
        <v>0</v>
      </c>
      <c r="T186" s="31">
        <f t="shared" si="54"/>
        <v>0</v>
      </c>
      <c r="U186" s="31">
        <f t="shared" si="54"/>
        <v>0</v>
      </c>
      <c r="V186" s="31">
        <f t="shared" si="54"/>
        <v>0</v>
      </c>
      <c r="W186" s="31">
        <f t="shared" si="54"/>
        <v>0</v>
      </c>
      <c r="X186" s="31">
        <f t="shared" si="55"/>
        <v>0</v>
      </c>
      <c r="Y186" s="31">
        <f t="shared" si="55"/>
        <v>0</v>
      </c>
      <c r="Z186" s="31">
        <f t="shared" si="55"/>
        <v>0</v>
      </c>
      <c r="AA186" s="31">
        <f t="shared" si="55"/>
        <v>0</v>
      </c>
      <c r="AB186" s="31">
        <f t="shared" si="55"/>
        <v>0</v>
      </c>
      <c r="AC186" s="31">
        <f t="shared" si="55"/>
        <v>0</v>
      </c>
      <c r="AD186" s="31">
        <f t="shared" si="55"/>
        <v>0</v>
      </c>
      <c r="AE186" s="31">
        <f t="shared" si="55"/>
        <v>0</v>
      </c>
      <c r="AF186" s="31">
        <f t="shared" si="55"/>
        <v>0</v>
      </c>
      <c r="AG186" s="31">
        <f t="shared" si="47"/>
        <v>1</v>
      </c>
    </row>
    <row r="187" spans="1:33" ht="10.5" x14ac:dyDescent="0.15">
      <c r="A187" s="1" t="s">
        <v>523</v>
      </c>
      <c r="B187" s="1" t="s">
        <v>524</v>
      </c>
      <c r="C187" s="3">
        <v>306362.39788900001</v>
      </c>
      <c r="D187" s="3"/>
      <c r="E187" s="3"/>
      <c r="F187" s="3"/>
      <c r="G187" s="3"/>
      <c r="H187" s="3"/>
      <c r="I187" s="3"/>
      <c r="J187" s="3">
        <v>306362.39788900001</v>
      </c>
      <c r="K187" s="26">
        <f t="shared" si="46"/>
        <v>2017</v>
      </c>
      <c r="L187" s="78"/>
      <c r="M187" s="37">
        <f t="shared" si="45"/>
        <v>145691.76999999999</v>
      </c>
      <c r="N187" s="31">
        <f t="shared" si="54"/>
        <v>0</v>
      </c>
      <c r="O187" s="31">
        <f t="shared" si="54"/>
        <v>0</v>
      </c>
      <c r="P187" s="31">
        <f t="shared" si="54"/>
        <v>0</v>
      </c>
      <c r="Q187" s="31">
        <f t="shared" si="54"/>
        <v>1</v>
      </c>
      <c r="R187" s="31">
        <f t="shared" si="54"/>
        <v>0</v>
      </c>
      <c r="S187" s="31">
        <f t="shared" si="54"/>
        <v>0</v>
      </c>
      <c r="T187" s="31">
        <f t="shared" si="54"/>
        <v>0</v>
      </c>
      <c r="U187" s="31">
        <f t="shared" si="54"/>
        <v>0</v>
      </c>
      <c r="V187" s="31">
        <f t="shared" si="54"/>
        <v>0</v>
      </c>
      <c r="W187" s="31">
        <f t="shared" si="54"/>
        <v>0</v>
      </c>
      <c r="X187" s="31">
        <f t="shared" si="55"/>
        <v>0</v>
      </c>
      <c r="Y187" s="31">
        <f t="shared" si="55"/>
        <v>0</v>
      </c>
      <c r="Z187" s="31">
        <f t="shared" si="55"/>
        <v>0</v>
      </c>
      <c r="AA187" s="31">
        <f t="shared" si="55"/>
        <v>0</v>
      </c>
      <c r="AB187" s="31">
        <f t="shared" si="55"/>
        <v>0</v>
      </c>
      <c r="AC187" s="31">
        <f t="shared" si="55"/>
        <v>0</v>
      </c>
      <c r="AD187" s="31">
        <f t="shared" si="55"/>
        <v>0</v>
      </c>
      <c r="AE187" s="31">
        <f t="shared" si="55"/>
        <v>0</v>
      </c>
      <c r="AF187" s="31">
        <f t="shared" si="55"/>
        <v>0</v>
      </c>
      <c r="AG187" s="31">
        <f t="shared" si="47"/>
        <v>1</v>
      </c>
    </row>
    <row r="188" spans="1:33" ht="10.5" x14ac:dyDescent="0.15">
      <c r="A188" s="1" t="s">
        <v>526</v>
      </c>
      <c r="B188" s="1" t="s">
        <v>527</v>
      </c>
      <c r="C188" s="3"/>
      <c r="D188" s="3"/>
      <c r="E188" s="3">
        <v>4928405.1551825367</v>
      </c>
      <c r="F188" s="3"/>
      <c r="G188" s="3"/>
      <c r="H188" s="3"/>
      <c r="I188" s="3"/>
      <c r="J188" s="3">
        <v>4928405.1551825367</v>
      </c>
      <c r="K188" s="26">
        <f t="shared" si="46"/>
        <v>2019</v>
      </c>
      <c r="L188" s="78"/>
      <c r="M188" s="37">
        <f t="shared" si="45"/>
        <v>3030390.7715632175</v>
      </c>
      <c r="N188" s="31">
        <f t="shared" si="54"/>
        <v>0</v>
      </c>
      <c r="O188" s="31">
        <f t="shared" si="54"/>
        <v>0</v>
      </c>
      <c r="P188" s="31">
        <f t="shared" si="54"/>
        <v>9.8997133515637617E-3</v>
      </c>
      <c r="Q188" s="31">
        <f t="shared" si="54"/>
        <v>0</v>
      </c>
      <c r="R188" s="31">
        <f t="shared" si="54"/>
        <v>0</v>
      </c>
      <c r="S188" s="31">
        <f t="shared" si="54"/>
        <v>0</v>
      </c>
      <c r="T188" s="31">
        <f t="shared" si="54"/>
        <v>0</v>
      </c>
      <c r="U188" s="31">
        <f t="shared" si="54"/>
        <v>0</v>
      </c>
      <c r="V188" s="31">
        <f t="shared" si="54"/>
        <v>0</v>
      </c>
      <c r="W188" s="31">
        <f t="shared" si="54"/>
        <v>0.79697883928314239</v>
      </c>
      <c r="X188" s="31">
        <f t="shared" si="55"/>
        <v>0</v>
      </c>
      <c r="Y188" s="31">
        <f t="shared" si="55"/>
        <v>0.1331291827838956</v>
      </c>
      <c r="Z188" s="31">
        <f t="shared" si="55"/>
        <v>0</v>
      </c>
      <c r="AA188" s="31">
        <f t="shared" si="55"/>
        <v>0</v>
      </c>
      <c r="AB188" s="31">
        <f t="shared" si="55"/>
        <v>5.0092551223795662E-2</v>
      </c>
      <c r="AC188" s="31">
        <f t="shared" si="55"/>
        <v>6.5998089050683904E-3</v>
      </c>
      <c r="AD188" s="31">
        <f t="shared" si="55"/>
        <v>3.2999044525341952E-3</v>
      </c>
      <c r="AE188" s="31">
        <f t="shared" si="55"/>
        <v>0</v>
      </c>
      <c r="AF188" s="31">
        <f t="shared" si="55"/>
        <v>0</v>
      </c>
      <c r="AG188" s="31">
        <f t="shared" si="47"/>
        <v>1</v>
      </c>
    </row>
    <row r="189" spans="1:33" ht="10.5" x14ac:dyDescent="0.15">
      <c r="A189" s="1" t="s">
        <v>528</v>
      </c>
      <c r="B189" s="1" t="s">
        <v>529</v>
      </c>
      <c r="C189" s="3">
        <v>195267.18</v>
      </c>
      <c r="D189" s="3"/>
      <c r="E189" s="3"/>
      <c r="F189" s="3"/>
      <c r="G189" s="3"/>
      <c r="H189" s="3"/>
      <c r="I189" s="3"/>
      <c r="J189" s="3">
        <v>195267.18</v>
      </c>
      <c r="K189" s="26">
        <f t="shared" si="46"/>
        <v>2017</v>
      </c>
      <c r="L189" s="78"/>
      <c r="M189" s="37">
        <f t="shared" si="45"/>
        <v>200000.00000000009</v>
      </c>
      <c r="N189" s="31">
        <f t="shared" ref="N189:W198" si="56">IF(OR(LEFT($A189,1)="E",LEFT($A189,1)="Z"),IF($M189=0,VLOOKUP(MID($A189,4,5),ProjectSplits,N$2,FALSE),IF(ISNA(VLOOKUP($A189,Estimates,N$1,FALSE)),VLOOKUP(MID($A189,4,5),ProjectSplits,N$2,FALSE),VLOOKUP($A189,Estimates,N$1,FALSE))),0)</f>
        <v>1</v>
      </c>
      <c r="O189" s="31">
        <f t="shared" si="56"/>
        <v>0</v>
      </c>
      <c r="P189" s="31">
        <f t="shared" si="56"/>
        <v>0</v>
      </c>
      <c r="Q189" s="31">
        <f t="shared" si="56"/>
        <v>0</v>
      </c>
      <c r="R189" s="31">
        <f t="shared" si="56"/>
        <v>0</v>
      </c>
      <c r="S189" s="31">
        <f t="shared" si="56"/>
        <v>0</v>
      </c>
      <c r="T189" s="31">
        <f t="shared" si="56"/>
        <v>0</v>
      </c>
      <c r="U189" s="31">
        <f t="shared" si="56"/>
        <v>0</v>
      </c>
      <c r="V189" s="31">
        <f t="shared" si="56"/>
        <v>0</v>
      </c>
      <c r="W189" s="31">
        <f t="shared" si="56"/>
        <v>0</v>
      </c>
      <c r="X189" s="31">
        <f t="shared" ref="X189:AF198" si="57">IF(OR(LEFT($A189,1)="E",LEFT($A189,1)="Z"),IF($M189=0,VLOOKUP(MID($A189,4,5),ProjectSplits,X$2,FALSE),IF(ISNA(VLOOKUP($A189,Estimates,X$1,FALSE)),VLOOKUP(MID($A189,4,5),ProjectSplits,X$2,FALSE),VLOOKUP($A189,Estimates,X$1,FALSE))),0)</f>
        <v>0</v>
      </c>
      <c r="Y189" s="31">
        <f t="shared" si="57"/>
        <v>0</v>
      </c>
      <c r="Z189" s="31">
        <f t="shared" si="57"/>
        <v>0</v>
      </c>
      <c r="AA189" s="31">
        <f t="shared" si="57"/>
        <v>0</v>
      </c>
      <c r="AB189" s="31">
        <f t="shared" si="57"/>
        <v>0</v>
      </c>
      <c r="AC189" s="31">
        <f t="shared" si="57"/>
        <v>0</v>
      </c>
      <c r="AD189" s="31">
        <f t="shared" si="57"/>
        <v>0</v>
      </c>
      <c r="AE189" s="31">
        <f t="shared" si="57"/>
        <v>0</v>
      </c>
      <c r="AF189" s="31">
        <f t="shared" si="57"/>
        <v>0</v>
      </c>
      <c r="AG189" s="31">
        <f t="shared" si="47"/>
        <v>1</v>
      </c>
    </row>
    <row r="190" spans="1:33" ht="10.5" x14ac:dyDescent="0.15">
      <c r="A190" s="1" t="s">
        <v>530</v>
      </c>
      <c r="B190" s="1" t="s">
        <v>531</v>
      </c>
      <c r="C190" s="3">
        <v>157946.44</v>
      </c>
      <c r="D190" s="3"/>
      <c r="E190" s="3"/>
      <c r="F190" s="3"/>
      <c r="G190" s="3"/>
      <c r="H190" s="3"/>
      <c r="I190" s="3"/>
      <c r="J190" s="3">
        <v>157946.44</v>
      </c>
      <c r="K190" s="26">
        <f t="shared" si="46"/>
        <v>2017</v>
      </c>
      <c r="L190" s="78"/>
      <c r="M190" s="37">
        <f t="shared" si="45"/>
        <v>119999.99999999991</v>
      </c>
      <c r="N190" s="31">
        <f t="shared" si="56"/>
        <v>1</v>
      </c>
      <c r="O190" s="31">
        <f t="shared" si="56"/>
        <v>0</v>
      </c>
      <c r="P190" s="31">
        <f t="shared" si="56"/>
        <v>0</v>
      </c>
      <c r="Q190" s="31">
        <f t="shared" si="56"/>
        <v>0</v>
      </c>
      <c r="R190" s="31">
        <f t="shared" si="56"/>
        <v>0</v>
      </c>
      <c r="S190" s="31">
        <f t="shared" si="56"/>
        <v>0</v>
      </c>
      <c r="T190" s="31">
        <f t="shared" si="56"/>
        <v>0</v>
      </c>
      <c r="U190" s="31">
        <f t="shared" si="56"/>
        <v>0</v>
      </c>
      <c r="V190" s="31">
        <f t="shared" si="56"/>
        <v>0</v>
      </c>
      <c r="W190" s="31">
        <f t="shared" si="56"/>
        <v>0</v>
      </c>
      <c r="X190" s="31">
        <f t="shared" si="57"/>
        <v>0</v>
      </c>
      <c r="Y190" s="31">
        <f t="shared" si="57"/>
        <v>0</v>
      </c>
      <c r="Z190" s="31">
        <f t="shared" si="57"/>
        <v>0</v>
      </c>
      <c r="AA190" s="31">
        <f t="shared" si="57"/>
        <v>0</v>
      </c>
      <c r="AB190" s="31">
        <f t="shared" si="57"/>
        <v>0</v>
      </c>
      <c r="AC190" s="31">
        <f t="shared" si="57"/>
        <v>0</v>
      </c>
      <c r="AD190" s="31">
        <f t="shared" si="57"/>
        <v>0</v>
      </c>
      <c r="AE190" s="31">
        <f t="shared" si="57"/>
        <v>0</v>
      </c>
      <c r="AF190" s="31">
        <f t="shared" si="57"/>
        <v>0</v>
      </c>
      <c r="AG190" s="31">
        <f t="shared" si="47"/>
        <v>1</v>
      </c>
    </row>
    <row r="191" spans="1:33" ht="10.5" x14ac:dyDescent="0.15">
      <c r="A191" s="1" t="s">
        <v>532</v>
      </c>
      <c r="B191" s="1" t="s">
        <v>2391</v>
      </c>
      <c r="C191" s="3">
        <v>142922.81253900004</v>
      </c>
      <c r="D191" s="3"/>
      <c r="E191" s="3"/>
      <c r="F191" s="3"/>
      <c r="G191" s="3"/>
      <c r="H191" s="3"/>
      <c r="I191" s="3"/>
      <c r="J191" s="3">
        <v>142922.81253900004</v>
      </c>
      <c r="K191" s="26">
        <f t="shared" si="46"/>
        <v>2017</v>
      </c>
      <c r="L191" s="78"/>
      <c r="M191" s="37">
        <f t="shared" si="45"/>
        <v>0</v>
      </c>
      <c r="N191" s="31">
        <f t="shared" si="56"/>
        <v>1</v>
      </c>
      <c r="O191" s="31">
        <f t="shared" si="56"/>
        <v>0</v>
      </c>
      <c r="P191" s="31">
        <f t="shared" si="56"/>
        <v>0</v>
      </c>
      <c r="Q191" s="31">
        <f t="shared" si="56"/>
        <v>0</v>
      </c>
      <c r="R191" s="31">
        <f t="shared" si="56"/>
        <v>0</v>
      </c>
      <c r="S191" s="31">
        <f t="shared" si="56"/>
        <v>0</v>
      </c>
      <c r="T191" s="31">
        <f t="shared" si="56"/>
        <v>0</v>
      </c>
      <c r="U191" s="31">
        <f t="shared" si="56"/>
        <v>0</v>
      </c>
      <c r="V191" s="31">
        <f t="shared" si="56"/>
        <v>0</v>
      </c>
      <c r="W191" s="31">
        <f t="shared" si="56"/>
        <v>0</v>
      </c>
      <c r="X191" s="31">
        <f t="shared" si="57"/>
        <v>0</v>
      </c>
      <c r="Y191" s="31">
        <f t="shared" si="57"/>
        <v>0</v>
      </c>
      <c r="Z191" s="31">
        <f t="shared" si="57"/>
        <v>0</v>
      </c>
      <c r="AA191" s="31">
        <f t="shared" si="57"/>
        <v>0</v>
      </c>
      <c r="AB191" s="31">
        <f t="shared" si="57"/>
        <v>0</v>
      </c>
      <c r="AC191" s="31">
        <f t="shared" si="57"/>
        <v>0</v>
      </c>
      <c r="AD191" s="31">
        <f t="shared" si="57"/>
        <v>0</v>
      </c>
      <c r="AE191" s="31">
        <f t="shared" si="57"/>
        <v>0</v>
      </c>
      <c r="AF191" s="31">
        <f t="shared" si="57"/>
        <v>0</v>
      </c>
      <c r="AG191" s="31">
        <f t="shared" si="47"/>
        <v>1</v>
      </c>
    </row>
    <row r="192" spans="1:33" ht="10.5" x14ac:dyDescent="0.15">
      <c r="A192" s="1" t="s">
        <v>534</v>
      </c>
      <c r="B192" s="1" t="s">
        <v>535</v>
      </c>
      <c r="C192" s="3"/>
      <c r="D192" s="3"/>
      <c r="E192" s="3"/>
      <c r="F192" s="3">
        <v>561456.62623943447</v>
      </c>
      <c r="G192" s="3"/>
      <c r="H192" s="3"/>
      <c r="I192" s="3"/>
      <c r="J192" s="3">
        <v>561456.62623943447</v>
      </c>
      <c r="K192" s="26">
        <f t="shared" si="46"/>
        <v>2020</v>
      </c>
      <c r="L192" s="78"/>
      <c r="M192" s="37">
        <f t="shared" si="45"/>
        <v>383000.00000000029</v>
      </c>
      <c r="N192" s="31">
        <f t="shared" si="56"/>
        <v>0.69973890339425593</v>
      </c>
      <c r="O192" s="31">
        <f t="shared" si="56"/>
        <v>0</v>
      </c>
      <c r="P192" s="31">
        <f t="shared" si="56"/>
        <v>0</v>
      </c>
      <c r="Q192" s="31">
        <f t="shared" si="56"/>
        <v>0</v>
      </c>
      <c r="R192" s="31">
        <f t="shared" si="56"/>
        <v>0</v>
      </c>
      <c r="S192" s="31">
        <f t="shared" si="56"/>
        <v>0</v>
      </c>
      <c r="T192" s="31">
        <f t="shared" si="56"/>
        <v>0</v>
      </c>
      <c r="U192" s="31">
        <f t="shared" si="56"/>
        <v>0.30026109660574407</v>
      </c>
      <c r="V192" s="31">
        <f t="shared" si="56"/>
        <v>0</v>
      </c>
      <c r="W192" s="31">
        <f t="shared" si="56"/>
        <v>0</v>
      </c>
      <c r="X192" s="31">
        <f t="shared" si="57"/>
        <v>0</v>
      </c>
      <c r="Y192" s="31">
        <f t="shared" si="57"/>
        <v>0</v>
      </c>
      <c r="Z192" s="31">
        <f t="shared" si="57"/>
        <v>0</v>
      </c>
      <c r="AA192" s="31">
        <f t="shared" si="57"/>
        <v>0</v>
      </c>
      <c r="AB192" s="31">
        <f t="shared" si="57"/>
        <v>0</v>
      </c>
      <c r="AC192" s="31">
        <f t="shared" si="57"/>
        <v>0</v>
      </c>
      <c r="AD192" s="31">
        <f t="shared" si="57"/>
        <v>0</v>
      </c>
      <c r="AE192" s="31">
        <f t="shared" si="57"/>
        <v>0</v>
      </c>
      <c r="AF192" s="31">
        <f t="shared" si="57"/>
        <v>0</v>
      </c>
      <c r="AG192" s="31">
        <f t="shared" si="47"/>
        <v>1</v>
      </c>
    </row>
    <row r="193" spans="1:33" ht="10.5" x14ac:dyDescent="0.15">
      <c r="A193" s="1" t="s">
        <v>536</v>
      </c>
      <c r="B193" s="1" t="s">
        <v>537</v>
      </c>
      <c r="C193" s="3"/>
      <c r="D193" s="3"/>
      <c r="E193" s="3"/>
      <c r="F193" s="3"/>
      <c r="G193" s="3">
        <v>575198.17402633466</v>
      </c>
      <c r="H193" s="3"/>
      <c r="I193" s="3"/>
      <c r="J193" s="3">
        <v>575198.17402633466</v>
      </c>
      <c r="K193" s="26">
        <f t="shared" si="46"/>
        <v>2021</v>
      </c>
      <c r="L193" s="78"/>
      <c r="M193" s="37">
        <f t="shared" si="45"/>
        <v>383000.00000000017</v>
      </c>
      <c r="N193" s="31">
        <f t="shared" si="56"/>
        <v>0.69973890339425582</v>
      </c>
      <c r="O193" s="31">
        <f t="shared" si="56"/>
        <v>0</v>
      </c>
      <c r="P193" s="31">
        <f t="shared" si="56"/>
        <v>0</v>
      </c>
      <c r="Q193" s="31">
        <f t="shared" si="56"/>
        <v>0</v>
      </c>
      <c r="R193" s="31">
        <f t="shared" si="56"/>
        <v>0</v>
      </c>
      <c r="S193" s="31">
        <f t="shared" si="56"/>
        <v>0</v>
      </c>
      <c r="T193" s="31">
        <f t="shared" si="56"/>
        <v>0</v>
      </c>
      <c r="U193" s="31">
        <f t="shared" si="56"/>
        <v>0.30026109660574413</v>
      </c>
      <c r="V193" s="31">
        <f t="shared" si="56"/>
        <v>0</v>
      </c>
      <c r="W193" s="31">
        <f t="shared" si="56"/>
        <v>0</v>
      </c>
      <c r="X193" s="31">
        <f t="shared" si="57"/>
        <v>0</v>
      </c>
      <c r="Y193" s="31">
        <f t="shared" si="57"/>
        <v>0</v>
      </c>
      <c r="Z193" s="31">
        <f t="shared" si="57"/>
        <v>0</v>
      </c>
      <c r="AA193" s="31">
        <f t="shared" si="57"/>
        <v>0</v>
      </c>
      <c r="AB193" s="31">
        <f t="shared" si="57"/>
        <v>0</v>
      </c>
      <c r="AC193" s="31">
        <f t="shared" si="57"/>
        <v>0</v>
      </c>
      <c r="AD193" s="31">
        <f t="shared" si="57"/>
        <v>0</v>
      </c>
      <c r="AE193" s="31">
        <f t="shared" si="57"/>
        <v>0</v>
      </c>
      <c r="AF193" s="31">
        <f t="shared" si="57"/>
        <v>0</v>
      </c>
      <c r="AG193" s="31">
        <f t="shared" si="47"/>
        <v>1</v>
      </c>
    </row>
    <row r="194" spans="1:33" ht="10.5" x14ac:dyDescent="0.15">
      <c r="A194" s="1" t="s">
        <v>538</v>
      </c>
      <c r="B194" s="1" t="s">
        <v>539</v>
      </c>
      <c r="C194" s="3"/>
      <c r="D194" s="3"/>
      <c r="E194" s="3"/>
      <c r="F194" s="3"/>
      <c r="G194" s="3"/>
      <c r="H194" s="3">
        <v>583585.25573076284</v>
      </c>
      <c r="I194" s="3"/>
      <c r="J194" s="3">
        <v>583585.25573076284</v>
      </c>
      <c r="K194" s="26">
        <f t="shared" si="46"/>
        <v>2022</v>
      </c>
      <c r="L194" s="78"/>
      <c r="M194" s="37">
        <f t="shared" si="45"/>
        <v>383000.00000000058</v>
      </c>
      <c r="N194" s="31">
        <f t="shared" si="56"/>
        <v>0.69973890339425593</v>
      </c>
      <c r="O194" s="31">
        <f t="shared" si="56"/>
        <v>0</v>
      </c>
      <c r="P194" s="31">
        <f t="shared" si="56"/>
        <v>0</v>
      </c>
      <c r="Q194" s="31">
        <f t="shared" si="56"/>
        <v>0</v>
      </c>
      <c r="R194" s="31">
        <f t="shared" si="56"/>
        <v>0</v>
      </c>
      <c r="S194" s="31">
        <f t="shared" si="56"/>
        <v>0</v>
      </c>
      <c r="T194" s="31">
        <f t="shared" si="56"/>
        <v>0</v>
      </c>
      <c r="U194" s="31">
        <f t="shared" si="56"/>
        <v>0.30026109660574407</v>
      </c>
      <c r="V194" s="31">
        <f t="shared" si="56"/>
        <v>0</v>
      </c>
      <c r="W194" s="31">
        <f t="shared" si="56"/>
        <v>0</v>
      </c>
      <c r="X194" s="31">
        <f t="shared" si="57"/>
        <v>0</v>
      </c>
      <c r="Y194" s="31">
        <f t="shared" si="57"/>
        <v>0</v>
      </c>
      <c r="Z194" s="31">
        <f t="shared" si="57"/>
        <v>0</v>
      </c>
      <c r="AA194" s="31">
        <f t="shared" si="57"/>
        <v>0</v>
      </c>
      <c r="AB194" s="31">
        <f t="shared" si="57"/>
        <v>0</v>
      </c>
      <c r="AC194" s="31">
        <f t="shared" si="57"/>
        <v>0</v>
      </c>
      <c r="AD194" s="31">
        <f t="shared" si="57"/>
        <v>0</v>
      </c>
      <c r="AE194" s="31">
        <f t="shared" si="57"/>
        <v>0</v>
      </c>
      <c r="AF194" s="31">
        <f t="shared" si="57"/>
        <v>0</v>
      </c>
      <c r="AG194" s="31">
        <f t="shared" si="47"/>
        <v>1</v>
      </c>
    </row>
    <row r="195" spans="1:33" ht="10.5" x14ac:dyDescent="0.15">
      <c r="A195" s="1" t="s">
        <v>541</v>
      </c>
      <c r="B195" s="1" t="s">
        <v>542</v>
      </c>
      <c r="C195" s="3"/>
      <c r="D195" s="3"/>
      <c r="E195" s="3"/>
      <c r="F195" s="3">
        <v>1420636.2098158959</v>
      </c>
      <c r="G195" s="3"/>
      <c r="H195" s="3"/>
      <c r="I195" s="3"/>
      <c r="J195" s="3">
        <v>1420636.2098158959</v>
      </c>
      <c r="K195" s="26">
        <f t="shared" si="46"/>
        <v>2020</v>
      </c>
      <c r="L195" s="78"/>
      <c r="M195" s="37">
        <f t="shared" si="45"/>
        <v>749999.96250000002</v>
      </c>
      <c r="N195" s="31">
        <f t="shared" si="56"/>
        <v>0</v>
      </c>
      <c r="O195" s="31">
        <f t="shared" si="56"/>
        <v>0.29999996499999831</v>
      </c>
      <c r="P195" s="31">
        <f t="shared" si="56"/>
        <v>0.60000003000000146</v>
      </c>
      <c r="Q195" s="31">
        <f t="shared" si="56"/>
        <v>0</v>
      </c>
      <c r="R195" s="31">
        <f t="shared" si="56"/>
        <v>0</v>
      </c>
      <c r="S195" s="31">
        <f t="shared" si="56"/>
        <v>0</v>
      </c>
      <c r="T195" s="31">
        <f t="shared" si="56"/>
        <v>0</v>
      </c>
      <c r="U195" s="31">
        <f t="shared" si="56"/>
        <v>0</v>
      </c>
      <c r="V195" s="31">
        <f t="shared" si="56"/>
        <v>0</v>
      </c>
      <c r="W195" s="31">
        <f t="shared" si="56"/>
        <v>0</v>
      </c>
      <c r="X195" s="31">
        <f t="shared" si="57"/>
        <v>0</v>
      </c>
      <c r="Y195" s="31">
        <f t="shared" si="57"/>
        <v>0</v>
      </c>
      <c r="Z195" s="31">
        <f t="shared" si="57"/>
        <v>0</v>
      </c>
      <c r="AA195" s="31">
        <f t="shared" si="57"/>
        <v>0</v>
      </c>
      <c r="AB195" s="31">
        <f t="shared" si="57"/>
        <v>0</v>
      </c>
      <c r="AC195" s="31">
        <f t="shared" si="57"/>
        <v>0.10000000500000025</v>
      </c>
      <c r="AD195" s="31">
        <f t="shared" si="57"/>
        <v>0</v>
      </c>
      <c r="AE195" s="31">
        <f t="shared" si="57"/>
        <v>0</v>
      </c>
      <c r="AF195" s="31">
        <f t="shared" si="57"/>
        <v>0</v>
      </c>
      <c r="AG195" s="31">
        <f t="shared" si="47"/>
        <v>1</v>
      </c>
    </row>
    <row r="196" spans="1:33" ht="10.5" x14ac:dyDescent="0.15">
      <c r="A196" s="1" t="s">
        <v>543</v>
      </c>
      <c r="B196" s="1" t="s">
        <v>544</v>
      </c>
      <c r="C196" s="3"/>
      <c r="D196" s="3"/>
      <c r="E196" s="3"/>
      <c r="F196" s="3"/>
      <c r="G196" s="3"/>
      <c r="H196" s="3"/>
      <c r="I196" s="3">
        <v>130565.15184265991</v>
      </c>
      <c r="J196" s="3">
        <v>130565.15184265991</v>
      </c>
      <c r="K196" s="26">
        <f t="shared" si="46"/>
        <v>2023</v>
      </c>
      <c r="L196" s="78"/>
      <c r="M196" s="37">
        <f t="shared" si="45"/>
        <v>84000.000000000044</v>
      </c>
      <c r="N196" s="31">
        <f t="shared" si="56"/>
        <v>1</v>
      </c>
      <c r="O196" s="31">
        <f t="shared" si="56"/>
        <v>0</v>
      </c>
      <c r="P196" s="31">
        <f t="shared" si="56"/>
        <v>0</v>
      </c>
      <c r="Q196" s="31">
        <f t="shared" si="56"/>
        <v>0</v>
      </c>
      <c r="R196" s="31">
        <f t="shared" si="56"/>
        <v>0</v>
      </c>
      <c r="S196" s="31">
        <f t="shared" si="56"/>
        <v>0</v>
      </c>
      <c r="T196" s="31">
        <f t="shared" si="56"/>
        <v>0</v>
      </c>
      <c r="U196" s="31">
        <f t="shared" si="56"/>
        <v>0</v>
      </c>
      <c r="V196" s="31">
        <f t="shared" si="56"/>
        <v>0</v>
      </c>
      <c r="W196" s="31">
        <f t="shared" si="56"/>
        <v>0</v>
      </c>
      <c r="X196" s="31">
        <f t="shared" si="57"/>
        <v>0</v>
      </c>
      <c r="Y196" s="31">
        <f t="shared" si="57"/>
        <v>0</v>
      </c>
      <c r="Z196" s="31">
        <f t="shared" si="57"/>
        <v>0</v>
      </c>
      <c r="AA196" s="31">
        <f t="shared" si="57"/>
        <v>0</v>
      </c>
      <c r="AB196" s="31">
        <f t="shared" si="57"/>
        <v>0</v>
      </c>
      <c r="AC196" s="31">
        <f t="shared" si="57"/>
        <v>0</v>
      </c>
      <c r="AD196" s="31">
        <f t="shared" si="57"/>
        <v>0</v>
      </c>
      <c r="AE196" s="31">
        <f t="shared" si="57"/>
        <v>0</v>
      </c>
      <c r="AF196" s="31">
        <f t="shared" si="57"/>
        <v>0</v>
      </c>
      <c r="AG196" s="31">
        <f t="shared" si="47"/>
        <v>1</v>
      </c>
    </row>
    <row r="197" spans="1:33" ht="10.5" x14ac:dyDescent="0.15">
      <c r="A197" s="1" t="s">
        <v>545</v>
      </c>
      <c r="B197" s="1" t="s">
        <v>546</v>
      </c>
      <c r="C197" s="3"/>
      <c r="D197" s="3">
        <v>883954.60032029508</v>
      </c>
      <c r="E197" s="3"/>
      <c r="F197" s="3"/>
      <c r="G197" s="3"/>
      <c r="H197" s="3"/>
      <c r="I197" s="3"/>
      <c r="J197" s="3">
        <v>883954.60032029508</v>
      </c>
      <c r="K197" s="26">
        <f t="shared" si="46"/>
        <v>2018</v>
      </c>
      <c r="L197" s="78"/>
      <c r="M197" s="37">
        <f t="shared" si="45"/>
        <v>379700.01500794443</v>
      </c>
      <c r="N197" s="31">
        <f t="shared" si="56"/>
        <v>0</v>
      </c>
      <c r="O197" s="31">
        <f t="shared" si="56"/>
        <v>0</v>
      </c>
      <c r="P197" s="31">
        <f t="shared" si="56"/>
        <v>7.9009741412236476E-2</v>
      </c>
      <c r="Q197" s="31">
        <f t="shared" si="56"/>
        <v>0</v>
      </c>
      <c r="R197" s="31">
        <f t="shared" si="56"/>
        <v>0</v>
      </c>
      <c r="S197" s="31">
        <f t="shared" si="56"/>
        <v>0</v>
      </c>
      <c r="T197" s="31">
        <f t="shared" si="56"/>
        <v>0</v>
      </c>
      <c r="U197" s="31">
        <f t="shared" si="56"/>
        <v>0</v>
      </c>
      <c r="V197" s="31">
        <f t="shared" si="56"/>
        <v>0</v>
      </c>
      <c r="W197" s="31">
        <f t="shared" si="56"/>
        <v>0</v>
      </c>
      <c r="X197" s="31">
        <f t="shared" si="57"/>
        <v>0</v>
      </c>
      <c r="Y197" s="31">
        <f t="shared" si="57"/>
        <v>0</v>
      </c>
      <c r="Z197" s="31">
        <f t="shared" si="57"/>
        <v>0</v>
      </c>
      <c r="AA197" s="31">
        <f t="shared" si="57"/>
        <v>0</v>
      </c>
      <c r="AB197" s="31">
        <f t="shared" si="57"/>
        <v>0.92099025858776351</v>
      </c>
      <c r="AC197" s="31">
        <f t="shared" si="57"/>
        <v>0</v>
      </c>
      <c r="AD197" s="31">
        <f t="shared" si="57"/>
        <v>0</v>
      </c>
      <c r="AE197" s="31">
        <f t="shared" si="57"/>
        <v>0</v>
      </c>
      <c r="AF197" s="31">
        <f t="shared" si="57"/>
        <v>0</v>
      </c>
      <c r="AG197" s="31">
        <f t="shared" si="47"/>
        <v>1</v>
      </c>
    </row>
    <row r="198" spans="1:33" ht="10.5" x14ac:dyDescent="0.15">
      <c r="A198" s="1" t="s">
        <v>547</v>
      </c>
      <c r="B198" s="1" t="s">
        <v>548</v>
      </c>
      <c r="C198" s="3"/>
      <c r="D198" s="3"/>
      <c r="E198" s="3"/>
      <c r="F198" s="3"/>
      <c r="G198" s="3"/>
      <c r="H198" s="3"/>
      <c r="I198" s="3">
        <v>1998683.2107464818</v>
      </c>
      <c r="J198" s="3">
        <v>1998683.2107464818</v>
      </c>
      <c r="K198" s="26">
        <f t="shared" si="46"/>
        <v>2023</v>
      </c>
      <c r="L198" s="78"/>
      <c r="M198" s="37">
        <f t="shared" si="45"/>
        <v>1086032.6174999999</v>
      </c>
      <c r="N198" s="31">
        <f t="shared" si="56"/>
        <v>0</v>
      </c>
      <c r="O198" s="31">
        <f t="shared" si="56"/>
        <v>2.7623472828153802E-2</v>
      </c>
      <c r="P198" s="31">
        <f t="shared" si="56"/>
        <v>0.97237652717184631</v>
      </c>
      <c r="Q198" s="31">
        <f t="shared" si="56"/>
        <v>0</v>
      </c>
      <c r="R198" s="31">
        <f t="shared" si="56"/>
        <v>0</v>
      </c>
      <c r="S198" s="31">
        <f t="shared" si="56"/>
        <v>0</v>
      </c>
      <c r="T198" s="31">
        <f t="shared" si="56"/>
        <v>0</v>
      </c>
      <c r="U198" s="31">
        <f t="shared" si="56"/>
        <v>0</v>
      </c>
      <c r="V198" s="31">
        <f t="shared" si="56"/>
        <v>0</v>
      </c>
      <c r="W198" s="31">
        <f t="shared" si="56"/>
        <v>0</v>
      </c>
      <c r="X198" s="31">
        <f t="shared" si="57"/>
        <v>0</v>
      </c>
      <c r="Y198" s="31">
        <f t="shared" si="57"/>
        <v>0</v>
      </c>
      <c r="Z198" s="31">
        <f t="shared" si="57"/>
        <v>0</v>
      </c>
      <c r="AA198" s="31">
        <f t="shared" si="57"/>
        <v>0</v>
      </c>
      <c r="AB198" s="31">
        <f t="shared" si="57"/>
        <v>0</v>
      </c>
      <c r="AC198" s="31">
        <f t="shared" si="57"/>
        <v>0</v>
      </c>
      <c r="AD198" s="31">
        <f t="shared" si="57"/>
        <v>0</v>
      </c>
      <c r="AE198" s="31">
        <f t="shared" si="57"/>
        <v>0</v>
      </c>
      <c r="AF198" s="31">
        <f t="shared" si="57"/>
        <v>0</v>
      </c>
      <c r="AG198" s="31">
        <f t="shared" si="47"/>
        <v>1</v>
      </c>
    </row>
    <row r="199" spans="1:33" ht="10.5" x14ac:dyDescent="0.15">
      <c r="A199" s="1" t="s">
        <v>549</v>
      </c>
      <c r="B199" s="1" t="s">
        <v>224</v>
      </c>
      <c r="C199" s="3"/>
      <c r="D199" s="3"/>
      <c r="E199" s="3"/>
      <c r="F199" s="3"/>
      <c r="G199" s="3">
        <v>3656720.3534131264</v>
      </c>
      <c r="H199" s="3"/>
      <c r="I199" s="3"/>
      <c r="J199" s="3">
        <v>3656720.3534131264</v>
      </c>
      <c r="K199" s="26">
        <f t="shared" si="46"/>
        <v>2021</v>
      </c>
      <c r="L199" s="78"/>
      <c r="M199" s="37">
        <f t="shared" si="45"/>
        <v>1785000.0000000007</v>
      </c>
      <c r="N199" s="31">
        <f t="shared" ref="N199:W208" si="58">IF(OR(LEFT($A199,1)="E",LEFT($A199,1)="Z"),IF($M199=0,VLOOKUP(MID($A199,4,5),ProjectSplits,N$2,FALSE),IF(ISNA(VLOOKUP($A199,Estimates,N$1,FALSE)),VLOOKUP(MID($A199,4,5),ProjectSplits,N$2,FALSE),VLOOKUP($A199,Estimates,N$1,FALSE))),0)</f>
        <v>0</v>
      </c>
      <c r="O199" s="31">
        <f t="shared" si="58"/>
        <v>0</v>
      </c>
      <c r="P199" s="31">
        <f t="shared" si="58"/>
        <v>0</v>
      </c>
      <c r="Q199" s="31">
        <f t="shared" si="58"/>
        <v>0</v>
      </c>
      <c r="R199" s="31">
        <f t="shared" si="58"/>
        <v>0</v>
      </c>
      <c r="S199" s="31">
        <f t="shared" si="58"/>
        <v>0</v>
      </c>
      <c r="T199" s="31">
        <f t="shared" si="58"/>
        <v>0</v>
      </c>
      <c r="U199" s="31">
        <f t="shared" si="58"/>
        <v>0</v>
      </c>
      <c r="V199" s="31">
        <f t="shared" si="58"/>
        <v>0</v>
      </c>
      <c r="W199" s="31">
        <f t="shared" si="58"/>
        <v>0</v>
      </c>
      <c r="X199" s="31">
        <f t="shared" ref="X199:AF208" si="59">IF(OR(LEFT($A199,1)="E",LEFT($A199,1)="Z"),IF($M199=0,VLOOKUP(MID($A199,4,5),ProjectSplits,X$2,FALSE),IF(ISNA(VLOOKUP($A199,Estimates,X$1,FALSE)),VLOOKUP(MID($A199,4,5),ProjectSplits,X$2,FALSE),VLOOKUP($A199,Estimates,X$1,FALSE))),0)</f>
        <v>0</v>
      </c>
      <c r="Y199" s="31">
        <f t="shared" si="59"/>
        <v>0</v>
      </c>
      <c r="Z199" s="31">
        <f t="shared" si="59"/>
        <v>0</v>
      </c>
      <c r="AA199" s="31">
        <f t="shared" si="59"/>
        <v>0</v>
      </c>
      <c r="AB199" s="31">
        <f t="shared" si="59"/>
        <v>1</v>
      </c>
      <c r="AC199" s="31">
        <f t="shared" si="59"/>
        <v>0</v>
      </c>
      <c r="AD199" s="31">
        <f t="shared" si="59"/>
        <v>0</v>
      </c>
      <c r="AE199" s="31">
        <f t="shared" si="59"/>
        <v>0</v>
      </c>
      <c r="AF199" s="31">
        <f t="shared" si="59"/>
        <v>0</v>
      </c>
      <c r="AG199" s="31">
        <f t="shared" si="47"/>
        <v>1</v>
      </c>
    </row>
    <row r="200" spans="1:33" ht="10.5" x14ac:dyDescent="0.15">
      <c r="A200" s="1" t="s">
        <v>550</v>
      </c>
      <c r="B200" s="1" t="s">
        <v>551</v>
      </c>
      <c r="C200" s="3"/>
      <c r="D200" s="3"/>
      <c r="E200" s="3"/>
      <c r="F200" s="3">
        <v>7138681.5736010456</v>
      </c>
      <c r="G200" s="3"/>
      <c r="H200" s="3"/>
      <c r="I200" s="3"/>
      <c r="J200" s="3">
        <v>7138681.5736010456</v>
      </c>
      <c r="K200" s="26">
        <f t="shared" si="46"/>
        <v>2020</v>
      </c>
      <c r="L200" s="78"/>
      <c r="M200" s="37">
        <f t="shared" si="45"/>
        <v>3888801.5634900387</v>
      </c>
      <c r="N200" s="31">
        <f t="shared" si="58"/>
        <v>0</v>
      </c>
      <c r="O200" s="31">
        <f t="shared" si="58"/>
        <v>0</v>
      </c>
      <c r="P200" s="31">
        <f t="shared" si="58"/>
        <v>0</v>
      </c>
      <c r="Q200" s="31">
        <f t="shared" si="58"/>
        <v>0</v>
      </c>
      <c r="R200" s="31">
        <f t="shared" si="58"/>
        <v>0</v>
      </c>
      <c r="S200" s="31">
        <f t="shared" si="58"/>
        <v>1.5428917886504976E-2</v>
      </c>
      <c r="T200" s="31">
        <f t="shared" si="58"/>
        <v>0</v>
      </c>
      <c r="U200" s="31">
        <f t="shared" si="58"/>
        <v>0</v>
      </c>
      <c r="V200" s="31">
        <f t="shared" si="58"/>
        <v>0</v>
      </c>
      <c r="W200" s="31">
        <f t="shared" si="58"/>
        <v>0.40789629806647021</v>
      </c>
      <c r="X200" s="31">
        <f t="shared" si="59"/>
        <v>0</v>
      </c>
      <c r="Y200" s="31">
        <f t="shared" si="59"/>
        <v>0.39913936504313302</v>
      </c>
      <c r="Z200" s="31">
        <f t="shared" si="59"/>
        <v>3.08578357702456E-2</v>
      </c>
      <c r="AA200" s="31">
        <f t="shared" si="59"/>
        <v>0</v>
      </c>
      <c r="AB200" s="31">
        <f t="shared" si="59"/>
        <v>0.13382015166155883</v>
      </c>
      <c r="AC200" s="31">
        <f t="shared" si="59"/>
        <v>1.2857431572087477E-2</v>
      </c>
      <c r="AD200" s="31">
        <f t="shared" si="59"/>
        <v>0</v>
      </c>
      <c r="AE200" s="31">
        <f t="shared" si="59"/>
        <v>0</v>
      </c>
      <c r="AF200" s="31">
        <f t="shared" si="59"/>
        <v>0</v>
      </c>
      <c r="AG200" s="31">
        <f t="shared" si="47"/>
        <v>1</v>
      </c>
    </row>
    <row r="201" spans="1:33" ht="10.5" x14ac:dyDescent="0.15">
      <c r="A201" s="1" t="s">
        <v>554</v>
      </c>
      <c r="B201" s="1" t="s">
        <v>555</v>
      </c>
      <c r="C201" s="3"/>
      <c r="D201" s="3"/>
      <c r="E201" s="3"/>
      <c r="F201" s="3"/>
      <c r="G201" s="3"/>
      <c r="H201" s="3"/>
      <c r="I201" s="3">
        <v>939763.6464675843</v>
      </c>
      <c r="J201" s="3">
        <v>939763.6464675843</v>
      </c>
      <c r="K201" s="26">
        <f t="shared" si="46"/>
        <v>2023</v>
      </c>
      <c r="L201" s="78"/>
      <c r="M201" s="37">
        <f t="shared" si="45"/>
        <v>135493.10353250001</v>
      </c>
      <c r="N201" s="31">
        <f t="shared" si="58"/>
        <v>0</v>
      </c>
      <c r="O201" s="31">
        <f t="shared" si="58"/>
        <v>0</v>
      </c>
      <c r="P201" s="31">
        <f t="shared" si="58"/>
        <v>0</v>
      </c>
      <c r="Q201" s="31">
        <f t="shared" si="58"/>
        <v>0</v>
      </c>
      <c r="R201" s="31">
        <f t="shared" si="58"/>
        <v>0</v>
      </c>
      <c r="S201" s="31">
        <f t="shared" si="58"/>
        <v>0</v>
      </c>
      <c r="T201" s="31">
        <f t="shared" si="58"/>
        <v>0</v>
      </c>
      <c r="U201" s="31">
        <f t="shared" si="58"/>
        <v>0</v>
      </c>
      <c r="V201" s="31">
        <f t="shared" si="58"/>
        <v>0</v>
      </c>
      <c r="W201" s="31">
        <f t="shared" si="58"/>
        <v>0.66377548122534002</v>
      </c>
      <c r="X201" s="31">
        <f t="shared" si="59"/>
        <v>0</v>
      </c>
      <c r="Y201" s="31">
        <f t="shared" si="59"/>
        <v>0.14391876406700388</v>
      </c>
      <c r="Z201" s="31">
        <f t="shared" si="59"/>
        <v>0</v>
      </c>
      <c r="AA201" s="31">
        <f t="shared" si="59"/>
        <v>0</v>
      </c>
      <c r="AB201" s="31">
        <f t="shared" si="59"/>
        <v>5.84531595595216E-2</v>
      </c>
      <c r="AC201" s="31">
        <f t="shared" si="59"/>
        <v>0.13385259514813455</v>
      </c>
      <c r="AD201" s="31">
        <f t="shared" si="59"/>
        <v>0</v>
      </c>
      <c r="AE201" s="31">
        <f t="shared" si="59"/>
        <v>0</v>
      </c>
      <c r="AF201" s="31">
        <f t="shared" si="59"/>
        <v>0</v>
      </c>
      <c r="AG201" s="31">
        <f t="shared" si="47"/>
        <v>1</v>
      </c>
    </row>
    <row r="202" spans="1:33" ht="10.5" x14ac:dyDescent="0.15">
      <c r="A202" s="1" t="s">
        <v>556</v>
      </c>
      <c r="B202" s="1" t="s">
        <v>557</v>
      </c>
      <c r="C202" s="3"/>
      <c r="D202" s="3"/>
      <c r="E202" s="3"/>
      <c r="F202" s="3"/>
      <c r="G202" s="3"/>
      <c r="H202" s="3">
        <v>1336659.2404540782</v>
      </c>
      <c r="I202" s="3"/>
      <c r="J202" s="3">
        <v>1336659.2404540782</v>
      </c>
      <c r="K202" s="26">
        <f t="shared" si="46"/>
        <v>2022</v>
      </c>
      <c r="L202" s="78"/>
      <c r="M202" s="37">
        <f t="shared" si="45"/>
        <v>629369.3399999988</v>
      </c>
      <c r="N202" s="31">
        <f t="shared" si="58"/>
        <v>0</v>
      </c>
      <c r="O202" s="31">
        <f t="shared" si="58"/>
        <v>0</v>
      </c>
      <c r="P202" s="31">
        <f t="shared" si="58"/>
        <v>0</v>
      </c>
      <c r="Q202" s="31">
        <f t="shared" si="58"/>
        <v>0</v>
      </c>
      <c r="R202" s="31">
        <f t="shared" si="58"/>
        <v>0</v>
      </c>
      <c r="S202" s="31">
        <f t="shared" si="58"/>
        <v>0</v>
      </c>
      <c r="T202" s="31">
        <f t="shared" si="58"/>
        <v>0</v>
      </c>
      <c r="U202" s="31">
        <f t="shared" si="58"/>
        <v>0</v>
      </c>
      <c r="V202" s="31">
        <f t="shared" si="58"/>
        <v>0</v>
      </c>
      <c r="W202" s="31">
        <f t="shared" si="58"/>
        <v>0</v>
      </c>
      <c r="X202" s="31">
        <f t="shared" si="59"/>
        <v>0.61092902936771587</v>
      </c>
      <c r="Y202" s="31">
        <f t="shared" si="59"/>
        <v>4.934701776225707E-2</v>
      </c>
      <c r="Z202" s="31">
        <f t="shared" si="59"/>
        <v>0</v>
      </c>
      <c r="AA202" s="31">
        <f t="shared" si="59"/>
        <v>0</v>
      </c>
      <c r="AB202" s="31">
        <f t="shared" si="59"/>
        <v>0.3397239528700271</v>
      </c>
      <c r="AC202" s="31">
        <f t="shared" si="59"/>
        <v>0</v>
      </c>
      <c r="AD202" s="31">
        <f t="shared" si="59"/>
        <v>0</v>
      </c>
      <c r="AE202" s="31">
        <f t="shared" si="59"/>
        <v>0</v>
      </c>
      <c r="AF202" s="31">
        <f t="shared" si="59"/>
        <v>0</v>
      </c>
      <c r="AG202" s="31">
        <f t="shared" si="47"/>
        <v>1</v>
      </c>
    </row>
    <row r="203" spans="1:33" ht="10.5" x14ac:dyDescent="0.15">
      <c r="A203" s="1" t="s">
        <v>558</v>
      </c>
      <c r="B203" s="482" t="s">
        <v>559</v>
      </c>
      <c r="C203" s="3"/>
      <c r="D203" s="3"/>
      <c r="E203" s="3"/>
      <c r="F203" s="3"/>
      <c r="G203" s="3"/>
      <c r="H203" s="3"/>
      <c r="I203" s="3">
        <v>10023482.942554072</v>
      </c>
      <c r="J203" s="3">
        <v>10023482.942554072</v>
      </c>
      <c r="K203" s="26">
        <f t="shared" si="46"/>
        <v>2023</v>
      </c>
      <c r="L203" s="78"/>
      <c r="M203" s="37">
        <f t="shared" si="45"/>
        <v>2994494.56300034</v>
      </c>
      <c r="N203" s="31">
        <f t="shared" si="58"/>
        <v>0</v>
      </c>
      <c r="O203" s="31">
        <f t="shared" si="58"/>
        <v>0</v>
      </c>
      <c r="P203" s="31">
        <f t="shared" si="58"/>
        <v>0</v>
      </c>
      <c r="Q203" s="31">
        <f t="shared" si="58"/>
        <v>0</v>
      </c>
      <c r="R203" s="31">
        <f t="shared" si="58"/>
        <v>0</v>
      </c>
      <c r="S203" s="31">
        <f t="shared" si="58"/>
        <v>0</v>
      </c>
      <c r="T203" s="31">
        <f t="shared" si="58"/>
        <v>0</v>
      </c>
      <c r="U203" s="31">
        <f t="shared" si="58"/>
        <v>0</v>
      </c>
      <c r="V203" s="31">
        <f t="shared" si="58"/>
        <v>0</v>
      </c>
      <c r="W203" s="31">
        <f t="shared" si="58"/>
        <v>0</v>
      </c>
      <c r="X203" s="31">
        <f t="shared" si="59"/>
        <v>0</v>
      </c>
      <c r="Y203" s="31">
        <f t="shared" si="59"/>
        <v>0</v>
      </c>
      <c r="Z203" s="31">
        <f t="shared" si="59"/>
        <v>0</v>
      </c>
      <c r="AA203" s="31">
        <f t="shared" si="59"/>
        <v>0</v>
      </c>
      <c r="AB203" s="31">
        <f t="shared" si="59"/>
        <v>0</v>
      </c>
      <c r="AC203" s="31">
        <f t="shared" si="59"/>
        <v>0</v>
      </c>
      <c r="AD203" s="31">
        <f t="shared" si="59"/>
        <v>0</v>
      </c>
      <c r="AE203" s="31">
        <f t="shared" si="59"/>
        <v>0</v>
      </c>
      <c r="AF203" s="31">
        <f t="shared" si="59"/>
        <v>1</v>
      </c>
      <c r="AG203" s="31">
        <f t="shared" si="47"/>
        <v>1</v>
      </c>
    </row>
    <row r="204" spans="1:33" ht="10.5" x14ac:dyDescent="0.15">
      <c r="A204" s="1" t="s">
        <v>560</v>
      </c>
      <c r="B204" s="1" t="s">
        <v>561</v>
      </c>
      <c r="C204" s="3"/>
      <c r="D204" s="3"/>
      <c r="E204" s="3"/>
      <c r="F204" s="3"/>
      <c r="G204" s="3"/>
      <c r="H204" s="3">
        <v>2947006.5468767416</v>
      </c>
      <c r="I204" s="3"/>
      <c r="J204" s="3">
        <v>2947006.5468767416</v>
      </c>
      <c r="K204" s="26">
        <f t="shared" si="46"/>
        <v>2022</v>
      </c>
      <c r="L204" s="78"/>
      <c r="M204" s="37">
        <f t="shared" si="45"/>
        <v>2145445.3497671089</v>
      </c>
      <c r="N204" s="31">
        <f t="shared" si="58"/>
        <v>0</v>
      </c>
      <c r="O204" s="31">
        <f t="shared" si="58"/>
        <v>0</v>
      </c>
      <c r="P204" s="31">
        <f t="shared" si="58"/>
        <v>0</v>
      </c>
      <c r="Q204" s="31">
        <f t="shared" si="58"/>
        <v>0</v>
      </c>
      <c r="R204" s="31">
        <f t="shared" si="58"/>
        <v>0</v>
      </c>
      <c r="S204" s="31">
        <f t="shared" si="58"/>
        <v>0</v>
      </c>
      <c r="T204" s="31">
        <f t="shared" si="58"/>
        <v>0</v>
      </c>
      <c r="U204" s="31">
        <f t="shared" si="58"/>
        <v>0</v>
      </c>
      <c r="V204" s="31">
        <f t="shared" si="58"/>
        <v>0</v>
      </c>
      <c r="W204" s="31">
        <f t="shared" si="58"/>
        <v>0.91754625676654367</v>
      </c>
      <c r="X204" s="31">
        <f t="shared" si="59"/>
        <v>0</v>
      </c>
      <c r="Y204" s="31">
        <f t="shared" si="59"/>
        <v>6.3809595525689169E-2</v>
      </c>
      <c r="Z204" s="31">
        <f t="shared" si="59"/>
        <v>0</v>
      </c>
      <c r="AA204" s="31">
        <f t="shared" si="59"/>
        <v>0</v>
      </c>
      <c r="AB204" s="31">
        <f t="shared" si="59"/>
        <v>1.3983110780825307E-2</v>
      </c>
      <c r="AC204" s="31">
        <f t="shared" si="59"/>
        <v>0</v>
      </c>
      <c r="AD204" s="31">
        <f t="shared" si="59"/>
        <v>4.6610369269417693E-3</v>
      </c>
      <c r="AE204" s="31">
        <f t="shared" si="59"/>
        <v>0</v>
      </c>
      <c r="AF204" s="31">
        <f t="shared" si="59"/>
        <v>0</v>
      </c>
      <c r="AG204" s="31">
        <f t="shared" si="47"/>
        <v>0.99999999999999989</v>
      </c>
    </row>
    <row r="205" spans="1:33" ht="10.5" x14ac:dyDescent="0.15">
      <c r="A205" s="1" t="s">
        <v>563</v>
      </c>
      <c r="B205" s="1" t="s">
        <v>564</v>
      </c>
      <c r="C205" s="3"/>
      <c r="D205" s="3"/>
      <c r="E205" s="3"/>
      <c r="F205" s="3"/>
      <c r="G205" s="3"/>
      <c r="H205" s="3">
        <v>1466870.3780792514</v>
      </c>
      <c r="I205" s="3"/>
      <c r="J205" s="3">
        <v>1466870.3780792514</v>
      </c>
      <c r="K205" s="26">
        <f t="shared" si="46"/>
        <v>2022</v>
      </c>
      <c r="L205" s="78"/>
      <c r="M205" s="37">
        <f t="shared" si="45"/>
        <v>1027459.5999990082</v>
      </c>
      <c r="N205" s="31">
        <f t="shared" si="58"/>
        <v>0</v>
      </c>
      <c r="O205" s="31">
        <f t="shared" si="58"/>
        <v>0</v>
      </c>
      <c r="P205" s="31">
        <f t="shared" si="58"/>
        <v>0</v>
      </c>
      <c r="Q205" s="31">
        <f t="shared" si="58"/>
        <v>0</v>
      </c>
      <c r="R205" s="31">
        <f t="shared" si="58"/>
        <v>0</v>
      </c>
      <c r="S205" s="31">
        <f t="shared" si="58"/>
        <v>0</v>
      </c>
      <c r="T205" s="31">
        <f t="shared" si="58"/>
        <v>0</v>
      </c>
      <c r="U205" s="31">
        <f t="shared" si="58"/>
        <v>0</v>
      </c>
      <c r="V205" s="31">
        <f t="shared" si="58"/>
        <v>0</v>
      </c>
      <c r="W205" s="31">
        <f t="shared" si="58"/>
        <v>0</v>
      </c>
      <c r="X205" s="31">
        <f t="shared" si="59"/>
        <v>0.9508983126936974</v>
      </c>
      <c r="Y205" s="31">
        <f t="shared" si="59"/>
        <v>1.0706017054121249E-2</v>
      </c>
      <c r="Z205" s="31">
        <f t="shared" si="59"/>
        <v>3.839567025218122E-2</v>
      </c>
      <c r="AA205" s="31">
        <f t="shared" si="59"/>
        <v>0</v>
      </c>
      <c r="AB205" s="31">
        <f t="shared" si="59"/>
        <v>0</v>
      </c>
      <c r="AC205" s="31">
        <f t="shared" si="59"/>
        <v>0</v>
      </c>
      <c r="AD205" s="31">
        <f t="shared" si="59"/>
        <v>0</v>
      </c>
      <c r="AE205" s="31">
        <f t="shared" si="59"/>
        <v>0</v>
      </c>
      <c r="AF205" s="31">
        <f t="shared" si="59"/>
        <v>0</v>
      </c>
      <c r="AG205" s="31">
        <f t="shared" si="47"/>
        <v>0.99999999999999989</v>
      </c>
    </row>
    <row r="206" spans="1:33" ht="10.5" x14ac:dyDescent="0.15">
      <c r="A206" s="1" t="s">
        <v>565</v>
      </c>
      <c r="B206" s="1" t="s">
        <v>566</v>
      </c>
      <c r="C206" s="3"/>
      <c r="D206" s="3"/>
      <c r="E206" s="3"/>
      <c r="F206" s="3"/>
      <c r="G206" s="3">
        <v>4561486.0057647033</v>
      </c>
      <c r="H206" s="3"/>
      <c r="I206" s="3"/>
      <c r="J206" s="3">
        <v>4561486.0057647033</v>
      </c>
      <c r="K206" s="26">
        <f t="shared" si="46"/>
        <v>2021</v>
      </c>
      <c r="L206" s="78"/>
      <c r="M206" s="37">
        <f t="shared" si="45"/>
        <v>2152747.9141771351</v>
      </c>
      <c r="N206" s="31">
        <f t="shared" si="58"/>
        <v>0</v>
      </c>
      <c r="O206" s="31">
        <f t="shared" si="58"/>
        <v>0</v>
      </c>
      <c r="P206" s="31">
        <f t="shared" si="58"/>
        <v>0</v>
      </c>
      <c r="Q206" s="31">
        <f t="shared" si="58"/>
        <v>0</v>
      </c>
      <c r="R206" s="31">
        <f t="shared" si="58"/>
        <v>0</v>
      </c>
      <c r="S206" s="31">
        <f t="shared" si="58"/>
        <v>9.8711046751252304E-3</v>
      </c>
      <c r="T206" s="31">
        <f t="shared" si="58"/>
        <v>0</v>
      </c>
      <c r="U206" s="31">
        <f t="shared" si="58"/>
        <v>0</v>
      </c>
      <c r="V206" s="31">
        <f t="shared" si="58"/>
        <v>0</v>
      </c>
      <c r="W206" s="31">
        <f t="shared" si="58"/>
        <v>0</v>
      </c>
      <c r="X206" s="31">
        <f t="shared" si="59"/>
        <v>0</v>
      </c>
      <c r="Y206" s="31">
        <f t="shared" si="59"/>
        <v>0.2708504374340589</v>
      </c>
      <c r="Z206" s="31">
        <f t="shared" si="59"/>
        <v>0.7192784578908159</v>
      </c>
      <c r="AA206" s="31">
        <f t="shared" si="59"/>
        <v>0</v>
      </c>
      <c r="AB206" s="31">
        <f t="shared" si="59"/>
        <v>0</v>
      </c>
      <c r="AC206" s="31">
        <f t="shared" si="59"/>
        <v>0</v>
      </c>
      <c r="AD206" s="31">
        <f t="shared" si="59"/>
        <v>0</v>
      </c>
      <c r="AE206" s="31">
        <f t="shared" si="59"/>
        <v>0</v>
      </c>
      <c r="AF206" s="31">
        <f t="shared" si="59"/>
        <v>0</v>
      </c>
      <c r="AG206" s="31">
        <f t="shared" si="47"/>
        <v>1</v>
      </c>
    </row>
    <row r="207" spans="1:33" ht="10.5" x14ac:dyDescent="0.15">
      <c r="A207" s="1" t="s">
        <v>567</v>
      </c>
      <c r="B207" s="1" t="s">
        <v>568</v>
      </c>
      <c r="C207" s="3"/>
      <c r="D207" s="3"/>
      <c r="E207" s="3">
        <v>3963551.7860986204</v>
      </c>
      <c r="F207" s="3"/>
      <c r="G207" s="3"/>
      <c r="H207" s="3"/>
      <c r="I207" s="3"/>
      <c r="J207" s="3">
        <v>3963551.7860986204</v>
      </c>
      <c r="K207" s="26">
        <f t="shared" si="46"/>
        <v>2019</v>
      </c>
      <c r="L207" s="78"/>
      <c r="M207" s="37">
        <f t="shared" si="45"/>
        <v>0</v>
      </c>
      <c r="N207" s="31">
        <f t="shared" si="58"/>
        <v>0</v>
      </c>
      <c r="O207" s="31">
        <f t="shared" si="58"/>
        <v>0</v>
      </c>
      <c r="P207" s="31">
        <f t="shared" si="58"/>
        <v>0</v>
      </c>
      <c r="Q207" s="31">
        <f t="shared" si="58"/>
        <v>0</v>
      </c>
      <c r="R207" s="31">
        <f t="shared" si="58"/>
        <v>0</v>
      </c>
      <c r="S207" s="31">
        <f t="shared" si="58"/>
        <v>0</v>
      </c>
      <c r="T207" s="31">
        <f t="shared" si="58"/>
        <v>0</v>
      </c>
      <c r="U207" s="31">
        <f t="shared" si="58"/>
        <v>0</v>
      </c>
      <c r="V207" s="31">
        <f t="shared" si="58"/>
        <v>0</v>
      </c>
      <c r="W207" s="31">
        <f t="shared" si="58"/>
        <v>0</v>
      </c>
      <c r="X207" s="31">
        <f t="shared" si="59"/>
        <v>0</v>
      </c>
      <c r="Y207" s="31">
        <f t="shared" si="59"/>
        <v>0</v>
      </c>
      <c r="Z207" s="31">
        <f t="shared" si="59"/>
        <v>0</v>
      </c>
      <c r="AA207" s="31">
        <f t="shared" si="59"/>
        <v>0</v>
      </c>
      <c r="AB207" s="31">
        <f t="shared" si="59"/>
        <v>0</v>
      </c>
      <c r="AC207" s="31">
        <f t="shared" si="59"/>
        <v>0</v>
      </c>
      <c r="AD207" s="31">
        <f t="shared" si="59"/>
        <v>0</v>
      </c>
      <c r="AE207" s="31">
        <f t="shared" si="59"/>
        <v>0</v>
      </c>
      <c r="AF207" s="31">
        <f t="shared" si="59"/>
        <v>1</v>
      </c>
      <c r="AG207" s="31">
        <f t="shared" si="47"/>
        <v>1</v>
      </c>
    </row>
    <row r="208" spans="1:33" ht="10.5" x14ac:dyDescent="0.15">
      <c r="A208" s="1" t="s">
        <v>569</v>
      </c>
      <c r="B208" s="1" t="s">
        <v>570</v>
      </c>
      <c r="C208" s="3"/>
      <c r="D208" s="3"/>
      <c r="E208" s="3"/>
      <c r="F208" s="3"/>
      <c r="G208" s="3">
        <v>9208137.1897989903</v>
      </c>
      <c r="H208" s="3"/>
      <c r="I208" s="3"/>
      <c r="J208" s="3">
        <v>9208137.1897989903</v>
      </c>
      <c r="K208" s="26">
        <f t="shared" si="46"/>
        <v>2021</v>
      </c>
      <c r="L208" s="78"/>
      <c r="M208" s="37">
        <f t="shared" si="45"/>
        <v>0</v>
      </c>
      <c r="N208" s="31">
        <f t="shared" si="58"/>
        <v>0</v>
      </c>
      <c r="O208" s="31">
        <f t="shared" si="58"/>
        <v>0</v>
      </c>
      <c r="P208" s="31">
        <f t="shared" si="58"/>
        <v>0</v>
      </c>
      <c r="Q208" s="31">
        <f t="shared" si="58"/>
        <v>0</v>
      </c>
      <c r="R208" s="31">
        <f t="shared" si="58"/>
        <v>0</v>
      </c>
      <c r="S208" s="31">
        <f t="shared" si="58"/>
        <v>0</v>
      </c>
      <c r="T208" s="31">
        <f t="shared" si="58"/>
        <v>0</v>
      </c>
      <c r="U208" s="31">
        <f t="shared" si="58"/>
        <v>0</v>
      </c>
      <c r="V208" s="31">
        <f t="shared" si="58"/>
        <v>0</v>
      </c>
      <c r="W208" s="31">
        <f t="shared" si="58"/>
        <v>0</v>
      </c>
      <c r="X208" s="31">
        <f t="shared" si="59"/>
        <v>0</v>
      </c>
      <c r="Y208" s="31">
        <f t="shared" si="59"/>
        <v>0</v>
      </c>
      <c r="Z208" s="31">
        <f t="shared" si="59"/>
        <v>0</v>
      </c>
      <c r="AA208" s="31">
        <f t="shared" si="59"/>
        <v>0</v>
      </c>
      <c r="AB208" s="31">
        <f t="shared" si="59"/>
        <v>0</v>
      </c>
      <c r="AC208" s="31">
        <f t="shared" si="59"/>
        <v>0</v>
      </c>
      <c r="AD208" s="31">
        <f t="shared" si="59"/>
        <v>0</v>
      </c>
      <c r="AE208" s="31">
        <f t="shared" si="59"/>
        <v>0</v>
      </c>
      <c r="AF208" s="31">
        <f t="shared" si="59"/>
        <v>1</v>
      </c>
      <c r="AG208" s="31">
        <f t="shared" si="47"/>
        <v>1</v>
      </c>
    </row>
    <row r="209" spans="1:33" ht="10.5" x14ac:dyDescent="0.15">
      <c r="A209" s="1" t="s">
        <v>571</v>
      </c>
      <c r="B209" s="1" t="s">
        <v>572</v>
      </c>
      <c r="C209" s="3"/>
      <c r="D209" s="3"/>
      <c r="E209" s="3"/>
      <c r="F209" s="3"/>
      <c r="G209" s="3">
        <v>6708681.7925400715</v>
      </c>
      <c r="H209" s="3"/>
      <c r="I209" s="3"/>
      <c r="J209" s="3">
        <v>6708681.7925400715</v>
      </c>
      <c r="K209" s="26">
        <f t="shared" si="46"/>
        <v>2021</v>
      </c>
      <c r="L209" s="78"/>
      <c r="M209" s="37">
        <f t="shared" si="45"/>
        <v>3795258.1264123372</v>
      </c>
      <c r="N209" s="31">
        <f t="shared" ref="N209:W218" si="60">IF(OR(LEFT($A209,1)="E",LEFT($A209,1)="Z"),IF($M209=0,VLOOKUP(MID($A209,4,5),ProjectSplits,N$2,FALSE),IF(ISNA(VLOOKUP($A209,Estimates,N$1,FALSE)),VLOOKUP(MID($A209,4,5),ProjectSplits,N$2,FALSE),VLOOKUP($A209,Estimates,N$1,FALSE))),0)</f>
        <v>0</v>
      </c>
      <c r="O209" s="31">
        <f t="shared" si="60"/>
        <v>2.6106899965632317E-2</v>
      </c>
      <c r="P209" s="31">
        <f t="shared" si="60"/>
        <v>0.16177074430254343</v>
      </c>
      <c r="Q209" s="31">
        <f t="shared" si="60"/>
        <v>0</v>
      </c>
      <c r="R209" s="31">
        <f t="shared" si="60"/>
        <v>0</v>
      </c>
      <c r="S209" s="31">
        <f t="shared" si="60"/>
        <v>0</v>
      </c>
      <c r="T209" s="31">
        <f t="shared" si="60"/>
        <v>0</v>
      </c>
      <c r="U209" s="31">
        <f t="shared" si="60"/>
        <v>0</v>
      </c>
      <c r="V209" s="31">
        <f t="shared" si="60"/>
        <v>0</v>
      </c>
      <c r="W209" s="31">
        <f t="shared" si="60"/>
        <v>0.44869940966227667</v>
      </c>
      <c r="X209" s="31">
        <f t="shared" ref="X209:AF218" si="61">IF(OR(LEFT($A209,1)="E",LEFT($A209,1)="Z"),IF($M209=0,VLOOKUP(MID($A209,4,5),ProjectSplits,X$2,FALSE),IF(ISNA(VLOOKUP($A209,Estimates,X$1,FALSE)),VLOOKUP(MID($A209,4,5),ProjectSplits,X$2,FALSE),VLOOKUP($A209,Estimates,X$1,FALSE))),0)</f>
        <v>0</v>
      </c>
      <c r="Y209" s="31">
        <f t="shared" si="61"/>
        <v>9.3520351622760664E-2</v>
      </c>
      <c r="Z209" s="31">
        <f t="shared" si="61"/>
        <v>0</v>
      </c>
      <c r="AA209" s="31">
        <f t="shared" si="61"/>
        <v>0</v>
      </c>
      <c r="AB209" s="31">
        <f t="shared" si="61"/>
        <v>0.19533586128296904</v>
      </c>
      <c r="AC209" s="31">
        <f t="shared" si="61"/>
        <v>7.3249299715693883E-2</v>
      </c>
      <c r="AD209" s="31">
        <f t="shared" si="61"/>
        <v>1.3174334481239906E-3</v>
      </c>
      <c r="AE209" s="31">
        <f t="shared" si="61"/>
        <v>0</v>
      </c>
      <c r="AF209" s="31">
        <f t="shared" si="61"/>
        <v>0</v>
      </c>
      <c r="AG209" s="31">
        <f t="shared" si="47"/>
        <v>0.99999999999999989</v>
      </c>
    </row>
    <row r="210" spans="1:33" ht="10.5" x14ac:dyDescent="0.15">
      <c r="A210" s="1" t="s">
        <v>573</v>
      </c>
      <c r="B210" s="1" t="s">
        <v>2324</v>
      </c>
      <c r="C210" s="3"/>
      <c r="D210" s="3">
        <v>353933.22222262918</v>
      </c>
      <c r="E210" s="3"/>
      <c r="F210" s="3"/>
      <c r="G210" s="3"/>
      <c r="H210" s="3"/>
      <c r="I210" s="3"/>
      <c r="J210" s="3">
        <v>353933.22222262918</v>
      </c>
      <c r="K210" s="26">
        <f t="shared" si="46"/>
        <v>2018</v>
      </c>
      <c r="L210" s="78"/>
      <c r="M210" s="37">
        <f t="shared" si="45"/>
        <v>67400.000000000015</v>
      </c>
      <c r="N210" s="31">
        <f t="shared" si="60"/>
        <v>0</v>
      </c>
      <c r="O210" s="31">
        <f t="shared" si="60"/>
        <v>0</v>
      </c>
      <c r="P210" s="31">
        <f t="shared" si="60"/>
        <v>0</v>
      </c>
      <c r="Q210" s="31">
        <f t="shared" si="60"/>
        <v>1</v>
      </c>
      <c r="R210" s="31">
        <f t="shared" si="60"/>
        <v>0</v>
      </c>
      <c r="S210" s="31">
        <f t="shared" si="60"/>
        <v>0</v>
      </c>
      <c r="T210" s="31">
        <f t="shared" si="60"/>
        <v>0</v>
      </c>
      <c r="U210" s="31">
        <f t="shared" si="60"/>
        <v>0</v>
      </c>
      <c r="V210" s="31">
        <f t="shared" si="60"/>
        <v>0</v>
      </c>
      <c r="W210" s="31">
        <f t="shared" si="60"/>
        <v>0</v>
      </c>
      <c r="X210" s="31">
        <f t="shared" si="61"/>
        <v>0</v>
      </c>
      <c r="Y210" s="31">
        <f t="shared" si="61"/>
        <v>0</v>
      </c>
      <c r="Z210" s="31">
        <f t="shared" si="61"/>
        <v>0</v>
      </c>
      <c r="AA210" s="31">
        <f t="shared" si="61"/>
        <v>0</v>
      </c>
      <c r="AB210" s="31">
        <f t="shared" si="61"/>
        <v>0</v>
      </c>
      <c r="AC210" s="31">
        <f t="shared" si="61"/>
        <v>0</v>
      </c>
      <c r="AD210" s="31">
        <f t="shared" si="61"/>
        <v>0</v>
      </c>
      <c r="AE210" s="31">
        <f t="shared" si="61"/>
        <v>0</v>
      </c>
      <c r="AF210" s="31">
        <f t="shared" si="61"/>
        <v>0</v>
      </c>
      <c r="AG210" s="31">
        <f t="shared" si="47"/>
        <v>1</v>
      </c>
    </row>
    <row r="211" spans="1:33" ht="10.5" x14ac:dyDescent="0.15">
      <c r="A211" s="1" t="s">
        <v>575</v>
      </c>
      <c r="B211" s="1" t="s">
        <v>576</v>
      </c>
      <c r="C211" s="3"/>
      <c r="D211" s="3"/>
      <c r="E211" s="3">
        <v>4469442.0233801017</v>
      </c>
      <c r="F211" s="3"/>
      <c r="G211" s="3"/>
      <c r="H211" s="3"/>
      <c r="I211" s="3"/>
      <c r="J211" s="3">
        <v>4469442.0233801017</v>
      </c>
      <c r="K211" s="26">
        <f t="shared" si="46"/>
        <v>2019</v>
      </c>
      <c r="L211" s="78"/>
      <c r="M211" s="37">
        <f t="shared" ref="M211:M274" si="62">IF(ISNA(VLOOKUP($A211,Estimates,71,FALSE)),0,VLOOKUP($A211,Estimates,71,FALSE))</f>
        <v>0</v>
      </c>
      <c r="N211" s="31">
        <f t="shared" si="60"/>
        <v>0</v>
      </c>
      <c r="O211" s="31">
        <f t="shared" si="60"/>
        <v>0</v>
      </c>
      <c r="P211" s="31">
        <f t="shared" si="60"/>
        <v>0</v>
      </c>
      <c r="Q211" s="31">
        <f t="shared" si="60"/>
        <v>0</v>
      </c>
      <c r="R211" s="31">
        <f t="shared" si="60"/>
        <v>0</v>
      </c>
      <c r="S211" s="31">
        <f t="shared" si="60"/>
        <v>0</v>
      </c>
      <c r="T211" s="31">
        <f t="shared" si="60"/>
        <v>0</v>
      </c>
      <c r="U211" s="31">
        <f t="shared" si="60"/>
        <v>0</v>
      </c>
      <c r="V211" s="31">
        <f t="shared" si="60"/>
        <v>0</v>
      </c>
      <c r="W211" s="31">
        <f t="shared" si="60"/>
        <v>0.42</v>
      </c>
      <c r="X211" s="31">
        <f t="shared" si="61"/>
        <v>0.15</v>
      </c>
      <c r="Y211" s="31">
        <f t="shared" si="61"/>
        <v>0.2</v>
      </c>
      <c r="Z211" s="31">
        <f t="shared" si="61"/>
        <v>0</v>
      </c>
      <c r="AA211" s="31">
        <f t="shared" si="61"/>
        <v>0</v>
      </c>
      <c r="AB211" s="31">
        <f t="shared" si="61"/>
        <v>0.23</v>
      </c>
      <c r="AC211" s="31">
        <f t="shared" si="61"/>
        <v>0</v>
      </c>
      <c r="AD211" s="31">
        <f t="shared" si="61"/>
        <v>0</v>
      </c>
      <c r="AE211" s="31">
        <f t="shared" si="61"/>
        <v>0</v>
      </c>
      <c r="AF211" s="31">
        <f t="shared" si="61"/>
        <v>0</v>
      </c>
      <c r="AG211" s="31">
        <f t="shared" si="47"/>
        <v>1</v>
      </c>
    </row>
    <row r="212" spans="1:33" ht="10.5" x14ac:dyDescent="0.15">
      <c r="A212" s="1" t="s">
        <v>577</v>
      </c>
      <c r="B212" s="1" t="s">
        <v>578</v>
      </c>
      <c r="C212" s="3"/>
      <c r="D212" s="3"/>
      <c r="E212" s="3"/>
      <c r="F212" s="3">
        <v>2233499.1734207794</v>
      </c>
      <c r="G212" s="3"/>
      <c r="H212" s="3"/>
      <c r="I212" s="3"/>
      <c r="J212" s="3">
        <v>2233499.1734207794</v>
      </c>
      <c r="K212" s="26">
        <f t="shared" ref="K212:K275" si="63">INDEX($C$18:$I$18,1,MATCH(J212,$C212:$I212,0))</f>
        <v>2020</v>
      </c>
      <c r="L212" s="78"/>
      <c r="M212" s="37">
        <f t="shared" si="62"/>
        <v>0</v>
      </c>
      <c r="N212" s="31">
        <f t="shared" si="60"/>
        <v>0</v>
      </c>
      <c r="O212" s="31">
        <f t="shared" si="60"/>
        <v>0</v>
      </c>
      <c r="P212" s="31">
        <f t="shared" si="60"/>
        <v>0</v>
      </c>
      <c r="Q212" s="31">
        <f t="shared" si="60"/>
        <v>0</v>
      </c>
      <c r="R212" s="31">
        <f t="shared" si="60"/>
        <v>0</v>
      </c>
      <c r="S212" s="31">
        <f t="shared" si="60"/>
        <v>0</v>
      </c>
      <c r="T212" s="31">
        <f t="shared" si="60"/>
        <v>0</v>
      </c>
      <c r="U212" s="31">
        <f t="shared" si="60"/>
        <v>0</v>
      </c>
      <c r="V212" s="31">
        <f t="shared" si="60"/>
        <v>0</v>
      </c>
      <c r="W212" s="31">
        <f t="shared" si="60"/>
        <v>0.35</v>
      </c>
      <c r="X212" s="31">
        <f t="shared" si="61"/>
        <v>0</v>
      </c>
      <c r="Y212" s="31">
        <f t="shared" si="61"/>
        <v>0.5</v>
      </c>
      <c r="Z212" s="31">
        <f t="shared" si="61"/>
        <v>0</v>
      </c>
      <c r="AA212" s="31">
        <f t="shared" si="61"/>
        <v>0</v>
      </c>
      <c r="AB212" s="31">
        <f t="shared" si="61"/>
        <v>0.15</v>
      </c>
      <c r="AC212" s="31">
        <f t="shared" si="61"/>
        <v>0</v>
      </c>
      <c r="AD212" s="31">
        <f t="shared" si="61"/>
        <v>0</v>
      </c>
      <c r="AE212" s="31">
        <f t="shared" si="61"/>
        <v>0</v>
      </c>
      <c r="AF212" s="31">
        <f t="shared" si="61"/>
        <v>0</v>
      </c>
      <c r="AG212" s="31">
        <f t="shared" ref="AG212:AG275" si="64">SUM(N212:AF212)</f>
        <v>1</v>
      </c>
    </row>
    <row r="213" spans="1:33" ht="10.5" x14ac:dyDescent="0.15">
      <c r="A213" s="1" t="s">
        <v>579</v>
      </c>
      <c r="B213" s="1" t="s">
        <v>580</v>
      </c>
      <c r="C213" s="3"/>
      <c r="D213" s="3"/>
      <c r="E213" s="3"/>
      <c r="F213" s="3"/>
      <c r="G213" s="3">
        <v>2251856.5542491362</v>
      </c>
      <c r="H213" s="3"/>
      <c r="I213" s="3"/>
      <c r="J213" s="3">
        <v>2251856.5542491362</v>
      </c>
      <c r="K213" s="26">
        <f t="shared" si="63"/>
        <v>2021</v>
      </c>
      <c r="L213" s="78"/>
      <c r="M213" s="37">
        <f t="shared" si="62"/>
        <v>1447635.6097869542</v>
      </c>
      <c r="N213" s="31">
        <f t="shared" si="60"/>
        <v>0</v>
      </c>
      <c r="O213" s="31">
        <f t="shared" si="60"/>
        <v>0</v>
      </c>
      <c r="P213" s="31">
        <f t="shared" si="60"/>
        <v>0</v>
      </c>
      <c r="Q213" s="31">
        <f t="shared" si="60"/>
        <v>0</v>
      </c>
      <c r="R213" s="31">
        <f t="shared" si="60"/>
        <v>0</v>
      </c>
      <c r="S213" s="31">
        <f t="shared" si="60"/>
        <v>0</v>
      </c>
      <c r="T213" s="31">
        <f t="shared" si="60"/>
        <v>0</v>
      </c>
      <c r="U213" s="31">
        <f t="shared" si="60"/>
        <v>0</v>
      </c>
      <c r="V213" s="31">
        <f t="shared" si="60"/>
        <v>0</v>
      </c>
      <c r="W213" s="31">
        <f t="shared" si="60"/>
        <v>0.7151102790576227</v>
      </c>
      <c r="X213" s="31">
        <f t="shared" si="61"/>
        <v>0</v>
      </c>
      <c r="Y213" s="31">
        <f t="shared" si="61"/>
        <v>0.13870410379401654</v>
      </c>
      <c r="Z213" s="31">
        <f t="shared" si="61"/>
        <v>0</v>
      </c>
      <c r="AA213" s="31">
        <f t="shared" si="61"/>
        <v>0</v>
      </c>
      <c r="AB213" s="31">
        <f t="shared" si="61"/>
        <v>0.11245924314241502</v>
      </c>
      <c r="AC213" s="31">
        <f t="shared" si="61"/>
        <v>3.3726374005945664E-2</v>
      </c>
      <c r="AD213" s="31">
        <f t="shared" si="61"/>
        <v>0</v>
      </c>
      <c r="AE213" s="31">
        <f t="shared" si="61"/>
        <v>0</v>
      </c>
      <c r="AF213" s="31">
        <f t="shared" si="61"/>
        <v>0</v>
      </c>
      <c r="AG213" s="31">
        <f t="shared" si="64"/>
        <v>1</v>
      </c>
    </row>
    <row r="214" spans="1:33" ht="10.5" x14ac:dyDescent="0.15">
      <c r="A214" s="1" t="s">
        <v>581</v>
      </c>
      <c r="B214" s="1" t="s">
        <v>582</v>
      </c>
      <c r="C214" s="3"/>
      <c r="D214" s="3"/>
      <c r="E214" s="3"/>
      <c r="F214" s="3"/>
      <c r="G214" s="3">
        <v>5737928.0991503447</v>
      </c>
      <c r="H214" s="3"/>
      <c r="I214" s="3"/>
      <c r="J214" s="3">
        <v>5737928.0991503447</v>
      </c>
      <c r="K214" s="26">
        <f t="shared" si="63"/>
        <v>2021</v>
      </c>
      <c r="L214" s="78"/>
      <c r="M214" s="37">
        <f t="shared" si="62"/>
        <v>2610802.539383871</v>
      </c>
      <c r="N214" s="31">
        <f t="shared" si="60"/>
        <v>0</v>
      </c>
      <c r="O214" s="31">
        <f t="shared" si="60"/>
        <v>0</v>
      </c>
      <c r="P214" s="31">
        <f t="shared" si="60"/>
        <v>0</v>
      </c>
      <c r="Q214" s="31">
        <f t="shared" si="60"/>
        <v>0</v>
      </c>
      <c r="R214" s="31">
        <f t="shared" si="60"/>
        <v>0</v>
      </c>
      <c r="S214" s="31">
        <f t="shared" si="60"/>
        <v>0</v>
      </c>
      <c r="T214" s="31">
        <f t="shared" si="60"/>
        <v>0</v>
      </c>
      <c r="U214" s="31">
        <f t="shared" si="60"/>
        <v>0</v>
      </c>
      <c r="V214" s="31">
        <f t="shared" si="60"/>
        <v>0</v>
      </c>
      <c r="W214" s="31">
        <f t="shared" si="60"/>
        <v>9.1665507593874859E-2</v>
      </c>
      <c r="X214" s="31">
        <f t="shared" si="61"/>
        <v>0</v>
      </c>
      <c r="Y214" s="31">
        <f t="shared" si="61"/>
        <v>1.443234156225855E-3</v>
      </c>
      <c r="Z214" s="31">
        <f t="shared" si="61"/>
        <v>0</v>
      </c>
      <c r="AA214" s="31">
        <f t="shared" si="61"/>
        <v>0</v>
      </c>
      <c r="AB214" s="31">
        <f t="shared" si="61"/>
        <v>0.90689125824989925</v>
      </c>
      <c r="AC214" s="31">
        <f t="shared" si="61"/>
        <v>0</v>
      </c>
      <c r="AD214" s="31">
        <f t="shared" si="61"/>
        <v>0</v>
      </c>
      <c r="AE214" s="31">
        <f t="shared" si="61"/>
        <v>0</v>
      </c>
      <c r="AF214" s="31">
        <f t="shared" si="61"/>
        <v>0</v>
      </c>
      <c r="AG214" s="31">
        <f t="shared" si="64"/>
        <v>1</v>
      </c>
    </row>
    <row r="215" spans="1:33" ht="10.5" x14ac:dyDescent="0.15">
      <c r="A215" s="1" t="s">
        <v>586</v>
      </c>
      <c r="B215" s="1" t="s">
        <v>587</v>
      </c>
      <c r="C215" s="3"/>
      <c r="D215" s="3">
        <v>1295229.8959101313</v>
      </c>
      <c r="E215" s="3"/>
      <c r="F215" s="3"/>
      <c r="G215" s="3"/>
      <c r="H215" s="3"/>
      <c r="I215" s="3"/>
      <c r="J215" s="3">
        <v>1295229.8959101313</v>
      </c>
      <c r="K215" s="26">
        <f t="shared" si="63"/>
        <v>2018</v>
      </c>
      <c r="L215" s="78"/>
      <c r="M215" s="37">
        <f t="shared" si="62"/>
        <v>0</v>
      </c>
      <c r="N215" s="31">
        <f t="shared" si="60"/>
        <v>0</v>
      </c>
      <c r="O215" s="31">
        <f t="shared" si="60"/>
        <v>0</v>
      </c>
      <c r="P215" s="31">
        <f t="shared" si="60"/>
        <v>0</v>
      </c>
      <c r="Q215" s="31">
        <f t="shared" si="60"/>
        <v>1</v>
      </c>
      <c r="R215" s="31">
        <f t="shared" si="60"/>
        <v>0</v>
      </c>
      <c r="S215" s="31">
        <f t="shared" si="60"/>
        <v>0</v>
      </c>
      <c r="T215" s="31">
        <f t="shared" si="60"/>
        <v>0</v>
      </c>
      <c r="U215" s="31">
        <f t="shared" si="60"/>
        <v>0</v>
      </c>
      <c r="V215" s="31">
        <f t="shared" si="60"/>
        <v>0</v>
      </c>
      <c r="W215" s="31">
        <f t="shared" si="60"/>
        <v>0</v>
      </c>
      <c r="X215" s="31">
        <f t="shared" si="61"/>
        <v>0</v>
      </c>
      <c r="Y215" s="31">
        <f t="shared" si="61"/>
        <v>0</v>
      </c>
      <c r="Z215" s="31">
        <f t="shared" si="61"/>
        <v>0</v>
      </c>
      <c r="AA215" s="31">
        <f t="shared" si="61"/>
        <v>0</v>
      </c>
      <c r="AB215" s="31">
        <f t="shared" si="61"/>
        <v>0</v>
      </c>
      <c r="AC215" s="31">
        <f t="shared" si="61"/>
        <v>0</v>
      </c>
      <c r="AD215" s="31">
        <f t="shared" si="61"/>
        <v>0</v>
      </c>
      <c r="AE215" s="31">
        <f t="shared" si="61"/>
        <v>0</v>
      </c>
      <c r="AF215" s="31">
        <f t="shared" si="61"/>
        <v>0</v>
      </c>
      <c r="AG215" s="31">
        <f t="shared" si="64"/>
        <v>1</v>
      </c>
    </row>
    <row r="216" spans="1:33" ht="10.5" x14ac:dyDescent="0.15">
      <c r="A216" s="1" t="s">
        <v>590</v>
      </c>
      <c r="B216" s="1" t="s">
        <v>591</v>
      </c>
      <c r="C216" s="3"/>
      <c r="D216" s="3"/>
      <c r="E216" s="3"/>
      <c r="F216" s="3"/>
      <c r="G216" s="3"/>
      <c r="H216" s="3">
        <v>1156561.336354028</v>
      </c>
      <c r="I216" s="3"/>
      <c r="J216" s="3">
        <v>1156561.336354028</v>
      </c>
      <c r="K216" s="26">
        <f t="shared" si="63"/>
        <v>2022</v>
      </c>
      <c r="L216" s="78"/>
      <c r="M216" s="37">
        <f t="shared" si="62"/>
        <v>200000.00000000003</v>
      </c>
      <c r="N216" s="31">
        <f t="shared" si="60"/>
        <v>0</v>
      </c>
      <c r="O216" s="31">
        <f t="shared" si="60"/>
        <v>0</v>
      </c>
      <c r="P216" s="31">
        <f t="shared" si="60"/>
        <v>0</v>
      </c>
      <c r="Q216" s="31">
        <f t="shared" si="60"/>
        <v>1</v>
      </c>
      <c r="R216" s="31">
        <f t="shared" si="60"/>
        <v>0</v>
      </c>
      <c r="S216" s="31">
        <f t="shared" si="60"/>
        <v>0</v>
      </c>
      <c r="T216" s="31">
        <f t="shared" si="60"/>
        <v>0</v>
      </c>
      <c r="U216" s="31">
        <f t="shared" si="60"/>
        <v>0</v>
      </c>
      <c r="V216" s="31">
        <f t="shared" si="60"/>
        <v>0</v>
      </c>
      <c r="W216" s="31">
        <f t="shared" si="60"/>
        <v>0</v>
      </c>
      <c r="X216" s="31">
        <f t="shared" si="61"/>
        <v>0</v>
      </c>
      <c r="Y216" s="31">
        <f t="shared" si="61"/>
        <v>0</v>
      </c>
      <c r="Z216" s="31">
        <f t="shared" si="61"/>
        <v>0</v>
      </c>
      <c r="AA216" s="31">
        <f t="shared" si="61"/>
        <v>0</v>
      </c>
      <c r="AB216" s="31">
        <f t="shared" si="61"/>
        <v>0</v>
      </c>
      <c r="AC216" s="31">
        <f t="shared" si="61"/>
        <v>0</v>
      </c>
      <c r="AD216" s="31">
        <f t="shared" si="61"/>
        <v>0</v>
      </c>
      <c r="AE216" s="31">
        <f t="shared" si="61"/>
        <v>0</v>
      </c>
      <c r="AF216" s="31">
        <f t="shared" si="61"/>
        <v>0</v>
      </c>
      <c r="AG216" s="31">
        <f t="shared" si="64"/>
        <v>1</v>
      </c>
    </row>
    <row r="217" spans="1:33" ht="10.5" x14ac:dyDescent="0.15">
      <c r="A217" s="1" t="s">
        <v>592</v>
      </c>
      <c r="B217" s="1" t="s">
        <v>593</v>
      </c>
      <c r="C217" s="3"/>
      <c r="D217" s="3"/>
      <c r="E217" s="3"/>
      <c r="F217" s="3"/>
      <c r="G217" s="3"/>
      <c r="H217" s="3"/>
      <c r="I217" s="3">
        <v>1257741.7280747176</v>
      </c>
      <c r="J217" s="3">
        <v>1257741.7280747176</v>
      </c>
      <c r="K217" s="26">
        <f t="shared" si="63"/>
        <v>2023</v>
      </c>
      <c r="L217" s="78"/>
      <c r="M217" s="37">
        <f t="shared" si="62"/>
        <v>200000</v>
      </c>
      <c r="N217" s="31">
        <f t="shared" si="60"/>
        <v>0</v>
      </c>
      <c r="O217" s="31">
        <f t="shared" si="60"/>
        <v>0</v>
      </c>
      <c r="P217" s="31">
        <f t="shared" si="60"/>
        <v>0</v>
      </c>
      <c r="Q217" s="31">
        <f t="shared" si="60"/>
        <v>1</v>
      </c>
      <c r="R217" s="31">
        <f t="shared" si="60"/>
        <v>0</v>
      </c>
      <c r="S217" s="31">
        <f t="shared" si="60"/>
        <v>0</v>
      </c>
      <c r="T217" s="31">
        <f t="shared" si="60"/>
        <v>0</v>
      </c>
      <c r="U217" s="31">
        <f t="shared" si="60"/>
        <v>0</v>
      </c>
      <c r="V217" s="31">
        <f t="shared" si="60"/>
        <v>0</v>
      </c>
      <c r="W217" s="31">
        <f t="shared" si="60"/>
        <v>0</v>
      </c>
      <c r="X217" s="31">
        <f t="shared" si="61"/>
        <v>0</v>
      </c>
      <c r="Y217" s="31">
        <f t="shared" si="61"/>
        <v>0</v>
      </c>
      <c r="Z217" s="31">
        <f t="shared" si="61"/>
        <v>0</v>
      </c>
      <c r="AA217" s="31">
        <f t="shared" si="61"/>
        <v>0</v>
      </c>
      <c r="AB217" s="31">
        <f t="shared" si="61"/>
        <v>0</v>
      </c>
      <c r="AC217" s="31">
        <f t="shared" si="61"/>
        <v>0</v>
      </c>
      <c r="AD217" s="31">
        <f t="shared" si="61"/>
        <v>0</v>
      </c>
      <c r="AE217" s="31">
        <f t="shared" si="61"/>
        <v>0</v>
      </c>
      <c r="AF217" s="31">
        <f t="shared" si="61"/>
        <v>0</v>
      </c>
      <c r="AG217" s="31">
        <f t="shared" si="64"/>
        <v>1</v>
      </c>
    </row>
    <row r="218" spans="1:33" ht="10.5" x14ac:dyDescent="0.15">
      <c r="A218" s="1" t="s">
        <v>594</v>
      </c>
      <c r="B218" s="1" t="s">
        <v>595</v>
      </c>
      <c r="C218" s="3"/>
      <c r="D218" s="3"/>
      <c r="E218" s="3"/>
      <c r="F218" s="3"/>
      <c r="G218" s="3">
        <v>452904.40380415641</v>
      </c>
      <c r="H218" s="3"/>
      <c r="I218" s="3"/>
      <c r="J218" s="3">
        <v>452904.40380415641</v>
      </c>
      <c r="K218" s="26">
        <f t="shared" si="63"/>
        <v>2021</v>
      </c>
      <c r="L218" s="78"/>
      <c r="M218" s="37">
        <f t="shared" si="62"/>
        <v>80000.000000000029</v>
      </c>
      <c r="N218" s="31">
        <f t="shared" si="60"/>
        <v>0</v>
      </c>
      <c r="O218" s="31">
        <f t="shared" si="60"/>
        <v>0</v>
      </c>
      <c r="P218" s="31">
        <f t="shared" si="60"/>
        <v>0</v>
      </c>
      <c r="Q218" s="31">
        <f t="shared" si="60"/>
        <v>1</v>
      </c>
      <c r="R218" s="31">
        <f t="shared" si="60"/>
        <v>0</v>
      </c>
      <c r="S218" s="31">
        <f t="shared" si="60"/>
        <v>0</v>
      </c>
      <c r="T218" s="31">
        <f t="shared" si="60"/>
        <v>0</v>
      </c>
      <c r="U218" s="31">
        <f t="shared" si="60"/>
        <v>0</v>
      </c>
      <c r="V218" s="31">
        <f t="shared" si="60"/>
        <v>0</v>
      </c>
      <c r="W218" s="31">
        <f t="shared" si="60"/>
        <v>0</v>
      </c>
      <c r="X218" s="31">
        <f t="shared" si="61"/>
        <v>0</v>
      </c>
      <c r="Y218" s="31">
        <f t="shared" si="61"/>
        <v>0</v>
      </c>
      <c r="Z218" s="31">
        <f t="shared" si="61"/>
        <v>0</v>
      </c>
      <c r="AA218" s="31">
        <f t="shared" si="61"/>
        <v>0</v>
      </c>
      <c r="AB218" s="31">
        <f t="shared" si="61"/>
        <v>0</v>
      </c>
      <c r="AC218" s="31">
        <f t="shared" si="61"/>
        <v>0</v>
      </c>
      <c r="AD218" s="31">
        <f t="shared" si="61"/>
        <v>0</v>
      </c>
      <c r="AE218" s="31">
        <f t="shared" si="61"/>
        <v>0</v>
      </c>
      <c r="AF218" s="31">
        <f t="shared" si="61"/>
        <v>0</v>
      </c>
      <c r="AG218" s="31">
        <f t="shared" si="64"/>
        <v>1</v>
      </c>
    </row>
    <row r="219" spans="1:33" ht="10.5" x14ac:dyDescent="0.15">
      <c r="A219" s="1" t="s">
        <v>596</v>
      </c>
      <c r="B219" s="1" t="s">
        <v>597</v>
      </c>
      <c r="C219" s="3"/>
      <c r="D219" s="3"/>
      <c r="E219" s="3"/>
      <c r="F219" s="3"/>
      <c r="G219" s="3"/>
      <c r="H219" s="3">
        <v>12026593.910915775</v>
      </c>
      <c r="I219" s="3"/>
      <c r="J219" s="3">
        <v>12026593.910915775</v>
      </c>
      <c r="K219" s="26">
        <f t="shared" si="63"/>
        <v>2022</v>
      </c>
      <c r="L219" s="78"/>
      <c r="M219" s="37">
        <f t="shared" si="62"/>
        <v>8255447.277073076</v>
      </c>
      <c r="N219" s="31">
        <f t="shared" ref="N219:W228" si="65">IF(OR(LEFT($A219,1)="E",LEFT($A219,1)="Z"),IF($M219=0,VLOOKUP(MID($A219,4,5),ProjectSplits,N$2,FALSE),IF(ISNA(VLOOKUP($A219,Estimates,N$1,FALSE)),VLOOKUP(MID($A219,4,5),ProjectSplits,N$2,FALSE),VLOOKUP($A219,Estimates,N$1,FALSE))),0)</f>
        <v>0</v>
      </c>
      <c r="O219" s="31">
        <f t="shared" si="65"/>
        <v>6.6625178811027128E-2</v>
      </c>
      <c r="P219" s="31">
        <f t="shared" si="65"/>
        <v>2.4623727083152296E-2</v>
      </c>
      <c r="Q219" s="31">
        <f t="shared" si="65"/>
        <v>0</v>
      </c>
      <c r="R219" s="31">
        <f t="shared" si="65"/>
        <v>0</v>
      </c>
      <c r="S219" s="31">
        <f t="shared" si="65"/>
        <v>0</v>
      </c>
      <c r="T219" s="31">
        <f t="shared" si="65"/>
        <v>0</v>
      </c>
      <c r="U219" s="31">
        <f t="shared" si="65"/>
        <v>0</v>
      </c>
      <c r="V219" s="31">
        <f t="shared" si="65"/>
        <v>0</v>
      </c>
      <c r="W219" s="31">
        <f t="shared" si="65"/>
        <v>1.5448232602996638E-2</v>
      </c>
      <c r="X219" s="31">
        <f t="shared" ref="X219:AF228" si="66">IF(OR(LEFT($A219,1)="E",LEFT($A219,1)="Z"),IF($M219=0,VLOOKUP(MID($A219,4,5),ProjectSplits,X$2,FALSE),IF(ISNA(VLOOKUP($A219,Estimates,X$1,FALSE)),VLOOKUP(MID($A219,4,5),ProjectSplits,X$2,FALSE),VLOOKUP($A219,Estimates,X$1,FALSE))),0)</f>
        <v>0</v>
      </c>
      <c r="Y219" s="31">
        <f t="shared" si="66"/>
        <v>1.4233026516009572E-3</v>
      </c>
      <c r="Z219" s="31">
        <f t="shared" si="66"/>
        <v>0</v>
      </c>
      <c r="AA219" s="31">
        <f t="shared" si="66"/>
        <v>0</v>
      </c>
      <c r="AB219" s="31">
        <f t="shared" si="66"/>
        <v>0</v>
      </c>
      <c r="AC219" s="31">
        <f t="shared" si="66"/>
        <v>0.8686433753275592</v>
      </c>
      <c r="AD219" s="31">
        <f t="shared" si="66"/>
        <v>0</v>
      </c>
      <c r="AE219" s="31">
        <f t="shared" si="66"/>
        <v>0</v>
      </c>
      <c r="AF219" s="31">
        <f t="shared" si="66"/>
        <v>2.3236183523663752E-2</v>
      </c>
      <c r="AG219" s="31">
        <f t="shared" si="64"/>
        <v>0.99999999999999989</v>
      </c>
    </row>
    <row r="220" spans="1:33" ht="10.5" x14ac:dyDescent="0.15">
      <c r="A220" s="1" t="s">
        <v>601</v>
      </c>
      <c r="B220" s="1" t="s">
        <v>2328</v>
      </c>
      <c r="C220" s="3"/>
      <c r="D220" s="3"/>
      <c r="E220" s="3"/>
      <c r="F220" s="3"/>
      <c r="G220" s="3"/>
      <c r="H220" s="3">
        <v>784867.8399993265</v>
      </c>
      <c r="I220" s="3"/>
      <c r="J220" s="3">
        <v>784867.8399993265</v>
      </c>
      <c r="K220" s="26">
        <f t="shared" si="63"/>
        <v>2022</v>
      </c>
      <c r="L220" s="78"/>
      <c r="M220" s="37">
        <f t="shared" si="62"/>
        <v>0</v>
      </c>
      <c r="N220" s="31">
        <f t="shared" si="65"/>
        <v>0</v>
      </c>
      <c r="O220" s="31">
        <f t="shared" si="65"/>
        <v>0</v>
      </c>
      <c r="P220" s="31">
        <f t="shared" si="65"/>
        <v>0</v>
      </c>
      <c r="Q220" s="31">
        <f t="shared" si="65"/>
        <v>1</v>
      </c>
      <c r="R220" s="31">
        <f t="shared" si="65"/>
        <v>0</v>
      </c>
      <c r="S220" s="31">
        <f t="shared" si="65"/>
        <v>0</v>
      </c>
      <c r="T220" s="31">
        <f t="shared" si="65"/>
        <v>0</v>
      </c>
      <c r="U220" s="31">
        <f t="shared" si="65"/>
        <v>0</v>
      </c>
      <c r="V220" s="31">
        <f t="shared" si="65"/>
        <v>0</v>
      </c>
      <c r="W220" s="31">
        <f t="shared" si="65"/>
        <v>0</v>
      </c>
      <c r="X220" s="31">
        <f t="shared" si="66"/>
        <v>0</v>
      </c>
      <c r="Y220" s="31">
        <f t="shared" si="66"/>
        <v>0</v>
      </c>
      <c r="Z220" s="31">
        <f t="shared" si="66"/>
        <v>0</v>
      </c>
      <c r="AA220" s="31">
        <f t="shared" si="66"/>
        <v>0</v>
      </c>
      <c r="AB220" s="31">
        <f t="shared" si="66"/>
        <v>0</v>
      </c>
      <c r="AC220" s="31">
        <f t="shared" si="66"/>
        <v>0</v>
      </c>
      <c r="AD220" s="31">
        <f t="shared" si="66"/>
        <v>0</v>
      </c>
      <c r="AE220" s="31">
        <f t="shared" si="66"/>
        <v>0</v>
      </c>
      <c r="AF220" s="31">
        <f t="shared" si="66"/>
        <v>0</v>
      </c>
      <c r="AG220" s="31">
        <f t="shared" si="64"/>
        <v>1</v>
      </c>
    </row>
    <row r="221" spans="1:33" ht="10.5" x14ac:dyDescent="0.15">
      <c r="A221" s="1" t="s">
        <v>605</v>
      </c>
      <c r="B221" s="1" t="s">
        <v>2330</v>
      </c>
      <c r="C221" s="3"/>
      <c r="D221" s="3"/>
      <c r="E221" s="3"/>
      <c r="F221" s="3"/>
      <c r="G221" s="3"/>
      <c r="H221" s="3"/>
      <c r="I221" s="3">
        <v>534832.42107666261</v>
      </c>
      <c r="J221" s="3">
        <v>534832.42107666261</v>
      </c>
      <c r="K221" s="26">
        <f t="shared" si="63"/>
        <v>2023</v>
      </c>
      <c r="L221" s="78"/>
      <c r="M221" s="37">
        <f t="shared" si="62"/>
        <v>89999.999999999985</v>
      </c>
      <c r="N221" s="31">
        <f t="shared" si="65"/>
        <v>0</v>
      </c>
      <c r="O221" s="31">
        <f t="shared" si="65"/>
        <v>0</v>
      </c>
      <c r="P221" s="31">
        <f t="shared" si="65"/>
        <v>0</v>
      </c>
      <c r="Q221" s="31">
        <f t="shared" si="65"/>
        <v>1</v>
      </c>
      <c r="R221" s="31">
        <f t="shared" si="65"/>
        <v>0</v>
      </c>
      <c r="S221" s="31">
        <f t="shared" si="65"/>
        <v>0</v>
      </c>
      <c r="T221" s="31">
        <f t="shared" si="65"/>
        <v>0</v>
      </c>
      <c r="U221" s="31">
        <f t="shared" si="65"/>
        <v>0</v>
      </c>
      <c r="V221" s="31">
        <f t="shared" si="65"/>
        <v>0</v>
      </c>
      <c r="W221" s="31">
        <f t="shared" si="65"/>
        <v>0</v>
      </c>
      <c r="X221" s="31">
        <f t="shared" si="66"/>
        <v>0</v>
      </c>
      <c r="Y221" s="31">
        <f t="shared" si="66"/>
        <v>0</v>
      </c>
      <c r="Z221" s="31">
        <f t="shared" si="66"/>
        <v>0</v>
      </c>
      <c r="AA221" s="31">
        <f t="shared" si="66"/>
        <v>0</v>
      </c>
      <c r="AB221" s="31">
        <f t="shared" si="66"/>
        <v>0</v>
      </c>
      <c r="AC221" s="31">
        <f t="shared" si="66"/>
        <v>0</v>
      </c>
      <c r="AD221" s="31">
        <f t="shared" si="66"/>
        <v>0</v>
      </c>
      <c r="AE221" s="31">
        <f t="shared" si="66"/>
        <v>0</v>
      </c>
      <c r="AF221" s="31">
        <f t="shared" si="66"/>
        <v>0</v>
      </c>
      <c r="AG221" s="31">
        <f t="shared" si="64"/>
        <v>1</v>
      </c>
    </row>
    <row r="222" spans="1:33" ht="10.5" x14ac:dyDescent="0.15">
      <c r="A222" s="1" t="s">
        <v>607</v>
      </c>
      <c r="B222" s="1" t="s">
        <v>2332</v>
      </c>
      <c r="C222" s="3"/>
      <c r="D222" s="3"/>
      <c r="E222" s="3"/>
      <c r="F222" s="3">
        <v>287345.67224117729</v>
      </c>
      <c r="G222" s="3"/>
      <c r="H222" s="3"/>
      <c r="I222" s="3"/>
      <c r="J222" s="3">
        <v>287345.67224117729</v>
      </c>
      <c r="K222" s="26">
        <f t="shared" si="63"/>
        <v>2020</v>
      </c>
      <c r="L222" s="78"/>
      <c r="M222" s="37">
        <f t="shared" si="62"/>
        <v>52000</v>
      </c>
      <c r="N222" s="31">
        <f t="shared" si="65"/>
        <v>0</v>
      </c>
      <c r="O222" s="31">
        <f t="shared" si="65"/>
        <v>0</v>
      </c>
      <c r="P222" s="31">
        <f t="shared" si="65"/>
        <v>0</v>
      </c>
      <c r="Q222" s="31">
        <f t="shared" si="65"/>
        <v>1</v>
      </c>
      <c r="R222" s="31">
        <f t="shared" si="65"/>
        <v>0</v>
      </c>
      <c r="S222" s="31">
        <f t="shared" si="65"/>
        <v>0</v>
      </c>
      <c r="T222" s="31">
        <f t="shared" si="65"/>
        <v>0</v>
      </c>
      <c r="U222" s="31">
        <f t="shared" si="65"/>
        <v>0</v>
      </c>
      <c r="V222" s="31">
        <f t="shared" si="65"/>
        <v>0</v>
      </c>
      <c r="W222" s="31">
        <f t="shared" si="65"/>
        <v>0</v>
      </c>
      <c r="X222" s="31">
        <f t="shared" si="66"/>
        <v>0</v>
      </c>
      <c r="Y222" s="31">
        <f t="shared" si="66"/>
        <v>0</v>
      </c>
      <c r="Z222" s="31">
        <f t="shared" si="66"/>
        <v>0</v>
      </c>
      <c r="AA222" s="31">
        <f t="shared" si="66"/>
        <v>0</v>
      </c>
      <c r="AB222" s="31">
        <f t="shared" si="66"/>
        <v>0</v>
      </c>
      <c r="AC222" s="31">
        <f t="shared" si="66"/>
        <v>0</v>
      </c>
      <c r="AD222" s="31">
        <f t="shared" si="66"/>
        <v>0</v>
      </c>
      <c r="AE222" s="31">
        <f t="shared" si="66"/>
        <v>0</v>
      </c>
      <c r="AF222" s="31">
        <f t="shared" si="66"/>
        <v>0</v>
      </c>
      <c r="AG222" s="31">
        <f t="shared" si="64"/>
        <v>1</v>
      </c>
    </row>
    <row r="223" spans="1:33" ht="10.5" x14ac:dyDescent="0.15">
      <c r="A223" s="1" t="s">
        <v>608</v>
      </c>
      <c r="B223" s="1" t="s">
        <v>609</v>
      </c>
      <c r="C223" s="3"/>
      <c r="D223" s="3"/>
      <c r="E223" s="3">
        <v>9443.619293125088</v>
      </c>
      <c r="F223" s="3"/>
      <c r="G223" s="3"/>
      <c r="H223" s="3"/>
      <c r="I223" s="3"/>
      <c r="J223" s="3">
        <v>9443.619293125088</v>
      </c>
      <c r="K223" s="26">
        <f t="shared" si="63"/>
        <v>2019</v>
      </c>
      <c r="L223" s="78"/>
      <c r="M223" s="37">
        <f t="shared" si="62"/>
        <v>0</v>
      </c>
      <c r="N223" s="31">
        <f t="shared" si="65"/>
        <v>0</v>
      </c>
      <c r="O223" s="31">
        <f t="shared" si="65"/>
        <v>0</v>
      </c>
      <c r="P223" s="31">
        <f t="shared" si="65"/>
        <v>0</v>
      </c>
      <c r="Q223" s="31">
        <f t="shared" si="65"/>
        <v>0</v>
      </c>
      <c r="R223" s="31">
        <f t="shared" si="65"/>
        <v>0</v>
      </c>
      <c r="S223" s="31">
        <f t="shared" si="65"/>
        <v>1</v>
      </c>
      <c r="T223" s="31">
        <f t="shared" si="65"/>
        <v>0</v>
      </c>
      <c r="U223" s="31">
        <f t="shared" si="65"/>
        <v>0</v>
      </c>
      <c r="V223" s="31">
        <f t="shared" si="65"/>
        <v>0</v>
      </c>
      <c r="W223" s="31">
        <f t="shared" si="65"/>
        <v>0</v>
      </c>
      <c r="X223" s="31">
        <f t="shared" si="66"/>
        <v>0</v>
      </c>
      <c r="Y223" s="31">
        <f t="shared" si="66"/>
        <v>0</v>
      </c>
      <c r="Z223" s="31">
        <f t="shared" si="66"/>
        <v>0</v>
      </c>
      <c r="AA223" s="31">
        <f t="shared" si="66"/>
        <v>0</v>
      </c>
      <c r="AB223" s="31">
        <f t="shared" si="66"/>
        <v>0</v>
      </c>
      <c r="AC223" s="31">
        <f t="shared" si="66"/>
        <v>0</v>
      </c>
      <c r="AD223" s="31">
        <f t="shared" si="66"/>
        <v>0</v>
      </c>
      <c r="AE223" s="31">
        <f t="shared" si="66"/>
        <v>0</v>
      </c>
      <c r="AF223" s="31">
        <f t="shared" si="66"/>
        <v>0</v>
      </c>
      <c r="AG223" s="31">
        <f t="shared" si="64"/>
        <v>1</v>
      </c>
    </row>
    <row r="224" spans="1:33" ht="10.5" x14ac:dyDescent="0.15">
      <c r="A224" s="1" t="s">
        <v>610</v>
      </c>
      <c r="B224" s="1" t="s">
        <v>2333</v>
      </c>
      <c r="C224" s="3"/>
      <c r="D224" s="3"/>
      <c r="E224" s="3"/>
      <c r="F224" s="3"/>
      <c r="G224" s="3">
        <v>700736.59602173232</v>
      </c>
      <c r="H224" s="3"/>
      <c r="I224" s="3"/>
      <c r="J224" s="3">
        <v>700736.59602173232</v>
      </c>
      <c r="K224" s="26">
        <f t="shared" si="63"/>
        <v>2021</v>
      </c>
      <c r="L224" s="78"/>
      <c r="M224" s="37">
        <f t="shared" si="62"/>
        <v>117800.00000000007</v>
      </c>
      <c r="N224" s="31">
        <f t="shared" si="65"/>
        <v>0</v>
      </c>
      <c r="O224" s="31">
        <f t="shared" si="65"/>
        <v>0</v>
      </c>
      <c r="P224" s="31">
        <f t="shared" si="65"/>
        <v>0</v>
      </c>
      <c r="Q224" s="31">
        <f t="shared" si="65"/>
        <v>1</v>
      </c>
      <c r="R224" s="31">
        <f t="shared" si="65"/>
        <v>0</v>
      </c>
      <c r="S224" s="31">
        <f t="shared" si="65"/>
        <v>0</v>
      </c>
      <c r="T224" s="31">
        <f t="shared" si="65"/>
        <v>0</v>
      </c>
      <c r="U224" s="31">
        <f t="shared" si="65"/>
        <v>0</v>
      </c>
      <c r="V224" s="31">
        <f t="shared" si="65"/>
        <v>0</v>
      </c>
      <c r="W224" s="31">
        <f t="shared" si="65"/>
        <v>0</v>
      </c>
      <c r="X224" s="31">
        <f t="shared" si="66"/>
        <v>0</v>
      </c>
      <c r="Y224" s="31">
        <f t="shared" si="66"/>
        <v>0</v>
      </c>
      <c r="Z224" s="31">
        <f t="shared" si="66"/>
        <v>0</v>
      </c>
      <c r="AA224" s="31">
        <f t="shared" si="66"/>
        <v>0</v>
      </c>
      <c r="AB224" s="31">
        <f t="shared" si="66"/>
        <v>0</v>
      </c>
      <c r="AC224" s="31">
        <f t="shared" si="66"/>
        <v>0</v>
      </c>
      <c r="AD224" s="31">
        <f t="shared" si="66"/>
        <v>0</v>
      </c>
      <c r="AE224" s="31">
        <f t="shared" si="66"/>
        <v>0</v>
      </c>
      <c r="AF224" s="31">
        <f t="shared" si="66"/>
        <v>0</v>
      </c>
      <c r="AG224" s="31">
        <f t="shared" si="64"/>
        <v>1</v>
      </c>
    </row>
    <row r="225" spans="1:33" ht="10.5" x14ac:dyDescent="0.15">
      <c r="A225" s="1" t="s">
        <v>611</v>
      </c>
      <c r="B225" s="1" t="s">
        <v>2334</v>
      </c>
      <c r="C225" s="3"/>
      <c r="D225" s="3"/>
      <c r="E225" s="3"/>
      <c r="F225" s="3"/>
      <c r="G225" s="3"/>
      <c r="H225" s="3">
        <v>925258.85798655462</v>
      </c>
      <c r="I225" s="3"/>
      <c r="J225" s="3">
        <v>925258.85798655462</v>
      </c>
      <c r="K225" s="26">
        <f t="shared" si="63"/>
        <v>2022</v>
      </c>
      <c r="L225" s="78"/>
      <c r="M225" s="37">
        <f t="shared" si="62"/>
        <v>151999.9999999998</v>
      </c>
      <c r="N225" s="31">
        <f t="shared" si="65"/>
        <v>0</v>
      </c>
      <c r="O225" s="31">
        <f t="shared" si="65"/>
        <v>0</v>
      </c>
      <c r="P225" s="31">
        <f t="shared" si="65"/>
        <v>0</v>
      </c>
      <c r="Q225" s="31">
        <f t="shared" si="65"/>
        <v>1</v>
      </c>
      <c r="R225" s="31">
        <f t="shared" si="65"/>
        <v>0</v>
      </c>
      <c r="S225" s="31">
        <f t="shared" si="65"/>
        <v>0</v>
      </c>
      <c r="T225" s="31">
        <f t="shared" si="65"/>
        <v>0</v>
      </c>
      <c r="U225" s="31">
        <f t="shared" si="65"/>
        <v>0</v>
      </c>
      <c r="V225" s="31">
        <f t="shared" si="65"/>
        <v>0</v>
      </c>
      <c r="W225" s="31">
        <f t="shared" si="65"/>
        <v>0</v>
      </c>
      <c r="X225" s="31">
        <f t="shared" si="66"/>
        <v>0</v>
      </c>
      <c r="Y225" s="31">
        <f t="shared" si="66"/>
        <v>0</v>
      </c>
      <c r="Z225" s="31">
        <f t="shared" si="66"/>
        <v>0</v>
      </c>
      <c r="AA225" s="31">
        <f t="shared" si="66"/>
        <v>0</v>
      </c>
      <c r="AB225" s="31">
        <f t="shared" si="66"/>
        <v>0</v>
      </c>
      <c r="AC225" s="31">
        <f t="shared" si="66"/>
        <v>0</v>
      </c>
      <c r="AD225" s="31">
        <f t="shared" si="66"/>
        <v>0</v>
      </c>
      <c r="AE225" s="31">
        <f t="shared" si="66"/>
        <v>0</v>
      </c>
      <c r="AF225" s="31">
        <f t="shared" si="66"/>
        <v>0</v>
      </c>
      <c r="AG225" s="31">
        <f t="shared" si="64"/>
        <v>1</v>
      </c>
    </row>
    <row r="226" spans="1:33" ht="10.5" x14ac:dyDescent="0.15">
      <c r="A226" s="1" t="s">
        <v>614</v>
      </c>
      <c r="B226" s="1" t="s">
        <v>2335</v>
      </c>
      <c r="C226" s="3"/>
      <c r="D226" s="3"/>
      <c r="E226" s="3"/>
      <c r="F226" s="3"/>
      <c r="G226" s="3">
        <v>3082163.1270248992</v>
      </c>
      <c r="H226" s="3"/>
      <c r="I226" s="3"/>
      <c r="J226" s="3">
        <v>3082163.1270248992</v>
      </c>
      <c r="K226" s="26">
        <f t="shared" si="63"/>
        <v>2021</v>
      </c>
      <c r="L226" s="78"/>
      <c r="M226" s="37">
        <f t="shared" si="62"/>
        <v>545264.99999999977</v>
      </c>
      <c r="N226" s="31">
        <f t="shared" si="65"/>
        <v>0</v>
      </c>
      <c r="O226" s="31">
        <f t="shared" si="65"/>
        <v>0</v>
      </c>
      <c r="P226" s="31">
        <f t="shared" si="65"/>
        <v>0</v>
      </c>
      <c r="Q226" s="31">
        <f t="shared" si="65"/>
        <v>1</v>
      </c>
      <c r="R226" s="31">
        <f t="shared" si="65"/>
        <v>0</v>
      </c>
      <c r="S226" s="31">
        <f t="shared" si="65"/>
        <v>0</v>
      </c>
      <c r="T226" s="31">
        <f t="shared" si="65"/>
        <v>0</v>
      </c>
      <c r="U226" s="31">
        <f t="shared" si="65"/>
        <v>0</v>
      </c>
      <c r="V226" s="31">
        <f t="shared" si="65"/>
        <v>0</v>
      </c>
      <c r="W226" s="31">
        <f t="shared" si="65"/>
        <v>0</v>
      </c>
      <c r="X226" s="31">
        <f t="shared" si="66"/>
        <v>0</v>
      </c>
      <c r="Y226" s="31">
        <f t="shared" si="66"/>
        <v>0</v>
      </c>
      <c r="Z226" s="31">
        <f t="shared" si="66"/>
        <v>0</v>
      </c>
      <c r="AA226" s="31">
        <f t="shared" si="66"/>
        <v>0</v>
      </c>
      <c r="AB226" s="31">
        <f t="shared" si="66"/>
        <v>0</v>
      </c>
      <c r="AC226" s="31">
        <f t="shared" si="66"/>
        <v>0</v>
      </c>
      <c r="AD226" s="31">
        <f t="shared" si="66"/>
        <v>0</v>
      </c>
      <c r="AE226" s="31">
        <f t="shared" si="66"/>
        <v>0</v>
      </c>
      <c r="AF226" s="31">
        <f t="shared" si="66"/>
        <v>0</v>
      </c>
      <c r="AG226" s="31">
        <f t="shared" si="64"/>
        <v>1</v>
      </c>
    </row>
    <row r="227" spans="1:33" ht="10.5" x14ac:dyDescent="0.15">
      <c r="A227" s="1" t="s">
        <v>617</v>
      </c>
      <c r="B227" s="1" t="s">
        <v>618</v>
      </c>
      <c r="C227" s="3"/>
      <c r="D227" s="3"/>
      <c r="E227" s="3">
        <v>3131226.1863442417</v>
      </c>
      <c r="F227" s="3"/>
      <c r="G227" s="3"/>
      <c r="H227" s="3"/>
      <c r="I227" s="3"/>
      <c r="J227" s="3">
        <v>3131226.1863442417</v>
      </c>
      <c r="K227" s="26">
        <f t="shared" si="63"/>
        <v>2019</v>
      </c>
      <c r="L227" s="78"/>
      <c r="M227" s="37">
        <f t="shared" si="62"/>
        <v>0</v>
      </c>
      <c r="N227" s="31">
        <f t="shared" si="65"/>
        <v>0.4</v>
      </c>
      <c r="O227" s="31">
        <f t="shared" si="65"/>
        <v>0</v>
      </c>
      <c r="P227" s="31">
        <f t="shared" si="65"/>
        <v>0</v>
      </c>
      <c r="Q227" s="31">
        <f t="shared" si="65"/>
        <v>0.2</v>
      </c>
      <c r="R227" s="31">
        <f t="shared" si="65"/>
        <v>0</v>
      </c>
      <c r="S227" s="31">
        <f t="shared" si="65"/>
        <v>0</v>
      </c>
      <c r="T227" s="31">
        <f t="shared" si="65"/>
        <v>0.4</v>
      </c>
      <c r="U227" s="31">
        <f t="shared" si="65"/>
        <v>0</v>
      </c>
      <c r="V227" s="31">
        <f t="shared" si="65"/>
        <v>0</v>
      </c>
      <c r="W227" s="31">
        <f t="shared" si="65"/>
        <v>0</v>
      </c>
      <c r="X227" s="31">
        <f t="shared" si="66"/>
        <v>0</v>
      </c>
      <c r="Y227" s="31">
        <f t="shared" si="66"/>
        <v>0</v>
      </c>
      <c r="Z227" s="31">
        <f t="shared" si="66"/>
        <v>0</v>
      </c>
      <c r="AA227" s="31">
        <f t="shared" si="66"/>
        <v>0</v>
      </c>
      <c r="AB227" s="31">
        <f t="shared" si="66"/>
        <v>0</v>
      </c>
      <c r="AC227" s="31">
        <f t="shared" si="66"/>
        <v>0</v>
      </c>
      <c r="AD227" s="31">
        <f t="shared" si="66"/>
        <v>0</v>
      </c>
      <c r="AE227" s="31">
        <f t="shared" si="66"/>
        <v>0</v>
      </c>
      <c r="AF227" s="31">
        <f t="shared" si="66"/>
        <v>0</v>
      </c>
      <c r="AG227" s="31">
        <f t="shared" si="64"/>
        <v>1</v>
      </c>
    </row>
    <row r="228" spans="1:33" ht="10.5" x14ac:dyDescent="0.15">
      <c r="A228" s="1" t="s">
        <v>619</v>
      </c>
      <c r="B228" s="1" t="s">
        <v>620</v>
      </c>
      <c r="C228" s="3"/>
      <c r="D228" s="3"/>
      <c r="E228" s="3"/>
      <c r="F228" s="3">
        <v>1680045.0226847772</v>
      </c>
      <c r="G228" s="3"/>
      <c r="H228" s="3"/>
      <c r="I228" s="3"/>
      <c r="J228" s="3">
        <v>1680045.0226847772</v>
      </c>
      <c r="K228" s="26">
        <f t="shared" si="63"/>
        <v>2020</v>
      </c>
      <c r="L228" s="78"/>
      <c r="M228" s="37">
        <f t="shared" si="62"/>
        <v>0</v>
      </c>
      <c r="N228" s="31">
        <f t="shared" si="65"/>
        <v>0</v>
      </c>
      <c r="O228" s="31">
        <f t="shared" si="65"/>
        <v>0</v>
      </c>
      <c r="P228" s="31">
        <f t="shared" si="65"/>
        <v>0</v>
      </c>
      <c r="Q228" s="31">
        <f t="shared" si="65"/>
        <v>0</v>
      </c>
      <c r="R228" s="31">
        <f t="shared" si="65"/>
        <v>0</v>
      </c>
      <c r="S228" s="31">
        <f t="shared" si="65"/>
        <v>0</v>
      </c>
      <c r="T228" s="31">
        <f t="shared" si="65"/>
        <v>0</v>
      </c>
      <c r="U228" s="31">
        <f t="shared" si="65"/>
        <v>1</v>
      </c>
      <c r="V228" s="31">
        <f t="shared" si="65"/>
        <v>0</v>
      </c>
      <c r="W228" s="31">
        <f t="shared" si="65"/>
        <v>0</v>
      </c>
      <c r="X228" s="31">
        <f t="shared" si="66"/>
        <v>0</v>
      </c>
      <c r="Y228" s="31">
        <f t="shared" si="66"/>
        <v>0</v>
      </c>
      <c r="Z228" s="31">
        <f t="shared" si="66"/>
        <v>0</v>
      </c>
      <c r="AA228" s="31">
        <f t="shared" si="66"/>
        <v>0</v>
      </c>
      <c r="AB228" s="31">
        <f t="shared" si="66"/>
        <v>0</v>
      </c>
      <c r="AC228" s="31">
        <f t="shared" si="66"/>
        <v>0</v>
      </c>
      <c r="AD228" s="31">
        <f t="shared" si="66"/>
        <v>0</v>
      </c>
      <c r="AE228" s="31">
        <f t="shared" si="66"/>
        <v>0</v>
      </c>
      <c r="AF228" s="31">
        <f t="shared" si="66"/>
        <v>0</v>
      </c>
      <c r="AG228" s="31">
        <f t="shared" si="64"/>
        <v>1</v>
      </c>
    </row>
    <row r="229" spans="1:33" ht="10.5" x14ac:dyDescent="0.15">
      <c r="A229" s="1" t="s">
        <v>621</v>
      </c>
      <c r="B229" s="1" t="s">
        <v>622</v>
      </c>
      <c r="C229" s="3">
        <v>220423.39829500005</v>
      </c>
      <c r="D229" s="3"/>
      <c r="E229" s="3"/>
      <c r="F229" s="3"/>
      <c r="G229" s="3"/>
      <c r="H229" s="3"/>
      <c r="I229" s="3"/>
      <c r="J229" s="3">
        <v>220423.39829500005</v>
      </c>
      <c r="K229" s="26">
        <f t="shared" si="63"/>
        <v>2017</v>
      </c>
      <c r="L229" s="78"/>
      <c r="M229" s="37">
        <f t="shared" si="62"/>
        <v>161800.00500264816</v>
      </c>
      <c r="N229" s="31">
        <f t="shared" ref="N229:W238" si="67">IF(OR(LEFT($A229,1)="E",LEFT($A229,1)="Z"),IF($M229=0,VLOOKUP(MID($A229,4,5),ProjectSplits,N$2,FALSE),IF(ISNA(VLOOKUP($A229,Estimates,N$1,FALSE)),VLOOKUP(MID($A229,4,5),ProjectSplits,N$2,FALSE),VLOOKUP($A229,Estimates,N$1,FALSE))),0)</f>
        <v>0</v>
      </c>
      <c r="O229" s="31">
        <f t="shared" si="67"/>
        <v>0</v>
      </c>
      <c r="P229" s="31">
        <f t="shared" si="67"/>
        <v>0</v>
      </c>
      <c r="Q229" s="31">
        <f t="shared" si="67"/>
        <v>0</v>
      </c>
      <c r="R229" s="31">
        <f t="shared" si="67"/>
        <v>0</v>
      </c>
      <c r="S229" s="31">
        <f t="shared" si="67"/>
        <v>0</v>
      </c>
      <c r="T229" s="31">
        <f t="shared" si="67"/>
        <v>0</v>
      </c>
      <c r="U229" s="31">
        <f t="shared" si="67"/>
        <v>0</v>
      </c>
      <c r="V229" s="31">
        <f t="shared" si="67"/>
        <v>0</v>
      </c>
      <c r="W229" s="31">
        <f t="shared" si="67"/>
        <v>0</v>
      </c>
      <c r="X229" s="31">
        <f t="shared" ref="X229:AF238" si="68">IF(OR(LEFT($A229,1)="E",LEFT($A229,1)="Z"),IF($M229=0,VLOOKUP(MID($A229,4,5),ProjectSplits,X$2,FALSE),IF(ISNA(VLOOKUP($A229,Estimates,X$1,FALSE)),VLOOKUP(MID($A229,4,5),ProjectSplits,X$2,FALSE),VLOOKUP($A229,Estimates,X$1,FALSE))),0)</f>
        <v>0</v>
      </c>
      <c r="Y229" s="31">
        <f t="shared" si="68"/>
        <v>0</v>
      </c>
      <c r="Z229" s="31">
        <f t="shared" si="68"/>
        <v>0</v>
      </c>
      <c r="AA229" s="31">
        <f t="shared" si="68"/>
        <v>0</v>
      </c>
      <c r="AB229" s="31">
        <f t="shared" si="68"/>
        <v>0.93819530475393786</v>
      </c>
      <c r="AC229" s="31">
        <f t="shared" si="68"/>
        <v>6.1804695246062157E-2</v>
      </c>
      <c r="AD229" s="31">
        <f t="shared" si="68"/>
        <v>0</v>
      </c>
      <c r="AE229" s="31">
        <f t="shared" si="68"/>
        <v>0</v>
      </c>
      <c r="AF229" s="31">
        <f t="shared" si="68"/>
        <v>0</v>
      </c>
      <c r="AG229" s="31">
        <f t="shared" si="64"/>
        <v>1</v>
      </c>
    </row>
    <row r="230" spans="1:33" ht="10.5" x14ac:dyDescent="0.15">
      <c r="A230" s="1" t="s">
        <v>623</v>
      </c>
      <c r="B230" s="1" t="s">
        <v>624</v>
      </c>
      <c r="C230" s="3"/>
      <c r="D230" s="3">
        <v>1800766.1806653386</v>
      </c>
      <c r="E230" s="3"/>
      <c r="F230" s="3"/>
      <c r="G230" s="3"/>
      <c r="H230" s="3"/>
      <c r="I230" s="3"/>
      <c r="J230" s="3">
        <v>1800766.1806653386</v>
      </c>
      <c r="K230" s="26">
        <f t="shared" si="63"/>
        <v>2018</v>
      </c>
      <c r="L230" s="78"/>
      <c r="M230" s="37">
        <f t="shared" si="62"/>
        <v>1114310.0010009985</v>
      </c>
      <c r="N230" s="31">
        <f t="shared" si="67"/>
        <v>0</v>
      </c>
      <c r="O230" s="31">
        <f t="shared" si="67"/>
        <v>0</v>
      </c>
      <c r="P230" s="31">
        <f t="shared" si="67"/>
        <v>0</v>
      </c>
      <c r="Q230" s="31">
        <f t="shared" si="67"/>
        <v>0</v>
      </c>
      <c r="R230" s="31">
        <f t="shared" si="67"/>
        <v>0</v>
      </c>
      <c r="S230" s="31">
        <f t="shared" si="67"/>
        <v>0</v>
      </c>
      <c r="T230" s="31">
        <f t="shared" si="67"/>
        <v>0</v>
      </c>
      <c r="U230" s="31">
        <f t="shared" si="67"/>
        <v>0</v>
      </c>
      <c r="V230" s="31">
        <f t="shared" si="67"/>
        <v>0</v>
      </c>
      <c r="W230" s="31">
        <f t="shared" si="67"/>
        <v>0</v>
      </c>
      <c r="X230" s="31">
        <f t="shared" si="68"/>
        <v>0</v>
      </c>
      <c r="Y230" s="31">
        <f t="shared" si="68"/>
        <v>0</v>
      </c>
      <c r="Z230" s="31">
        <f t="shared" si="68"/>
        <v>0</v>
      </c>
      <c r="AA230" s="31">
        <f t="shared" si="68"/>
        <v>0</v>
      </c>
      <c r="AB230" s="31">
        <f t="shared" si="68"/>
        <v>1</v>
      </c>
      <c r="AC230" s="31">
        <f t="shared" si="68"/>
        <v>0</v>
      </c>
      <c r="AD230" s="31">
        <f t="shared" si="68"/>
        <v>0</v>
      </c>
      <c r="AE230" s="31">
        <f t="shared" si="68"/>
        <v>0</v>
      </c>
      <c r="AF230" s="31">
        <f t="shared" si="68"/>
        <v>0</v>
      </c>
      <c r="AG230" s="31">
        <f t="shared" si="64"/>
        <v>1</v>
      </c>
    </row>
    <row r="231" spans="1:33" ht="10.5" x14ac:dyDescent="0.15">
      <c r="A231" s="1" t="s">
        <v>625</v>
      </c>
      <c r="B231" s="1" t="s">
        <v>626</v>
      </c>
      <c r="C231" s="3"/>
      <c r="D231" s="3"/>
      <c r="E231" s="3">
        <v>2541660.4609637433</v>
      </c>
      <c r="F231" s="3"/>
      <c r="G231" s="3"/>
      <c r="H231" s="3"/>
      <c r="I231" s="3"/>
      <c r="J231" s="3">
        <v>2541660.4609637433</v>
      </c>
      <c r="K231" s="26">
        <f t="shared" si="63"/>
        <v>2019</v>
      </c>
      <c r="L231" s="78"/>
      <c r="M231" s="37">
        <f t="shared" si="62"/>
        <v>1489691.0000000012</v>
      </c>
      <c r="N231" s="31">
        <f t="shared" si="67"/>
        <v>0</v>
      </c>
      <c r="O231" s="31">
        <f t="shared" si="67"/>
        <v>0</v>
      </c>
      <c r="P231" s="31">
        <f t="shared" si="67"/>
        <v>0</v>
      </c>
      <c r="Q231" s="31">
        <f t="shared" si="67"/>
        <v>0</v>
      </c>
      <c r="R231" s="31">
        <f t="shared" si="67"/>
        <v>0</v>
      </c>
      <c r="S231" s="31">
        <f t="shared" si="67"/>
        <v>0</v>
      </c>
      <c r="T231" s="31">
        <f t="shared" si="67"/>
        <v>0</v>
      </c>
      <c r="U231" s="31">
        <f t="shared" si="67"/>
        <v>0</v>
      </c>
      <c r="V231" s="31">
        <f t="shared" si="67"/>
        <v>0</v>
      </c>
      <c r="W231" s="31">
        <f t="shared" si="67"/>
        <v>0</v>
      </c>
      <c r="X231" s="31">
        <f t="shared" si="68"/>
        <v>0</v>
      </c>
      <c r="Y231" s="31">
        <f t="shared" si="68"/>
        <v>0</v>
      </c>
      <c r="Z231" s="31">
        <f t="shared" si="68"/>
        <v>0</v>
      </c>
      <c r="AA231" s="31">
        <f t="shared" si="68"/>
        <v>0</v>
      </c>
      <c r="AB231" s="31">
        <f t="shared" si="68"/>
        <v>1</v>
      </c>
      <c r="AC231" s="31">
        <f t="shared" si="68"/>
        <v>0</v>
      </c>
      <c r="AD231" s="31">
        <f t="shared" si="68"/>
        <v>0</v>
      </c>
      <c r="AE231" s="31">
        <f t="shared" si="68"/>
        <v>0</v>
      </c>
      <c r="AF231" s="31">
        <f t="shared" si="68"/>
        <v>0</v>
      </c>
      <c r="AG231" s="31">
        <f t="shared" si="64"/>
        <v>1</v>
      </c>
    </row>
    <row r="232" spans="1:33" ht="10.5" x14ac:dyDescent="0.15">
      <c r="A232" s="1" t="s">
        <v>627</v>
      </c>
      <c r="B232" s="1" t="s">
        <v>628</v>
      </c>
      <c r="C232" s="3"/>
      <c r="D232" s="3">
        <v>199696.29247258822</v>
      </c>
      <c r="E232" s="3"/>
      <c r="F232" s="3"/>
      <c r="G232" s="3"/>
      <c r="H232" s="3"/>
      <c r="I232" s="3"/>
      <c r="J232" s="3">
        <v>199696.29247258822</v>
      </c>
      <c r="K232" s="26">
        <f t="shared" si="63"/>
        <v>2018</v>
      </c>
      <c r="L232" s="78"/>
      <c r="M232" s="37">
        <f t="shared" si="62"/>
        <v>0</v>
      </c>
      <c r="N232" s="31">
        <f t="shared" si="67"/>
        <v>0</v>
      </c>
      <c r="O232" s="31">
        <f t="shared" si="67"/>
        <v>0</v>
      </c>
      <c r="P232" s="31">
        <f t="shared" si="67"/>
        <v>0</v>
      </c>
      <c r="Q232" s="31">
        <f t="shared" si="67"/>
        <v>0</v>
      </c>
      <c r="R232" s="31">
        <f t="shared" si="67"/>
        <v>0</v>
      </c>
      <c r="S232" s="31">
        <f t="shared" si="67"/>
        <v>0</v>
      </c>
      <c r="T232" s="31">
        <f t="shared" si="67"/>
        <v>0</v>
      </c>
      <c r="U232" s="31">
        <f t="shared" si="67"/>
        <v>0</v>
      </c>
      <c r="V232" s="31">
        <f t="shared" si="67"/>
        <v>0</v>
      </c>
      <c r="W232" s="31">
        <f t="shared" si="67"/>
        <v>0</v>
      </c>
      <c r="X232" s="31">
        <f t="shared" si="68"/>
        <v>0</v>
      </c>
      <c r="Y232" s="31">
        <f t="shared" si="68"/>
        <v>0</v>
      </c>
      <c r="Z232" s="31">
        <f t="shared" si="68"/>
        <v>0</v>
      </c>
      <c r="AA232" s="31">
        <f t="shared" si="68"/>
        <v>0</v>
      </c>
      <c r="AB232" s="31">
        <f t="shared" si="68"/>
        <v>1</v>
      </c>
      <c r="AC232" s="31">
        <f t="shared" si="68"/>
        <v>0</v>
      </c>
      <c r="AD232" s="31">
        <f t="shared" si="68"/>
        <v>0</v>
      </c>
      <c r="AE232" s="31">
        <f t="shared" si="68"/>
        <v>0</v>
      </c>
      <c r="AF232" s="31">
        <f t="shared" si="68"/>
        <v>0</v>
      </c>
      <c r="AG232" s="31">
        <f t="shared" si="64"/>
        <v>1</v>
      </c>
    </row>
    <row r="233" spans="1:33" ht="10.5" x14ac:dyDescent="0.15">
      <c r="A233" s="1" t="s">
        <v>629</v>
      </c>
      <c r="B233" s="1" t="s">
        <v>630</v>
      </c>
      <c r="C233" s="3">
        <v>490944.87307700008</v>
      </c>
      <c r="D233" s="3"/>
      <c r="E233" s="3"/>
      <c r="F233" s="3"/>
      <c r="G233" s="3"/>
      <c r="H233" s="3"/>
      <c r="I233" s="3"/>
      <c r="J233" s="3">
        <v>490944.87307700008</v>
      </c>
      <c r="K233" s="26">
        <f t="shared" si="63"/>
        <v>2017</v>
      </c>
      <c r="L233" s="78"/>
      <c r="M233" s="37">
        <f t="shared" si="62"/>
        <v>0</v>
      </c>
      <c r="N233" s="31">
        <f t="shared" si="67"/>
        <v>0</v>
      </c>
      <c r="O233" s="31">
        <f t="shared" si="67"/>
        <v>0</v>
      </c>
      <c r="P233" s="31">
        <f t="shared" si="67"/>
        <v>0</v>
      </c>
      <c r="Q233" s="31">
        <f t="shared" si="67"/>
        <v>0</v>
      </c>
      <c r="R233" s="31">
        <f t="shared" si="67"/>
        <v>0</v>
      </c>
      <c r="S233" s="31">
        <f t="shared" si="67"/>
        <v>0</v>
      </c>
      <c r="T233" s="31">
        <f t="shared" si="67"/>
        <v>1</v>
      </c>
      <c r="U233" s="31">
        <f t="shared" si="67"/>
        <v>0</v>
      </c>
      <c r="V233" s="31">
        <f t="shared" si="67"/>
        <v>0</v>
      </c>
      <c r="W233" s="31">
        <f t="shared" si="67"/>
        <v>0</v>
      </c>
      <c r="X233" s="31">
        <f t="shared" si="68"/>
        <v>0</v>
      </c>
      <c r="Y233" s="31">
        <f t="shared" si="68"/>
        <v>0</v>
      </c>
      <c r="Z233" s="31">
        <f t="shared" si="68"/>
        <v>0</v>
      </c>
      <c r="AA233" s="31">
        <f t="shared" si="68"/>
        <v>0</v>
      </c>
      <c r="AB233" s="31">
        <f t="shared" si="68"/>
        <v>0</v>
      </c>
      <c r="AC233" s="31">
        <f t="shared" si="68"/>
        <v>0</v>
      </c>
      <c r="AD233" s="31">
        <f t="shared" si="68"/>
        <v>0</v>
      </c>
      <c r="AE233" s="31">
        <f t="shared" si="68"/>
        <v>0</v>
      </c>
      <c r="AF233" s="31">
        <f t="shared" si="68"/>
        <v>0</v>
      </c>
      <c r="AG233" s="31">
        <f t="shared" si="64"/>
        <v>1</v>
      </c>
    </row>
    <row r="234" spans="1:33" ht="10.5" x14ac:dyDescent="0.15">
      <c r="A234" s="1" t="s">
        <v>631</v>
      </c>
      <c r="B234" s="1" t="s">
        <v>632</v>
      </c>
      <c r="C234" s="3"/>
      <c r="D234" s="3"/>
      <c r="E234" s="3">
        <v>1792679.9499968288</v>
      </c>
      <c r="F234" s="3"/>
      <c r="G234" s="3"/>
      <c r="H234" s="3"/>
      <c r="I234" s="3"/>
      <c r="J234" s="3">
        <v>1792679.9499968288</v>
      </c>
      <c r="K234" s="26">
        <f t="shared" si="63"/>
        <v>2019</v>
      </c>
      <c r="L234" s="78"/>
      <c r="M234" s="37">
        <f t="shared" si="62"/>
        <v>1320000.0000000005</v>
      </c>
      <c r="N234" s="31">
        <f t="shared" si="67"/>
        <v>0</v>
      </c>
      <c r="O234" s="31">
        <f t="shared" si="67"/>
        <v>0</v>
      </c>
      <c r="P234" s="31">
        <f t="shared" si="67"/>
        <v>0</v>
      </c>
      <c r="Q234" s="31">
        <f t="shared" si="67"/>
        <v>0</v>
      </c>
      <c r="R234" s="31">
        <f t="shared" si="67"/>
        <v>0</v>
      </c>
      <c r="S234" s="31">
        <f t="shared" si="67"/>
        <v>0</v>
      </c>
      <c r="T234" s="31">
        <f t="shared" si="67"/>
        <v>0</v>
      </c>
      <c r="U234" s="31">
        <f t="shared" si="67"/>
        <v>0</v>
      </c>
      <c r="V234" s="31">
        <f t="shared" si="67"/>
        <v>0</v>
      </c>
      <c r="W234" s="31">
        <f t="shared" si="67"/>
        <v>1</v>
      </c>
      <c r="X234" s="31">
        <f t="shared" si="68"/>
        <v>0</v>
      </c>
      <c r="Y234" s="31">
        <f t="shared" si="68"/>
        <v>0</v>
      </c>
      <c r="Z234" s="31">
        <f t="shared" si="68"/>
        <v>0</v>
      </c>
      <c r="AA234" s="31">
        <f t="shared" si="68"/>
        <v>0</v>
      </c>
      <c r="AB234" s="31">
        <f t="shared" si="68"/>
        <v>0</v>
      </c>
      <c r="AC234" s="31">
        <f t="shared" si="68"/>
        <v>0</v>
      </c>
      <c r="AD234" s="31">
        <f t="shared" si="68"/>
        <v>0</v>
      </c>
      <c r="AE234" s="31">
        <f t="shared" si="68"/>
        <v>0</v>
      </c>
      <c r="AF234" s="31">
        <f t="shared" si="68"/>
        <v>0</v>
      </c>
      <c r="AG234" s="31">
        <f t="shared" si="64"/>
        <v>1</v>
      </c>
    </row>
    <row r="235" spans="1:33" ht="10.5" x14ac:dyDescent="0.15">
      <c r="A235" s="1" t="s">
        <v>633</v>
      </c>
      <c r="B235" s="1" t="s">
        <v>634</v>
      </c>
      <c r="C235" s="3"/>
      <c r="D235" s="3"/>
      <c r="E235" s="3">
        <v>11737319.226449138</v>
      </c>
      <c r="F235" s="3"/>
      <c r="G235" s="3"/>
      <c r="H235" s="3"/>
      <c r="I235" s="3"/>
      <c r="J235" s="3">
        <v>11737319.226449138</v>
      </c>
      <c r="K235" s="26">
        <f t="shared" si="63"/>
        <v>2019</v>
      </c>
      <c r="L235" s="78"/>
      <c r="M235" s="37">
        <f t="shared" si="62"/>
        <v>5261396.8340399992</v>
      </c>
      <c r="N235" s="31">
        <f t="shared" si="67"/>
        <v>0</v>
      </c>
      <c r="O235" s="31">
        <f t="shared" si="67"/>
        <v>0</v>
      </c>
      <c r="P235" s="31">
        <f t="shared" si="67"/>
        <v>0</v>
      </c>
      <c r="Q235" s="31">
        <f t="shared" si="67"/>
        <v>0</v>
      </c>
      <c r="R235" s="31">
        <f t="shared" si="67"/>
        <v>0</v>
      </c>
      <c r="S235" s="31">
        <f t="shared" si="67"/>
        <v>0</v>
      </c>
      <c r="T235" s="31">
        <f t="shared" si="67"/>
        <v>0</v>
      </c>
      <c r="U235" s="31">
        <f t="shared" si="67"/>
        <v>0</v>
      </c>
      <c r="V235" s="31">
        <f t="shared" si="67"/>
        <v>0</v>
      </c>
      <c r="W235" s="31">
        <f t="shared" si="67"/>
        <v>0.53950080701675884</v>
      </c>
      <c r="X235" s="31">
        <f t="shared" si="68"/>
        <v>0</v>
      </c>
      <c r="Y235" s="31">
        <f t="shared" si="68"/>
        <v>4.3465636144460681E-3</v>
      </c>
      <c r="Z235" s="31">
        <f t="shared" si="68"/>
        <v>0</v>
      </c>
      <c r="AA235" s="31">
        <f t="shared" si="68"/>
        <v>0</v>
      </c>
      <c r="AB235" s="31">
        <f t="shared" si="68"/>
        <v>0.45615262936879514</v>
      </c>
      <c r="AC235" s="31">
        <f t="shared" si="68"/>
        <v>0</v>
      </c>
      <c r="AD235" s="31">
        <f t="shared" si="68"/>
        <v>0</v>
      </c>
      <c r="AE235" s="31">
        <f t="shared" si="68"/>
        <v>0</v>
      </c>
      <c r="AF235" s="31">
        <f t="shared" si="68"/>
        <v>0</v>
      </c>
      <c r="AG235" s="31">
        <f t="shared" si="64"/>
        <v>1</v>
      </c>
    </row>
    <row r="236" spans="1:33" ht="10.5" x14ac:dyDescent="0.15">
      <c r="A236" s="1" t="s">
        <v>635</v>
      </c>
      <c r="B236" s="1" t="s">
        <v>636</v>
      </c>
      <c r="C236" s="3"/>
      <c r="D236" s="3"/>
      <c r="E236" s="3">
        <v>1841879.6314007139</v>
      </c>
      <c r="F236" s="3"/>
      <c r="G236" s="3"/>
      <c r="H236" s="3"/>
      <c r="I236" s="3"/>
      <c r="J236" s="3">
        <v>1841879.6314007139</v>
      </c>
      <c r="K236" s="26">
        <f t="shared" si="63"/>
        <v>2019</v>
      </c>
      <c r="L236" s="78"/>
      <c r="M236" s="37">
        <f t="shared" si="62"/>
        <v>880087.2</v>
      </c>
      <c r="N236" s="31">
        <f t="shared" si="67"/>
        <v>0</v>
      </c>
      <c r="O236" s="31">
        <f t="shared" si="67"/>
        <v>0</v>
      </c>
      <c r="P236" s="31">
        <f t="shared" si="67"/>
        <v>0</v>
      </c>
      <c r="Q236" s="31">
        <f t="shared" si="67"/>
        <v>0</v>
      </c>
      <c r="R236" s="31">
        <f t="shared" si="67"/>
        <v>0</v>
      </c>
      <c r="S236" s="31">
        <f t="shared" si="67"/>
        <v>0</v>
      </c>
      <c r="T236" s="31">
        <f t="shared" si="67"/>
        <v>0</v>
      </c>
      <c r="U236" s="31">
        <f t="shared" si="67"/>
        <v>0</v>
      </c>
      <c r="V236" s="31">
        <f t="shared" si="67"/>
        <v>0</v>
      </c>
      <c r="W236" s="31">
        <f t="shared" si="67"/>
        <v>0.80302042797577333</v>
      </c>
      <c r="X236" s="31">
        <f t="shared" si="68"/>
        <v>0</v>
      </c>
      <c r="Y236" s="31">
        <f t="shared" si="68"/>
        <v>0</v>
      </c>
      <c r="Z236" s="31">
        <f t="shared" si="68"/>
        <v>0</v>
      </c>
      <c r="AA236" s="31">
        <f t="shared" si="68"/>
        <v>0</v>
      </c>
      <c r="AB236" s="31">
        <f t="shared" si="68"/>
        <v>3.7904425834167359E-2</v>
      </c>
      <c r="AC236" s="31">
        <f t="shared" si="68"/>
        <v>0.15907514619005939</v>
      </c>
      <c r="AD236" s="31">
        <f t="shared" si="68"/>
        <v>0</v>
      </c>
      <c r="AE236" s="31">
        <f t="shared" si="68"/>
        <v>0</v>
      </c>
      <c r="AF236" s="31">
        <f t="shared" si="68"/>
        <v>0</v>
      </c>
      <c r="AG236" s="31">
        <f t="shared" si="64"/>
        <v>1</v>
      </c>
    </row>
    <row r="237" spans="1:33" ht="10.5" x14ac:dyDescent="0.15">
      <c r="A237" s="1" t="s">
        <v>637</v>
      </c>
      <c r="B237" s="1" t="s">
        <v>638</v>
      </c>
      <c r="C237" s="3">
        <v>3323468.1677372772</v>
      </c>
      <c r="D237" s="3"/>
      <c r="E237" s="3"/>
      <c r="F237" s="3"/>
      <c r="G237" s="3"/>
      <c r="H237" s="3"/>
      <c r="I237" s="3"/>
      <c r="J237" s="3">
        <v>3323468.1677372772</v>
      </c>
      <c r="K237" s="26">
        <f t="shared" si="63"/>
        <v>2017</v>
      </c>
      <c r="L237" s="78"/>
      <c r="M237" s="37">
        <f t="shared" si="62"/>
        <v>0</v>
      </c>
      <c r="N237" s="31">
        <f t="shared" si="67"/>
        <v>0</v>
      </c>
      <c r="O237" s="31">
        <f t="shared" si="67"/>
        <v>0</v>
      </c>
      <c r="P237" s="31">
        <f t="shared" si="67"/>
        <v>0</v>
      </c>
      <c r="Q237" s="31">
        <f t="shared" si="67"/>
        <v>0</v>
      </c>
      <c r="R237" s="31">
        <f t="shared" si="67"/>
        <v>0</v>
      </c>
      <c r="S237" s="31">
        <f t="shared" si="67"/>
        <v>0</v>
      </c>
      <c r="T237" s="31">
        <f t="shared" si="67"/>
        <v>0</v>
      </c>
      <c r="U237" s="31">
        <f t="shared" si="67"/>
        <v>0</v>
      </c>
      <c r="V237" s="31">
        <f t="shared" si="67"/>
        <v>0</v>
      </c>
      <c r="W237" s="31">
        <f t="shared" si="67"/>
        <v>1</v>
      </c>
      <c r="X237" s="31">
        <f t="shared" si="68"/>
        <v>0</v>
      </c>
      <c r="Y237" s="31">
        <f t="shared" si="68"/>
        <v>0</v>
      </c>
      <c r="Z237" s="31">
        <f t="shared" si="68"/>
        <v>0</v>
      </c>
      <c r="AA237" s="31">
        <f t="shared" si="68"/>
        <v>0</v>
      </c>
      <c r="AB237" s="31">
        <f t="shared" si="68"/>
        <v>0</v>
      </c>
      <c r="AC237" s="31">
        <f t="shared" si="68"/>
        <v>0</v>
      </c>
      <c r="AD237" s="31">
        <f t="shared" si="68"/>
        <v>0</v>
      </c>
      <c r="AE237" s="31">
        <f t="shared" si="68"/>
        <v>0</v>
      </c>
      <c r="AF237" s="31">
        <f t="shared" si="68"/>
        <v>0</v>
      </c>
      <c r="AG237" s="31">
        <f t="shared" si="64"/>
        <v>1</v>
      </c>
    </row>
    <row r="238" spans="1:33" ht="10.5" x14ac:dyDescent="0.15">
      <c r="A238" s="1" t="s">
        <v>2296</v>
      </c>
      <c r="B238" s="1" t="s">
        <v>2297</v>
      </c>
      <c r="C238" s="3"/>
      <c r="D238" s="3"/>
      <c r="E238" s="3">
        <v>7249289.8367768377</v>
      </c>
      <c r="F238" s="3"/>
      <c r="G238" s="3"/>
      <c r="H238" s="3"/>
      <c r="I238" s="3"/>
      <c r="J238" s="3">
        <v>7249289.8367768377</v>
      </c>
      <c r="K238" s="26">
        <f t="shared" si="63"/>
        <v>2019</v>
      </c>
      <c r="L238" s="78"/>
      <c r="M238" s="37">
        <f t="shared" si="62"/>
        <v>16603181.20644086</v>
      </c>
      <c r="N238" s="31">
        <f t="shared" si="67"/>
        <v>0</v>
      </c>
      <c r="O238" s="31">
        <f t="shared" si="67"/>
        <v>3.4933059742490844E-4</v>
      </c>
      <c r="P238" s="31">
        <f t="shared" si="67"/>
        <v>5.7293188165107901E-3</v>
      </c>
      <c r="Q238" s="31">
        <f t="shared" si="67"/>
        <v>0</v>
      </c>
      <c r="R238" s="31">
        <f t="shared" si="67"/>
        <v>0</v>
      </c>
      <c r="S238" s="31">
        <f t="shared" si="67"/>
        <v>2.2887180190058198E-2</v>
      </c>
      <c r="T238" s="31">
        <f t="shared" si="67"/>
        <v>0</v>
      </c>
      <c r="U238" s="31">
        <f t="shared" si="67"/>
        <v>0</v>
      </c>
      <c r="V238" s="31">
        <f t="shared" si="67"/>
        <v>0</v>
      </c>
      <c r="W238" s="31">
        <f t="shared" si="67"/>
        <v>2.3922160084433781E-2</v>
      </c>
      <c r="X238" s="31">
        <f t="shared" si="68"/>
        <v>0</v>
      </c>
      <c r="Y238" s="31">
        <f t="shared" si="68"/>
        <v>5.1179790769362542E-2</v>
      </c>
      <c r="Z238" s="31">
        <f t="shared" si="68"/>
        <v>8.5224631487493471E-3</v>
      </c>
      <c r="AA238" s="31">
        <f t="shared" si="68"/>
        <v>0</v>
      </c>
      <c r="AB238" s="31">
        <f t="shared" si="68"/>
        <v>0.88194995932970033</v>
      </c>
      <c r="AC238" s="31">
        <f t="shared" si="68"/>
        <v>9.034413232917709E-4</v>
      </c>
      <c r="AD238" s="31">
        <f t="shared" si="68"/>
        <v>4.556355740468164E-3</v>
      </c>
      <c r="AE238" s="31">
        <f t="shared" si="68"/>
        <v>0</v>
      </c>
      <c r="AF238" s="31">
        <f t="shared" si="68"/>
        <v>0</v>
      </c>
      <c r="AG238" s="31">
        <f t="shared" si="64"/>
        <v>0.99999999999999989</v>
      </c>
    </row>
    <row r="239" spans="1:33" ht="10.5" x14ac:dyDescent="0.15">
      <c r="A239" s="1" t="s">
        <v>2393</v>
      </c>
      <c r="B239" s="1" t="s">
        <v>2394</v>
      </c>
      <c r="C239" s="3"/>
      <c r="D239" s="95">
        <v>312055.67229296389</v>
      </c>
      <c r="E239" s="3"/>
      <c r="F239" s="3"/>
      <c r="G239" s="3"/>
      <c r="H239" s="3"/>
      <c r="I239" s="3"/>
      <c r="J239" s="3">
        <v>312055.67229296389</v>
      </c>
      <c r="K239" s="26">
        <f t="shared" si="63"/>
        <v>2018</v>
      </c>
      <c r="L239" s="78"/>
      <c r="M239" s="37">
        <f t="shared" si="62"/>
        <v>0</v>
      </c>
      <c r="N239" s="31">
        <f t="shared" ref="N239:W248" si="69">IF(OR(LEFT($A239,1)="E",LEFT($A239,1)="Z"),IF($M239=0,VLOOKUP(MID($A239,4,5),ProjectSplits,N$2,FALSE),IF(ISNA(VLOOKUP($A239,Estimates,N$1,FALSE)),VLOOKUP(MID($A239,4,5),ProjectSplits,N$2,FALSE),VLOOKUP($A239,Estimates,N$1,FALSE))),0)</f>
        <v>0</v>
      </c>
      <c r="O239" s="31">
        <f t="shared" si="69"/>
        <v>0</v>
      </c>
      <c r="P239" s="31">
        <f t="shared" si="69"/>
        <v>0</v>
      </c>
      <c r="Q239" s="31">
        <f t="shared" si="69"/>
        <v>0</v>
      </c>
      <c r="R239" s="31">
        <f t="shared" si="69"/>
        <v>0</v>
      </c>
      <c r="S239" s="31">
        <f t="shared" si="69"/>
        <v>0</v>
      </c>
      <c r="T239" s="31">
        <f t="shared" si="69"/>
        <v>0</v>
      </c>
      <c r="U239" s="31">
        <f t="shared" si="69"/>
        <v>1</v>
      </c>
      <c r="V239" s="31">
        <f t="shared" si="69"/>
        <v>0</v>
      </c>
      <c r="W239" s="31">
        <f t="shared" si="69"/>
        <v>0</v>
      </c>
      <c r="X239" s="31">
        <f t="shared" ref="X239:AF248" si="70">IF(OR(LEFT($A239,1)="E",LEFT($A239,1)="Z"),IF($M239=0,VLOOKUP(MID($A239,4,5),ProjectSplits,X$2,FALSE),IF(ISNA(VLOOKUP($A239,Estimates,X$1,FALSE)),VLOOKUP(MID($A239,4,5),ProjectSplits,X$2,FALSE),VLOOKUP($A239,Estimates,X$1,FALSE))),0)</f>
        <v>0</v>
      </c>
      <c r="Y239" s="31">
        <f t="shared" si="70"/>
        <v>0</v>
      </c>
      <c r="Z239" s="31">
        <f t="shared" si="70"/>
        <v>0</v>
      </c>
      <c r="AA239" s="31">
        <f t="shared" si="70"/>
        <v>0</v>
      </c>
      <c r="AB239" s="31">
        <f t="shared" si="70"/>
        <v>0</v>
      </c>
      <c r="AC239" s="31">
        <f t="shared" si="70"/>
        <v>0</v>
      </c>
      <c r="AD239" s="31">
        <f t="shared" si="70"/>
        <v>0</v>
      </c>
      <c r="AE239" s="31">
        <f t="shared" si="70"/>
        <v>0</v>
      </c>
      <c r="AF239" s="31">
        <f t="shared" si="70"/>
        <v>0</v>
      </c>
      <c r="AG239" s="31">
        <f t="shared" si="64"/>
        <v>1</v>
      </c>
    </row>
    <row r="240" spans="1:33" ht="10.5" x14ac:dyDescent="0.15">
      <c r="A240" s="1" t="s">
        <v>2395</v>
      </c>
      <c r="B240" s="1" t="s">
        <v>2396</v>
      </c>
      <c r="C240" s="3"/>
      <c r="D240" s="3">
        <v>757419.17735196534</v>
      </c>
      <c r="E240" s="3"/>
      <c r="F240" s="3"/>
      <c r="G240" s="3"/>
      <c r="H240" s="3"/>
      <c r="I240" s="3"/>
      <c r="J240" s="3">
        <v>757419.17735196534</v>
      </c>
      <c r="K240" s="26">
        <f t="shared" si="63"/>
        <v>2018</v>
      </c>
      <c r="L240" s="78"/>
      <c r="M240" s="37">
        <f t="shared" si="62"/>
        <v>0</v>
      </c>
      <c r="N240" s="31">
        <f t="shared" si="69"/>
        <v>0.5</v>
      </c>
      <c r="O240" s="31">
        <f t="shared" si="69"/>
        <v>0</v>
      </c>
      <c r="P240" s="31">
        <f t="shared" si="69"/>
        <v>0</v>
      </c>
      <c r="Q240" s="31">
        <f t="shared" si="69"/>
        <v>0</v>
      </c>
      <c r="R240" s="31">
        <f t="shared" si="69"/>
        <v>0</v>
      </c>
      <c r="S240" s="31">
        <f t="shared" si="69"/>
        <v>0</v>
      </c>
      <c r="T240" s="31">
        <f t="shared" si="69"/>
        <v>0</v>
      </c>
      <c r="U240" s="31">
        <f t="shared" si="69"/>
        <v>0.5</v>
      </c>
      <c r="V240" s="31">
        <f t="shared" si="69"/>
        <v>0</v>
      </c>
      <c r="W240" s="31">
        <f t="shared" si="69"/>
        <v>0</v>
      </c>
      <c r="X240" s="31">
        <f t="shared" si="70"/>
        <v>0</v>
      </c>
      <c r="Y240" s="31">
        <f t="shared" si="70"/>
        <v>0</v>
      </c>
      <c r="Z240" s="31">
        <f t="shared" si="70"/>
        <v>0</v>
      </c>
      <c r="AA240" s="31">
        <f t="shared" si="70"/>
        <v>0</v>
      </c>
      <c r="AB240" s="31">
        <f t="shared" si="70"/>
        <v>0</v>
      </c>
      <c r="AC240" s="31">
        <f t="shared" si="70"/>
        <v>0</v>
      </c>
      <c r="AD240" s="31">
        <f t="shared" si="70"/>
        <v>0</v>
      </c>
      <c r="AE240" s="31">
        <f t="shared" si="70"/>
        <v>0</v>
      </c>
      <c r="AF240" s="31">
        <f t="shared" si="70"/>
        <v>0</v>
      </c>
      <c r="AG240" s="31">
        <f t="shared" si="64"/>
        <v>1</v>
      </c>
    </row>
    <row r="241" spans="1:33" ht="10.5" x14ac:dyDescent="0.15">
      <c r="A241" s="1" t="s">
        <v>2397</v>
      </c>
      <c r="B241" s="1" t="s">
        <v>2398</v>
      </c>
      <c r="C241" s="3"/>
      <c r="D241" s="3"/>
      <c r="E241" s="3"/>
      <c r="F241" s="3"/>
      <c r="G241" s="3"/>
      <c r="H241" s="3">
        <v>38680024.123378761</v>
      </c>
      <c r="I241" s="3"/>
      <c r="J241" s="3">
        <v>38680024.123378761</v>
      </c>
      <c r="K241" s="26">
        <f t="shared" si="63"/>
        <v>2022</v>
      </c>
      <c r="L241" s="78"/>
      <c r="M241" s="37">
        <f t="shared" si="62"/>
        <v>27344228.40151</v>
      </c>
      <c r="N241" s="31">
        <f t="shared" si="69"/>
        <v>0</v>
      </c>
      <c r="O241" s="31">
        <f t="shared" si="69"/>
        <v>0</v>
      </c>
      <c r="P241" s="31">
        <f t="shared" si="69"/>
        <v>0</v>
      </c>
      <c r="Q241" s="31">
        <f t="shared" si="69"/>
        <v>0</v>
      </c>
      <c r="R241" s="31">
        <f t="shared" si="69"/>
        <v>0</v>
      </c>
      <c r="S241" s="31">
        <f t="shared" si="69"/>
        <v>0</v>
      </c>
      <c r="T241" s="31">
        <f t="shared" si="69"/>
        <v>0</v>
      </c>
      <c r="U241" s="31">
        <f t="shared" si="69"/>
        <v>0</v>
      </c>
      <c r="V241" s="31">
        <f t="shared" si="69"/>
        <v>0</v>
      </c>
      <c r="W241" s="31">
        <f t="shared" si="69"/>
        <v>0</v>
      </c>
      <c r="X241" s="31">
        <f t="shared" si="70"/>
        <v>0</v>
      </c>
      <c r="Y241" s="31">
        <f t="shared" si="70"/>
        <v>0</v>
      </c>
      <c r="Z241" s="31">
        <f t="shared" si="70"/>
        <v>0</v>
      </c>
      <c r="AA241" s="31">
        <f t="shared" si="70"/>
        <v>0</v>
      </c>
      <c r="AB241" s="31">
        <f t="shared" si="70"/>
        <v>0</v>
      </c>
      <c r="AC241" s="31">
        <f t="shared" si="70"/>
        <v>0</v>
      </c>
      <c r="AD241" s="31">
        <f t="shared" si="70"/>
        <v>0</v>
      </c>
      <c r="AE241" s="31">
        <f t="shared" si="70"/>
        <v>0</v>
      </c>
      <c r="AF241" s="31">
        <f t="shared" si="70"/>
        <v>1</v>
      </c>
      <c r="AG241" s="31">
        <f t="shared" si="64"/>
        <v>1</v>
      </c>
    </row>
    <row r="242" spans="1:33" ht="10.5" x14ac:dyDescent="0.15">
      <c r="A242" s="1" t="s">
        <v>2399</v>
      </c>
      <c r="B242" s="1" t="s">
        <v>2400</v>
      </c>
      <c r="C242" s="3"/>
      <c r="D242" s="3"/>
      <c r="E242" s="3"/>
      <c r="F242" s="3"/>
      <c r="G242" s="3"/>
      <c r="H242" s="3"/>
      <c r="I242" s="3">
        <v>42431160.212126441</v>
      </c>
      <c r="J242" s="3">
        <v>42431160.212126441</v>
      </c>
      <c r="K242" s="26">
        <f t="shared" si="63"/>
        <v>2023</v>
      </c>
      <c r="L242" s="78"/>
      <c r="M242" s="37">
        <f t="shared" si="62"/>
        <v>29930532.46751</v>
      </c>
      <c r="N242" s="31">
        <f t="shared" si="69"/>
        <v>0</v>
      </c>
      <c r="O242" s="31">
        <f t="shared" si="69"/>
        <v>0</v>
      </c>
      <c r="P242" s="31">
        <f t="shared" si="69"/>
        <v>0</v>
      </c>
      <c r="Q242" s="31">
        <f t="shared" si="69"/>
        <v>0</v>
      </c>
      <c r="R242" s="31">
        <f t="shared" si="69"/>
        <v>0</v>
      </c>
      <c r="S242" s="31">
        <f t="shared" si="69"/>
        <v>0</v>
      </c>
      <c r="T242" s="31">
        <f t="shared" si="69"/>
        <v>0</v>
      </c>
      <c r="U242" s="31">
        <f t="shared" si="69"/>
        <v>0</v>
      </c>
      <c r="V242" s="31">
        <f t="shared" si="69"/>
        <v>0</v>
      </c>
      <c r="W242" s="31">
        <f t="shared" si="69"/>
        <v>0</v>
      </c>
      <c r="X242" s="31">
        <f t="shared" si="70"/>
        <v>0</v>
      </c>
      <c r="Y242" s="31">
        <f t="shared" si="70"/>
        <v>0</v>
      </c>
      <c r="Z242" s="31">
        <f t="shared" si="70"/>
        <v>0</v>
      </c>
      <c r="AA242" s="31">
        <f t="shared" si="70"/>
        <v>0</v>
      </c>
      <c r="AB242" s="31">
        <f t="shared" si="70"/>
        <v>0</v>
      </c>
      <c r="AC242" s="31">
        <f t="shared" si="70"/>
        <v>0</v>
      </c>
      <c r="AD242" s="31">
        <f t="shared" si="70"/>
        <v>0</v>
      </c>
      <c r="AE242" s="31">
        <f t="shared" si="70"/>
        <v>0</v>
      </c>
      <c r="AF242" s="31">
        <f t="shared" si="70"/>
        <v>1</v>
      </c>
      <c r="AG242" s="31">
        <f t="shared" si="64"/>
        <v>1</v>
      </c>
    </row>
    <row r="243" spans="1:33" ht="10.5" x14ac:dyDescent="0.15">
      <c r="A243" s="1" t="s">
        <v>1097</v>
      </c>
      <c r="B243" s="1" t="s">
        <v>2403</v>
      </c>
      <c r="C243" s="3">
        <v>185471.46</v>
      </c>
      <c r="D243" s="3"/>
      <c r="E243" s="3"/>
      <c r="F243" s="3"/>
      <c r="G243" s="3"/>
      <c r="H243" s="3"/>
      <c r="I243" s="3"/>
      <c r="J243" s="3">
        <v>185471.46</v>
      </c>
      <c r="K243" s="26">
        <f t="shared" si="63"/>
        <v>2017</v>
      </c>
      <c r="L243" s="78"/>
      <c r="M243" s="37">
        <f t="shared" si="62"/>
        <v>0</v>
      </c>
      <c r="N243" s="31">
        <f t="shared" si="69"/>
        <v>0.3</v>
      </c>
      <c r="O243" s="31">
        <f t="shared" si="69"/>
        <v>0</v>
      </c>
      <c r="P243" s="31">
        <f t="shared" si="69"/>
        <v>0</v>
      </c>
      <c r="Q243" s="31">
        <f t="shared" si="69"/>
        <v>0</v>
      </c>
      <c r="R243" s="31">
        <f t="shared" si="69"/>
        <v>0</v>
      </c>
      <c r="S243" s="31">
        <f t="shared" si="69"/>
        <v>0</v>
      </c>
      <c r="T243" s="31">
        <f t="shared" si="69"/>
        <v>0</v>
      </c>
      <c r="U243" s="31">
        <f t="shared" si="69"/>
        <v>0.7</v>
      </c>
      <c r="V243" s="31">
        <f t="shared" si="69"/>
        <v>0</v>
      </c>
      <c r="W243" s="31">
        <f t="shared" si="69"/>
        <v>0</v>
      </c>
      <c r="X243" s="31">
        <f t="shared" si="70"/>
        <v>0</v>
      </c>
      <c r="Y243" s="31">
        <f t="shared" si="70"/>
        <v>0</v>
      </c>
      <c r="Z243" s="31">
        <f t="shared" si="70"/>
        <v>0</v>
      </c>
      <c r="AA243" s="31">
        <f t="shared" si="70"/>
        <v>0</v>
      </c>
      <c r="AB243" s="31">
        <f t="shared" si="70"/>
        <v>0</v>
      </c>
      <c r="AC243" s="31">
        <f t="shared" si="70"/>
        <v>0</v>
      </c>
      <c r="AD243" s="31">
        <f t="shared" si="70"/>
        <v>0</v>
      </c>
      <c r="AE243" s="31">
        <f t="shared" si="70"/>
        <v>0</v>
      </c>
      <c r="AF243" s="31">
        <f t="shared" si="70"/>
        <v>0</v>
      </c>
      <c r="AG243" s="31">
        <f t="shared" si="64"/>
        <v>1</v>
      </c>
    </row>
    <row r="244" spans="1:33" ht="10.5" x14ac:dyDescent="0.15">
      <c r="A244" s="1" t="s">
        <v>2413</v>
      </c>
      <c r="B244" s="1" t="s">
        <v>2298</v>
      </c>
      <c r="C244" s="3"/>
      <c r="D244" s="3"/>
      <c r="E244" s="3">
        <v>136908.81176098005</v>
      </c>
      <c r="F244" s="3"/>
      <c r="G244" s="3"/>
      <c r="H244" s="3"/>
      <c r="I244" s="3"/>
      <c r="J244" s="3">
        <v>136908.81176098005</v>
      </c>
      <c r="K244" s="26">
        <f t="shared" si="63"/>
        <v>2019</v>
      </c>
      <c r="L244" s="78"/>
      <c r="M244" s="37">
        <f t="shared" si="62"/>
        <v>24999.999999999996</v>
      </c>
      <c r="N244" s="31">
        <f t="shared" si="69"/>
        <v>0</v>
      </c>
      <c r="O244" s="31">
        <f t="shared" si="69"/>
        <v>0</v>
      </c>
      <c r="P244" s="31">
        <f t="shared" si="69"/>
        <v>0</v>
      </c>
      <c r="Q244" s="31">
        <f t="shared" si="69"/>
        <v>0</v>
      </c>
      <c r="R244" s="31">
        <f t="shared" si="69"/>
        <v>0</v>
      </c>
      <c r="S244" s="31">
        <f t="shared" si="69"/>
        <v>0</v>
      </c>
      <c r="T244" s="31">
        <f t="shared" si="69"/>
        <v>0</v>
      </c>
      <c r="U244" s="31">
        <f t="shared" si="69"/>
        <v>0</v>
      </c>
      <c r="V244" s="31">
        <f t="shared" si="69"/>
        <v>0</v>
      </c>
      <c r="W244" s="31">
        <f t="shared" si="69"/>
        <v>0</v>
      </c>
      <c r="X244" s="31">
        <f t="shared" si="70"/>
        <v>0</v>
      </c>
      <c r="Y244" s="31">
        <f t="shared" si="70"/>
        <v>0</v>
      </c>
      <c r="Z244" s="31">
        <f t="shared" si="70"/>
        <v>0</v>
      </c>
      <c r="AA244" s="31">
        <f t="shared" si="70"/>
        <v>0</v>
      </c>
      <c r="AB244" s="31">
        <f t="shared" si="70"/>
        <v>0</v>
      </c>
      <c r="AC244" s="31">
        <f t="shared" si="70"/>
        <v>1</v>
      </c>
      <c r="AD244" s="31">
        <f t="shared" si="70"/>
        <v>0</v>
      </c>
      <c r="AE244" s="31">
        <f t="shared" si="70"/>
        <v>0</v>
      </c>
      <c r="AF244" s="31">
        <f t="shared" si="70"/>
        <v>0</v>
      </c>
      <c r="AG244" s="31">
        <f t="shared" si="64"/>
        <v>1</v>
      </c>
    </row>
    <row r="245" spans="1:33" ht="10.5" x14ac:dyDescent="0.15">
      <c r="A245" s="1" t="s">
        <v>2418</v>
      </c>
      <c r="B245" s="1" t="s">
        <v>2419</v>
      </c>
      <c r="C245" s="3"/>
      <c r="D245" s="3">
        <v>513920.89997383609</v>
      </c>
      <c r="E245" s="3"/>
      <c r="F245" s="3"/>
      <c r="G245" s="3"/>
      <c r="H245" s="3"/>
      <c r="I245" s="3"/>
      <c r="J245" s="3">
        <v>513920.89997383609</v>
      </c>
      <c r="K245" s="26">
        <f t="shared" si="63"/>
        <v>2018</v>
      </c>
      <c r="L245" s="78"/>
      <c r="M245" s="37">
        <f t="shared" si="62"/>
        <v>334426.19891999988</v>
      </c>
      <c r="N245" s="31">
        <f t="shared" si="69"/>
        <v>0</v>
      </c>
      <c r="O245" s="31">
        <f t="shared" si="69"/>
        <v>0</v>
      </c>
      <c r="P245" s="31">
        <f t="shared" si="69"/>
        <v>0</v>
      </c>
      <c r="Q245" s="31">
        <f t="shared" si="69"/>
        <v>0</v>
      </c>
      <c r="R245" s="31">
        <f t="shared" si="69"/>
        <v>0</v>
      </c>
      <c r="S245" s="31">
        <f t="shared" si="69"/>
        <v>0</v>
      </c>
      <c r="T245" s="31">
        <f t="shared" si="69"/>
        <v>0</v>
      </c>
      <c r="U245" s="31">
        <f t="shared" si="69"/>
        <v>0</v>
      </c>
      <c r="V245" s="31">
        <f t="shared" si="69"/>
        <v>0</v>
      </c>
      <c r="W245" s="31">
        <f t="shared" si="69"/>
        <v>0.93649720330350006</v>
      </c>
      <c r="X245" s="31">
        <f t="shared" si="70"/>
        <v>0</v>
      </c>
      <c r="Y245" s="31">
        <f t="shared" si="70"/>
        <v>6.3502796696499927E-2</v>
      </c>
      <c r="Z245" s="31">
        <f t="shared" si="70"/>
        <v>0</v>
      </c>
      <c r="AA245" s="31">
        <f t="shared" si="70"/>
        <v>0</v>
      </c>
      <c r="AB245" s="31">
        <f t="shared" si="70"/>
        <v>0</v>
      </c>
      <c r="AC245" s="31">
        <f t="shared" si="70"/>
        <v>0</v>
      </c>
      <c r="AD245" s="31">
        <f t="shared" si="70"/>
        <v>0</v>
      </c>
      <c r="AE245" s="31">
        <f t="shared" si="70"/>
        <v>0</v>
      </c>
      <c r="AF245" s="31">
        <f t="shared" si="70"/>
        <v>0</v>
      </c>
      <c r="AG245" s="31">
        <f t="shared" si="64"/>
        <v>1</v>
      </c>
    </row>
    <row r="246" spans="1:33" ht="10.5" x14ac:dyDescent="0.15">
      <c r="A246" s="1" t="s">
        <v>2421</v>
      </c>
      <c r="B246" s="1" t="s">
        <v>2422</v>
      </c>
      <c r="C246" s="3"/>
      <c r="D246" s="3"/>
      <c r="E246" s="3"/>
      <c r="F246" s="3"/>
      <c r="G246" s="3"/>
      <c r="H246" s="3"/>
      <c r="I246" s="3">
        <v>2805458.6469132463</v>
      </c>
      <c r="J246" s="3">
        <v>2805458.6469132463</v>
      </c>
      <c r="K246" s="26">
        <f t="shared" si="63"/>
        <v>2023</v>
      </c>
      <c r="L246" s="78"/>
      <c r="M246" s="37">
        <f t="shared" si="62"/>
        <v>1459312.3068159986</v>
      </c>
      <c r="N246" s="31">
        <f t="shared" si="69"/>
        <v>0</v>
      </c>
      <c r="O246" s="31">
        <f t="shared" si="69"/>
        <v>0</v>
      </c>
      <c r="P246" s="31">
        <f t="shared" si="69"/>
        <v>0</v>
      </c>
      <c r="Q246" s="31">
        <f t="shared" si="69"/>
        <v>0</v>
      </c>
      <c r="R246" s="31">
        <f t="shared" si="69"/>
        <v>0</v>
      </c>
      <c r="S246" s="31">
        <f t="shared" si="69"/>
        <v>0</v>
      </c>
      <c r="T246" s="31">
        <f t="shared" si="69"/>
        <v>0</v>
      </c>
      <c r="U246" s="31">
        <f t="shared" si="69"/>
        <v>0</v>
      </c>
      <c r="V246" s="31">
        <f t="shared" si="69"/>
        <v>0</v>
      </c>
      <c r="W246" s="31">
        <f t="shared" si="69"/>
        <v>1</v>
      </c>
      <c r="X246" s="31">
        <f t="shared" si="70"/>
        <v>0</v>
      </c>
      <c r="Y246" s="31">
        <f t="shared" si="70"/>
        <v>0</v>
      </c>
      <c r="Z246" s="31">
        <f t="shared" si="70"/>
        <v>0</v>
      </c>
      <c r="AA246" s="31">
        <f t="shared" si="70"/>
        <v>0</v>
      </c>
      <c r="AB246" s="31">
        <f t="shared" si="70"/>
        <v>0</v>
      </c>
      <c r="AC246" s="31">
        <f t="shared" si="70"/>
        <v>0</v>
      </c>
      <c r="AD246" s="31">
        <f t="shared" si="70"/>
        <v>0</v>
      </c>
      <c r="AE246" s="31">
        <f t="shared" si="70"/>
        <v>0</v>
      </c>
      <c r="AF246" s="31">
        <f t="shared" si="70"/>
        <v>0</v>
      </c>
      <c r="AG246" s="31">
        <f t="shared" si="64"/>
        <v>1</v>
      </c>
    </row>
    <row r="247" spans="1:33" ht="10.5" x14ac:dyDescent="0.15">
      <c r="A247" s="1" t="s">
        <v>2423</v>
      </c>
      <c r="B247" s="1" t="s">
        <v>2424</v>
      </c>
      <c r="C247" s="3"/>
      <c r="D247" s="3">
        <v>3844908.7704843967</v>
      </c>
      <c r="E247" s="3"/>
      <c r="F247" s="3"/>
      <c r="G247" s="3"/>
      <c r="H247" s="3"/>
      <c r="I247" s="3"/>
      <c r="J247" s="3">
        <v>3844908.7704843967</v>
      </c>
      <c r="K247" s="26">
        <f t="shared" si="63"/>
        <v>2018</v>
      </c>
      <c r="L247" s="78"/>
      <c r="M247" s="37">
        <f t="shared" si="62"/>
        <v>3398556.7399999956</v>
      </c>
      <c r="N247" s="31">
        <f t="shared" si="69"/>
        <v>0</v>
      </c>
      <c r="O247" s="31">
        <f t="shared" si="69"/>
        <v>0</v>
      </c>
      <c r="P247" s="31">
        <f t="shared" si="69"/>
        <v>0</v>
      </c>
      <c r="Q247" s="31">
        <f t="shared" si="69"/>
        <v>0</v>
      </c>
      <c r="R247" s="31">
        <f t="shared" si="69"/>
        <v>0</v>
      </c>
      <c r="S247" s="31">
        <f t="shared" si="69"/>
        <v>0</v>
      </c>
      <c r="T247" s="31">
        <f t="shared" si="69"/>
        <v>0</v>
      </c>
      <c r="U247" s="31">
        <f t="shared" si="69"/>
        <v>0</v>
      </c>
      <c r="V247" s="31">
        <f t="shared" si="69"/>
        <v>0</v>
      </c>
      <c r="W247" s="31">
        <f t="shared" si="69"/>
        <v>0</v>
      </c>
      <c r="X247" s="31">
        <f t="shared" si="70"/>
        <v>0</v>
      </c>
      <c r="Y247" s="31">
        <f t="shared" si="70"/>
        <v>0</v>
      </c>
      <c r="Z247" s="31">
        <f t="shared" si="70"/>
        <v>0</v>
      </c>
      <c r="AA247" s="31">
        <f t="shared" si="70"/>
        <v>0</v>
      </c>
      <c r="AB247" s="31">
        <f t="shared" si="70"/>
        <v>0</v>
      </c>
      <c r="AC247" s="31">
        <f t="shared" si="70"/>
        <v>1</v>
      </c>
      <c r="AD247" s="31">
        <f t="shared" si="70"/>
        <v>0</v>
      </c>
      <c r="AE247" s="31">
        <f t="shared" si="70"/>
        <v>0</v>
      </c>
      <c r="AF247" s="31">
        <f t="shared" si="70"/>
        <v>0</v>
      </c>
      <c r="AG247" s="31">
        <f t="shared" si="64"/>
        <v>1</v>
      </c>
    </row>
    <row r="248" spans="1:33" ht="10.5" x14ac:dyDescent="0.15">
      <c r="A248" s="1" t="s">
        <v>2425</v>
      </c>
      <c r="B248" s="1" t="s">
        <v>2426</v>
      </c>
      <c r="C248" s="3">
        <v>665310.46524195711</v>
      </c>
      <c r="D248" s="3"/>
      <c r="E248" s="3"/>
      <c r="F248" s="3"/>
      <c r="G248" s="3"/>
      <c r="H248" s="3"/>
      <c r="I248" s="3"/>
      <c r="J248" s="3">
        <v>665310.46524195711</v>
      </c>
      <c r="K248" s="26">
        <f t="shared" si="63"/>
        <v>2017</v>
      </c>
      <c r="L248" s="78"/>
      <c r="M248" s="37">
        <f t="shared" si="62"/>
        <v>0</v>
      </c>
      <c r="N248" s="31">
        <f t="shared" si="69"/>
        <v>0</v>
      </c>
      <c r="O248" s="31">
        <f t="shared" si="69"/>
        <v>0</v>
      </c>
      <c r="P248" s="31">
        <f t="shared" si="69"/>
        <v>0</v>
      </c>
      <c r="Q248" s="31">
        <f t="shared" si="69"/>
        <v>0</v>
      </c>
      <c r="R248" s="31">
        <f t="shared" si="69"/>
        <v>0</v>
      </c>
      <c r="S248" s="31">
        <f t="shared" si="69"/>
        <v>0</v>
      </c>
      <c r="T248" s="31">
        <f t="shared" si="69"/>
        <v>0</v>
      </c>
      <c r="U248" s="31">
        <f t="shared" si="69"/>
        <v>1</v>
      </c>
      <c r="V248" s="31">
        <f t="shared" si="69"/>
        <v>0</v>
      </c>
      <c r="W248" s="31">
        <f t="shared" si="69"/>
        <v>0</v>
      </c>
      <c r="X248" s="31">
        <f t="shared" si="70"/>
        <v>0</v>
      </c>
      <c r="Y248" s="31">
        <f t="shared" si="70"/>
        <v>0</v>
      </c>
      <c r="Z248" s="31">
        <f t="shared" si="70"/>
        <v>0</v>
      </c>
      <c r="AA248" s="31">
        <f t="shared" si="70"/>
        <v>0</v>
      </c>
      <c r="AB248" s="31">
        <f t="shared" si="70"/>
        <v>0</v>
      </c>
      <c r="AC248" s="31">
        <f t="shared" si="70"/>
        <v>0</v>
      </c>
      <c r="AD248" s="31">
        <f t="shared" si="70"/>
        <v>0</v>
      </c>
      <c r="AE248" s="31">
        <f t="shared" si="70"/>
        <v>0</v>
      </c>
      <c r="AF248" s="31">
        <f t="shared" si="70"/>
        <v>0</v>
      </c>
      <c r="AG248" s="31">
        <f t="shared" si="64"/>
        <v>1</v>
      </c>
    </row>
    <row r="249" spans="1:33" ht="10.5" x14ac:dyDescent="0.15">
      <c r="A249" s="1" t="s">
        <v>2427</v>
      </c>
      <c r="B249" s="1" t="s">
        <v>2428</v>
      </c>
      <c r="C249" s="3"/>
      <c r="D249" s="3"/>
      <c r="E249" s="3"/>
      <c r="F249" s="3"/>
      <c r="G249" s="3"/>
      <c r="H249" s="3">
        <v>4098432.1612692988</v>
      </c>
      <c r="I249" s="3"/>
      <c r="J249" s="3">
        <v>4098432.1612692988</v>
      </c>
      <c r="K249" s="26">
        <f t="shared" si="63"/>
        <v>2022</v>
      </c>
      <c r="L249" s="78"/>
      <c r="M249" s="37">
        <f t="shared" si="62"/>
        <v>1999024.1811125001</v>
      </c>
      <c r="N249" s="31">
        <f t="shared" ref="N249:W258" si="71">IF(OR(LEFT($A249,1)="E",LEFT($A249,1)="Z"),IF($M249=0,VLOOKUP(MID($A249,4,5),ProjectSplits,N$2,FALSE),IF(ISNA(VLOOKUP($A249,Estimates,N$1,FALSE)),VLOOKUP(MID($A249,4,5),ProjectSplits,N$2,FALSE),VLOOKUP($A249,Estimates,N$1,FALSE))),0)</f>
        <v>0</v>
      </c>
      <c r="O249" s="31">
        <f t="shared" si="71"/>
        <v>0.56420380507469547</v>
      </c>
      <c r="P249" s="31">
        <f t="shared" si="71"/>
        <v>0.40690709966665639</v>
      </c>
      <c r="Q249" s="31">
        <f t="shared" si="71"/>
        <v>0</v>
      </c>
      <c r="R249" s="31">
        <f t="shared" si="71"/>
        <v>0</v>
      </c>
      <c r="S249" s="31">
        <f t="shared" si="71"/>
        <v>0</v>
      </c>
      <c r="T249" s="31">
        <f t="shared" si="71"/>
        <v>0</v>
      </c>
      <c r="U249" s="31">
        <f t="shared" si="71"/>
        <v>0</v>
      </c>
      <c r="V249" s="31">
        <f t="shared" si="71"/>
        <v>0</v>
      </c>
      <c r="W249" s="31">
        <f t="shared" si="71"/>
        <v>0</v>
      </c>
      <c r="X249" s="31">
        <f t="shared" ref="X249:AF258" si="72">IF(OR(LEFT($A249,1)="E",LEFT($A249,1)="Z"),IF($M249=0,VLOOKUP(MID($A249,4,5),ProjectSplits,X$2,FALSE),IF(ISNA(VLOOKUP($A249,Estimates,X$1,FALSE)),VLOOKUP(MID($A249,4,5),ProjectSplits,X$2,FALSE),VLOOKUP($A249,Estimates,X$1,FALSE))),0)</f>
        <v>0</v>
      </c>
      <c r="Y249" s="31">
        <f t="shared" si="72"/>
        <v>0</v>
      </c>
      <c r="Z249" s="31">
        <f t="shared" si="72"/>
        <v>2.8889095258648089E-2</v>
      </c>
      <c r="AA249" s="31">
        <f t="shared" si="72"/>
        <v>0</v>
      </c>
      <c r="AB249" s="31">
        <f t="shared" si="72"/>
        <v>0</v>
      </c>
      <c r="AC249" s="31">
        <f t="shared" si="72"/>
        <v>0</v>
      </c>
      <c r="AD249" s="31">
        <f t="shared" si="72"/>
        <v>0</v>
      </c>
      <c r="AE249" s="31">
        <f t="shared" si="72"/>
        <v>0</v>
      </c>
      <c r="AF249" s="31">
        <f t="shared" si="72"/>
        <v>0</v>
      </c>
      <c r="AG249" s="31">
        <f t="shared" si="64"/>
        <v>1</v>
      </c>
    </row>
    <row r="250" spans="1:33" ht="10.5" x14ac:dyDescent="0.15">
      <c r="A250" s="1" t="s">
        <v>2431</v>
      </c>
      <c r="B250" s="1" t="s">
        <v>2432</v>
      </c>
      <c r="C250" s="3"/>
      <c r="D250" s="3"/>
      <c r="E250" s="3"/>
      <c r="F250" s="3"/>
      <c r="G250" s="3"/>
      <c r="H250" s="3">
        <v>4860309.0018645395</v>
      </c>
      <c r="I250" s="3"/>
      <c r="J250" s="3">
        <v>4860309.0018645395</v>
      </c>
      <c r="K250" s="26">
        <f t="shared" si="63"/>
        <v>2022</v>
      </c>
      <c r="L250" s="78"/>
      <c r="M250" s="37">
        <f t="shared" si="62"/>
        <v>3205211.0000000005</v>
      </c>
      <c r="N250" s="31">
        <f t="shared" si="71"/>
        <v>0</v>
      </c>
      <c r="O250" s="31">
        <f t="shared" si="71"/>
        <v>0</v>
      </c>
      <c r="P250" s="31">
        <f t="shared" si="71"/>
        <v>0</v>
      </c>
      <c r="Q250" s="31">
        <f t="shared" si="71"/>
        <v>0</v>
      </c>
      <c r="R250" s="31">
        <f t="shared" si="71"/>
        <v>0</v>
      </c>
      <c r="S250" s="31">
        <f t="shared" si="71"/>
        <v>0</v>
      </c>
      <c r="T250" s="31">
        <f t="shared" si="71"/>
        <v>0</v>
      </c>
      <c r="U250" s="31">
        <f t="shared" si="71"/>
        <v>0</v>
      </c>
      <c r="V250" s="31">
        <f t="shared" si="71"/>
        <v>0</v>
      </c>
      <c r="W250" s="31">
        <f t="shared" si="71"/>
        <v>4.4178058792385269E-3</v>
      </c>
      <c r="X250" s="31">
        <f t="shared" si="72"/>
        <v>0</v>
      </c>
      <c r="Y250" s="31">
        <f t="shared" si="72"/>
        <v>1.8719516437451386E-2</v>
      </c>
      <c r="Z250" s="31">
        <f t="shared" si="72"/>
        <v>0</v>
      </c>
      <c r="AA250" s="31">
        <f t="shared" si="72"/>
        <v>0</v>
      </c>
      <c r="AB250" s="31">
        <f t="shared" si="72"/>
        <v>0.97686267768331014</v>
      </c>
      <c r="AC250" s="31">
        <f t="shared" si="72"/>
        <v>0</v>
      </c>
      <c r="AD250" s="31">
        <f t="shared" si="72"/>
        <v>0</v>
      </c>
      <c r="AE250" s="31">
        <f t="shared" si="72"/>
        <v>0</v>
      </c>
      <c r="AF250" s="31">
        <f t="shared" si="72"/>
        <v>0</v>
      </c>
      <c r="AG250" s="31">
        <f t="shared" si="64"/>
        <v>1</v>
      </c>
    </row>
    <row r="251" spans="1:33" ht="10.5" x14ac:dyDescent="0.15">
      <c r="A251" s="1" t="s">
        <v>2433</v>
      </c>
      <c r="B251" s="1" t="s">
        <v>2434</v>
      </c>
      <c r="C251" s="3">
        <v>53395.19</v>
      </c>
      <c r="D251" s="3"/>
      <c r="E251" s="3"/>
      <c r="F251" s="3"/>
      <c r="G251" s="3"/>
      <c r="H251" s="3"/>
      <c r="I251" s="3"/>
      <c r="J251" s="3">
        <v>53395.19</v>
      </c>
      <c r="K251" s="26">
        <f t="shared" si="63"/>
        <v>2017</v>
      </c>
      <c r="L251" s="78"/>
      <c r="M251" s="37">
        <f t="shared" si="62"/>
        <v>0</v>
      </c>
      <c r="N251" s="31">
        <f t="shared" si="71"/>
        <v>0</v>
      </c>
      <c r="O251" s="31">
        <f t="shared" si="71"/>
        <v>0</v>
      </c>
      <c r="P251" s="31">
        <f t="shared" si="71"/>
        <v>0</v>
      </c>
      <c r="Q251" s="31">
        <f t="shared" si="71"/>
        <v>0</v>
      </c>
      <c r="R251" s="31">
        <f t="shared" si="71"/>
        <v>0</v>
      </c>
      <c r="S251" s="31">
        <f t="shared" si="71"/>
        <v>0</v>
      </c>
      <c r="T251" s="31">
        <f t="shared" si="71"/>
        <v>0</v>
      </c>
      <c r="U251" s="31">
        <f t="shared" si="71"/>
        <v>1</v>
      </c>
      <c r="V251" s="31">
        <f t="shared" si="71"/>
        <v>0</v>
      </c>
      <c r="W251" s="31">
        <f t="shared" si="71"/>
        <v>0</v>
      </c>
      <c r="X251" s="31">
        <f t="shared" si="72"/>
        <v>0</v>
      </c>
      <c r="Y251" s="31">
        <f t="shared" si="72"/>
        <v>0</v>
      </c>
      <c r="Z251" s="31">
        <f t="shared" si="72"/>
        <v>0</v>
      </c>
      <c r="AA251" s="31">
        <f t="shared" si="72"/>
        <v>0</v>
      </c>
      <c r="AB251" s="31">
        <f t="shared" si="72"/>
        <v>0</v>
      </c>
      <c r="AC251" s="31">
        <f t="shared" si="72"/>
        <v>0</v>
      </c>
      <c r="AD251" s="31">
        <f t="shared" si="72"/>
        <v>0</v>
      </c>
      <c r="AE251" s="31">
        <f t="shared" si="72"/>
        <v>0</v>
      </c>
      <c r="AF251" s="31">
        <f t="shared" si="72"/>
        <v>0</v>
      </c>
      <c r="AG251" s="31">
        <f t="shared" si="64"/>
        <v>1</v>
      </c>
    </row>
    <row r="252" spans="1:33" ht="10.5" x14ac:dyDescent="0.15">
      <c r="A252" s="1" t="s">
        <v>2435</v>
      </c>
      <c r="B252" s="1" t="s">
        <v>2436</v>
      </c>
      <c r="C252" s="3">
        <v>130000.00000000001</v>
      </c>
      <c r="D252" s="3"/>
      <c r="E252" s="3"/>
      <c r="F252" s="3"/>
      <c r="G252" s="3"/>
      <c r="H252" s="3"/>
      <c r="I252" s="3"/>
      <c r="J252" s="3">
        <v>130000.00000000001</v>
      </c>
      <c r="K252" s="26">
        <f t="shared" si="63"/>
        <v>2017</v>
      </c>
      <c r="L252" s="78"/>
      <c r="M252" s="37">
        <f t="shared" si="62"/>
        <v>0</v>
      </c>
      <c r="N252" s="31">
        <f t="shared" si="71"/>
        <v>0</v>
      </c>
      <c r="O252" s="31">
        <f t="shared" si="71"/>
        <v>0</v>
      </c>
      <c r="P252" s="31">
        <f t="shared" si="71"/>
        <v>0</v>
      </c>
      <c r="Q252" s="31">
        <f t="shared" si="71"/>
        <v>0</v>
      </c>
      <c r="R252" s="31">
        <f t="shared" si="71"/>
        <v>0</v>
      </c>
      <c r="S252" s="31">
        <f t="shared" si="71"/>
        <v>0</v>
      </c>
      <c r="T252" s="31">
        <f t="shared" si="71"/>
        <v>0</v>
      </c>
      <c r="U252" s="31">
        <f t="shared" si="71"/>
        <v>1</v>
      </c>
      <c r="V252" s="31">
        <f t="shared" si="71"/>
        <v>0</v>
      </c>
      <c r="W252" s="31">
        <f t="shared" si="71"/>
        <v>0</v>
      </c>
      <c r="X252" s="31">
        <f t="shared" si="72"/>
        <v>0</v>
      </c>
      <c r="Y252" s="31">
        <f t="shared" si="72"/>
        <v>0</v>
      </c>
      <c r="Z252" s="31">
        <f t="shared" si="72"/>
        <v>0</v>
      </c>
      <c r="AA252" s="31">
        <f t="shared" si="72"/>
        <v>0</v>
      </c>
      <c r="AB252" s="31">
        <f t="shared" si="72"/>
        <v>0</v>
      </c>
      <c r="AC252" s="31">
        <f t="shared" si="72"/>
        <v>0</v>
      </c>
      <c r="AD252" s="31">
        <f t="shared" si="72"/>
        <v>0</v>
      </c>
      <c r="AE252" s="31">
        <f t="shared" si="72"/>
        <v>0</v>
      </c>
      <c r="AF252" s="31">
        <f t="shared" si="72"/>
        <v>0</v>
      </c>
      <c r="AG252" s="31">
        <f t="shared" si="64"/>
        <v>1</v>
      </c>
    </row>
    <row r="253" spans="1:33" ht="10.5" x14ac:dyDescent="0.15">
      <c r="A253" s="1" t="s">
        <v>2437</v>
      </c>
      <c r="B253" s="1" t="s">
        <v>2438</v>
      </c>
      <c r="C253" s="3"/>
      <c r="D253" s="3">
        <v>304941.40027551237</v>
      </c>
      <c r="E253" s="3"/>
      <c r="F253" s="3"/>
      <c r="G253" s="3"/>
      <c r="H253" s="3"/>
      <c r="I253" s="3"/>
      <c r="J253" s="3">
        <v>304941.40027551237</v>
      </c>
      <c r="K253" s="26">
        <f t="shared" si="63"/>
        <v>2018</v>
      </c>
      <c r="L253" s="78"/>
      <c r="M253" s="37">
        <f t="shared" si="62"/>
        <v>0</v>
      </c>
      <c r="N253" s="31">
        <f t="shared" si="71"/>
        <v>0</v>
      </c>
      <c r="O253" s="31">
        <f t="shared" si="71"/>
        <v>0</v>
      </c>
      <c r="P253" s="31">
        <f t="shared" si="71"/>
        <v>0</v>
      </c>
      <c r="Q253" s="31">
        <f t="shared" si="71"/>
        <v>0</v>
      </c>
      <c r="R253" s="31">
        <f t="shared" si="71"/>
        <v>0</v>
      </c>
      <c r="S253" s="31">
        <f t="shared" si="71"/>
        <v>0</v>
      </c>
      <c r="T253" s="31">
        <f t="shared" si="71"/>
        <v>0</v>
      </c>
      <c r="U253" s="31">
        <f t="shared" si="71"/>
        <v>0</v>
      </c>
      <c r="V253" s="31">
        <f t="shared" si="71"/>
        <v>0</v>
      </c>
      <c r="W253" s="31">
        <f t="shared" si="71"/>
        <v>0</v>
      </c>
      <c r="X253" s="31">
        <f t="shared" si="72"/>
        <v>0</v>
      </c>
      <c r="Y253" s="31">
        <f t="shared" si="72"/>
        <v>0</v>
      </c>
      <c r="Z253" s="31">
        <f t="shared" si="72"/>
        <v>0</v>
      </c>
      <c r="AA253" s="31">
        <f t="shared" si="72"/>
        <v>0</v>
      </c>
      <c r="AB253" s="31">
        <f t="shared" si="72"/>
        <v>1</v>
      </c>
      <c r="AC253" s="31">
        <f t="shared" si="72"/>
        <v>0</v>
      </c>
      <c r="AD253" s="31">
        <f t="shared" si="72"/>
        <v>0</v>
      </c>
      <c r="AE253" s="31">
        <f t="shared" si="72"/>
        <v>0</v>
      </c>
      <c r="AF253" s="31">
        <f t="shared" si="72"/>
        <v>0</v>
      </c>
      <c r="AG253" s="31">
        <f t="shared" si="64"/>
        <v>1</v>
      </c>
    </row>
    <row r="254" spans="1:33" ht="10.5" x14ac:dyDescent="0.15">
      <c r="A254" s="1" t="s">
        <v>2439</v>
      </c>
      <c r="B254" s="1" t="s">
        <v>2440</v>
      </c>
      <c r="C254" s="3"/>
      <c r="D254" s="3">
        <v>4521165.1527997022</v>
      </c>
      <c r="E254" s="3"/>
      <c r="F254" s="3"/>
      <c r="G254" s="3"/>
      <c r="H254" s="3"/>
      <c r="I254" s="3"/>
      <c r="J254" s="3">
        <v>4521165.1527997022</v>
      </c>
      <c r="K254" s="26">
        <f t="shared" si="63"/>
        <v>2018</v>
      </c>
      <c r="L254" s="78"/>
      <c r="M254" s="37">
        <f t="shared" si="62"/>
        <v>0</v>
      </c>
      <c r="N254" s="31">
        <f t="shared" si="71"/>
        <v>1</v>
      </c>
      <c r="O254" s="31">
        <f t="shared" si="71"/>
        <v>0</v>
      </c>
      <c r="P254" s="31">
        <f t="shared" si="71"/>
        <v>0</v>
      </c>
      <c r="Q254" s="31">
        <f t="shared" si="71"/>
        <v>0</v>
      </c>
      <c r="R254" s="31">
        <f t="shared" si="71"/>
        <v>0</v>
      </c>
      <c r="S254" s="31">
        <f t="shared" si="71"/>
        <v>0</v>
      </c>
      <c r="T254" s="31">
        <f t="shared" si="71"/>
        <v>0</v>
      </c>
      <c r="U254" s="31">
        <f t="shared" si="71"/>
        <v>0</v>
      </c>
      <c r="V254" s="31">
        <f t="shared" si="71"/>
        <v>0</v>
      </c>
      <c r="W254" s="31">
        <f t="shared" si="71"/>
        <v>0</v>
      </c>
      <c r="X254" s="31">
        <f t="shared" si="72"/>
        <v>0</v>
      </c>
      <c r="Y254" s="31">
        <f t="shared" si="72"/>
        <v>0</v>
      </c>
      <c r="Z254" s="31">
        <f t="shared" si="72"/>
        <v>0</v>
      </c>
      <c r="AA254" s="31">
        <f t="shared" si="72"/>
        <v>0</v>
      </c>
      <c r="AB254" s="31">
        <f t="shared" si="72"/>
        <v>0</v>
      </c>
      <c r="AC254" s="31">
        <f t="shared" si="72"/>
        <v>0</v>
      </c>
      <c r="AD254" s="31">
        <f t="shared" si="72"/>
        <v>0</v>
      </c>
      <c r="AE254" s="31">
        <f t="shared" si="72"/>
        <v>0</v>
      </c>
      <c r="AF254" s="31">
        <f t="shared" si="72"/>
        <v>0</v>
      </c>
      <c r="AG254" s="31">
        <f t="shared" si="64"/>
        <v>1</v>
      </c>
    </row>
    <row r="255" spans="1:33" ht="10.5" x14ac:dyDescent="0.15">
      <c r="A255" s="1" t="s">
        <v>2441</v>
      </c>
      <c r="B255" s="1" t="s">
        <v>2442</v>
      </c>
      <c r="C255" s="95"/>
      <c r="D255" s="95">
        <v>2974497.0213700174</v>
      </c>
      <c r="E255" s="95"/>
      <c r="F255" s="3"/>
      <c r="G255" s="3"/>
      <c r="H255" s="3"/>
      <c r="I255" s="3"/>
      <c r="J255" s="3">
        <v>2974497.0213700174</v>
      </c>
      <c r="K255" s="26">
        <f t="shared" si="63"/>
        <v>2018</v>
      </c>
      <c r="L255" s="78"/>
      <c r="M255" s="37">
        <f t="shared" si="62"/>
        <v>0</v>
      </c>
      <c r="N255" s="31">
        <f t="shared" si="71"/>
        <v>0</v>
      </c>
      <c r="O255" s="31">
        <f t="shared" si="71"/>
        <v>0</v>
      </c>
      <c r="P255" s="31">
        <f t="shared" si="71"/>
        <v>0</v>
      </c>
      <c r="Q255" s="31">
        <f t="shared" si="71"/>
        <v>0</v>
      </c>
      <c r="R255" s="31">
        <f t="shared" si="71"/>
        <v>0</v>
      </c>
      <c r="S255" s="31">
        <f t="shared" si="71"/>
        <v>0</v>
      </c>
      <c r="T255" s="31">
        <f t="shared" si="71"/>
        <v>0</v>
      </c>
      <c r="U255" s="31">
        <f t="shared" si="71"/>
        <v>0</v>
      </c>
      <c r="V255" s="31">
        <f t="shared" si="71"/>
        <v>0</v>
      </c>
      <c r="W255" s="31">
        <f t="shared" si="71"/>
        <v>0</v>
      </c>
      <c r="X255" s="31">
        <f t="shared" si="72"/>
        <v>0</v>
      </c>
      <c r="Y255" s="31">
        <f t="shared" si="72"/>
        <v>0</v>
      </c>
      <c r="Z255" s="31">
        <f t="shared" si="72"/>
        <v>0</v>
      </c>
      <c r="AA255" s="31">
        <f t="shared" si="72"/>
        <v>0</v>
      </c>
      <c r="AB255" s="31">
        <f t="shared" si="72"/>
        <v>0</v>
      </c>
      <c r="AC255" s="31">
        <f t="shared" si="72"/>
        <v>1</v>
      </c>
      <c r="AD255" s="31">
        <f t="shared" si="72"/>
        <v>0</v>
      </c>
      <c r="AE255" s="31">
        <f t="shared" si="72"/>
        <v>0</v>
      </c>
      <c r="AF255" s="31">
        <f t="shared" si="72"/>
        <v>0</v>
      </c>
      <c r="AG255" s="31">
        <f t="shared" si="64"/>
        <v>1</v>
      </c>
    </row>
    <row r="256" spans="1:33" ht="10.5" x14ac:dyDescent="0.15">
      <c r="A256" s="1" t="s">
        <v>2607</v>
      </c>
      <c r="B256" s="1" t="s">
        <v>2608</v>
      </c>
      <c r="C256" s="95"/>
      <c r="D256" s="95"/>
      <c r="E256" s="95">
        <v>4078188.0008560582</v>
      </c>
      <c r="F256" s="3"/>
      <c r="G256" s="3"/>
      <c r="H256" s="3"/>
      <c r="I256" s="3"/>
      <c r="J256" s="3">
        <v>4078188.0008560582</v>
      </c>
      <c r="K256" s="26">
        <f t="shared" si="63"/>
        <v>2019</v>
      </c>
      <c r="L256" s="78"/>
      <c r="M256" s="37">
        <f t="shared" si="62"/>
        <v>3954701.0815000013</v>
      </c>
      <c r="N256" s="31">
        <f t="shared" si="71"/>
        <v>0</v>
      </c>
      <c r="O256" s="31">
        <f t="shared" si="71"/>
        <v>0.99946898641471948</v>
      </c>
      <c r="P256" s="31">
        <f t="shared" si="71"/>
        <v>5.3101358528050353E-4</v>
      </c>
      <c r="Q256" s="31">
        <f t="shared" si="71"/>
        <v>0</v>
      </c>
      <c r="R256" s="31">
        <f t="shared" si="71"/>
        <v>0</v>
      </c>
      <c r="S256" s="31">
        <f t="shared" si="71"/>
        <v>0</v>
      </c>
      <c r="T256" s="31">
        <f t="shared" si="71"/>
        <v>0</v>
      </c>
      <c r="U256" s="31">
        <f t="shared" si="71"/>
        <v>0</v>
      </c>
      <c r="V256" s="31">
        <f t="shared" si="71"/>
        <v>0</v>
      </c>
      <c r="W256" s="31">
        <f t="shared" si="71"/>
        <v>0</v>
      </c>
      <c r="X256" s="31">
        <f t="shared" si="72"/>
        <v>0</v>
      </c>
      <c r="Y256" s="31">
        <f t="shared" si="72"/>
        <v>0</v>
      </c>
      <c r="Z256" s="31">
        <f t="shared" si="72"/>
        <v>0</v>
      </c>
      <c r="AA256" s="31">
        <f t="shared" si="72"/>
        <v>0</v>
      </c>
      <c r="AB256" s="31">
        <f t="shared" si="72"/>
        <v>0</v>
      </c>
      <c r="AC256" s="31">
        <f t="shared" si="72"/>
        <v>0</v>
      </c>
      <c r="AD256" s="31">
        <f t="shared" si="72"/>
        <v>0</v>
      </c>
      <c r="AE256" s="31">
        <f t="shared" si="72"/>
        <v>0</v>
      </c>
      <c r="AF256" s="31">
        <f t="shared" si="72"/>
        <v>0</v>
      </c>
      <c r="AG256" s="31">
        <f t="shared" si="64"/>
        <v>1</v>
      </c>
    </row>
    <row r="257" spans="1:33" ht="10.5" x14ac:dyDescent="0.15">
      <c r="A257" s="1" t="s">
        <v>2609</v>
      </c>
      <c r="B257" s="1" t="s">
        <v>2610</v>
      </c>
      <c r="C257" s="95"/>
      <c r="D257" s="95"/>
      <c r="E257" s="95">
        <v>6592820.2575916098</v>
      </c>
      <c r="F257" s="3"/>
      <c r="G257" s="3"/>
      <c r="H257" s="3"/>
      <c r="I257" s="3"/>
      <c r="J257" s="3">
        <v>6592820.2575916098</v>
      </c>
      <c r="K257" s="26">
        <f t="shared" si="63"/>
        <v>2019</v>
      </c>
      <c r="L257" s="78"/>
      <c r="M257" s="37">
        <f t="shared" si="62"/>
        <v>5306398.7020000014</v>
      </c>
      <c r="N257" s="31">
        <f t="shared" si="71"/>
        <v>0</v>
      </c>
      <c r="O257" s="31">
        <f t="shared" si="71"/>
        <v>0.99960425137311892</v>
      </c>
      <c r="P257" s="31">
        <f t="shared" si="71"/>
        <v>3.9574862688107143E-4</v>
      </c>
      <c r="Q257" s="31">
        <f t="shared" si="71"/>
        <v>0</v>
      </c>
      <c r="R257" s="31">
        <f t="shared" si="71"/>
        <v>0</v>
      </c>
      <c r="S257" s="31">
        <f t="shared" si="71"/>
        <v>0</v>
      </c>
      <c r="T257" s="31">
        <f t="shared" si="71"/>
        <v>0</v>
      </c>
      <c r="U257" s="31">
        <f t="shared" si="71"/>
        <v>0</v>
      </c>
      <c r="V257" s="31">
        <f t="shared" si="71"/>
        <v>0</v>
      </c>
      <c r="W257" s="31">
        <f t="shared" si="71"/>
        <v>0</v>
      </c>
      <c r="X257" s="31">
        <f t="shared" si="72"/>
        <v>0</v>
      </c>
      <c r="Y257" s="31">
        <f t="shared" si="72"/>
        <v>0</v>
      </c>
      <c r="Z257" s="31">
        <f t="shared" si="72"/>
        <v>0</v>
      </c>
      <c r="AA257" s="31">
        <f t="shared" si="72"/>
        <v>0</v>
      </c>
      <c r="AB257" s="31">
        <f t="shared" si="72"/>
        <v>0</v>
      </c>
      <c r="AC257" s="31">
        <f t="shared" si="72"/>
        <v>0</v>
      </c>
      <c r="AD257" s="31">
        <f t="shared" si="72"/>
        <v>0</v>
      </c>
      <c r="AE257" s="31">
        <f t="shared" si="72"/>
        <v>0</v>
      </c>
      <c r="AF257" s="31">
        <f t="shared" si="72"/>
        <v>0</v>
      </c>
      <c r="AG257" s="31">
        <f t="shared" si="64"/>
        <v>1</v>
      </c>
    </row>
    <row r="258" spans="1:33" ht="10.5" x14ac:dyDescent="0.15">
      <c r="A258" s="1" t="s">
        <v>2611</v>
      </c>
      <c r="B258" s="1" t="s">
        <v>2612</v>
      </c>
      <c r="C258" s="95"/>
      <c r="D258" s="95"/>
      <c r="E258" s="95">
        <v>429165.9351393531</v>
      </c>
      <c r="F258" s="3"/>
      <c r="G258" s="3"/>
      <c r="H258" s="3"/>
      <c r="I258" s="3"/>
      <c r="J258" s="3">
        <v>429165.9351393531</v>
      </c>
      <c r="K258" s="26">
        <f t="shared" si="63"/>
        <v>2019</v>
      </c>
      <c r="L258" s="78"/>
      <c r="M258" s="37">
        <f t="shared" si="62"/>
        <v>215159.99999999988</v>
      </c>
      <c r="N258" s="31">
        <f t="shared" si="71"/>
        <v>0</v>
      </c>
      <c r="O258" s="31">
        <f t="shared" si="71"/>
        <v>0</v>
      </c>
      <c r="P258" s="31">
        <f t="shared" si="71"/>
        <v>0</v>
      </c>
      <c r="Q258" s="31">
        <f t="shared" si="71"/>
        <v>0</v>
      </c>
      <c r="R258" s="31">
        <f t="shared" si="71"/>
        <v>0</v>
      </c>
      <c r="S258" s="31">
        <f t="shared" si="71"/>
        <v>0</v>
      </c>
      <c r="T258" s="31">
        <f t="shared" si="71"/>
        <v>0</v>
      </c>
      <c r="U258" s="31">
        <f t="shared" si="71"/>
        <v>0</v>
      </c>
      <c r="V258" s="31">
        <f t="shared" si="71"/>
        <v>0</v>
      </c>
      <c r="W258" s="31">
        <f t="shared" si="71"/>
        <v>6.5811489124372541E-2</v>
      </c>
      <c r="X258" s="31">
        <f t="shared" si="72"/>
        <v>0</v>
      </c>
      <c r="Y258" s="31">
        <f t="shared" si="72"/>
        <v>0</v>
      </c>
      <c r="Z258" s="31">
        <f t="shared" si="72"/>
        <v>0</v>
      </c>
      <c r="AA258" s="31">
        <f t="shared" si="72"/>
        <v>0</v>
      </c>
      <c r="AB258" s="31">
        <f t="shared" si="72"/>
        <v>0.86447295036252081</v>
      </c>
      <c r="AC258" s="31">
        <f t="shared" si="72"/>
        <v>0</v>
      </c>
      <c r="AD258" s="31">
        <f t="shared" si="72"/>
        <v>6.9715560513106511E-2</v>
      </c>
      <c r="AE258" s="31">
        <f t="shared" si="72"/>
        <v>0</v>
      </c>
      <c r="AF258" s="31">
        <f t="shared" si="72"/>
        <v>0</v>
      </c>
      <c r="AG258" s="31">
        <f t="shared" si="64"/>
        <v>0.99999999999999978</v>
      </c>
    </row>
    <row r="259" spans="1:33" ht="10.5" x14ac:dyDescent="0.15">
      <c r="A259" s="1" t="s">
        <v>2613</v>
      </c>
      <c r="B259" s="1" t="s">
        <v>2614</v>
      </c>
      <c r="C259" s="95"/>
      <c r="D259" s="95">
        <v>1007825.0679045168</v>
      </c>
      <c r="E259" s="95"/>
      <c r="F259" s="3"/>
      <c r="G259" s="3"/>
      <c r="H259" s="3"/>
      <c r="I259" s="3"/>
      <c r="J259" s="3">
        <v>1007825.0679045168</v>
      </c>
      <c r="K259" s="26">
        <f t="shared" si="63"/>
        <v>2018</v>
      </c>
      <c r="L259" s="78"/>
      <c r="M259" s="37">
        <f t="shared" si="62"/>
        <v>0</v>
      </c>
      <c r="N259" s="31">
        <f t="shared" ref="N259:W268" si="73">IF(OR(LEFT($A259,1)="E",LEFT($A259,1)="Z"),IF($M259=0,VLOOKUP(MID($A259,4,5),ProjectSplits,N$2,FALSE),IF(ISNA(VLOOKUP($A259,Estimates,N$1,FALSE)),VLOOKUP(MID($A259,4,5),ProjectSplits,N$2,FALSE),VLOOKUP($A259,Estimates,N$1,FALSE))),0)</f>
        <v>0</v>
      </c>
      <c r="O259" s="31">
        <f t="shared" si="73"/>
        <v>0</v>
      </c>
      <c r="P259" s="31">
        <f t="shared" si="73"/>
        <v>0</v>
      </c>
      <c r="Q259" s="31">
        <f t="shared" si="73"/>
        <v>0</v>
      </c>
      <c r="R259" s="31">
        <f t="shared" si="73"/>
        <v>0</v>
      </c>
      <c r="S259" s="31">
        <f t="shared" si="73"/>
        <v>0</v>
      </c>
      <c r="T259" s="31">
        <f t="shared" si="73"/>
        <v>0</v>
      </c>
      <c r="U259" s="31">
        <f t="shared" si="73"/>
        <v>0</v>
      </c>
      <c r="V259" s="31">
        <f t="shared" si="73"/>
        <v>0</v>
      </c>
      <c r="W259" s="31">
        <f t="shared" si="73"/>
        <v>0</v>
      </c>
      <c r="X259" s="31">
        <f t="shared" ref="X259:AF268" si="74">IF(OR(LEFT($A259,1)="E",LEFT($A259,1)="Z"),IF($M259=0,VLOOKUP(MID($A259,4,5),ProjectSplits,X$2,FALSE),IF(ISNA(VLOOKUP($A259,Estimates,X$1,FALSE)),VLOOKUP(MID($A259,4,5),ProjectSplits,X$2,FALSE),VLOOKUP($A259,Estimates,X$1,FALSE))),0)</f>
        <v>0</v>
      </c>
      <c r="Y259" s="31">
        <f t="shared" si="74"/>
        <v>0</v>
      </c>
      <c r="Z259" s="31">
        <f t="shared" si="74"/>
        <v>0</v>
      </c>
      <c r="AA259" s="31">
        <f t="shared" si="74"/>
        <v>0</v>
      </c>
      <c r="AB259" s="31">
        <f t="shared" si="74"/>
        <v>1</v>
      </c>
      <c r="AC259" s="31">
        <f t="shared" si="74"/>
        <v>0</v>
      </c>
      <c r="AD259" s="31">
        <f t="shared" si="74"/>
        <v>0</v>
      </c>
      <c r="AE259" s="31">
        <f t="shared" si="74"/>
        <v>0</v>
      </c>
      <c r="AF259" s="31">
        <f t="shared" si="74"/>
        <v>0</v>
      </c>
      <c r="AG259" s="31">
        <f t="shared" si="64"/>
        <v>1</v>
      </c>
    </row>
    <row r="260" spans="1:33" ht="10.5" x14ac:dyDescent="0.15">
      <c r="A260" s="1" t="s">
        <v>2615</v>
      </c>
      <c r="B260" s="1" t="s">
        <v>2616</v>
      </c>
      <c r="C260" s="95"/>
      <c r="D260" s="95">
        <v>3217998.0435922849</v>
      </c>
      <c r="E260" s="95"/>
      <c r="F260" s="3"/>
      <c r="G260" s="3"/>
      <c r="H260" s="3"/>
      <c r="I260" s="3"/>
      <c r="J260" s="3">
        <v>3217998.0435922849</v>
      </c>
      <c r="K260" s="26">
        <f t="shared" si="63"/>
        <v>2018</v>
      </c>
      <c r="L260" s="78"/>
      <c r="M260" s="37">
        <f t="shared" si="62"/>
        <v>1860929.1815088</v>
      </c>
      <c r="N260" s="31">
        <f t="shared" si="73"/>
        <v>0</v>
      </c>
      <c r="O260" s="31">
        <f t="shared" si="73"/>
        <v>5.373659620884777E-3</v>
      </c>
      <c r="P260" s="31">
        <f t="shared" si="73"/>
        <v>0</v>
      </c>
      <c r="Q260" s="31">
        <f t="shared" si="73"/>
        <v>0</v>
      </c>
      <c r="R260" s="31">
        <f t="shared" si="73"/>
        <v>0</v>
      </c>
      <c r="S260" s="31">
        <f t="shared" si="73"/>
        <v>0</v>
      </c>
      <c r="T260" s="31">
        <f t="shared" si="73"/>
        <v>0</v>
      </c>
      <c r="U260" s="31">
        <f t="shared" si="73"/>
        <v>0</v>
      </c>
      <c r="V260" s="31">
        <f t="shared" si="73"/>
        <v>0</v>
      </c>
      <c r="W260" s="31">
        <f t="shared" si="73"/>
        <v>0</v>
      </c>
      <c r="X260" s="31">
        <f t="shared" si="74"/>
        <v>0</v>
      </c>
      <c r="Y260" s="31">
        <f t="shared" si="74"/>
        <v>0.99462634037911524</v>
      </c>
      <c r="Z260" s="31">
        <f t="shared" si="74"/>
        <v>0</v>
      </c>
      <c r="AA260" s="31">
        <f t="shared" si="74"/>
        <v>0</v>
      </c>
      <c r="AB260" s="31">
        <f t="shared" si="74"/>
        <v>0</v>
      </c>
      <c r="AC260" s="31">
        <f t="shared" si="74"/>
        <v>0</v>
      </c>
      <c r="AD260" s="31">
        <f t="shared" si="74"/>
        <v>0</v>
      </c>
      <c r="AE260" s="31">
        <f t="shared" si="74"/>
        <v>0</v>
      </c>
      <c r="AF260" s="31">
        <f t="shared" si="74"/>
        <v>0</v>
      </c>
      <c r="AG260" s="31">
        <f t="shared" si="64"/>
        <v>1</v>
      </c>
    </row>
    <row r="261" spans="1:33" ht="10.5" x14ac:dyDescent="0.15">
      <c r="A261" s="1" t="s">
        <v>2617</v>
      </c>
      <c r="B261" s="1" t="s">
        <v>2618</v>
      </c>
      <c r="C261" s="95"/>
      <c r="D261" s="95">
        <v>2783277.0162738985</v>
      </c>
      <c r="E261" s="95"/>
      <c r="F261" s="3"/>
      <c r="G261" s="3"/>
      <c r="H261" s="3"/>
      <c r="I261" s="3"/>
      <c r="J261" s="3">
        <v>2783277.0162738985</v>
      </c>
      <c r="K261" s="26">
        <f t="shared" si="63"/>
        <v>2018</v>
      </c>
      <c r="L261" s="78"/>
      <c r="M261" s="37">
        <f t="shared" si="62"/>
        <v>2046241.4799999997</v>
      </c>
      <c r="N261" s="31">
        <f t="shared" si="73"/>
        <v>0</v>
      </c>
      <c r="O261" s="31">
        <f t="shared" si="73"/>
        <v>0</v>
      </c>
      <c r="P261" s="31">
        <f t="shared" si="73"/>
        <v>0</v>
      </c>
      <c r="Q261" s="31">
        <f t="shared" si="73"/>
        <v>0</v>
      </c>
      <c r="R261" s="31">
        <f t="shared" si="73"/>
        <v>0</v>
      </c>
      <c r="S261" s="31">
        <f t="shared" si="73"/>
        <v>0</v>
      </c>
      <c r="T261" s="31">
        <f t="shared" si="73"/>
        <v>0</v>
      </c>
      <c r="U261" s="31">
        <f t="shared" si="73"/>
        <v>0</v>
      </c>
      <c r="V261" s="31">
        <f t="shared" si="73"/>
        <v>0</v>
      </c>
      <c r="W261" s="31">
        <f t="shared" si="73"/>
        <v>0.94319268711139603</v>
      </c>
      <c r="X261" s="31">
        <f t="shared" si="74"/>
        <v>0</v>
      </c>
      <c r="Y261" s="31">
        <f t="shared" si="74"/>
        <v>0</v>
      </c>
      <c r="Z261" s="31">
        <f t="shared" si="74"/>
        <v>0</v>
      </c>
      <c r="AA261" s="31">
        <f t="shared" si="74"/>
        <v>0</v>
      </c>
      <c r="AB261" s="31">
        <f t="shared" si="74"/>
        <v>0</v>
      </c>
      <c r="AC261" s="31">
        <f t="shared" si="74"/>
        <v>0</v>
      </c>
      <c r="AD261" s="31">
        <f t="shared" si="74"/>
        <v>5.6807312888603925E-2</v>
      </c>
      <c r="AE261" s="31">
        <f t="shared" si="74"/>
        <v>0</v>
      </c>
      <c r="AF261" s="31">
        <f t="shared" si="74"/>
        <v>0</v>
      </c>
      <c r="AG261" s="31">
        <f t="shared" si="64"/>
        <v>1</v>
      </c>
    </row>
    <row r="262" spans="1:33" ht="10.5" x14ac:dyDescent="0.15">
      <c r="A262" s="1" t="s">
        <v>2619</v>
      </c>
      <c r="B262" s="1" t="s">
        <v>2620</v>
      </c>
      <c r="C262" s="95"/>
      <c r="D262" s="95">
        <v>1398725.3579469926</v>
      </c>
      <c r="E262" s="95"/>
      <c r="F262" s="3"/>
      <c r="G262" s="3"/>
      <c r="H262" s="3"/>
      <c r="I262" s="3"/>
      <c r="J262" s="3">
        <v>1398725.3579469926</v>
      </c>
      <c r="K262" s="26">
        <f t="shared" si="63"/>
        <v>2018</v>
      </c>
      <c r="L262" s="78"/>
      <c r="M262" s="37">
        <f t="shared" si="62"/>
        <v>874921.82773997076</v>
      </c>
      <c r="N262" s="31">
        <f t="shared" si="73"/>
        <v>0</v>
      </c>
      <c r="O262" s="31">
        <f t="shared" si="73"/>
        <v>0</v>
      </c>
      <c r="P262" s="31">
        <f t="shared" si="73"/>
        <v>0</v>
      </c>
      <c r="Q262" s="31">
        <f t="shared" si="73"/>
        <v>0</v>
      </c>
      <c r="R262" s="31">
        <f t="shared" si="73"/>
        <v>0</v>
      </c>
      <c r="S262" s="31">
        <f t="shared" si="73"/>
        <v>0</v>
      </c>
      <c r="T262" s="31">
        <f t="shared" si="73"/>
        <v>0</v>
      </c>
      <c r="U262" s="31">
        <f t="shared" si="73"/>
        <v>0</v>
      </c>
      <c r="V262" s="31">
        <f t="shared" si="73"/>
        <v>0</v>
      </c>
      <c r="W262" s="31">
        <f t="shared" si="73"/>
        <v>0.47207511893824683</v>
      </c>
      <c r="X262" s="31">
        <f t="shared" si="74"/>
        <v>0</v>
      </c>
      <c r="Y262" s="31">
        <f t="shared" si="74"/>
        <v>0.12548892528977545</v>
      </c>
      <c r="Z262" s="31">
        <f t="shared" si="74"/>
        <v>0</v>
      </c>
      <c r="AA262" s="31">
        <f t="shared" si="74"/>
        <v>0</v>
      </c>
      <c r="AB262" s="31">
        <f t="shared" si="74"/>
        <v>0.36814717813627323</v>
      </c>
      <c r="AC262" s="31">
        <f t="shared" si="74"/>
        <v>3.4288777635704482E-2</v>
      </c>
      <c r="AD262" s="31">
        <f t="shared" si="74"/>
        <v>0</v>
      </c>
      <c r="AE262" s="31">
        <f t="shared" si="74"/>
        <v>0</v>
      </c>
      <c r="AF262" s="31">
        <f t="shared" si="74"/>
        <v>0</v>
      </c>
      <c r="AG262" s="31">
        <f t="shared" si="64"/>
        <v>1</v>
      </c>
    </row>
    <row r="263" spans="1:33" ht="10.5" x14ac:dyDescent="0.15">
      <c r="A263" s="1" t="s">
        <v>2636</v>
      </c>
      <c r="B263" s="1" t="s">
        <v>2637</v>
      </c>
      <c r="C263" s="95"/>
      <c r="D263" s="95">
        <v>1238277.1708274253</v>
      </c>
      <c r="E263" s="95"/>
      <c r="F263" s="3"/>
      <c r="G263" s="3"/>
      <c r="H263" s="3"/>
      <c r="I263" s="3"/>
      <c r="J263" s="3">
        <v>1238277.1708274253</v>
      </c>
      <c r="K263" s="26">
        <f t="shared" si="63"/>
        <v>2018</v>
      </c>
      <c r="L263" s="78"/>
      <c r="M263" s="37">
        <f t="shared" si="62"/>
        <v>663206.21722999995</v>
      </c>
      <c r="N263" s="31">
        <f t="shared" si="73"/>
        <v>0</v>
      </c>
      <c r="O263" s="31">
        <f t="shared" si="73"/>
        <v>6.7851500876980109E-2</v>
      </c>
      <c r="P263" s="31">
        <f t="shared" si="73"/>
        <v>0.63058317177229628</v>
      </c>
      <c r="Q263" s="31">
        <f t="shared" si="73"/>
        <v>0</v>
      </c>
      <c r="R263" s="31">
        <f t="shared" si="73"/>
        <v>0</v>
      </c>
      <c r="S263" s="31">
        <f t="shared" si="73"/>
        <v>0</v>
      </c>
      <c r="T263" s="31">
        <f t="shared" si="73"/>
        <v>0</v>
      </c>
      <c r="U263" s="31">
        <f t="shared" si="73"/>
        <v>0</v>
      </c>
      <c r="V263" s="31">
        <f t="shared" si="73"/>
        <v>0</v>
      </c>
      <c r="W263" s="31">
        <f t="shared" si="73"/>
        <v>0</v>
      </c>
      <c r="X263" s="31">
        <f t="shared" si="74"/>
        <v>0.30156532735072356</v>
      </c>
      <c r="Y263" s="31">
        <f t="shared" si="74"/>
        <v>0</v>
      </c>
      <c r="Z263" s="31">
        <f t="shared" si="74"/>
        <v>0</v>
      </c>
      <c r="AA263" s="31">
        <f t="shared" si="74"/>
        <v>0</v>
      </c>
      <c r="AB263" s="31">
        <f t="shared" si="74"/>
        <v>0</v>
      </c>
      <c r="AC263" s="31">
        <f t="shared" si="74"/>
        <v>0</v>
      </c>
      <c r="AD263" s="31">
        <f t="shared" si="74"/>
        <v>0</v>
      </c>
      <c r="AE263" s="31">
        <f t="shared" si="74"/>
        <v>0</v>
      </c>
      <c r="AF263" s="31">
        <f t="shared" si="74"/>
        <v>0</v>
      </c>
      <c r="AG263" s="31">
        <f t="shared" si="64"/>
        <v>1</v>
      </c>
    </row>
    <row r="264" spans="1:33" ht="10.5" x14ac:dyDescent="0.15">
      <c r="A264" s="1" t="s">
        <v>2638</v>
      </c>
      <c r="B264" s="1" t="s">
        <v>2639</v>
      </c>
      <c r="C264" s="95"/>
      <c r="D264" s="95"/>
      <c r="E264" s="95"/>
      <c r="F264" s="3"/>
      <c r="G264" s="3"/>
      <c r="H264" s="3"/>
      <c r="I264" s="3">
        <v>1378058.3214044338</v>
      </c>
      <c r="J264" s="3">
        <v>1378058.3214044338</v>
      </c>
      <c r="K264" s="26">
        <f t="shared" si="63"/>
        <v>2023</v>
      </c>
      <c r="L264" s="78"/>
      <c r="M264" s="37">
        <f t="shared" si="62"/>
        <v>587549.63924349891</v>
      </c>
      <c r="N264" s="31">
        <f t="shared" si="73"/>
        <v>0</v>
      </c>
      <c r="O264" s="31">
        <f t="shared" si="73"/>
        <v>0</v>
      </c>
      <c r="P264" s="31">
        <f t="shared" si="73"/>
        <v>0.24508567389371105</v>
      </c>
      <c r="Q264" s="31">
        <f t="shared" si="73"/>
        <v>0</v>
      </c>
      <c r="R264" s="31">
        <f t="shared" si="73"/>
        <v>0</v>
      </c>
      <c r="S264" s="31">
        <f t="shared" si="73"/>
        <v>0</v>
      </c>
      <c r="T264" s="31">
        <f t="shared" si="73"/>
        <v>0</v>
      </c>
      <c r="U264" s="31">
        <f t="shared" si="73"/>
        <v>0</v>
      </c>
      <c r="V264" s="31">
        <f t="shared" si="73"/>
        <v>0</v>
      </c>
      <c r="W264" s="31">
        <f t="shared" si="73"/>
        <v>0</v>
      </c>
      <c r="X264" s="31">
        <f t="shared" si="74"/>
        <v>0</v>
      </c>
      <c r="Y264" s="31">
        <f t="shared" si="74"/>
        <v>0</v>
      </c>
      <c r="Z264" s="31">
        <f t="shared" si="74"/>
        <v>0</v>
      </c>
      <c r="AA264" s="31">
        <f t="shared" si="74"/>
        <v>0</v>
      </c>
      <c r="AB264" s="31">
        <f t="shared" si="74"/>
        <v>0.75491432610628895</v>
      </c>
      <c r="AC264" s="31">
        <f t="shared" si="74"/>
        <v>0</v>
      </c>
      <c r="AD264" s="31">
        <f t="shared" si="74"/>
        <v>0</v>
      </c>
      <c r="AE264" s="31">
        <f t="shared" si="74"/>
        <v>0</v>
      </c>
      <c r="AF264" s="31">
        <f t="shared" si="74"/>
        <v>0</v>
      </c>
      <c r="AG264" s="31">
        <f t="shared" si="64"/>
        <v>1</v>
      </c>
    </row>
    <row r="265" spans="1:33" ht="10.5" x14ac:dyDescent="0.15">
      <c r="A265" s="1" t="s">
        <v>2640</v>
      </c>
      <c r="B265" s="1" t="s">
        <v>2641</v>
      </c>
      <c r="C265" s="95"/>
      <c r="D265" s="95">
        <v>1145200.8552399466</v>
      </c>
      <c r="E265" s="95"/>
      <c r="F265" s="3"/>
      <c r="G265" s="3"/>
      <c r="H265" s="3"/>
      <c r="I265" s="3"/>
      <c r="J265" s="3">
        <v>1145200.8552399466</v>
      </c>
      <c r="K265" s="26">
        <f t="shared" si="63"/>
        <v>2018</v>
      </c>
      <c r="L265" s="78"/>
      <c r="M265" s="37">
        <f t="shared" si="62"/>
        <v>612419.78339999984</v>
      </c>
      <c r="N265" s="31">
        <f t="shared" si="73"/>
        <v>0</v>
      </c>
      <c r="O265" s="31">
        <f t="shared" si="73"/>
        <v>2.9391545616094802E-2</v>
      </c>
      <c r="P265" s="31">
        <f t="shared" si="73"/>
        <v>0.92162244705173246</v>
      </c>
      <c r="Q265" s="31">
        <f t="shared" si="73"/>
        <v>0</v>
      </c>
      <c r="R265" s="31">
        <f t="shared" si="73"/>
        <v>0</v>
      </c>
      <c r="S265" s="31">
        <f t="shared" si="73"/>
        <v>0</v>
      </c>
      <c r="T265" s="31">
        <f t="shared" si="73"/>
        <v>0</v>
      </c>
      <c r="U265" s="31">
        <f t="shared" si="73"/>
        <v>0</v>
      </c>
      <c r="V265" s="31">
        <f t="shared" si="73"/>
        <v>0</v>
      </c>
      <c r="W265" s="31">
        <f t="shared" si="73"/>
        <v>0</v>
      </c>
      <c r="X265" s="31">
        <f t="shared" si="74"/>
        <v>0</v>
      </c>
      <c r="Y265" s="31">
        <f t="shared" si="74"/>
        <v>0</v>
      </c>
      <c r="Z265" s="31">
        <f t="shared" si="74"/>
        <v>0</v>
      </c>
      <c r="AA265" s="31">
        <f t="shared" si="74"/>
        <v>0</v>
      </c>
      <c r="AB265" s="31">
        <f t="shared" si="74"/>
        <v>0</v>
      </c>
      <c r="AC265" s="31">
        <f t="shared" si="74"/>
        <v>4.8986007332172676E-2</v>
      </c>
      <c r="AD265" s="31">
        <f t="shared" si="74"/>
        <v>0</v>
      </c>
      <c r="AE265" s="31">
        <f t="shared" si="74"/>
        <v>0</v>
      </c>
      <c r="AF265" s="31">
        <f t="shared" si="74"/>
        <v>0</v>
      </c>
      <c r="AG265" s="31">
        <f t="shared" si="64"/>
        <v>1</v>
      </c>
    </row>
    <row r="266" spans="1:33" ht="10.5" x14ac:dyDescent="0.15">
      <c r="A266" s="1" t="s">
        <v>2642</v>
      </c>
      <c r="B266" s="1" t="s">
        <v>2643</v>
      </c>
      <c r="C266" s="95"/>
      <c r="D266" s="95"/>
      <c r="E266" s="95"/>
      <c r="F266" s="3"/>
      <c r="G266" s="3"/>
      <c r="H266" s="3"/>
      <c r="I266" s="3">
        <v>2219748.8800760787</v>
      </c>
      <c r="J266" s="3">
        <v>2219748.8800760787</v>
      </c>
      <c r="K266" s="26">
        <f t="shared" si="63"/>
        <v>2023</v>
      </c>
      <c r="L266" s="78"/>
      <c r="M266" s="37">
        <f t="shared" si="62"/>
        <v>340000</v>
      </c>
      <c r="N266" s="31">
        <f t="shared" si="73"/>
        <v>0</v>
      </c>
      <c r="O266" s="31">
        <f t="shared" si="73"/>
        <v>0</v>
      </c>
      <c r="P266" s="31">
        <f t="shared" si="73"/>
        <v>0</v>
      </c>
      <c r="Q266" s="31">
        <f t="shared" si="73"/>
        <v>0</v>
      </c>
      <c r="R266" s="31">
        <f t="shared" si="73"/>
        <v>0</v>
      </c>
      <c r="S266" s="31">
        <f t="shared" si="73"/>
        <v>0</v>
      </c>
      <c r="T266" s="31">
        <f t="shared" si="73"/>
        <v>0</v>
      </c>
      <c r="U266" s="31">
        <f t="shared" si="73"/>
        <v>0</v>
      </c>
      <c r="V266" s="31">
        <f t="shared" si="73"/>
        <v>0</v>
      </c>
      <c r="W266" s="31">
        <f t="shared" si="73"/>
        <v>0</v>
      </c>
      <c r="X266" s="31">
        <f t="shared" si="74"/>
        <v>0</v>
      </c>
      <c r="Y266" s="31">
        <f t="shared" si="74"/>
        <v>0</v>
      </c>
      <c r="Z266" s="31">
        <f t="shared" si="74"/>
        <v>0</v>
      </c>
      <c r="AA266" s="31">
        <f t="shared" si="74"/>
        <v>0</v>
      </c>
      <c r="AB266" s="31">
        <f t="shared" si="74"/>
        <v>1</v>
      </c>
      <c r="AC266" s="31">
        <f t="shared" si="74"/>
        <v>0</v>
      </c>
      <c r="AD266" s="31">
        <f t="shared" si="74"/>
        <v>0</v>
      </c>
      <c r="AE266" s="31">
        <f t="shared" si="74"/>
        <v>0</v>
      </c>
      <c r="AF266" s="31">
        <f t="shared" si="74"/>
        <v>0</v>
      </c>
      <c r="AG266" s="31">
        <f t="shared" si="64"/>
        <v>1</v>
      </c>
    </row>
    <row r="267" spans="1:33" ht="10.5" x14ac:dyDescent="0.15">
      <c r="A267" s="1" t="s">
        <v>2644</v>
      </c>
      <c r="B267" s="1" t="s">
        <v>2645</v>
      </c>
      <c r="C267" s="3"/>
      <c r="D267" s="3">
        <v>672517.23924551753</v>
      </c>
      <c r="E267" s="3"/>
      <c r="F267" s="3"/>
      <c r="G267" s="3"/>
      <c r="H267" s="3"/>
      <c r="I267" s="3"/>
      <c r="J267" s="3">
        <v>672517.23924551753</v>
      </c>
      <c r="K267" s="26">
        <f t="shared" si="63"/>
        <v>2018</v>
      </c>
      <c r="L267" s="78"/>
      <c r="M267" s="37">
        <f t="shared" si="62"/>
        <v>95000.000000000044</v>
      </c>
      <c r="N267" s="31">
        <f t="shared" si="73"/>
        <v>0</v>
      </c>
      <c r="O267" s="31">
        <f t="shared" si="73"/>
        <v>0</v>
      </c>
      <c r="P267" s="31">
        <f t="shared" si="73"/>
        <v>0</v>
      </c>
      <c r="Q267" s="31">
        <f t="shared" si="73"/>
        <v>0</v>
      </c>
      <c r="R267" s="31">
        <f t="shared" si="73"/>
        <v>0</v>
      </c>
      <c r="S267" s="31">
        <f t="shared" si="73"/>
        <v>0</v>
      </c>
      <c r="T267" s="31">
        <f t="shared" si="73"/>
        <v>0</v>
      </c>
      <c r="U267" s="31">
        <f t="shared" si="73"/>
        <v>1</v>
      </c>
      <c r="V267" s="31">
        <f t="shared" si="73"/>
        <v>0</v>
      </c>
      <c r="W267" s="31">
        <f t="shared" si="73"/>
        <v>0</v>
      </c>
      <c r="X267" s="31">
        <f t="shared" si="74"/>
        <v>0</v>
      </c>
      <c r="Y267" s="31">
        <f t="shared" si="74"/>
        <v>0</v>
      </c>
      <c r="Z267" s="31">
        <f t="shared" si="74"/>
        <v>0</v>
      </c>
      <c r="AA267" s="31">
        <f t="shared" si="74"/>
        <v>0</v>
      </c>
      <c r="AB267" s="31">
        <f t="shared" si="74"/>
        <v>0</v>
      </c>
      <c r="AC267" s="31">
        <f t="shared" si="74"/>
        <v>0</v>
      </c>
      <c r="AD267" s="31">
        <f t="shared" si="74"/>
        <v>0</v>
      </c>
      <c r="AE267" s="31">
        <f t="shared" si="74"/>
        <v>0</v>
      </c>
      <c r="AF267" s="31">
        <f t="shared" si="74"/>
        <v>0</v>
      </c>
      <c r="AG267" s="31">
        <f t="shared" si="64"/>
        <v>1</v>
      </c>
    </row>
    <row r="268" spans="1:33" ht="10.5" x14ac:dyDescent="0.15">
      <c r="A268" s="1" t="s">
        <v>2646</v>
      </c>
      <c r="B268" s="1" t="s">
        <v>2647</v>
      </c>
      <c r="C268" s="3"/>
      <c r="D268" s="3"/>
      <c r="E268" s="3"/>
      <c r="F268" s="3">
        <v>5501543.3999185339</v>
      </c>
      <c r="G268" s="3"/>
      <c r="H268" s="3"/>
      <c r="I268" s="3"/>
      <c r="J268" s="3">
        <v>5501543.3999185339</v>
      </c>
      <c r="K268" s="26">
        <f t="shared" si="63"/>
        <v>2020</v>
      </c>
      <c r="L268" s="78"/>
      <c r="M268" s="37">
        <f t="shared" si="62"/>
        <v>3282320.1200036025</v>
      </c>
      <c r="N268" s="31">
        <f t="shared" si="73"/>
        <v>0</v>
      </c>
      <c r="O268" s="31">
        <f t="shared" si="73"/>
        <v>0</v>
      </c>
      <c r="P268" s="31">
        <f t="shared" si="73"/>
        <v>2.2276925262219641E-2</v>
      </c>
      <c r="Q268" s="31">
        <f t="shared" si="73"/>
        <v>0</v>
      </c>
      <c r="R268" s="31">
        <f t="shared" si="73"/>
        <v>0</v>
      </c>
      <c r="S268" s="31">
        <f t="shared" si="73"/>
        <v>0</v>
      </c>
      <c r="T268" s="31">
        <f t="shared" si="73"/>
        <v>0</v>
      </c>
      <c r="U268" s="31">
        <f t="shared" si="73"/>
        <v>0</v>
      </c>
      <c r="V268" s="31">
        <f t="shared" si="73"/>
        <v>0</v>
      </c>
      <c r="W268" s="31">
        <f t="shared" si="73"/>
        <v>0</v>
      </c>
      <c r="X268" s="31">
        <f t="shared" si="74"/>
        <v>0</v>
      </c>
      <c r="Y268" s="31">
        <f t="shared" si="74"/>
        <v>0</v>
      </c>
      <c r="Z268" s="31">
        <f t="shared" si="74"/>
        <v>0</v>
      </c>
      <c r="AA268" s="31">
        <f t="shared" si="74"/>
        <v>0</v>
      </c>
      <c r="AB268" s="31">
        <f t="shared" si="74"/>
        <v>0.97772307473778042</v>
      </c>
      <c r="AC268" s="31">
        <f t="shared" si="74"/>
        <v>0</v>
      </c>
      <c r="AD268" s="31">
        <f t="shared" si="74"/>
        <v>0</v>
      </c>
      <c r="AE268" s="31">
        <f t="shared" si="74"/>
        <v>0</v>
      </c>
      <c r="AF268" s="31">
        <f t="shared" si="74"/>
        <v>0</v>
      </c>
      <c r="AG268" s="31">
        <f t="shared" si="64"/>
        <v>1</v>
      </c>
    </row>
    <row r="269" spans="1:33" ht="10.5" x14ac:dyDescent="0.15">
      <c r="A269" s="1" t="s">
        <v>2648</v>
      </c>
      <c r="B269" s="1" t="s">
        <v>2649</v>
      </c>
      <c r="C269" s="3"/>
      <c r="D269" s="3"/>
      <c r="E269" s="3"/>
      <c r="F269" s="3">
        <v>7841228.3722071685</v>
      </c>
      <c r="G269" s="3"/>
      <c r="H269" s="3"/>
      <c r="I269" s="3"/>
      <c r="J269" s="3">
        <v>7841228.3722071685</v>
      </c>
      <c r="K269" s="26">
        <f t="shared" si="63"/>
        <v>2020</v>
      </c>
      <c r="L269" s="78"/>
      <c r="M269" s="37">
        <f t="shared" si="62"/>
        <v>1949000.0000315001</v>
      </c>
      <c r="N269" s="31">
        <f t="shared" ref="N269:W278" si="75">IF(OR(LEFT($A269,1)="E",LEFT($A269,1)="Z"),IF($M269=0,VLOOKUP(MID($A269,4,5),ProjectSplits,N$2,FALSE),IF(ISNA(VLOOKUP($A269,Estimates,N$1,FALSE)),VLOOKUP(MID($A269,4,5),ProjectSplits,N$2,FALSE),VLOOKUP($A269,Estimates,N$1,FALSE))),0)</f>
        <v>0</v>
      </c>
      <c r="O269" s="31">
        <f t="shared" si="75"/>
        <v>0</v>
      </c>
      <c r="P269" s="31">
        <f t="shared" si="75"/>
        <v>0</v>
      </c>
      <c r="Q269" s="31">
        <f t="shared" si="75"/>
        <v>0</v>
      </c>
      <c r="R269" s="31">
        <f t="shared" si="75"/>
        <v>0</v>
      </c>
      <c r="S269" s="31">
        <f t="shared" si="75"/>
        <v>0</v>
      </c>
      <c r="T269" s="31">
        <f t="shared" si="75"/>
        <v>0</v>
      </c>
      <c r="U269" s="31">
        <f t="shared" si="75"/>
        <v>0</v>
      </c>
      <c r="V269" s="31">
        <f t="shared" si="75"/>
        <v>0</v>
      </c>
      <c r="W269" s="31">
        <f t="shared" si="75"/>
        <v>0</v>
      </c>
      <c r="X269" s="31">
        <f t="shared" ref="X269:AF278" si="76">IF(OR(LEFT($A269,1)="E",LEFT($A269,1)="Z"),IF($M269=0,VLOOKUP(MID($A269,4,5),ProjectSplits,X$2,FALSE),IF(ISNA(VLOOKUP($A269,Estimates,X$1,FALSE)),VLOOKUP(MID($A269,4,5),ProjectSplits,X$2,FALSE),VLOOKUP($A269,Estimates,X$1,FALSE))),0)</f>
        <v>2.0010261672329239E-2</v>
      </c>
      <c r="Y269" s="31">
        <f t="shared" si="76"/>
        <v>0.97998973832767078</v>
      </c>
      <c r="Z269" s="31">
        <f t="shared" si="76"/>
        <v>0</v>
      </c>
      <c r="AA269" s="31">
        <f t="shared" si="76"/>
        <v>0</v>
      </c>
      <c r="AB269" s="31">
        <f t="shared" si="76"/>
        <v>0</v>
      </c>
      <c r="AC269" s="31">
        <f t="shared" si="76"/>
        <v>0</v>
      </c>
      <c r="AD269" s="31">
        <f t="shared" si="76"/>
        <v>0</v>
      </c>
      <c r="AE269" s="31">
        <f t="shared" si="76"/>
        <v>0</v>
      </c>
      <c r="AF269" s="31">
        <f t="shared" si="76"/>
        <v>0</v>
      </c>
      <c r="AG269" s="31">
        <f t="shared" si="64"/>
        <v>1</v>
      </c>
    </row>
    <row r="270" spans="1:33" ht="10.5" x14ac:dyDescent="0.15">
      <c r="A270" s="1" t="s">
        <v>2650</v>
      </c>
      <c r="B270" s="1" t="s">
        <v>2651</v>
      </c>
      <c r="C270" s="3"/>
      <c r="D270" s="3">
        <v>2736082.7575239562</v>
      </c>
      <c r="E270" s="3"/>
      <c r="F270" s="3"/>
      <c r="G270" s="3"/>
      <c r="H270" s="3"/>
      <c r="I270" s="3"/>
      <c r="J270" s="3">
        <v>2736082.7575239562</v>
      </c>
      <c r="K270" s="26">
        <f t="shared" si="63"/>
        <v>2018</v>
      </c>
      <c r="L270" s="78"/>
      <c r="M270" s="37">
        <f t="shared" si="62"/>
        <v>1110000.0000000005</v>
      </c>
      <c r="N270" s="31">
        <f t="shared" si="75"/>
        <v>0</v>
      </c>
      <c r="O270" s="31">
        <f t="shared" si="75"/>
        <v>0</v>
      </c>
      <c r="P270" s="31">
        <f t="shared" si="75"/>
        <v>0</v>
      </c>
      <c r="Q270" s="31">
        <f t="shared" si="75"/>
        <v>0</v>
      </c>
      <c r="R270" s="31">
        <f t="shared" si="75"/>
        <v>0</v>
      </c>
      <c r="S270" s="31">
        <f t="shared" si="75"/>
        <v>0</v>
      </c>
      <c r="T270" s="31">
        <f t="shared" si="75"/>
        <v>0</v>
      </c>
      <c r="U270" s="31">
        <f t="shared" si="75"/>
        <v>0</v>
      </c>
      <c r="V270" s="31">
        <f t="shared" si="75"/>
        <v>0</v>
      </c>
      <c r="W270" s="31">
        <f t="shared" si="75"/>
        <v>0.86486486486486491</v>
      </c>
      <c r="X270" s="31">
        <f t="shared" si="76"/>
        <v>0</v>
      </c>
      <c r="Y270" s="31">
        <f t="shared" si="76"/>
        <v>0.13513513513513511</v>
      </c>
      <c r="Z270" s="31">
        <f t="shared" si="76"/>
        <v>0</v>
      </c>
      <c r="AA270" s="31">
        <f t="shared" si="76"/>
        <v>0</v>
      </c>
      <c r="AB270" s="31">
        <f t="shared" si="76"/>
        <v>0</v>
      </c>
      <c r="AC270" s="31">
        <f t="shared" si="76"/>
        <v>0</v>
      </c>
      <c r="AD270" s="31">
        <f t="shared" si="76"/>
        <v>0</v>
      </c>
      <c r="AE270" s="31">
        <f t="shared" si="76"/>
        <v>0</v>
      </c>
      <c r="AF270" s="31">
        <f t="shared" si="76"/>
        <v>0</v>
      </c>
      <c r="AG270" s="31">
        <f t="shared" si="64"/>
        <v>1</v>
      </c>
    </row>
    <row r="271" spans="1:33" ht="10.5" x14ac:dyDescent="0.15">
      <c r="A271" s="1" t="s">
        <v>2653</v>
      </c>
      <c r="B271" s="1" t="s">
        <v>2654</v>
      </c>
      <c r="C271" s="3"/>
      <c r="D271" s="3"/>
      <c r="E271" s="3"/>
      <c r="F271" s="3">
        <v>3705839.3931753105</v>
      </c>
      <c r="G271" s="3"/>
      <c r="H271" s="3"/>
      <c r="I271" s="3"/>
      <c r="J271" s="3">
        <v>3705839.3931753105</v>
      </c>
      <c r="K271" s="26">
        <f t="shared" si="63"/>
        <v>2020</v>
      </c>
      <c r="L271" s="78"/>
      <c r="M271" s="37">
        <f t="shared" si="62"/>
        <v>2166899.9999999991</v>
      </c>
      <c r="N271" s="31">
        <f t="shared" si="75"/>
        <v>0</v>
      </c>
      <c r="O271" s="31">
        <f t="shared" si="75"/>
        <v>0</v>
      </c>
      <c r="P271" s="31">
        <f t="shared" si="75"/>
        <v>0</v>
      </c>
      <c r="Q271" s="31">
        <f t="shared" si="75"/>
        <v>0</v>
      </c>
      <c r="R271" s="31">
        <f t="shared" si="75"/>
        <v>0</v>
      </c>
      <c r="S271" s="31">
        <f t="shared" si="75"/>
        <v>0</v>
      </c>
      <c r="T271" s="31">
        <f t="shared" si="75"/>
        <v>0</v>
      </c>
      <c r="U271" s="31">
        <f t="shared" si="75"/>
        <v>0</v>
      </c>
      <c r="V271" s="31">
        <f t="shared" si="75"/>
        <v>0</v>
      </c>
      <c r="W271" s="31">
        <f t="shared" si="75"/>
        <v>0</v>
      </c>
      <c r="X271" s="31">
        <f t="shared" si="76"/>
        <v>0</v>
      </c>
      <c r="Y271" s="31">
        <f t="shared" si="76"/>
        <v>1</v>
      </c>
      <c r="Z271" s="31">
        <f t="shared" si="76"/>
        <v>0</v>
      </c>
      <c r="AA271" s="31">
        <f t="shared" si="76"/>
        <v>0</v>
      </c>
      <c r="AB271" s="31">
        <f t="shared" si="76"/>
        <v>0</v>
      </c>
      <c r="AC271" s="31">
        <f t="shared" si="76"/>
        <v>0</v>
      </c>
      <c r="AD271" s="31">
        <f t="shared" si="76"/>
        <v>0</v>
      </c>
      <c r="AE271" s="31">
        <f t="shared" si="76"/>
        <v>0</v>
      </c>
      <c r="AF271" s="31">
        <f t="shared" si="76"/>
        <v>0</v>
      </c>
      <c r="AG271" s="31">
        <f t="shared" si="64"/>
        <v>1</v>
      </c>
    </row>
    <row r="272" spans="1:33" ht="10.5" x14ac:dyDescent="0.15">
      <c r="A272" s="1" t="s">
        <v>2655</v>
      </c>
      <c r="B272" s="1" t="s">
        <v>2656</v>
      </c>
      <c r="C272" s="3"/>
      <c r="D272" s="3"/>
      <c r="E272" s="3"/>
      <c r="F272" s="3"/>
      <c r="G272" s="3"/>
      <c r="H272" s="3"/>
      <c r="I272" s="3">
        <v>4870287.0762136867</v>
      </c>
      <c r="J272" s="3">
        <v>4870287.0762136867</v>
      </c>
      <c r="K272" s="26">
        <f t="shared" si="63"/>
        <v>2023</v>
      </c>
      <c r="L272" s="78"/>
      <c r="M272" s="37">
        <f t="shared" si="62"/>
        <v>0</v>
      </c>
      <c r="N272" s="31">
        <f t="shared" si="75"/>
        <v>0</v>
      </c>
      <c r="O272" s="31">
        <f t="shared" si="75"/>
        <v>0</v>
      </c>
      <c r="P272" s="31">
        <f t="shared" si="75"/>
        <v>9.8997133515637617E-3</v>
      </c>
      <c r="Q272" s="31">
        <f t="shared" si="75"/>
        <v>0</v>
      </c>
      <c r="R272" s="31">
        <f t="shared" si="75"/>
        <v>0</v>
      </c>
      <c r="S272" s="31">
        <f t="shared" si="75"/>
        <v>0</v>
      </c>
      <c r="T272" s="31">
        <f t="shared" si="75"/>
        <v>0</v>
      </c>
      <c r="U272" s="31">
        <f t="shared" si="75"/>
        <v>0</v>
      </c>
      <c r="V272" s="31">
        <f t="shared" si="75"/>
        <v>0</v>
      </c>
      <c r="W272" s="31">
        <f t="shared" si="75"/>
        <v>0.79697883928314239</v>
      </c>
      <c r="X272" s="31">
        <f t="shared" si="76"/>
        <v>0</v>
      </c>
      <c r="Y272" s="31">
        <f t="shared" si="76"/>
        <v>0.1331291827838956</v>
      </c>
      <c r="Z272" s="31">
        <f t="shared" si="76"/>
        <v>0</v>
      </c>
      <c r="AA272" s="31">
        <f t="shared" si="76"/>
        <v>0</v>
      </c>
      <c r="AB272" s="31">
        <f t="shared" si="76"/>
        <v>5.0092551223795675E-2</v>
      </c>
      <c r="AC272" s="31">
        <f t="shared" si="76"/>
        <v>6.5998089050683913E-3</v>
      </c>
      <c r="AD272" s="31">
        <f t="shared" si="76"/>
        <v>3.2999044525341965E-3</v>
      </c>
      <c r="AE272" s="31">
        <f t="shared" si="76"/>
        <v>0</v>
      </c>
      <c r="AF272" s="31">
        <f t="shared" si="76"/>
        <v>0</v>
      </c>
      <c r="AG272" s="31">
        <f t="shared" si="64"/>
        <v>1</v>
      </c>
    </row>
    <row r="273" spans="1:33" ht="10.5" x14ac:dyDescent="0.15">
      <c r="A273" s="1" t="s">
        <v>2657</v>
      </c>
      <c r="B273" s="1" t="s">
        <v>2658</v>
      </c>
      <c r="C273" s="3"/>
      <c r="D273" s="3"/>
      <c r="E273" s="3"/>
      <c r="F273" s="3"/>
      <c r="G273" s="3">
        <v>4656354.1440798584</v>
      </c>
      <c r="H273" s="3"/>
      <c r="I273" s="3"/>
      <c r="J273" s="3">
        <v>4656354.1440798584</v>
      </c>
      <c r="K273" s="26">
        <f t="shared" si="63"/>
        <v>2021</v>
      </c>
      <c r="L273" s="78"/>
      <c r="M273" s="37">
        <f t="shared" si="62"/>
        <v>3030390.7715632184</v>
      </c>
      <c r="N273" s="31">
        <f t="shared" si="75"/>
        <v>0</v>
      </c>
      <c r="O273" s="31">
        <f t="shared" si="75"/>
        <v>0</v>
      </c>
      <c r="P273" s="31">
        <f t="shared" si="75"/>
        <v>9.89971335156376E-3</v>
      </c>
      <c r="Q273" s="31">
        <f t="shared" si="75"/>
        <v>0</v>
      </c>
      <c r="R273" s="31">
        <f t="shared" si="75"/>
        <v>0</v>
      </c>
      <c r="S273" s="31">
        <f t="shared" si="75"/>
        <v>0</v>
      </c>
      <c r="T273" s="31">
        <f t="shared" si="75"/>
        <v>0</v>
      </c>
      <c r="U273" s="31">
        <f t="shared" si="75"/>
        <v>0</v>
      </c>
      <c r="V273" s="31">
        <f t="shared" si="75"/>
        <v>0</v>
      </c>
      <c r="W273" s="31">
        <f t="shared" si="75"/>
        <v>0.79697883928314239</v>
      </c>
      <c r="X273" s="31">
        <f t="shared" si="76"/>
        <v>0</v>
      </c>
      <c r="Y273" s="31">
        <f t="shared" si="76"/>
        <v>0.13312918278389554</v>
      </c>
      <c r="Z273" s="31">
        <f t="shared" si="76"/>
        <v>0</v>
      </c>
      <c r="AA273" s="31">
        <f t="shared" si="76"/>
        <v>0</v>
      </c>
      <c r="AB273" s="31">
        <f t="shared" si="76"/>
        <v>5.0092551223795655E-2</v>
      </c>
      <c r="AC273" s="31">
        <f t="shared" si="76"/>
        <v>6.5998089050683922E-3</v>
      </c>
      <c r="AD273" s="31">
        <f t="shared" si="76"/>
        <v>3.2999044525341961E-3</v>
      </c>
      <c r="AE273" s="31">
        <f t="shared" si="76"/>
        <v>0</v>
      </c>
      <c r="AF273" s="31">
        <f t="shared" si="76"/>
        <v>0</v>
      </c>
      <c r="AG273" s="31">
        <f t="shared" si="64"/>
        <v>0.99999999999999989</v>
      </c>
    </row>
    <row r="274" spans="1:33" ht="10.5" x14ac:dyDescent="0.15">
      <c r="A274" s="613" t="s">
        <v>2749</v>
      </c>
      <c r="B274" s="613" t="s">
        <v>115</v>
      </c>
      <c r="C274" s="630"/>
      <c r="D274" s="630">
        <v>22239863.330076396</v>
      </c>
      <c r="E274" s="630"/>
      <c r="F274" s="630"/>
      <c r="G274" s="630"/>
      <c r="H274" s="630"/>
      <c r="I274" s="630"/>
      <c r="J274" s="630">
        <v>22239863.330076396</v>
      </c>
      <c r="K274" s="26">
        <f t="shared" si="63"/>
        <v>2018</v>
      </c>
      <c r="L274" s="78"/>
      <c r="M274" s="37">
        <f t="shared" si="62"/>
        <v>0</v>
      </c>
      <c r="N274" s="31">
        <f t="shared" si="75"/>
        <v>0</v>
      </c>
      <c r="O274" s="31">
        <f t="shared" si="75"/>
        <v>2.0736493800065814E-2</v>
      </c>
      <c r="P274" s="31">
        <f t="shared" si="75"/>
        <v>0.14009851116809655</v>
      </c>
      <c r="Q274" s="31">
        <f t="shared" si="75"/>
        <v>0</v>
      </c>
      <c r="R274" s="31">
        <f t="shared" si="75"/>
        <v>1.1730045324340205E-3</v>
      </c>
      <c r="S274" s="31">
        <f t="shared" si="75"/>
        <v>0</v>
      </c>
      <c r="T274" s="31">
        <f t="shared" si="75"/>
        <v>0</v>
      </c>
      <c r="U274" s="31">
        <f t="shared" si="75"/>
        <v>0</v>
      </c>
      <c r="V274" s="31">
        <f t="shared" si="75"/>
        <v>0</v>
      </c>
      <c r="W274" s="31">
        <f t="shared" si="75"/>
        <v>0.32336100731679684</v>
      </c>
      <c r="X274" s="31">
        <f t="shared" si="76"/>
        <v>3.9093173208885737E-2</v>
      </c>
      <c r="Y274" s="31">
        <f t="shared" si="76"/>
        <v>0.15870496759294167</v>
      </c>
      <c r="Z274" s="31">
        <f t="shared" si="76"/>
        <v>1.1525852303274063E-2</v>
      </c>
      <c r="AA274" s="31">
        <f t="shared" si="76"/>
        <v>0</v>
      </c>
      <c r="AB274" s="31">
        <f t="shared" si="76"/>
        <v>0.21744896686091472</v>
      </c>
      <c r="AC274" s="31">
        <f t="shared" si="76"/>
        <v>4.6810083070830268E-2</v>
      </c>
      <c r="AD274" s="31">
        <f t="shared" si="76"/>
        <v>4.104794014576036E-2</v>
      </c>
      <c r="AE274" s="31">
        <f t="shared" si="76"/>
        <v>0</v>
      </c>
      <c r="AF274" s="31">
        <f t="shared" si="76"/>
        <v>0</v>
      </c>
      <c r="AG274" s="31">
        <f t="shared" si="64"/>
        <v>1</v>
      </c>
    </row>
    <row r="275" spans="1:33" ht="10.5" x14ac:dyDescent="0.15">
      <c r="A275" s="613" t="s">
        <v>2750</v>
      </c>
      <c r="B275" s="613" t="s">
        <v>359</v>
      </c>
      <c r="C275" s="630"/>
      <c r="D275" s="630">
        <v>12625689.831661999</v>
      </c>
      <c r="E275" s="630"/>
      <c r="F275" s="630"/>
      <c r="G275" s="630"/>
      <c r="H275" s="630"/>
      <c r="I275" s="630"/>
      <c r="J275" s="630">
        <v>12625689.831661999</v>
      </c>
      <c r="K275" s="26">
        <f t="shared" si="63"/>
        <v>2018</v>
      </c>
      <c r="L275" s="78"/>
      <c r="M275" s="37">
        <f t="shared" ref="M275:M286" si="77">IF(ISNA(VLOOKUP($A275,Estimates,71,FALSE)),0,VLOOKUP($A275,Estimates,71,FALSE))</f>
        <v>0</v>
      </c>
      <c r="N275" s="31">
        <f t="shared" si="75"/>
        <v>0</v>
      </c>
      <c r="O275" s="31">
        <f t="shared" si="75"/>
        <v>0</v>
      </c>
      <c r="P275" s="31">
        <f t="shared" si="75"/>
        <v>0</v>
      </c>
      <c r="Q275" s="31">
        <f t="shared" si="75"/>
        <v>0</v>
      </c>
      <c r="R275" s="31">
        <f t="shared" si="75"/>
        <v>0</v>
      </c>
      <c r="S275" s="31">
        <f t="shared" si="75"/>
        <v>0</v>
      </c>
      <c r="T275" s="31">
        <f t="shared" si="75"/>
        <v>0</v>
      </c>
      <c r="U275" s="31">
        <f t="shared" si="75"/>
        <v>0</v>
      </c>
      <c r="V275" s="31">
        <f t="shared" si="75"/>
        <v>0</v>
      </c>
      <c r="W275" s="31">
        <f t="shared" si="75"/>
        <v>1</v>
      </c>
      <c r="X275" s="31">
        <f t="shared" si="76"/>
        <v>0</v>
      </c>
      <c r="Y275" s="31">
        <f t="shared" si="76"/>
        <v>0</v>
      </c>
      <c r="Z275" s="31">
        <f t="shared" si="76"/>
        <v>0</v>
      </c>
      <c r="AA275" s="31">
        <f t="shared" si="76"/>
        <v>0</v>
      </c>
      <c r="AB275" s="31">
        <f t="shared" si="76"/>
        <v>0</v>
      </c>
      <c r="AC275" s="31">
        <f t="shared" si="76"/>
        <v>0</v>
      </c>
      <c r="AD275" s="31">
        <f t="shared" si="76"/>
        <v>0</v>
      </c>
      <c r="AE275" s="31">
        <f t="shared" si="76"/>
        <v>0</v>
      </c>
      <c r="AF275" s="31">
        <f t="shared" si="76"/>
        <v>0</v>
      </c>
      <c r="AG275" s="31">
        <f t="shared" si="64"/>
        <v>1</v>
      </c>
    </row>
    <row r="276" spans="1:33" ht="10.5" x14ac:dyDescent="0.15">
      <c r="A276" s="613" t="s">
        <v>2751</v>
      </c>
      <c r="B276" s="613" t="s">
        <v>115</v>
      </c>
      <c r="C276" s="630"/>
      <c r="D276" s="630"/>
      <c r="E276" s="630">
        <v>12260151.405203428</v>
      </c>
      <c r="F276" s="630"/>
      <c r="G276" s="630"/>
      <c r="H276" s="630"/>
      <c r="I276" s="630"/>
      <c r="J276" s="630">
        <v>12260151.405203428</v>
      </c>
      <c r="K276" s="26">
        <f t="shared" ref="K276:K286" si="78">INDEX($C$18:$I$18,1,MATCH(J276,$C276:$I276,0))</f>
        <v>2019</v>
      </c>
      <c r="L276" s="78"/>
      <c r="M276" s="37">
        <f t="shared" si="77"/>
        <v>0</v>
      </c>
      <c r="N276" s="31">
        <f t="shared" si="75"/>
        <v>0</v>
      </c>
      <c r="O276" s="31">
        <f t="shared" si="75"/>
        <v>2.0736493800065814E-2</v>
      </c>
      <c r="P276" s="31">
        <f t="shared" si="75"/>
        <v>0.14009851116809655</v>
      </c>
      <c r="Q276" s="31">
        <f t="shared" si="75"/>
        <v>0</v>
      </c>
      <c r="R276" s="31">
        <f t="shared" si="75"/>
        <v>1.1730045324340205E-3</v>
      </c>
      <c r="S276" s="31">
        <f t="shared" si="75"/>
        <v>0</v>
      </c>
      <c r="T276" s="31">
        <f t="shared" si="75"/>
        <v>0</v>
      </c>
      <c r="U276" s="31">
        <f t="shared" si="75"/>
        <v>0</v>
      </c>
      <c r="V276" s="31">
        <f t="shared" si="75"/>
        <v>0</v>
      </c>
      <c r="W276" s="31">
        <f t="shared" si="75"/>
        <v>0.32336100731679684</v>
      </c>
      <c r="X276" s="31">
        <f t="shared" si="76"/>
        <v>3.9093173208885737E-2</v>
      </c>
      <c r="Y276" s="31">
        <f t="shared" si="76"/>
        <v>0.15870496759294167</v>
      </c>
      <c r="Z276" s="31">
        <f t="shared" si="76"/>
        <v>1.1525852303274063E-2</v>
      </c>
      <c r="AA276" s="31">
        <f t="shared" si="76"/>
        <v>0</v>
      </c>
      <c r="AB276" s="31">
        <f t="shared" si="76"/>
        <v>0.21744896686091472</v>
      </c>
      <c r="AC276" s="31">
        <f t="shared" si="76"/>
        <v>4.6810083070830268E-2</v>
      </c>
      <c r="AD276" s="31">
        <f t="shared" si="76"/>
        <v>4.104794014576036E-2</v>
      </c>
      <c r="AE276" s="31">
        <f t="shared" si="76"/>
        <v>0</v>
      </c>
      <c r="AF276" s="31">
        <f t="shared" si="76"/>
        <v>0</v>
      </c>
      <c r="AG276" s="31">
        <f t="shared" ref="AG276:AG286" si="79">SUM(N276:AF276)</f>
        <v>1</v>
      </c>
    </row>
    <row r="277" spans="1:33" ht="10.5" x14ac:dyDescent="0.15">
      <c r="A277" s="613" t="s">
        <v>2752</v>
      </c>
      <c r="B277" s="613" t="s">
        <v>359</v>
      </c>
      <c r="C277" s="630"/>
      <c r="D277" s="630"/>
      <c r="E277" s="630">
        <v>308049.42455996649</v>
      </c>
      <c r="F277" s="630"/>
      <c r="G277" s="630"/>
      <c r="H277" s="630"/>
      <c r="I277" s="630"/>
      <c r="J277" s="630">
        <v>308049.42455996649</v>
      </c>
      <c r="K277" s="26">
        <f t="shared" si="78"/>
        <v>2019</v>
      </c>
      <c r="L277" s="78"/>
      <c r="M277" s="37">
        <f t="shared" si="77"/>
        <v>0</v>
      </c>
      <c r="N277" s="31">
        <f t="shared" si="75"/>
        <v>0</v>
      </c>
      <c r="O277" s="31">
        <f t="shared" si="75"/>
        <v>0</v>
      </c>
      <c r="P277" s="31">
        <f t="shared" si="75"/>
        <v>0</v>
      </c>
      <c r="Q277" s="31">
        <f t="shared" si="75"/>
        <v>0</v>
      </c>
      <c r="R277" s="31">
        <f t="shared" si="75"/>
        <v>0</v>
      </c>
      <c r="S277" s="31">
        <f t="shared" si="75"/>
        <v>0</v>
      </c>
      <c r="T277" s="31">
        <f t="shared" si="75"/>
        <v>0</v>
      </c>
      <c r="U277" s="31">
        <f t="shared" si="75"/>
        <v>0</v>
      </c>
      <c r="V277" s="31">
        <f t="shared" si="75"/>
        <v>0</v>
      </c>
      <c r="W277" s="31">
        <f t="shared" si="75"/>
        <v>1</v>
      </c>
      <c r="X277" s="31">
        <f t="shared" si="76"/>
        <v>0</v>
      </c>
      <c r="Y277" s="31">
        <f t="shared" si="76"/>
        <v>0</v>
      </c>
      <c r="Z277" s="31">
        <f t="shared" si="76"/>
        <v>0</v>
      </c>
      <c r="AA277" s="31">
        <f t="shared" si="76"/>
        <v>0</v>
      </c>
      <c r="AB277" s="31">
        <f t="shared" si="76"/>
        <v>0</v>
      </c>
      <c r="AC277" s="31">
        <f t="shared" si="76"/>
        <v>0</v>
      </c>
      <c r="AD277" s="31">
        <f t="shared" si="76"/>
        <v>0</v>
      </c>
      <c r="AE277" s="31">
        <f t="shared" si="76"/>
        <v>0</v>
      </c>
      <c r="AF277" s="31">
        <f t="shared" si="76"/>
        <v>0</v>
      </c>
      <c r="AG277" s="31">
        <f t="shared" si="79"/>
        <v>1</v>
      </c>
    </row>
    <row r="278" spans="1:33" ht="10.5" x14ac:dyDescent="0.15">
      <c r="A278" s="613" t="s">
        <v>2754</v>
      </c>
      <c r="B278" s="613" t="s">
        <v>568</v>
      </c>
      <c r="C278" s="630"/>
      <c r="D278" s="630"/>
      <c r="E278" s="630"/>
      <c r="F278" s="630">
        <v>10369025.985086767</v>
      </c>
      <c r="G278" s="630"/>
      <c r="H278" s="630"/>
      <c r="I278" s="630"/>
      <c r="J278" s="630">
        <v>10369025.985086767</v>
      </c>
      <c r="K278" s="26">
        <f t="shared" si="78"/>
        <v>2020</v>
      </c>
      <c r="L278" s="78"/>
      <c r="M278" s="37">
        <f t="shared" si="77"/>
        <v>0</v>
      </c>
      <c r="N278" s="31">
        <f t="shared" si="75"/>
        <v>0</v>
      </c>
      <c r="O278" s="31">
        <f t="shared" si="75"/>
        <v>0</v>
      </c>
      <c r="P278" s="31">
        <f t="shared" si="75"/>
        <v>0</v>
      </c>
      <c r="Q278" s="31">
        <f t="shared" si="75"/>
        <v>0</v>
      </c>
      <c r="R278" s="31">
        <f t="shared" si="75"/>
        <v>0</v>
      </c>
      <c r="S278" s="31">
        <f t="shared" si="75"/>
        <v>0</v>
      </c>
      <c r="T278" s="31">
        <f t="shared" si="75"/>
        <v>0</v>
      </c>
      <c r="U278" s="31">
        <f t="shared" si="75"/>
        <v>0</v>
      </c>
      <c r="V278" s="31">
        <f t="shared" si="75"/>
        <v>0</v>
      </c>
      <c r="W278" s="31">
        <f t="shared" si="75"/>
        <v>0</v>
      </c>
      <c r="X278" s="31">
        <f t="shared" si="76"/>
        <v>0</v>
      </c>
      <c r="Y278" s="31">
        <f t="shared" si="76"/>
        <v>0</v>
      </c>
      <c r="Z278" s="31">
        <f t="shared" si="76"/>
        <v>0</v>
      </c>
      <c r="AA278" s="31">
        <f t="shared" si="76"/>
        <v>0</v>
      </c>
      <c r="AB278" s="31">
        <f t="shared" si="76"/>
        <v>0</v>
      </c>
      <c r="AC278" s="31">
        <f t="shared" si="76"/>
        <v>0</v>
      </c>
      <c r="AD278" s="31">
        <f t="shared" si="76"/>
        <v>0</v>
      </c>
      <c r="AE278" s="31">
        <f t="shared" si="76"/>
        <v>0</v>
      </c>
      <c r="AF278" s="31">
        <f t="shared" si="76"/>
        <v>1</v>
      </c>
      <c r="AG278" s="31">
        <f t="shared" si="79"/>
        <v>1</v>
      </c>
    </row>
    <row r="279" spans="1:33" ht="10.5" x14ac:dyDescent="0.15">
      <c r="A279" s="613" t="s">
        <v>2755</v>
      </c>
      <c r="B279" s="613" t="s">
        <v>568</v>
      </c>
      <c r="C279" s="630"/>
      <c r="D279" s="630"/>
      <c r="E279" s="630"/>
      <c r="F279" s="630"/>
      <c r="G279" s="630">
        <v>13059906.667888271</v>
      </c>
      <c r="H279" s="630"/>
      <c r="I279" s="630"/>
      <c r="J279" s="630">
        <v>13059906.667888271</v>
      </c>
      <c r="K279" s="26">
        <f t="shared" si="78"/>
        <v>2021</v>
      </c>
      <c r="L279" s="78"/>
      <c r="M279" s="37">
        <f t="shared" si="77"/>
        <v>0</v>
      </c>
      <c r="N279" s="31">
        <f t="shared" ref="N279:W286" si="80">IF(OR(LEFT($A279,1)="E",LEFT($A279,1)="Z"),IF($M279=0,VLOOKUP(MID($A279,4,5),ProjectSplits,N$2,FALSE),IF(ISNA(VLOOKUP($A279,Estimates,N$1,FALSE)),VLOOKUP(MID($A279,4,5),ProjectSplits,N$2,FALSE),VLOOKUP($A279,Estimates,N$1,FALSE))),0)</f>
        <v>0</v>
      </c>
      <c r="O279" s="31">
        <f t="shared" si="80"/>
        <v>0</v>
      </c>
      <c r="P279" s="31">
        <f t="shared" si="80"/>
        <v>0</v>
      </c>
      <c r="Q279" s="31">
        <f t="shared" si="80"/>
        <v>0</v>
      </c>
      <c r="R279" s="31">
        <f t="shared" si="80"/>
        <v>0</v>
      </c>
      <c r="S279" s="31">
        <f t="shared" si="80"/>
        <v>0</v>
      </c>
      <c r="T279" s="31">
        <f t="shared" si="80"/>
        <v>0</v>
      </c>
      <c r="U279" s="31">
        <f t="shared" si="80"/>
        <v>0</v>
      </c>
      <c r="V279" s="31">
        <f t="shared" si="80"/>
        <v>0</v>
      </c>
      <c r="W279" s="31">
        <f t="shared" si="80"/>
        <v>0</v>
      </c>
      <c r="X279" s="31">
        <f t="shared" ref="X279:AF286" si="81">IF(OR(LEFT($A279,1)="E",LEFT($A279,1)="Z"),IF($M279=0,VLOOKUP(MID($A279,4,5),ProjectSplits,X$2,FALSE),IF(ISNA(VLOOKUP($A279,Estimates,X$1,FALSE)),VLOOKUP(MID($A279,4,5),ProjectSplits,X$2,FALSE),VLOOKUP($A279,Estimates,X$1,FALSE))),0)</f>
        <v>0</v>
      </c>
      <c r="Y279" s="31">
        <f t="shared" si="81"/>
        <v>0</v>
      </c>
      <c r="Z279" s="31">
        <f t="shared" si="81"/>
        <v>0</v>
      </c>
      <c r="AA279" s="31">
        <f t="shared" si="81"/>
        <v>0</v>
      </c>
      <c r="AB279" s="31">
        <f t="shared" si="81"/>
        <v>0</v>
      </c>
      <c r="AC279" s="31">
        <f t="shared" si="81"/>
        <v>0</v>
      </c>
      <c r="AD279" s="31">
        <f t="shared" si="81"/>
        <v>0</v>
      </c>
      <c r="AE279" s="31">
        <f t="shared" si="81"/>
        <v>0</v>
      </c>
      <c r="AF279" s="31">
        <f t="shared" si="81"/>
        <v>1</v>
      </c>
      <c r="AG279" s="31">
        <f t="shared" si="79"/>
        <v>1</v>
      </c>
    </row>
    <row r="280" spans="1:33" ht="10.5" x14ac:dyDescent="0.15">
      <c r="A280" s="613" t="s">
        <v>2756</v>
      </c>
      <c r="B280" s="613" t="s">
        <v>568</v>
      </c>
      <c r="C280" s="630"/>
      <c r="D280" s="630"/>
      <c r="E280" s="630"/>
      <c r="F280" s="630"/>
      <c r="G280" s="630"/>
      <c r="H280" s="630">
        <v>18926322.3768369</v>
      </c>
      <c r="I280" s="630"/>
      <c r="J280" s="630">
        <v>18926322.3768369</v>
      </c>
      <c r="K280" s="26">
        <f t="shared" si="78"/>
        <v>2022</v>
      </c>
      <c r="L280" s="78"/>
      <c r="M280" s="37">
        <f t="shared" si="77"/>
        <v>0</v>
      </c>
      <c r="N280" s="31">
        <f t="shared" si="80"/>
        <v>0</v>
      </c>
      <c r="O280" s="31">
        <f t="shared" si="80"/>
        <v>0</v>
      </c>
      <c r="P280" s="31">
        <f t="shared" si="80"/>
        <v>0</v>
      </c>
      <c r="Q280" s="31">
        <f t="shared" si="80"/>
        <v>0</v>
      </c>
      <c r="R280" s="31">
        <f t="shared" si="80"/>
        <v>0</v>
      </c>
      <c r="S280" s="31">
        <f t="shared" si="80"/>
        <v>0</v>
      </c>
      <c r="T280" s="31">
        <f t="shared" si="80"/>
        <v>0</v>
      </c>
      <c r="U280" s="31">
        <f t="shared" si="80"/>
        <v>0</v>
      </c>
      <c r="V280" s="31">
        <f t="shared" si="80"/>
        <v>0</v>
      </c>
      <c r="W280" s="31">
        <f t="shared" si="80"/>
        <v>0</v>
      </c>
      <c r="X280" s="31">
        <f t="shared" si="81"/>
        <v>0</v>
      </c>
      <c r="Y280" s="31">
        <f t="shared" si="81"/>
        <v>0</v>
      </c>
      <c r="Z280" s="31">
        <f t="shared" si="81"/>
        <v>0</v>
      </c>
      <c r="AA280" s="31">
        <f t="shared" si="81"/>
        <v>0</v>
      </c>
      <c r="AB280" s="31">
        <f t="shared" si="81"/>
        <v>0</v>
      </c>
      <c r="AC280" s="31">
        <f t="shared" si="81"/>
        <v>0</v>
      </c>
      <c r="AD280" s="31">
        <f t="shared" si="81"/>
        <v>0</v>
      </c>
      <c r="AE280" s="31">
        <f t="shared" si="81"/>
        <v>0</v>
      </c>
      <c r="AF280" s="31">
        <f t="shared" si="81"/>
        <v>1</v>
      </c>
      <c r="AG280" s="31">
        <f t="shared" si="79"/>
        <v>1</v>
      </c>
    </row>
    <row r="281" spans="1:33" ht="10.5" x14ac:dyDescent="0.15">
      <c r="A281" s="613" t="s">
        <v>2757</v>
      </c>
      <c r="B281" s="613" t="s">
        <v>570</v>
      </c>
      <c r="C281" s="630"/>
      <c r="D281" s="630"/>
      <c r="E281" s="630"/>
      <c r="F281" s="630"/>
      <c r="G281" s="630"/>
      <c r="H281" s="630">
        <v>6232178.0149764884</v>
      </c>
      <c r="I281" s="630"/>
      <c r="J281" s="630">
        <v>6232178.0149764884</v>
      </c>
      <c r="K281" s="26">
        <f t="shared" si="78"/>
        <v>2022</v>
      </c>
      <c r="L281" s="78"/>
      <c r="M281" s="37">
        <f t="shared" si="77"/>
        <v>0</v>
      </c>
      <c r="N281" s="31">
        <f t="shared" si="80"/>
        <v>0</v>
      </c>
      <c r="O281" s="31">
        <f t="shared" si="80"/>
        <v>0</v>
      </c>
      <c r="P281" s="31">
        <f t="shared" si="80"/>
        <v>0</v>
      </c>
      <c r="Q281" s="31">
        <f t="shared" si="80"/>
        <v>0</v>
      </c>
      <c r="R281" s="31">
        <f t="shared" si="80"/>
        <v>0</v>
      </c>
      <c r="S281" s="31">
        <f t="shared" si="80"/>
        <v>0</v>
      </c>
      <c r="T281" s="31">
        <f t="shared" si="80"/>
        <v>0</v>
      </c>
      <c r="U281" s="31">
        <f t="shared" si="80"/>
        <v>0</v>
      </c>
      <c r="V281" s="31">
        <f t="shared" si="80"/>
        <v>0</v>
      </c>
      <c r="W281" s="31">
        <f t="shared" si="80"/>
        <v>0</v>
      </c>
      <c r="X281" s="31">
        <f t="shared" si="81"/>
        <v>0</v>
      </c>
      <c r="Y281" s="31">
        <f t="shared" si="81"/>
        <v>0</v>
      </c>
      <c r="Z281" s="31">
        <f t="shared" si="81"/>
        <v>0</v>
      </c>
      <c r="AA281" s="31">
        <f t="shared" si="81"/>
        <v>0</v>
      </c>
      <c r="AB281" s="31">
        <f t="shared" si="81"/>
        <v>0</v>
      </c>
      <c r="AC281" s="31">
        <f t="shared" si="81"/>
        <v>0</v>
      </c>
      <c r="AD281" s="31">
        <f t="shared" si="81"/>
        <v>0</v>
      </c>
      <c r="AE281" s="31">
        <f t="shared" si="81"/>
        <v>0</v>
      </c>
      <c r="AF281" s="31">
        <f t="shared" si="81"/>
        <v>1</v>
      </c>
      <c r="AG281" s="31">
        <f t="shared" si="79"/>
        <v>1</v>
      </c>
    </row>
    <row r="282" spans="1:33" ht="10.5" x14ac:dyDescent="0.15">
      <c r="A282" s="613" t="s">
        <v>2758</v>
      </c>
      <c r="B282" s="613" t="s">
        <v>568</v>
      </c>
      <c r="C282" s="630"/>
      <c r="D282" s="630"/>
      <c r="E282" s="630"/>
      <c r="F282" s="630"/>
      <c r="G282" s="630"/>
      <c r="H282" s="630"/>
      <c r="I282" s="630">
        <v>17640515.865903974</v>
      </c>
      <c r="J282" s="630">
        <v>17640515.865903974</v>
      </c>
      <c r="K282" s="26">
        <f t="shared" si="78"/>
        <v>2023</v>
      </c>
      <c r="L282" s="78"/>
      <c r="M282" s="37">
        <f t="shared" si="77"/>
        <v>0</v>
      </c>
      <c r="N282" s="31">
        <f t="shared" si="80"/>
        <v>0</v>
      </c>
      <c r="O282" s="31">
        <f t="shared" si="80"/>
        <v>0</v>
      </c>
      <c r="P282" s="31">
        <f t="shared" si="80"/>
        <v>0</v>
      </c>
      <c r="Q282" s="31">
        <f t="shared" si="80"/>
        <v>0</v>
      </c>
      <c r="R282" s="31">
        <f t="shared" si="80"/>
        <v>0</v>
      </c>
      <c r="S282" s="31">
        <f t="shared" si="80"/>
        <v>0</v>
      </c>
      <c r="T282" s="31">
        <f t="shared" si="80"/>
        <v>0</v>
      </c>
      <c r="U282" s="31">
        <f t="shared" si="80"/>
        <v>0</v>
      </c>
      <c r="V282" s="31">
        <f t="shared" si="80"/>
        <v>0</v>
      </c>
      <c r="W282" s="31">
        <f t="shared" si="80"/>
        <v>0</v>
      </c>
      <c r="X282" s="31">
        <f t="shared" si="81"/>
        <v>0</v>
      </c>
      <c r="Y282" s="31">
        <f t="shared" si="81"/>
        <v>0</v>
      </c>
      <c r="Z282" s="31">
        <f t="shared" si="81"/>
        <v>0</v>
      </c>
      <c r="AA282" s="31">
        <f t="shared" si="81"/>
        <v>0</v>
      </c>
      <c r="AB282" s="31">
        <f t="shared" si="81"/>
        <v>0</v>
      </c>
      <c r="AC282" s="31">
        <f t="shared" si="81"/>
        <v>0</v>
      </c>
      <c r="AD282" s="31">
        <f t="shared" si="81"/>
        <v>0</v>
      </c>
      <c r="AE282" s="31">
        <f t="shared" si="81"/>
        <v>0</v>
      </c>
      <c r="AF282" s="31">
        <f t="shared" si="81"/>
        <v>1</v>
      </c>
      <c r="AG282" s="31">
        <f t="shared" si="79"/>
        <v>1</v>
      </c>
    </row>
    <row r="283" spans="1:33" ht="10.5" x14ac:dyDescent="0.15">
      <c r="A283" s="613" t="s">
        <v>2759</v>
      </c>
      <c r="B283" s="613" t="s">
        <v>570</v>
      </c>
      <c r="C283" s="630"/>
      <c r="D283" s="630"/>
      <c r="E283" s="630"/>
      <c r="F283" s="630"/>
      <c r="G283" s="630"/>
      <c r="H283" s="630"/>
      <c r="I283" s="630">
        <v>3624097.8245400744</v>
      </c>
      <c r="J283" s="630">
        <v>3624097.8245400744</v>
      </c>
      <c r="K283" s="26">
        <f t="shared" si="78"/>
        <v>2023</v>
      </c>
      <c r="L283" s="78"/>
      <c r="M283" s="37">
        <f t="shared" si="77"/>
        <v>0</v>
      </c>
      <c r="N283" s="31">
        <f t="shared" si="80"/>
        <v>0</v>
      </c>
      <c r="O283" s="31">
        <f t="shared" si="80"/>
        <v>0</v>
      </c>
      <c r="P283" s="31">
        <f t="shared" si="80"/>
        <v>0</v>
      </c>
      <c r="Q283" s="31">
        <f t="shared" si="80"/>
        <v>0</v>
      </c>
      <c r="R283" s="31">
        <f t="shared" si="80"/>
        <v>0</v>
      </c>
      <c r="S283" s="31">
        <f t="shared" si="80"/>
        <v>0</v>
      </c>
      <c r="T283" s="31">
        <f t="shared" si="80"/>
        <v>0</v>
      </c>
      <c r="U283" s="31">
        <f t="shared" si="80"/>
        <v>0</v>
      </c>
      <c r="V283" s="31">
        <f t="shared" si="80"/>
        <v>0</v>
      </c>
      <c r="W283" s="31">
        <f t="shared" si="80"/>
        <v>0</v>
      </c>
      <c r="X283" s="31">
        <f t="shared" si="81"/>
        <v>0</v>
      </c>
      <c r="Y283" s="31">
        <f t="shared" si="81"/>
        <v>0</v>
      </c>
      <c r="Z283" s="31">
        <f t="shared" si="81"/>
        <v>0</v>
      </c>
      <c r="AA283" s="31">
        <f t="shared" si="81"/>
        <v>0</v>
      </c>
      <c r="AB283" s="31">
        <f t="shared" si="81"/>
        <v>0</v>
      </c>
      <c r="AC283" s="31">
        <f t="shared" si="81"/>
        <v>0</v>
      </c>
      <c r="AD283" s="31">
        <f t="shared" si="81"/>
        <v>0</v>
      </c>
      <c r="AE283" s="31">
        <f t="shared" si="81"/>
        <v>0</v>
      </c>
      <c r="AF283" s="31">
        <f t="shared" si="81"/>
        <v>1</v>
      </c>
      <c r="AG283" s="31">
        <f t="shared" si="79"/>
        <v>1</v>
      </c>
    </row>
    <row r="284" spans="1:33" ht="10.5" x14ac:dyDescent="0.15">
      <c r="A284" s="1" t="s">
        <v>2778</v>
      </c>
      <c r="B284" s="1" t="s">
        <v>2779</v>
      </c>
      <c r="C284" s="3"/>
      <c r="D284" s="3">
        <v>3485039.0520342514</v>
      </c>
      <c r="E284" s="3"/>
      <c r="F284" s="3"/>
      <c r="G284" s="3"/>
      <c r="H284" s="3"/>
      <c r="I284" s="3"/>
      <c r="J284" s="3">
        <v>3485039.0520342514</v>
      </c>
      <c r="K284" s="26">
        <f t="shared" si="78"/>
        <v>2018</v>
      </c>
      <c r="L284" s="78"/>
      <c r="M284" s="37">
        <f t="shared" si="77"/>
        <v>2682824.998441956</v>
      </c>
      <c r="N284" s="31">
        <f t="shared" si="80"/>
        <v>0</v>
      </c>
      <c r="O284" s="31">
        <f t="shared" si="80"/>
        <v>0</v>
      </c>
      <c r="P284" s="31">
        <f t="shared" si="80"/>
        <v>0</v>
      </c>
      <c r="Q284" s="31">
        <f t="shared" si="80"/>
        <v>0</v>
      </c>
      <c r="R284" s="31">
        <f t="shared" si="80"/>
        <v>0</v>
      </c>
      <c r="S284" s="31">
        <f t="shared" si="80"/>
        <v>0</v>
      </c>
      <c r="T284" s="31">
        <f t="shared" si="80"/>
        <v>0</v>
      </c>
      <c r="U284" s="31">
        <f t="shared" si="80"/>
        <v>0</v>
      </c>
      <c r="V284" s="31">
        <f t="shared" si="80"/>
        <v>0</v>
      </c>
      <c r="W284" s="31">
        <f t="shared" si="80"/>
        <v>0</v>
      </c>
      <c r="X284" s="31">
        <f t="shared" si="81"/>
        <v>0</v>
      </c>
      <c r="Y284" s="31">
        <f t="shared" si="81"/>
        <v>0</v>
      </c>
      <c r="Z284" s="31">
        <f t="shared" si="81"/>
        <v>0</v>
      </c>
      <c r="AA284" s="31">
        <f t="shared" si="81"/>
        <v>0</v>
      </c>
      <c r="AB284" s="31">
        <f t="shared" si="81"/>
        <v>1.1182242605247236E-2</v>
      </c>
      <c r="AC284" s="31">
        <f t="shared" si="81"/>
        <v>0.98881775739475275</v>
      </c>
      <c r="AD284" s="31">
        <f t="shared" si="81"/>
        <v>0</v>
      </c>
      <c r="AE284" s="31">
        <f t="shared" si="81"/>
        <v>0</v>
      </c>
      <c r="AF284" s="31">
        <f t="shared" si="81"/>
        <v>0</v>
      </c>
      <c r="AG284" s="31">
        <f t="shared" si="79"/>
        <v>1</v>
      </c>
    </row>
    <row r="285" spans="1:33" ht="10.5" x14ac:dyDescent="0.15">
      <c r="A285" s="1" t="s">
        <v>2776</v>
      </c>
      <c r="B285" s="1" t="s">
        <v>2777</v>
      </c>
      <c r="C285" s="3"/>
      <c r="D285" s="3"/>
      <c r="E285" s="3"/>
      <c r="F285" s="3"/>
      <c r="G285" s="3"/>
      <c r="H285" s="3"/>
      <c r="I285" s="3">
        <v>1578322.9355607317</v>
      </c>
      <c r="J285" s="3">
        <v>1578322.9355607317</v>
      </c>
      <c r="K285" s="26">
        <f t="shared" si="78"/>
        <v>2023</v>
      </c>
      <c r="L285" s="78"/>
      <c r="M285" s="37">
        <f t="shared" si="77"/>
        <v>762637.11005793454</v>
      </c>
      <c r="N285" s="31">
        <f t="shared" si="80"/>
        <v>0</v>
      </c>
      <c r="O285" s="31">
        <f t="shared" si="80"/>
        <v>0</v>
      </c>
      <c r="P285" s="31">
        <f t="shared" si="80"/>
        <v>0</v>
      </c>
      <c r="Q285" s="31">
        <f t="shared" si="80"/>
        <v>0</v>
      </c>
      <c r="R285" s="31">
        <f t="shared" si="80"/>
        <v>0</v>
      </c>
      <c r="S285" s="31">
        <f t="shared" si="80"/>
        <v>0</v>
      </c>
      <c r="T285" s="31">
        <f t="shared" si="80"/>
        <v>0</v>
      </c>
      <c r="U285" s="31">
        <f t="shared" si="80"/>
        <v>0</v>
      </c>
      <c r="V285" s="31">
        <f t="shared" si="80"/>
        <v>0</v>
      </c>
      <c r="W285" s="31">
        <f t="shared" si="80"/>
        <v>0.41987652027118744</v>
      </c>
      <c r="X285" s="31">
        <f t="shared" si="81"/>
        <v>0</v>
      </c>
      <c r="Y285" s="31">
        <f t="shared" si="81"/>
        <v>0.31764697261628599</v>
      </c>
      <c r="Z285" s="31">
        <f t="shared" si="81"/>
        <v>3.0289635387983141E-2</v>
      </c>
      <c r="AA285" s="31">
        <f t="shared" si="81"/>
        <v>0</v>
      </c>
      <c r="AB285" s="31">
        <f t="shared" si="81"/>
        <v>0.16298709211082793</v>
      </c>
      <c r="AC285" s="31">
        <f t="shared" si="81"/>
        <v>0</v>
      </c>
      <c r="AD285" s="31">
        <f t="shared" si="81"/>
        <v>6.9199779613715567E-2</v>
      </c>
      <c r="AE285" s="31">
        <f t="shared" si="81"/>
        <v>0</v>
      </c>
      <c r="AF285" s="31">
        <f t="shared" si="81"/>
        <v>0</v>
      </c>
      <c r="AG285" s="31">
        <f t="shared" si="79"/>
        <v>1</v>
      </c>
    </row>
    <row r="286" spans="1:33" ht="10.5" x14ac:dyDescent="0.15">
      <c r="A286" s="607" t="s">
        <v>2984</v>
      </c>
      <c r="B286" s="607" t="s">
        <v>325</v>
      </c>
      <c r="C286" s="631"/>
      <c r="D286" s="631">
        <v>6227264.2448019972</v>
      </c>
      <c r="E286" s="631"/>
      <c r="F286" s="631"/>
      <c r="G286" s="631"/>
      <c r="H286" s="631"/>
      <c r="I286" s="631"/>
      <c r="J286" s="631">
        <v>6227264.2448019972</v>
      </c>
      <c r="K286" s="26">
        <f t="shared" si="78"/>
        <v>2018</v>
      </c>
      <c r="L286" s="78"/>
      <c r="M286" s="37">
        <f t="shared" si="77"/>
        <v>0</v>
      </c>
      <c r="N286" s="31">
        <f t="shared" si="80"/>
        <v>0</v>
      </c>
      <c r="O286" s="31">
        <f t="shared" si="80"/>
        <v>0.11751392769222635</v>
      </c>
      <c r="P286" s="31">
        <f t="shared" si="80"/>
        <v>0.52638483510875078</v>
      </c>
      <c r="Q286" s="31">
        <f t="shared" si="80"/>
        <v>0.3412905937757601</v>
      </c>
      <c r="R286" s="31">
        <f t="shared" si="80"/>
        <v>0</v>
      </c>
      <c r="S286" s="31">
        <f t="shared" si="80"/>
        <v>0</v>
      </c>
      <c r="T286" s="31">
        <f t="shared" si="80"/>
        <v>0</v>
      </c>
      <c r="U286" s="31">
        <f t="shared" si="80"/>
        <v>0</v>
      </c>
      <c r="V286" s="31">
        <f t="shared" si="80"/>
        <v>0</v>
      </c>
      <c r="W286" s="31">
        <f t="shared" si="80"/>
        <v>0</v>
      </c>
      <c r="X286" s="31">
        <f t="shared" si="81"/>
        <v>0</v>
      </c>
      <c r="Y286" s="31">
        <f t="shared" si="81"/>
        <v>0</v>
      </c>
      <c r="Z286" s="31">
        <f t="shared" si="81"/>
        <v>0</v>
      </c>
      <c r="AA286" s="31">
        <f t="shared" si="81"/>
        <v>0</v>
      </c>
      <c r="AB286" s="31">
        <f t="shared" si="81"/>
        <v>1.4810643423262822E-2</v>
      </c>
      <c r="AC286" s="31">
        <f t="shared" si="81"/>
        <v>0</v>
      </c>
      <c r="AD286" s="31">
        <f t="shared" si="81"/>
        <v>0</v>
      </c>
      <c r="AE286" s="31">
        <f t="shared" si="81"/>
        <v>0</v>
      </c>
      <c r="AF286" s="31">
        <f t="shared" si="81"/>
        <v>0</v>
      </c>
      <c r="AG286" s="31">
        <f t="shared" si="79"/>
        <v>1</v>
      </c>
    </row>
    <row r="287" spans="1:33" ht="10.5" x14ac:dyDescent="0.15">
      <c r="A287" s="1" t="s">
        <v>2262</v>
      </c>
      <c r="C287" s="3">
        <v>253014197.65295297</v>
      </c>
      <c r="D287" s="3">
        <v>208242988.62641203</v>
      </c>
      <c r="E287" s="3">
        <v>134946009.47033247</v>
      </c>
      <c r="F287" s="3">
        <v>73302810.293598816</v>
      </c>
      <c r="G287" s="3">
        <v>92714543.425860584</v>
      </c>
      <c r="H287" s="3">
        <v>109254729.43705909</v>
      </c>
      <c r="I287" s="3">
        <v>174726836.27298206</v>
      </c>
      <c r="J287" s="3">
        <v>1046202115.179199</v>
      </c>
      <c r="K287" s="26"/>
      <c r="L287" s="78"/>
      <c r="M287" s="37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</row>
    <row r="288" spans="1:33" ht="15" x14ac:dyDescent="0.25">
      <c r="A288"/>
      <c r="B288"/>
      <c r="C288"/>
      <c r="D288"/>
      <c r="E288"/>
      <c r="F288"/>
      <c r="G288"/>
      <c r="H288"/>
      <c r="I288"/>
      <c r="J288"/>
      <c r="K288" s="26"/>
      <c r="L288" s="78"/>
      <c r="M288" s="37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</row>
    <row r="289" spans="1:33" ht="15" x14ac:dyDescent="0.25">
      <c r="A289"/>
      <c r="B289"/>
      <c r="C289"/>
      <c r="D289"/>
      <c r="E289"/>
      <c r="F289"/>
      <c r="G289"/>
      <c r="H289"/>
      <c r="I289"/>
      <c r="J289"/>
      <c r="K289" s="26"/>
      <c r="L289" s="78"/>
      <c r="M289" s="37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</row>
    <row r="290" spans="1:33" ht="15" x14ac:dyDescent="0.25">
      <c r="A290"/>
      <c r="B290"/>
      <c r="C290"/>
      <c r="D290"/>
      <c r="E290"/>
      <c r="F290"/>
      <c r="G290"/>
      <c r="H290"/>
      <c r="I290"/>
      <c r="J290"/>
      <c r="K290" s="26"/>
      <c r="L290" s="78"/>
      <c r="M290" s="37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</row>
    <row r="291" spans="1:33" ht="15" x14ac:dyDescent="0.25">
      <c r="A291"/>
      <c r="B291"/>
      <c r="C291"/>
      <c r="D291"/>
      <c r="E291"/>
      <c r="F291"/>
      <c r="G291"/>
      <c r="H291"/>
      <c r="I291"/>
      <c r="J291"/>
      <c r="K291" s="26"/>
      <c r="L291" s="78"/>
      <c r="M291" s="37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</row>
    <row r="292" spans="1:33" ht="15" x14ac:dyDescent="0.25">
      <c r="A292"/>
      <c r="B292"/>
      <c r="C292"/>
      <c r="D292"/>
      <c r="E292"/>
      <c r="F292"/>
      <c r="G292"/>
      <c r="H292"/>
      <c r="I292"/>
      <c r="J292"/>
      <c r="K292" s="26"/>
      <c r="L292" s="78"/>
      <c r="M292" s="37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</row>
    <row r="293" spans="1:33" ht="15" x14ac:dyDescent="0.25">
      <c r="A293"/>
      <c r="B293"/>
      <c r="C293"/>
      <c r="D293"/>
      <c r="E293"/>
      <c r="F293"/>
      <c r="G293"/>
      <c r="H293"/>
      <c r="I293"/>
      <c r="J293"/>
      <c r="K293" s="26"/>
      <c r="L293" s="78"/>
      <c r="M293" s="37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</row>
    <row r="294" spans="1:33" ht="15" x14ac:dyDescent="0.25">
      <c r="A294"/>
      <c r="B294"/>
      <c r="C294"/>
      <c r="D294"/>
      <c r="E294"/>
      <c r="F294"/>
      <c r="G294"/>
      <c r="H294"/>
      <c r="I294"/>
      <c r="J294"/>
      <c r="K294" s="26"/>
      <c r="L294" s="78"/>
      <c r="M294" s="37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</row>
    <row r="295" spans="1:33" ht="15" x14ac:dyDescent="0.25">
      <c r="A295"/>
      <c r="B295"/>
      <c r="C295"/>
      <c r="D295"/>
      <c r="E295"/>
      <c r="F295"/>
      <c r="G295"/>
      <c r="H295"/>
      <c r="I295"/>
      <c r="J295"/>
      <c r="K295" s="26"/>
      <c r="L295" s="78"/>
      <c r="M295" s="37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</row>
    <row r="296" spans="1:33" ht="15" x14ac:dyDescent="0.25">
      <c r="A296"/>
      <c r="B296"/>
      <c r="C296"/>
      <c r="D296"/>
      <c r="E296"/>
      <c r="F296"/>
      <c r="G296"/>
      <c r="H296"/>
      <c r="I296"/>
      <c r="J296"/>
      <c r="K296" s="26"/>
      <c r="L296" s="78"/>
      <c r="M296" s="37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</row>
    <row r="297" spans="1:33" ht="15" x14ac:dyDescent="0.25">
      <c r="A297"/>
      <c r="B297"/>
      <c r="C297"/>
      <c r="D297"/>
      <c r="E297"/>
      <c r="F297"/>
      <c r="G297"/>
      <c r="H297"/>
      <c r="I297"/>
      <c r="J297"/>
      <c r="K297" s="26"/>
      <c r="L297" s="78"/>
      <c r="M297" s="37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</row>
    <row r="298" spans="1:33" ht="15" x14ac:dyDescent="0.25">
      <c r="A298"/>
      <c r="B298"/>
      <c r="C298"/>
      <c r="D298"/>
      <c r="E298"/>
      <c r="F298"/>
      <c r="G298"/>
      <c r="H298"/>
      <c r="I298"/>
      <c r="J298"/>
      <c r="K298" s="26"/>
      <c r="L298" s="78"/>
      <c r="M298" s="37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</row>
    <row r="299" spans="1:33" ht="15" x14ac:dyDescent="0.25">
      <c r="A299"/>
      <c r="B299"/>
      <c r="C299"/>
      <c r="D299"/>
      <c r="E299"/>
      <c r="F299"/>
      <c r="G299"/>
      <c r="H299"/>
      <c r="I299"/>
      <c r="J299"/>
      <c r="K299" s="26"/>
      <c r="L299" s="78"/>
      <c r="M299" s="37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</row>
    <row r="300" spans="1:33" ht="15" x14ac:dyDescent="0.25">
      <c r="A300"/>
      <c r="B300"/>
      <c r="C300"/>
      <c r="D300"/>
      <c r="E300"/>
      <c r="F300"/>
      <c r="G300"/>
      <c r="H300"/>
      <c r="I300"/>
      <c r="J300"/>
      <c r="K300" s="26"/>
      <c r="L300" s="78"/>
      <c r="M300" s="37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</row>
    <row r="301" spans="1:33" ht="15" x14ac:dyDescent="0.25">
      <c r="A301"/>
      <c r="B301"/>
      <c r="C301"/>
      <c r="D301"/>
      <c r="E301"/>
      <c r="F301"/>
      <c r="G301"/>
      <c r="H301"/>
      <c r="I301"/>
      <c r="J301"/>
      <c r="K301" s="26"/>
      <c r="L301" s="78"/>
      <c r="M301" s="37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</row>
    <row r="302" spans="1:33" ht="15" x14ac:dyDescent="0.25">
      <c r="A302"/>
      <c r="B302"/>
      <c r="C302"/>
      <c r="D302"/>
      <c r="E302"/>
      <c r="F302"/>
      <c r="G302"/>
      <c r="H302"/>
      <c r="I302"/>
      <c r="J302"/>
      <c r="K302" s="26"/>
      <c r="L302" s="78"/>
      <c r="M302" s="37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</row>
    <row r="303" spans="1:33" ht="15" x14ac:dyDescent="0.25">
      <c r="A303"/>
      <c r="B303"/>
      <c r="C303"/>
      <c r="D303"/>
      <c r="E303"/>
      <c r="F303"/>
      <c r="G303"/>
      <c r="H303"/>
      <c r="I303"/>
      <c r="J303"/>
      <c r="K303" s="26"/>
      <c r="L303" s="78"/>
      <c r="M303" s="37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</row>
    <row r="304" spans="1:33" ht="15" x14ac:dyDescent="0.25">
      <c r="A304"/>
      <c r="B304"/>
      <c r="C304"/>
      <c r="D304"/>
      <c r="E304"/>
      <c r="F304"/>
      <c r="G304"/>
      <c r="H304"/>
      <c r="I304"/>
      <c r="J304"/>
      <c r="K304" s="26"/>
      <c r="L304" s="78"/>
      <c r="M304" s="37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</row>
    <row r="305" spans="1:33" ht="15" x14ac:dyDescent="0.25">
      <c r="A305"/>
      <c r="B305"/>
      <c r="C305"/>
      <c r="D305"/>
      <c r="E305"/>
      <c r="F305"/>
      <c r="G305"/>
      <c r="H305"/>
      <c r="I305"/>
      <c r="J305"/>
      <c r="K305" s="26"/>
      <c r="L305" s="78"/>
      <c r="M305" s="37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</row>
    <row r="306" spans="1:33" ht="15" x14ac:dyDescent="0.25">
      <c r="A306"/>
      <c r="B306"/>
      <c r="C306"/>
      <c r="D306"/>
      <c r="E306"/>
      <c r="F306"/>
      <c r="G306"/>
      <c r="H306"/>
      <c r="I306"/>
      <c r="J306"/>
      <c r="K306" s="26"/>
      <c r="L306" s="78"/>
      <c r="M306" s="37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</row>
    <row r="307" spans="1:33" ht="15" x14ac:dyDescent="0.25">
      <c r="A307"/>
      <c r="B307"/>
      <c r="C307"/>
      <c r="D307"/>
      <c r="E307"/>
      <c r="F307"/>
      <c r="G307"/>
      <c r="H307"/>
      <c r="I307"/>
      <c r="J307"/>
      <c r="K307" s="26"/>
      <c r="L307" s="78"/>
      <c r="M307" s="37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</row>
    <row r="308" spans="1:33" ht="15" x14ac:dyDescent="0.25">
      <c r="A308"/>
      <c r="B308"/>
      <c r="C308"/>
      <c r="D308"/>
      <c r="E308"/>
      <c r="F308"/>
      <c r="G308"/>
      <c r="H308"/>
      <c r="I308"/>
      <c r="J308"/>
      <c r="K308" s="26"/>
      <c r="L308" s="78"/>
      <c r="M308" s="37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</row>
    <row r="309" spans="1:33" ht="15" x14ac:dyDescent="0.25">
      <c r="A309"/>
      <c r="B309"/>
      <c r="C309"/>
      <c r="D309"/>
      <c r="E309"/>
      <c r="F309"/>
      <c r="G309"/>
      <c r="H309"/>
      <c r="I309"/>
      <c r="J309"/>
      <c r="K309" s="26"/>
      <c r="L309" s="78"/>
      <c r="M309" s="37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</row>
    <row r="310" spans="1:33" ht="15" x14ac:dyDescent="0.25">
      <c r="A310"/>
      <c r="B310"/>
      <c r="C310"/>
      <c r="D310"/>
      <c r="E310"/>
      <c r="F310"/>
      <c r="G310"/>
      <c r="H310"/>
      <c r="I310"/>
      <c r="J310"/>
      <c r="K310" s="26"/>
      <c r="L310" s="78"/>
      <c r="M310" s="37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</row>
    <row r="311" spans="1:33" ht="15" x14ac:dyDescent="0.25">
      <c r="A311"/>
      <c r="B311"/>
      <c r="C311"/>
      <c r="D311"/>
      <c r="E311"/>
      <c r="F311"/>
      <c r="G311"/>
      <c r="H311"/>
      <c r="I311"/>
      <c r="J311"/>
      <c r="K311" s="26"/>
      <c r="L311" s="78"/>
      <c r="M311" s="37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</row>
    <row r="312" spans="1:33" ht="15" x14ac:dyDescent="0.25">
      <c r="A312"/>
      <c r="B312"/>
      <c r="C312"/>
      <c r="D312"/>
      <c r="E312"/>
      <c r="F312"/>
      <c r="G312"/>
      <c r="H312"/>
      <c r="I312"/>
      <c r="J312"/>
      <c r="K312" s="26"/>
      <c r="L312" s="78"/>
      <c r="M312" s="37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</row>
    <row r="313" spans="1:33" ht="15" x14ac:dyDescent="0.25">
      <c r="A313"/>
      <c r="B313"/>
      <c r="C313"/>
      <c r="D313"/>
      <c r="E313"/>
      <c r="F313"/>
      <c r="G313"/>
      <c r="H313"/>
      <c r="I313"/>
      <c r="J313"/>
      <c r="K313" s="26"/>
      <c r="L313" s="78"/>
      <c r="M313" s="37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</row>
    <row r="314" spans="1:33" ht="15" x14ac:dyDescent="0.25">
      <c r="A314"/>
      <c r="B314"/>
      <c r="C314"/>
      <c r="D314"/>
      <c r="E314"/>
      <c r="F314"/>
      <c r="G314"/>
      <c r="H314"/>
      <c r="I314"/>
      <c r="J314"/>
      <c r="K314" s="26"/>
      <c r="L314" s="78"/>
      <c r="M314" s="37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</row>
    <row r="315" spans="1:33" ht="15" x14ac:dyDescent="0.25">
      <c r="A315"/>
      <c r="B315"/>
      <c r="C315"/>
      <c r="D315"/>
      <c r="E315"/>
      <c r="F315"/>
      <c r="G315"/>
      <c r="H315"/>
      <c r="I315"/>
      <c r="J315"/>
      <c r="K315" s="26"/>
      <c r="L315" s="78"/>
      <c r="M315" s="37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</row>
    <row r="316" spans="1:33" ht="15" x14ac:dyDescent="0.25">
      <c r="A316"/>
      <c r="B316"/>
      <c r="C316"/>
      <c r="D316"/>
      <c r="E316"/>
      <c r="F316"/>
      <c r="G316"/>
      <c r="H316"/>
      <c r="I316"/>
      <c r="J316"/>
      <c r="K316" s="26"/>
      <c r="L316" s="78"/>
      <c r="M316" s="37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</row>
    <row r="317" spans="1:33" ht="15" x14ac:dyDescent="0.25">
      <c r="A317"/>
      <c r="B317"/>
      <c r="C317"/>
      <c r="D317"/>
      <c r="E317"/>
      <c r="F317"/>
      <c r="G317"/>
      <c r="H317"/>
      <c r="I317"/>
      <c r="J317"/>
      <c r="K317" s="26"/>
      <c r="L317" s="78"/>
      <c r="M317" s="37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</row>
    <row r="318" spans="1:33" ht="15" x14ac:dyDescent="0.25">
      <c r="A318"/>
      <c r="B318"/>
      <c r="C318"/>
      <c r="D318"/>
      <c r="E318"/>
      <c r="F318"/>
      <c r="G318"/>
      <c r="H318"/>
      <c r="I318"/>
      <c r="J318"/>
      <c r="K318" s="26"/>
      <c r="L318" s="78"/>
      <c r="M318" s="37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</row>
    <row r="319" spans="1:33" ht="15" x14ac:dyDescent="0.25">
      <c r="A319"/>
      <c r="B319"/>
      <c r="C319"/>
      <c r="D319"/>
      <c r="E319"/>
      <c r="F319"/>
      <c r="G319"/>
      <c r="H319"/>
      <c r="I319"/>
      <c r="J319"/>
      <c r="K319" s="26"/>
      <c r="L319" s="78"/>
      <c r="M319" s="37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</row>
    <row r="320" spans="1:33" ht="15" x14ac:dyDescent="0.25">
      <c r="A320"/>
      <c r="B320"/>
      <c r="C320"/>
      <c r="D320"/>
      <c r="E320"/>
      <c r="F320"/>
      <c r="G320"/>
      <c r="H320"/>
      <c r="I320"/>
      <c r="J320"/>
      <c r="K320" s="26"/>
      <c r="L320" s="78"/>
      <c r="M320" s="37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</row>
    <row r="321" spans="1:33" ht="15" x14ac:dyDescent="0.25">
      <c r="A321"/>
      <c r="B321"/>
      <c r="C321"/>
      <c r="D321"/>
      <c r="E321"/>
      <c r="F321"/>
      <c r="G321"/>
      <c r="H321"/>
      <c r="I321"/>
      <c r="J321"/>
      <c r="K321" s="26"/>
      <c r="L321" s="78"/>
      <c r="M321" s="37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</row>
    <row r="322" spans="1:33" ht="15" x14ac:dyDescent="0.25">
      <c r="A322"/>
      <c r="B322"/>
      <c r="C322"/>
      <c r="D322"/>
      <c r="E322"/>
      <c r="F322"/>
      <c r="G322"/>
      <c r="H322"/>
      <c r="I322"/>
      <c r="J322"/>
      <c r="K322" s="26"/>
      <c r="L322" s="78"/>
      <c r="M322" s="37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</row>
    <row r="323" spans="1:33" ht="15" x14ac:dyDescent="0.25">
      <c r="A323"/>
      <c r="B323"/>
      <c r="C323"/>
      <c r="D323"/>
      <c r="E323"/>
      <c r="F323"/>
      <c r="G323"/>
      <c r="H323"/>
      <c r="I323"/>
      <c r="J323"/>
      <c r="K323" s="26"/>
      <c r="L323" s="78"/>
      <c r="M323" s="37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</row>
    <row r="324" spans="1:33" ht="15" x14ac:dyDescent="0.25">
      <c r="A324"/>
      <c r="B324"/>
      <c r="C324"/>
      <c r="D324"/>
      <c r="E324"/>
      <c r="F324"/>
      <c r="G324"/>
      <c r="H324"/>
      <c r="I324"/>
      <c r="J324"/>
      <c r="K324" s="26"/>
      <c r="L324" s="78"/>
      <c r="M324" s="37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</row>
    <row r="325" spans="1:33" ht="15" x14ac:dyDescent="0.25">
      <c r="A325"/>
      <c r="B325"/>
      <c r="C325"/>
      <c r="D325"/>
      <c r="E325"/>
      <c r="F325"/>
      <c r="G325"/>
      <c r="H325"/>
      <c r="I325"/>
      <c r="J325"/>
      <c r="K325" s="26"/>
      <c r="L325" s="78"/>
      <c r="M325" s="37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</row>
    <row r="326" spans="1:33" ht="15" x14ac:dyDescent="0.25">
      <c r="A326"/>
      <c r="B326"/>
      <c r="C326"/>
      <c r="D326"/>
      <c r="E326"/>
      <c r="F326"/>
      <c r="G326"/>
      <c r="H326"/>
      <c r="I326"/>
      <c r="J326"/>
      <c r="K326" s="26"/>
      <c r="L326" s="78"/>
      <c r="M326" s="37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</row>
    <row r="327" spans="1:33" ht="15" x14ac:dyDescent="0.25">
      <c r="A327"/>
      <c r="B327"/>
      <c r="C327"/>
      <c r="D327"/>
      <c r="E327"/>
      <c r="F327"/>
      <c r="G327"/>
      <c r="H327"/>
      <c r="I327"/>
      <c r="J327"/>
      <c r="K327" s="26"/>
      <c r="L327" s="78"/>
      <c r="M327" s="37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</row>
    <row r="328" spans="1:33" ht="15" x14ac:dyDescent="0.25">
      <c r="A328"/>
      <c r="B328"/>
      <c r="C328"/>
      <c r="D328"/>
      <c r="E328"/>
      <c r="F328"/>
      <c r="G328"/>
      <c r="H328"/>
      <c r="I328"/>
      <c r="J328"/>
      <c r="K328" s="26"/>
      <c r="L328" s="78"/>
      <c r="M328" s="37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</row>
    <row r="329" spans="1:33" ht="15" x14ac:dyDescent="0.25">
      <c r="A329"/>
      <c r="B329"/>
      <c r="C329"/>
      <c r="D329"/>
      <c r="E329"/>
      <c r="F329"/>
      <c r="G329"/>
      <c r="H329"/>
      <c r="I329"/>
      <c r="J329"/>
      <c r="K329" s="26"/>
      <c r="L329" s="78"/>
      <c r="M329" s="37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</row>
    <row r="330" spans="1:33" ht="15" x14ac:dyDescent="0.25">
      <c r="A330"/>
      <c r="B330"/>
      <c r="C330"/>
      <c r="D330"/>
      <c r="E330"/>
      <c r="F330"/>
      <c r="G330"/>
      <c r="H330"/>
      <c r="I330"/>
      <c r="J330"/>
      <c r="K330" s="26"/>
      <c r="L330" s="78"/>
      <c r="M330" s="37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</row>
    <row r="331" spans="1:33" ht="15" x14ac:dyDescent="0.25">
      <c r="A331"/>
      <c r="B331"/>
      <c r="C331"/>
      <c r="D331"/>
      <c r="E331"/>
      <c r="F331"/>
      <c r="G331"/>
      <c r="H331"/>
      <c r="I331"/>
      <c r="J331"/>
      <c r="K331" s="26"/>
      <c r="L331" s="78"/>
      <c r="M331" s="37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</row>
    <row r="332" spans="1:33" ht="15" x14ac:dyDescent="0.25">
      <c r="A332"/>
      <c r="B332"/>
      <c r="C332"/>
      <c r="D332"/>
      <c r="E332"/>
      <c r="F332"/>
      <c r="G332"/>
      <c r="H332"/>
      <c r="I332"/>
      <c r="J332"/>
      <c r="K332" s="26"/>
      <c r="L332" s="78"/>
      <c r="M332" s="37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</row>
    <row r="333" spans="1:33" ht="15" x14ac:dyDescent="0.25">
      <c r="A333"/>
      <c r="B333"/>
      <c r="C333"/>
      <c r="D333"/>
      <c r="E333"/>
      <c r="F333"/>
      <c r="G333"/>
      <c r="H333"/>
      <c r="I333"/>
      <c r="J333"/>
      <c r="K333" s="26"/>
      <c r="L333" s="78"/>
      <c r="M333" s="37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  <c r="AG333" s="31"/>
    </row>
    <row r="334" spans="1:33" ht="15" x14ac:dyDescent="0.25">
      <c r="A334"/>
      <c r="B334"/>
      <c r="C334"/>
      <c r="D334"/>
      <c r="E334"/>
      <c r="F334"/>
      <c r="G334"/>
      <c r="H334"/>
      <c r="I334"/>
      <c r="J334"/>
      <c r="K334" s="26"/>
      <c r="L334" s="78"/>
      <c r="M334" s="37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</row>
    <row r="335" spans="1:33" ht="15" x14ac:dyDescent="0.25">
      <c r="A335"/>
      <c r="B335"/>
      <c r="C335"/>
      <c r="D335"/>
      <c r="E335"/>
      <c r="F335"/>
      <c r="G335"/>
      <c r="H335"/>
      <c r="I335"/>
      <c r="J335"/>
      <c r="K335" s="26"/>
      <c r="L335" s="78"/>
      <c r="M335" s="37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</row>
    <row r="336" spans="1:33" ht="15" x14ac:dyDescent="0.25">
      <c r="A336"/>
      <c r="B336"/>
      <c r="C336"/>
      <c r="D336"/>
      <c r="E336"/>
      <c r="F336"/>
      <c r="G336"/>
      <c r="H336"/>
      <c r="I336"/>
      <c r="J336"/>
      <c r="K336" s="26"/>
      <c r="L336" s="78"/>
      <c r="M336" s="37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</row>
    <row r="337" spans="1:33" ht="15" x14ac:dyDescent="0.25">
      <c r="A337"/>
      <c r="B337"/>
      <c r="C337"/>
      <c r="D337"/>
      <c r="E337"/>
      <c r="F337"/>
      <c r="G337"/>
      <c r="H337"/>
      <c r="I337"/>
      <c r="J337"/>
      <c r="K337" s="26"/>
      <c r="L337" s="78"/>
      <c r="M337" s="37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</row>
    <row r="338" spans="1:33" ht="15" x14ac:dyDescent="0.25">
      <c r="A338"/>
      <c r="B338"/>
      <c r="C338"/>
      <c r="D338"/>
      <c r="E338"/>
      <c r="F338"/>
      <c r="G338"/>
      <c r="H338"/>
      <c r="I338"/>
      <c r="J338"/>
      <c r="K338" s="26"/>
      <c r="L338" s="78"/>
      <c r="M338" s="37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  <c r="AG338" s="31"/>
    </row>
    <row r="339" spans="1:33" ht="15" x14ac:dyDescent="0.25">
      <c r="A339"/>
      <c r="B339"/>
      <c r="C339"/>
      <c r="D339"/>
      <c r="E339"/>
      <c r="F339"/>
      <c r="G339"/>
      <c r="H339"/>
      <c r="I339"/>
      <c r="J339"/>
      <c r="K339" s="26"/>
      <c r="L339" s="78"/>
      <c r="M339" s="37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</row>
    <row r="340" spans="1:33" ht="15" x14ac:dyDescent="0.25">
      <c r="A340"/>
      <c r="B340"/>
      <c r="C340"/>
      <c r="D340"/>
      <c r="E340"/>
      <c r="F340"/>
      <c r="G340"/>
      <c r="H340"/>
      <c r="I340"/>
      <c r="J340"/>
      <c r="K340" s="26"/>
      <c r="L340" s="78"/>
      <c r="M340" s="37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</row>
    <row r="341" spans="1:33" ht="15" x14ac:dyDescent="0.25">
      <c r="A341"/>
      <c r="B341"/>
      <c r="C341"/>
      <c r="D341"/>
      <c r="E341"/>
      <c r="F341"/>
      <c r="G341"/>
      <c r="H341"/>
      <c r="I341"/>
      <c r="J341"/>
      <c r="K341" s="26"/>
      <c r="L341" s="78"/>
      <c r="M341" s="37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</row>
    <row r="342" spans="1:33" ht="15" x14ac:dyDescent="0.25">
      <c r="A342"/>
      <c r="B342"/>
      <c r="C342"/>
      <c r="D342"/>
      <c r="E342"/>
      <c r="F342"/>
      <c r="G342"/>
      <c r="H342"/>
      <c r="I342"/>
      <c r="J342"/>
      <c r="K342" s="26"/>
      <c r="L342" s="78"/>
      <c r="M342" s="37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</row>
    <row r="343" spans="1:33" ht="15" x14ac:dyDescent="0.25">
      <c r="A343"/>
      <c r="B343"/>
      <c r="C343"/>
      <c r="D343"/>
      <c r="E343"/>
      <c r="F343"/>
      <c r="G343"/>
      <c r="H343"/>
      <c r="I343"/>
      <c r="J343"/>
      <c r="K343" s="26"/>
      <c r="L343" s="78"/>
      <c r="M343" s="37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</row>
    <row r="344" spans="1:33" ht="15" x14ac:dyDescent="0.25">
      <c r="A344"/>
      <c r="B344"/>
      <c r="C344"/>
      <c r="D344"/>
      <c r="E344"/>
      <c r="F344"/>
      <c r="G344"/>
      <c r="H344"/>
      <c r="I344"/>
      <c r="J344"/>
      <c r="K344" s="26"/>
      <c r="L344" s="78"/>
      <c r="M344" s="37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</row>
    <row r="345" spans="1:33" ht="15" x14ac:dyDescent="0.25">
      <c r="A345"/>
      <c r="B345"/>
      <c r="C345"/>
      <c r="D345"/>
      <c r="E345"/>
      <c r="F345"/>
      <c r="G345"/>
      <c r="H345"/>
      <c r="I345"/>
      <c r="J345"/>
      <c r="K345" s="26"/>
      <c r="L345" s="78"/>
      <c r="M345" s="37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</row>
    <row r="346" spans="1:33" ht="15" x14ac:dyDescent="0.25">
      <c r="A346"/>
      <c r="B346"/>
      <c r="C346"/>
      <c r="D346"/>
      <c r="E346"/>
      <c r="F346"/>
      <c r="G346"/>
      <c r="H346"/>
      <c r="I346"/>
      <c r="J346"/>
      <c r="K346" s="26"/>
      <c r="L346" s="78"/>
      <c r="M346" s="37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</row>
    <row r="347" spans="1:33" ht="12.75" customHeight="1" x14ac:dyDescent="0.25">
      <c r="A347"/>
      <c r="B347"/>
      <c r="C347"/>
      <c r="D347"/>
      <c r="E347"/>
      <c r="F347"/>
      <c r="G347"/>
      <c r="H347"/>
      <c r="I347"/>
      <c r="J347"/>
      <c r="K347" s="26"/>
      <c r="L347" s="78"/>
      <c r="M347" s="37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</row>
    <row r="348" spans="1:33" ht="12.75" customHeight="1" x14ac:dyDescent="0.25">
      <c r="A348"/>
      <c r="B348"/>
      <c r="C348"/>
      <c r="D348"/>
      <c r="E348"/>
      <c r="F348"/>
      <c r="G348"/>
      <c r="H348"/>
      <c r="I348"/>
      <c r="J348"/>
      <c r="K348" s="26"/>
      <c r="L348" s="78"/>
      <c r="M348" s="37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</row>
    <row r="349" spans="1:33" ht="12.75" customHeight="1" x14ac:dyDescent="0.25">
      <c r="A349"/>
      <c r="B349"/>
      <c r="C349"/>
      <c r="D349"/>
      <c r="E349"/>
      <c r="F349"/>
      <c r="G349"/>
      <c r="H349"/>
      <c r="I349"/>
      <c r="J349"/>
      <c r="K349" s="19"/>
      <c r="L349" s="78"/>
      <c r="M349" s="37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</row>
    <row r="350" spans="1:33" ht="12.75" customHeight="1" x14ac:dyDescent="0.25">
      <c r="A350"/>
      <c r="B350"/>
      <c r="C350"/>
      <c r="D350"/>
      <c r="E350"/>
      <c r="F350"/>
      <c r="G350"/>
      <c r="H350" s="20"/>
      <c r="I350" s="20"/>
      <c r="J350" s="20"/>
      <c r="K350" s="19"/>
      <c r="L350" s="78"/>
      <c r="M350" s="37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"/>
    </row>
    <row r="351" spans="1:33" ht="12.75" customHeight="1" x14ac:dyDescent="0.25">
      <c r="A351"/>
      <c r="B351"/>
      <c r="C351"/>
      <c r="D351"/>
      <c r="E351"/>
      <c r="F351"/>
      <c r="G351"/>
      <c r="H351" s="22"/>
      <c r="I351" s="22"/>
      <c r="J351" s="22"/>
      <c r="K351" s="19"/>
      <c r="L351" s="78"/>
      <c r="M351" s="37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"/>
    </row>
    <row r="352" spans="1:33" ht="12.75" customHeight="1" x14ac:dyDescent="0.25">
      <c r="A352"/>
      <c r="B352"/>
      <c r="C352"/>
      <c r="D352"/>
      <c r="E352"/>
      <c r="F352"/>
      <c r="G352"/>
      <c r="H352" s="20"/>
      <c r="I352" s="22"/>
      <c r="J352" s="22"/>
      <c r="K352" s="19"/>
      <c r="L352" s="78"/>
      <c r="M352" s="37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"/>
    </row>
    <row r="353" spans="1:33" ht="12.75" customHeight="1" x14ac:dyDescent="0.25">
      <c r="A353"/>
      <c r="B353"/>
      <c r="C353"/>
      <c r="D353"/>
      <c r="E353"/>
      <c r="F353"/>
      <c r="G353"/>
      <c r="H353"/>
      <c r="I353"/>
      <c r="J353"/>
      <c r="K353" s="19"/>
      <c r="L353" s="78"/>
      <c r="M353" s="37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"/>
    </row>
    <row r="354" spans="1:33" ht="12.75" customHeight="1" x14ac:dyDescent="0.25">
      <c r="A354"/>
      <c r="B354"/>
      <c r="C354"/>
      <c r="D354"/>
      <c r="E354"/>
      <c r="F354"/>
      <c r="G354"/>
      <c r="H354"/>
      <c r="I354"/>
      <c r="J354"/>
      <c r="K354" s="19"/>
      <c r="L354" s="78"/>
      <c r="M354" s="37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"/>
    </row>
    <row r="355" spans="1:33" ht="12.75" customHeight="1" x14ac:dyDescent="0.25">
      <c r="A355"/>
      <c r="B355"/>
      <c r="C355"/>
      <c r="D355"/>
      <c r="E355"/>
      <c r="F355"/>
      <c r="G355"/>
      <c r="H355"/>
      <c r="I355"/>
      <c r="J355"/>
      <c r="K355" s="19"/>
      <c r="L355" s="78"/>
      <c r="M355" s="37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"/>
    </row>
    <row r="356" spans="1:33" ht="12.75" customHeight="1" x14ac:dyDescent="0.25">
      <c r="A356"/>
      <c r="B356"/>
      <c r="C356"/>
      <c r="D356"/>
      <c r="E356"/>
      <c r="F356"/>
      <c r="G356"/>
      <c r="H356"/>
      <c r="I356"/>
      <c r="J356"/>
      <c r="K356" s="19"/>
      <c r="L356" s="78"/>
      <c r="M356" s="37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"/>
    </row>
    <row r="357" spans="1:33" ht="12.75" customHeight="1" x14ac:dyDescent="0.25">
      <c r="A357"/>
      <c r="B357"/>
      <c r="C357"/>
      <c r="D357"/>
      <c r="E357"/>
      <c r="F357"/>
      <c r="G357"/>
      <c r="H357"/>
      <c r="I357"/>
      <c r="J357"/>
      <c r="K357" s="19"/>
      <c r="L357" s="78"/>
      <c r="M357" s="37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"/>
    </row>
    <row r="358" spans="1:33" ht="12.75" customHeight="1" x14ac:dyDescent="0.25">
      <c r="A358"/>
      <c r="B358"/>
      <c r="C358"/>
      <c r="D358"/>
      <c r="E358"/>
      <c r="F358"/>
      <c r="G358"/>
      <c r="H358"/>
      <c r="I358"/>
      <c r="J358"/>
      <c r="K358" s="19"/>
      <c r="L358" s="78"/>
      <c r="M358" s="37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"/>
    </row>
    <row r="359" spans="1:33" ht="12.75" customHeight="1" x14ac:dyDescent="0.25">
      <c r="A359"/>
      <c r="B359"/>
      <c r="C359"/>
      <c r="D359"/>
      <c r="E359"/>
      <c r="F359"/>
      <c r="G359"/>
      <c r="H359"/>
      <c r="I359"/>
      <c r="J359"/>
      <c r="K359" s="19"/>
      <c r="L359" s="78"/>
      <c r="M359" s="37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"/>
    </row>
    <row r="360" spans="1:33" ht="12.75" customHeight="1" x14ac:dyDescent="0.25">
      <c r="A360"/>
      <c r="B360"/>
      <c r="C360"/>
      <c r="D360"/>
      <c r="E360"/>
      <c r="F360"/>
      <c r="G360"/>
      <c r="H360"/>
      <c r="I360"/>
      <c r="J360"/>
      <c r="K360" s="19"/>
      <c r="L360" s="78"/>
      <c r="M360" s="37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"/>
    </row>
    <row r="361" spans="1:33" ht="12.75" customHeight="1" x14ac:dyDescent="0.25">
      <c r="A361"/>
      <c r="B361"/>
      <c r="C361"/>
      <c r="D361"/>
      <c r="E361"/>
      <c r="F361"/>
      <c r="G361"/>
      <c r="H361"/>
      <c r="I361"/>
      <c r="J361"/>
      <c r="K361" s="19"/>
      <c r="L361" s="78"/>
      <c r="M361" s="37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"/>
    </row>
    <row r="362" spans="1:33" ht="12.75" customHeight="1" x14ac:dyDescent="0.25">
      <c r="A362"/>
      <c r="B362"/>
      <c r="C362"/>
      <c r="D362"/>
      <c r="E362"/>
      <c r="F362"/>
      <c r="G362"/>
      <c r="H362"/>
      <c r="I362"/>
      <c r="J362"/>
      <c r="K362" s="19"/>
      <c r="L362" s="78"/>
      <c r="M362" s="37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"/>
    </row>
    <row r="363" spans="1:33" ht="12.75" customHeight="1" x14ac:dyDescent="0.25">
      <c r="A363"/>
      <c r="B363"/>
      <c r="C363"/>
      <c r="D363"/>
      <c r="E363"/>
      <c r="F363"/>
      <c r="G363"/>
      <c r="H363"/>
      <c r="I363"/>
      <c r="J363"/>
      <c r="AG363" s="3"/>
    </row>
    <row r="364" spans="1:33" ht="12.75" customHeight="1" x14ac:dyDescent="0.15">
      <c r="AG364" s="3"/>
    </row>
    <row r="365" spans="1:33" ht="12.75" customHeight="1" x14ac:dyDescent="0.15">
      <c r="AG365" s="3"/>
    </row>
    <row r="680" spans="3:27" ht="12.75" customHeight="1" x14ac:dyDescent="0.15"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</row>
    <row r="681" spans="3:27" ht="12.75" customHeight="1" x14ac:dyDescent="0.15"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</row>
    <row r="682" spans="3:27" ht="12.75" customHeight="1" x14ac:dyDescent="0.15"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</row>
    <row r="683" spans="3:27" ht="12.75" customHeight="1" x14ac:dyDescent="0.15"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</row>
    <row r="684" spans="3:27" ht="12.75" customHeight="1" x14ac:dyDescent="0.15"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</row>
    <row r="685" spans="3:27" ht="12.75" customHeight="1" x14ac:dyDescent="0.15"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</row>
    <row r="686" spans="3:27" ht="12.75" customHeight="1" x14ac:dyDescent="0.15"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</row>
    <row r="687" spans="3:27" ht="12.75" customHeight="1" x14ac:dyDescent="0.15"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</row>
    <row r="688" spans="3:27" ht="12.75" customHeight="1" x14ac:dyDescent="0.15"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</row>
    <row r="689" spans="3:27" ht="12.75" customHeight="1" x14ac:dyDescent="0.15"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</row>
    <row r="690" spans="3:27" ht="12.75" customHeight="1" x14ac:dyDescent="0.15"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</row>
    <row r="691" spans="3:27" ht="12.75" customHeight="1" x14ac:dyDescent="0.15"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</row>
    <row r="692" spans="3:27" ht="12.75" customHeight="1" x14ac:dyDescent="0.15"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</row>
    <row r="693" spans="3:27" ht="12.75" customHeight="1" x14ac:dyDescent="0.15"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</row>
    <row r="694" spans="3:27" ht="12.75" customHeight="1" x14ac:dyDescent="0.15"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</row>
    <row r="695" spans="3:27" ht="12.75" customHeight="1" x14ac:dyDescent="0.15"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</row>
    <row r="696" spans="3:27" ht="12.75" customHeight="1" x14ac:dyDescent="0.15"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</row>
    <row r="697" spans="3:27" ht="12.75" customHeight="1" x14ac:dyDescent="0.15"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</row>
    <row r="698" spans="3:27" ht="12.75" customHeight="1" x14ac:dyDescent="0.15"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</row>
    <row r="699" spans="3:27" ht="12.75" customHeight="1" x14ac:dyDescent="0.15"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</row>
    <row r="700" spans="3:27" ht="12.75" customHeight="1" x14ac:dyDescent="0.15"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</row>
    <row r="701" spans="3:27" ht="12.75" customHeight="1" x14ac:dyDescent="0.15"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</row>
    <row r="702" spans="3:27" ht="12.75" customHeight="1" x14ac:dyDescent="0.15"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</row>
    <row r="703" spans="3:27" ht="12.75" customHeight="1" x14ac:dyDescent="0.15"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</row>
    <row r="704" spans="3:27" ht="12.75" customHeight="1" x14ac:dyDescent="0.15"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</row>
    <row r="705" spans="3:27" ht="12.75" customHeight="1" x14ac:dyDescent="0.15"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</row>
    <row r="706" spans="3:27" ht="12.75" customHeight="1" x14ac:dyDescent="0.15"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</row>
    <row r="707" spans="3:27" ht="12.75" customHeight="1" x14ac:dyDescent="0.15"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</row>
    <row r="708" spans="3:27" ht="12.75" customHeight="1" x14ac:dyDescent="0.15"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</row>
    <row r="709" spans="3:27" ht="12.75" customHeight="1" x14ac:dyDescent="0.15"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</row>
    <row r="710" spans="3:27" ht="12.75" customHeight="1" x14ac:dyDescent="0.15"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</row>
    <row r="711" spans="3:27" ht="12.75" customHeight="1" x14ac:dyDescent="0.15"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</row>
    <row r="712" spans="3:27" ht="12.75" customHeight="1" x14ac:dyDescent="0.15"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</row>
    <row r="713" spans="3:27" ht="12.75" customHeight="1" x14ac:dyDescent="0.15"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</row>
    <row r="714" spans="3:27" ht="12.75" customHeight="1" x14ac:dyDescent="0.15"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</row>
    <row r="715" spans="3:27" ht="12.75" customHeight="1" x14ac:dyDescent="0.15"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</row>
    <row r="716" spans="3:27" ht="12.75" customHeight="1" x14ac:dyDescent="0.15"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</row>
    <row r="717" spans="3:27" ht="12.75" customHeight="1" x14ac:dyDescent="0.15"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</row>
    <row r="718" spans="3:27" ht="12.75" customHeight="1" x14ac:dyDescent="0.15"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</row>
    <row r="719" spans="3:27" ht="12.75" customHeight="1" x14ac:dyDescent="0.15"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</row>
    <row r="720" spans="3:27" ht="12.75" customHeight="1" x14ac:dyDescent="0.15"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</row>
    <row r="721" spans="3:27" ht="12.75" customHeight="1" x14ac:dyDescent="0.15"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</row>
    <row r="722" spans="3:27" ht="12.75" customHeight="1" x14ac:dyDescent="0.15"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</row>
    <row r="723" spans="3:27" ht="12.75" customHeight="1" x14ac:dyDescent="0.15"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</row>
    <row r="724" spans="3:27" ht="12.75" customHeight="1" x14ac:dyDescent="0.15"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</row>
    <row r="725" spans="3:27" ht="12.75" customHeight="1" x14ac:dyDescent="0.15"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</row>
    <row r="726" spans="3:27" ht="12.75" customHeight="1" x14ac:dyDescent="0.15"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</row>
    <row r="727" spans="3:27" ht="12.75" customHeight="1" x14ac:dyDescent="0.15"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</row>
    <row r="728" spans="3:27" ht="12.75" customHeight="1" x14ac:dyDescent="0.15"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</row>
    <row r="729" spans="3:27" ht="12.75" customHeight="1" x14ac:dyDescent="0.15"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</row>
    <row r="730" spans="3:27" ht="12.75" customHeight="1" x14ac:dyDescent="0.15"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</row>
    <row r="731" spans="3:27" ht="12.75" customHeight="1" x14ac:dyDescent="0.15"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</row>
    <row r="732" spans="3:27" ht="12.75" customHeight="1" x14ac:dyDescent="0.15"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</row>
    <row r="733" spans="3:27" ht="12.75" customHeight="1" x14ac:dyDescent="0.15"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</row>
    <row r="734" spans="3:27" ht="12.75" customHeight="1" x14ac:dyDescent="0.15"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</row>
    <row r="735" spans="3:27" ht="12.75" customHeight="1" x14ac:dyDescent="0.15"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</row>
    <row r="736" spans="3:27" ht="12.75" customHeight="1" x14ac:dyDescent="0.15"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</row>
    <row r="737" spans="3:27" ht="12.75" customHeight="1" x14ac:dyDescent="0.15"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</row>
    <row r="738" spans="3:27" ht="12.75" customHeight="1" x14ac:dyDescent="0.15"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</row>
    <row r="739" spans="3:27" ht="12.75" customHeight="1" x14ac:dyDescent="0.15"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</row>
    <row r="740" spans="3:27" ht="12.75" customHeight="1" x14ac:dyDescent="0.15"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</row>
    <row r="741" spans="3:27" ht="12.75" customHeight="1" x14ac:dyDescent="0.15"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</row>
    <row r="742" spans="3:27" ht="12.75" customHeight="1" x14ac:dyDescent="0.15"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</row>
    <row r="743" spans="3:27" ht="12.75" customHeight="1" x14ac:dyDescent="0.15"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</row>
    <row r="744" spans="3:27" ht="12.75" customHeight="1" x14ac:dyDescent="0.15"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</row>
    <row r="745" spans="3:27" ht="12.75" customHeight="1" x14ac:dyDescent="0.15"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</row>
    <row r="746" spans="3:27" ht="12.75" customHeight="1" x14ac:dyDescent="0.15"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</row>
    <row r="747" spans="3:27" ht="12.75" customHeight="1" x14ac:dyDescent="0.15"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</row>
    <row r="748" spans="3:27" ht="12.75" customHeight="1" x14ac:dyDescent="0.15"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</row>
    <row r="749" spans="3:27" ht="12.75" customHeight="1" x14ac:dyDescent="0.15"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</row>
    <row r="750" spans="3:27" ht="12.75" customHeight="1" x14ac:dyDescent="0.15"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</row>
    <row r="751" spans="3:27" ht="12.75" customHeight="1" x14ac:dyDescent="0.15"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</row>
    <row r="752" spans="3:27" ht="12.75" customHeight="1" x14ac:dyDescent="0.15"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</row>
    <row r="753" spans="3:27" ht="12.75" customHeight="1" x14ac:dyDescent="0.15"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</row>
    <row r="754" spans="3:27" ht="12.75" customHeight="1" x14ac:dyDescent="0.15"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</row>
    <row r="755" spans="3:27" ht="12.75" customHeight="1" x14ac:dyDescent="0.15"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</row>
    <row r="756" spans="3:27" ht="12.75" customHeight="1" x14ac:dyDescent="0.15"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</row>
    <row r="757" spans="3:27" ht="12.75" customHeight="1" x14ac:dyDescent="0.15"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</row>
    <row r="758" spans="3:27" ht="12.75" customHeight="1" x14ac:dyDescent="0.15"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</row>
    <row r="759" spans="3:27" ht="12.75" customHeight="1" x14ac:dyDescent="0.15"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</row>
    <row r="760" spans="3:27" ht="12.75" customHeight="1" x14ac:dyDescent="0.15"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</row>
    <row r="761" spans="3:27" ht="12.75" customHeight="1" x14ac:dyDescent="0.15"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</row>
    <row r="762" spans="3:27" ht="12.75" customHeight="1" x14ac:dyDescent="0.15"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</row>
    <row r="763" spans="3:27" ht="12.75" customHeight="1" x14ac:dyDescent="0.15"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</row>
    <row r="764" spans="3:27" ht="12.75" customHeight="1" x14ac:dyDescent="0.15"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</row>
    <row r="765" spans="3:27" ht="12.75" customHeight="1" x14ac:dyDescent="0.15"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</row>
    <row r="766" spans="3:27" ht="12.75" customHeight="1" x14ac:dyDescent="0.15"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</row>
    <row r="767" spans="3:27" ht="12.75" customHeight="1" x14ac:dyDescent="0.15"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</row>
    <row r="768" spans="3:27" ht="12.75" customHeight="1" x14ac:dyDescent="0.15"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</row>
    <row r="769" spans="3:27" ht="12.75" customHeight="1" x14ac:dyDescent="0.15"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</row>
    <row r="770" spans="3:27" ht="12.75" customHeight="1" x14ac:dyDescent="0.15"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</row>
    <row r="771" spans="3:27" ht="12.75" customHeight="1" x14ac:dyDescent="0.15"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</row>
    <row r="772" spans="3:27" ht="12.75" customHeight="1" x14ac:dyDescent="0.15"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</row>
    <row r="773" spans="3:27" ht="12.75" customHeight="1" x14ac:dyDescent="0.15"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</row>
    <row r="774" spans="3:27" ht="12.75" customHeight="1" x14ac:dyDescent="0.15"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</row>
    <row r="775" spans="3:27" ht="12.75" customHeight="1" x14ac:dyDescent="0.15"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</row>
    <row r="776" spans="3:27" ht="12.75" customHeight="1" x14ac:dyDescent="0.15"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</row>
    <row r="777" spans="3:27" ht="12.75" customHeight="1" x14ac:dyDescent="0.15"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</row>
    <row r="778" spans="3:27" ht="12.75" customHeight="1" x14ac:dyDescent="0.15"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</row>
    <row r="779" spans="3:27" ht="12.75" customHeight="1" x14ac:dyDescent="0.15"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</row>
    <row r="780" spans="3:27" ht="12.75" customHeight="1" x14ac:dyDescent="0.15"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</row>
    <row r="781" spans="3:27" ht="12.75" customHeight="1" x14ac:dyDescent="0.15"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</row>
    <row r="782" spans="3:27" ht="12.75" customHeight="1" x14ac:dyDescent="0.15"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</row>
    <row r="783" spans="3:27" ht="12.75" customHeight="1" x14ac:dyDescent="0.15"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</row>
    <row r="784" spans="3:27" ht="12.75" customHeight="1" x14ac:dyDescent="0.15"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</row>
    <row r="785" spans="3:27" ht="12.75" customHeight="1" x14ac:dyDescent="0.15"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</row>
    <row r="786" spans="3:27" ht="12.75" customHeight="1" x14ac:dyDescent="0.15"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</row>
    <row r="787" spans="3:27" ht="12.75" customHeight="1" x14ac:dyDescent="0.15"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</row>
    <row r="788" spans="3:27" ht="12.75" customHeight="1" x14ac:dyDescent="0.15"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</row>
    <row r="789" spans="3:27" ht="12.75" customHeight="1" x14ac:dyDescent="0.15"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</row>
    <row r="790" spans="3:27" ht="12.75" customHeight="1" x14ac:dyDescent="0.15"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</row>
    <row r="791" spans="3:27" ht="12.75" customHeight="1" x14ac:dyDescent="0.15"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</row>
    <row r="792" spans="3:27" ht="12.75" customHeight="1" x14ac:dyDescent="0.15"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</row>
    <row r="793" spans="3:27" ht="12.75" customHeight="1" x14ac:dyDescent="0.15"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</row>
    <row r="794" spans="3:27" ht="12.75" customHeight="1" x14ac:dyDescent="0.15"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</row>
    <row r="795" spans="3:27" ht="12.75" customHeight="1" x14ac:dyDescent="0.15"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</row>
    <row r="796" spans="3:27" ht="12.75" customHeight="1" x14ac:dyDescent="0.15"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</row>
    <row r="797" spans="3:27" ht="12.75" customHeight="1" x14ac:dyDescent="0.15"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</row>
    <row r="798" spans="3:27" ht="12.75" customHeight="1" x14ac:dyDescent="0.15"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</row>
    <row r="799" spans="3:27" ht="12.75" customHeight="1" x14ac:dyDescent="0.15"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</row>
    <row r="800" spans="3:27" ht="12.75" customHeight="1" x14ac:dyDescent="0.15"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</row>
    <row r="801" spans="3:27" ht="12.75" customHeight="1" x14ac:dyDescent="0.15"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</row>
    <row r="802" spans="3:27" ht="12.75" customHeight="1" x14ac:dyDescent="0.15"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</row>
    <row r="803" spans="3:27" ht="12.75" customHeight="1" x14ac:dyDescent="0.15"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</row>
    <row r="804" spans="3:27" ht="12.75" customHeight="1" x14ac:dyDescent="0.15"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</row>
    <row r="805" spans="3:27" ht="12.75" customHeight="1" x14ac:dyDescent="0.15"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</row>
    <row r="806" spans="3:27" ht="12.75" customHeight="1" x14ac:dyDescent="0.15"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</row>
    <row r="807" spans="3:27" ht="12.75" customHeight="1" x14ac:dyDescent="0.15"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</row>
    <row r="808" spans="3:27" ht="12.75" customHeight="1" x14ac:dyDescent="0.15"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</row>
    <row r="809" spans="3:27" ht="12.75" customHeight="1" x14ac:dyDescent="0.15"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</row>
    <row r="810" spans="3:27" ht="12.75" customHeight="1" x14ac:dyDescent="0.15"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</row>
    <row r="811" spans="3:27" ht="12.75" customHeight="1" x14ac:dyDescent="0.15"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</row>
    <row r="812" spans="3:27" ht="12.75" customHeight="1" x14ac:dyDescent="0.15"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</row>
    <row r="813" spans="3:27" ht="12.75" customHeight="1" x14ac:dyDescent="0.15"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</row>
    <row r="814" spans="3:27" ht="12.75" customHeight="1" x14ac:dyDescent="0.15"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</row>
    <row r="815" spans="3:27" ht="12.75" customHeight="1" x14ac:dyDescent="0.15"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</row>
    <row r="816" spans="3:27" ht="12.75" customHeight="1" x14ac:dyDescent="0.15"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</row>
    <row r="817" spans="3:27" ht="12.75" customHeight="1" x14ac:dyDescent="0.15"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</row>
    <row r="818" spans="3:27" ht="12.75" customHeight="1" x14ac:dyDescent="0.15"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</row>
    <row r="819" spans="3:27" ht="12.75" customHeight="1" x14ac:dyDescent="0.15"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</row>
    <row r="820" spans="3:27" ht="12.75" customHeight="1" x14ac:dyDescent="0.15"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</row>
    <row r="821" spans="3:27" ht="12.75" customHeight="1" x14ac:dyDescent="0.15"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</row>
    <row r="822" spans="3:27" ht="12.75" customHeight="1" x14ac:dyDescent="0.15"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</row>
    <row r="823" spans="3:27" ht="12.75" customHeight="1" x14ac:dyDescent="0.15"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</row>
    <row r="824" spans="3:27" ht="12.75" customHeight="1" x14ac:dyDescent="0.15"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</row>
    <row r="825" spans="3:27" ht="12.75" customHeight="1" x14ac:dyDescent="0.15"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</row>
    <row r="826" spans="3:27" ht="12.75" customHeight="1" x14ac:dyDescent="0.15"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</row>
    <row r="827" spans="3:27" ht="12.75" customHeight="1" x14ac:dyDescent="0.15"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</row>
    <row r="828" spans="3:27" ht="12.75" customHeight="1" x14ac:dyDescent="0.15"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</row>
    <row r="829" spans="3:27" ht="12.75" customHeight="1" x14ac:dyDescent="0.15"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</row>
    <row r="830" spans="3:27" ht="12.75" customHeight="1" x14ac:dyDescent="0.15"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</row>
    <row r="831" spans="3:27" ht="12.75" customHeight="1" x14ac:dyDescent="0.15"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</row>
    <row r="832" spans="3:27" ht="12.75" customHeight="1" x14ac:dyDescent="0.15"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</row>
    <row r="833" spans="3:27" ht="12.75" customHeight="1" x14ac:dyDescent="0.15"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</row>
    <row r="834" spans="3:27" ht="12.75" customHeight="1" x14ac:dyDescent="0.15"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</row>
    <row r="835" spans="3:27" ht="12.75" customHeight="1" x14ac:dyDescent="0.15"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</row>
    <row r="836" spans="3:27" ht="12.75" customHeight="1" x14ac:dyDescent="0.15"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</row>
    <row r="837" spans="3:27" ht="12.75" customHeight="1" x14ac:dyDescent="0.15"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</row>
    <row r="838" spans="3:27" ht="12.75" customHeight="1" x14ac:dyDescent="0.15"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</row>
    <row r="839" spans="3:27" ht="12.75" customHeight="1" x14ac:dyDescent="0.15"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</row>
    <row r="840" spans="3:27" ht="12.75" customHeight="1" x14ac:dyDescent="0.15"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</row>
    <row r="841" spans="3:27" ht="12.75" customHeight="1" x14ac:dyDescent="0.15"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</row>
    <row r="842" spans="3:27" ht="12.75" customHeight="1" x14ac:dyDescent="0.15"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</row>
    <row r="843" spans="3:27" ht="12.75" customHeight="1" x14ac:dyDescent="0.15"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</row>
    <row r="844" spans="3:27" ht="12.75" customHeight="1" x14ac:dyDescent="0.15"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</row>
    <row r="845" spans="3:27" ht="12.75" customHeight="1" x14ac:dyDescent="0.15"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</row>
    <row r="846" spans="3:27" ht="12.75" customHeight="1" x14ac:dyDescent="0.15"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</row>
    <row r="847" spans="3:27" ht="12.75" customHeight="1" x14ac:dyDescent="0.15"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</row>
    <row r="848" spans="3:27" ht="12.75" customHeight="1" x14ac:dyDescent="0.15"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</row>
    <row r="849" spans="3:27" ht="12.75" customHeight="1" x14ac:dyDescent="0.15"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</row>
    <row r="850" spans="3:27" ht="12.75" customHeight="1" x14ac:dyDescent="0.15"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</row>
    <row r="851" spans="3:27" ht="12.75" customHeight="1" x14ac:dyDescent="0.15"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</row>
    <row r="852" spans="3:27" ht="12.75" customHeight="1" x14ac:dyDescent="0.15"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</row>
    <row r="853" spans="3:27" ht="12.75" customHeight="1" x14ac:dyDescent="0.15"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</row>
    <row r="854" spans="3:27" ht="12.75" customHeight="1" x14ac:dyDescent="0.15"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</row>
    <row r="855" spans="3:27" ht="12.75" customHeight="1" x14ac:dyDescent="0.15"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</row>
    <row r="856" spans="3:27" ht="12.75" customHeight="1" x14ac:dyDescent="0.15"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</row>
    <row r="857" spans="3:27" ht="12.75" customHeight="1" x14ac:dyDescent="0.15"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</row>
    <row r="858" spans="3:27" ht="12.75" customHeight="1" x14ac:dyDescent="0.15"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</row>
    <row r="859" spans="3:27" ht="12.75" customHeight="1" x14ac:dyDescent="0.15"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</row>
    <row r="860" spans="3:27" ht="12.75" customHeight="1" x14ac:dyDescent="0.15"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</row>
    <row r="861" spans="3:27" ht="12.75" customHeight="1" x14ac:dyDescent="0.15"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</row>
    <row r="862" spans="3:27" ht="12.75" customHeight="1" x14ac:dyDescent="0.15"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</row>
    <row r="863" spans="3:27" ht="12.75" customHeight="1" x14ac:dyDescent="0.15"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</row>
    <row r="864" spans="3:27" ht="12.75" customHeight="1" x14ac:dyDescent="0.15"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</row>
    <row r="865" spans="3:27" ht="12.75" customHeight="1" x14ac:dyDescent="0.15"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</row>
    <row r="866" spans="3:27" ht="12.75" customHeight="1" x14ac:dyDescent="0.15"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</row>
    <row r="867" spans="3:27" ht="12.75" customHeight="1" x14ac:dyDescent="0.15"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</row>
    <row r="868" spans="3:27" ht="12.75" customHeight="1" x14ac:dyDescent="0.15"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</row>
    <row r="869" spans="3:27" ht="12.75" customHeight="1" x14ac:dyDescent="0.15"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</row>
    <row r="870" spans="3:27" ht="12.75" customHeight="1" x14ac:dyDescent="0.15"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</row>
    <row r="871" spans="3:27" ht="12.75" customHeight="1" x14ac:dyDescent="0.15"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</row>
    <row r="872" spans="3:27" ht="12.75" customHeight="1" x14ac:dyDescent="0.15"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</row>
    <row r="873" spans="3:27" ht="12.75" customHeight="1" x14ac:dyDescent="0.15"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</row>
    <row r="874" spans="3:27" ht="12.75" customHeight="1" x14ac:dyDescent="0.15"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</row>
    <row r="875" spans="3:27" ht="12.75" customHeight="1" x14ac:dyDescent="0.15"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</row>
    <row r="876" spans="3:27" ht="12.75" customHeight="1" x14ac:dyDescent="0.15"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</row>
    <row r="877" spans="3:27" ht="12.75" customHeight="1" x14ac:dyDescent="0.15"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</row>
    <row r="878" spans="3:27" ht="12.75" customHeight="1" x14ac:dyDescent="0.15"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</row>
    <row r="879" spans="3:27" ht="12.75" customHeight="1" x14ac:dyDescent="0.15"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</row>
    <row r="880" spans="3:27" ht="12.75" customHeight="1" x14ac:dyDescent="0.15"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</row>
    <row r="881" spans="3:27" ht="12.75" customHeight="1" x14ac:dyDescent="0.15"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</row>
    <row r="882" spans="3:27" ht="12.75" customHeight="1" x14ac:dyDescent="0.15"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</row>
    <row r="883" spans="3:27" ht="12.75" customHeight="1" x14ac:dyDescent="0.15"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</row>
    <row r="884" spans="3:27" ht="12.75" customHeight="1" x14ac:dyDescent="0.15"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</row>
    <row r="885" spans="3:27" ht="12.75" customHeight="1" x14ac:dyDescent="0.15"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</row>
    <row r="886" spans="3:27" ht="12.75" customHeight="1" x14ac:dyDescent="0.15"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</row>
    <row r="887" spans="3:27" ht="12.75" customHeight="1" x14ac:dyDescent="0.15"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</row>
    <row r="888" spans="3:27" ht="12.75" customHeight="1" x14ac:dyDescent="0.15"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</row>
    <row r="889" spans="3:27" ht="12.75" customHeight="1" x14ac:dyDescent="0.15"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</row>
    <row r="890" spans="3:27" ht="12.75" customHeight="1" x14ac:dyDescent="0.15"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</row>
    <row r="891" spans="3:27" ht="12.75" customHeight="1" x14ac:dyDescent="0.15"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</row>
    <row r="892" spans="3:27" ht="12.75" customHeight="1" x14ac:dyDescent="0.15"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</row>
    <row r="893" spans="3:27" ht="12.75" customHeight="1" x14ac:dyDescent="0.15"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</row>
    <row r="894" spans="3:27" ht="12.75" customHeight="1" x14ac:dyDescent="0.15"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</row>
    <row r="895" spans="3:27" ht="12.75" customHeight="1" x14ac:dyDescent="0.15"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</row>
    <row r="896" spans="3:27" ht="12.75" customHeight="1" x14ac:dyDescent="0.15"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</row>
    <row r="897" spans="3:27" ht="12.75" customHeight="1" x14ac:dyDescent="0.15"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</row>
    <row r="898" spans="3:27" ht="12.75" customHeight="1" x14ac:dyDescent="0.15"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</row>
    <row r="899" spans="3:27" ht="12.75" customHeight="1" x14ac:dyDescent="0.15"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</row>
    <row r="900" spans="3:27" ht="12.75" customHeight="1" x14ac:dyDescent="0.15"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</row>
    <row r="901" spans="3:27" ht="12.75" customHeight="1" x14ac:dyDescent="0.15"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</row>
    <row r="902" spans="3:27" ht="12.75" customHeight="1" x14ac:dyDescent="0.15"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</row>
    <row r="903" spans="3:27" ht="12.75" customHeight="1" x14ac:dyDescent="0.15"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</row>
    <row r="904" spans="3:27" ht="12.75" customHeight="1" x14ac:dyDescent="0.15"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</row>
    <row r="905" spans="3:27" ht="12.75" customHeight="1" x14ac:dyDescent="0.15"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</row>
    <row r="906" spans="3:27" ht="12.75" customHeight="1" x14ac:dyDescent="0.15"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</row>
    <row r="907" spans="3:27" ht="12.75" customHeight="1" x14ac:dyDescent="0.15"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</row>
    <row r="908" spans="3:27" ht="12.75" customHeight="1" x14ac:dyDescent="0.15"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</row>
    <row r="909" spans="3:27" ht="12.75" customHeight="1" x14ac:dyDescent="0.15"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</row>
    <row r="910" spans="3:27" ht="12.75" customHeight="1" x14ac:dyDescent="0.15"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</row>
    <row r="911" spans="3:27" ht="12.75" customHeight="1" x14ac:dyDescent="0.15"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</row>
    <row r="912" spans="3:27" ht="12.75" customHeight="1" x14ac:dyDescent="0.15"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</row>
    <row r="913" spans="3:27" ht="12.75" customHeight="1" x14ac:dyDescent="0.15"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</row>
    <row r="914" spans="3:27" ht="12.75" customHeight="1" x14ac:dyDescent="0.15"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</row>
    <row r="915" spans="3:27" ht="12.75" customHeight="1" x14ac:dyDescent="0.15"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</row>
    <row r="916" spans="3:27" ht="12.75" customHeight="1" x14ac:dyDescent="0.15"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</row>
    <row r="917" spans="3:27" ht="12.75" customHeight="1" x14ac:dyDescent="0.15"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</row>
    <row r="918" spans="3:27" ht="12.75" customHeight="1" x14ac:dyDescent="0.15"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</row>
    <row r="919" spans="3:27" ht="12.75" customHeight="1" x14ac:dyDescent="0.15"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</row>
    <row r="920" spans="3:27" ht="12.75" customHeight="1" x14ac:dyDescent="0.15"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</row>
    <row r="921" spans="3:27" ht="12.75" customHeight="1" x14ac:dyDescent="0.15"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</row>
    <row r="922" spans="3:27" ht="12.75" customHeight="1" x14ac:dyDescent="0.15"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</row>
    <row r="923" spans="3:27" ht="12.75" customHeight="1" x14ac:dyDescent="0.15"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</row>
    <row r="924" spans="3:27" ht="12.75" customHeight="1" x14ac:dyDescent="0.15"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</row>
    <row r="925" spans="3:27" ht="12.75" customHeight="1" x14ac:dyDescent="0.15"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</row>
    <row r="926" spans="3:27" ht="12.75" customHeight="1" x14ac:dyDescent="0.15"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</row>
    <row r="927" spans="3:27" ht="12.75" customHeight="1" x14ac:dyDescent="0.15"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</row>
    <row r="928" spans="3:27" ht="12.75" customHeight="1" x14ac:dyDescent="0.15"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</row>
    <row r="929" spans="3:27" ht="12.75" customHeight="1" x14ac:dyDescent="0.15"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</row>
    <row r="930" spans="3:27" ht="12.75" customHeight="1" x14ac:dyDescent="0.15"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</row>
    <row r="931" spans="3:27" ht="12.75" customHeight="1" x14ac:dyDescent="0.15"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</row>
    <row r="932" spans="3:27" ht="12.75" customHeight="1" x14ac:dyDescent="0.15"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</row>
    <row r="933" spans="3:27" ht="12.75" customHeight="1" x14ac:dyDescent="0.15"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</row>
    <row r="934" spans="3:27" ht="12.75" customHeight="1" x14ac:dyDescent="0.15"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</row>
    <row r="935" spans="3:27" ht="12.75" customHeight="1" x14ac:dyDescent="0.15"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</row>
    <row r="936" spans="3:27" ht="12.75" customHeight="1" x14ac:dyDescent="0.15"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</row>
    <row r="937" spans="3:27" ht="12.75" customHeight="1" x14ac:dyDescent="0.15"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</row>
    <row r="938" spans="3:27" ht="12.75" customHeight="1" x14ac:dyDescent="0.15"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</row>
    <row r="939" spans="3:27" ht="12.75" customHeight="1" x14ac:dyDescent="0.15"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</row>
    <row r="940" spans="3:27" ht="12.75" customHeight="1" x14ac:dyDescent="0.15"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</row>
    <row r="941" spans="3:27" ht="12.75" customHeight="1" x14ac:dyDescent="0.15"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</row>
    <row r="942" spans="3:27" ht="12.75" customHeight="1" x14ac:dyDescent="0.15"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</row>
    <row r="943" spans="3:27" ht="12.75" customHeight="1" x14ac:dyDescent="0.15"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</row>
    <row r="944" spans="3:27" ht="12.75" customHeight="1" x14ac:dyDescent="0.15"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</row>
    <row r="945" spans="3:27" ht="12.75" customHeight="1" x14ac:dyDescent="0.15"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</row>
    <row r="946" spans="3:27" ht="12.75" customHeight="1" x14ac:dyDescent="0.15"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</row>
    <row r="947" spans="3:27" ht="12.75" customHeight="1" x14ac:dyDescent="0.15"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</row>
    <row r="948" spans="3:27" ht="12.75" customHeight="1" x14ac:dyDescent="0.15"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</row>
    <row r="949" spans="3:27" ht="12.75" customHeight="1" x14ac:dyDescent="0.15"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</row>
    <row r="950" spans="3:27" ht="12.75" customHeight="1" x14ac:dyDescent="0.15"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</row>
    <row r="951" spans="3:27" ht="12.75" customHeight="1" x14ac:dyDescent="0.15"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</row>
    <row r="952" spans="3:27" ht="12.75" customHeight="1" x14ac:dyDescent="0.15"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</row>
    <row r="953" spans="3:27" ht="12.75" customHeight="1" x14ac:dyDescent="0.15"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</row>
    <row r="954" spans="3:27" ht="12.75" customHeight="1" x14ac:dyDescent="0.15"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</row>
    <row r="955" spans="3:27" ht="12.75" customHeight="1" x14ac:dyDescent="0.15"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</row>
    <row r="956" spans="3:27" ht="12.75" customHeight="1" x14ac:dyDescent="0.15"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</row>
    <row r="957" spans="3:27" ht="12.75" customHeight="1" x14ac:dyDescent="0.15"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</row>
    <row r="958" spans="3:27" ht="12.75" customHeight="1" x14ac:dyDescent="0.15"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</row>
    <row r="959" spans="3:27" ht="12.75" customHeight="1" x14ac:dyDescent="0.15"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</row>
    <row r="960" spans="3:27" ht="12.75" customHeight="1" x14ac:dyDescent="0.15"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</row>
    <row r="961" spans="3:27" ht="12.75" customHeight="1" x14ac:dyDescent="0.15"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</row>
    <row r="962" spans="3:27" ht="12.75" customHeight="1" x14ac:dyDescent="0.15"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</row>
    <row r="963" spans="3:27" ht="12.75" customHeight="1" x14ac:dyDescent="0.15"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</row>
    <row r="964" spans="3:27" ht="12.75" customHeight="1" x14ac:dyDescent="0.15"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</row>
    <row r="965" spans="3:27" ht="12.75" customHeight="1" x14ac:dyDescent="0.15"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</row>
    <row r="966" spans="3:27" ht="12.75" customHeight="1" x14ac:dyDescent="0.15"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</row>
    <row r="967" spans="3:27" ht="12.75" customHeight="1" x14ac:dyDescent="0.15"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</row>
    <row r="968" spans="3:27" ht="12.75" customHeight="1" x14ac:dyDescent="0.15"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</row>
    <row r="969" spans="3:27" ht="12.75" customHeight="1" x14ac:dyDescent="0.15"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</row>
    <row r="970" spans="3:27" ht="12.75" customHeight="1" x14ac:dyDescent="0.15"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</row>
    <row r="971" spans="3:27" ht="12.75" customHeight="1" x14ac:dyDescent="0.15"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</row>
    <row r="972" spans="3:27" ht="12.75" customHeight="1" x14ac:dyDescent="0.15"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</row>
    <row r="973" spans="3:27" ht="12.75" customHeight="1" x14ac:dyDescent="0.15"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</row>
    <row r="974" spans="3:27" ht="12.75" customHeight="1" x14ac:dyDescent="0.15"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</row>
    <row r="975" spans="3:27" ht="12.75" customHeight="1" x14ac:dyDescent="0.15"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</row>
    <row r="976" spans="3:27" ht="12.75" customHeight="1" x14ac:dyDescent="0.15"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</row>
    <row r="977" spans="3:27" ht="12.75" customHeight="1" x14ac:dyDescent="0.15"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</row>
    <row r="978" spans="3:27" ht="12.75" customHeight="1" x14ac:dyDescent="0.15"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</row>
    <row r="979" spans="3:27" ht="12.75" customHeight="1" x14ac:dyDescent="0.15"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</row>
    <row r="980" spans="3:27" ht="12.75" customHeight="1" x14ac:dyDescent="0.15"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</row>
    <row r="981" spans="3:27" ht="12.75" customHeight="1" x14ac:dyDescent="0.15"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</row>
    <row r="982" spans="3:27" ht="12.75" customHeight="1" x14ac:dyDescent="0.15"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</row>
    <row r="983" spans="3:27" ht="12.75" customHeight="1" x14ac:dyDescent="0.15"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</row>
    <row r="984" spans="3:27" ht="12.75" customHeight="1" x14ac:dyDescent="0.15"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</row>
    <row r="985" spans="3:27" ht="12.75" customHeight="1" x14ac:dyDescent="0.15"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</row>
    <row r="986" spans="3:27" ht="12.75" customHeight="1" x14ac:dyDescent="0.15"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</row>
    <row r="987" spans="3:27" ht="12.75" customHeight="1" x14ac:dyDescent="0.15"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</row>
    <row r="988" spans="3:27" ht="12.75" customHeight="1" x14ac:dyDescent="0.15"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</row>
    <row r="989" spans="3:27" ht="12.75" customHeight="1" x14ac:dyDescent="0.15"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</row>
    <row r="990" spans="3:27" ht="12.75" customHeight="1" x14ac:dyDescent="0.15"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</row>
    <row r="991" spans="3:27" ht="12.75" customHeight="1" x14ac:dyDescent="0.15"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</row>
    <row r="992" spans="3:27" ht="12.75" customHeight="1" x14ac:dyDescent="0.15"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</row>
    <row r="993" spans="3:27" ht="12.75" customHeight="1" x14ac:dyDescent="0.15"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</row>
    <row r="994" spans="3:27" ht="12.75" customHeight="1" x14ac:dyDescent="0.15"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</row>
    <row r="995" spans="3:27" ht="12.75" customHeight="1" x14ac:dyDescent="0.15"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</row>
    <row r="996" spans="3:27" ht="12.75" customHeight="1" x14ac:dyDescent="0.15"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</row>
    <row r="997" spans="3:27" ht="12.75" customHeight="1" x14ac:dyDescent="0.15"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</row>
    <row r="998" spans="3:27" ht="12.75" customHeight="1" x14ac:dyDescent="0.15"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</row>
    <row r="999" spans="3:27" ht="12.75" customHeight="1" x14ac:dyDescent="0.15"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</row>
    <row r="1000" spans="3:27" ht="12.75" customHeight="1" x14ac:dyDescent="0.15"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</row>
    <row r="1001" spans="3:27" ht="12.75" customHeight="1" x14ac:dyDescent="0.15"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</row>
    <row r="1002" spans="3:27" ht="12.75" customHeight="1" x14ac:dyDescent="0.15"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</row>
    <row r="1003" spans="3:27" ht="12.75" customHeight="1" x14ac:dyDescent="0.15"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</row>
    <row r="1004" spans="3:27" ht="12.75" customHeight="1" x14ac:dyDescent="0.15"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</row>
    <row r="1005" spans="3:27" ht="12.75" customHeight="1" x14ac:dyDescent="0.15"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</row>
    <row r="1006" spans="3:27" ht="12.75" customHeight="1" x14ac:dyDescent="0.15"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</row>
    <row r="1007" spans="3:27" ht="12.75" customHeight="1" x14ac:dyDescent="0.15"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</row>
    <row r="1008" spans="3:27" ht="12.75" customHeight="1" x14ac:dyDescent="0.15"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</row>
    <row r="1009" spans="3:27" ht="12.75" customHeight="1" x14ac:dyDescent="0.15"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</row>
    <row r="1010" spans="3:27" ht="12.75" customHeight="1" x14ac:dyDescent="0.15"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</row>
    <row r="1011" spans="3:27" ht="12.75" customHeight="1" x14ac:dyDescent="0.15"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</row>
    <row r="1012" spans="3:27" ht="12.75" customHeight="1" x14ac:dyDescent="0.15"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</row>
    <row r="1013" spans="3:27" ht="12.75" customHeight="1" x14ac:dyDescent="0.15"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</row>
    <row r="1014" spans="3:27" ht="12.75" customHeight="1" x14ac:dyDescent="0.15"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</row>
    <row r="1015" spans="3:27" ht="12.75" customHeight="1" x14ac:dyDescent="0.15"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</row>
    <row r="1016" spans="3:27" ht="12.75" customHeight="1" x14ac:dyDescent="0.15"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</row>
    <row r="1017" spans="3:27" ht="12.75" customHeight="1" x14ac:dyDescent="0.15"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</row>
    <row r="1018" spans="3:27" ht="12.75" customHeight="1" x14ac:dyDescent="0.15"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</row>
    <row r="1019" spans="3:27" ht="12.75" customHeight="1" x14ac:dyDescent="0.15"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</row>
    <row r="1020" spans="3:27" ht="12.75" customHeight="1" x14ac:dyDescent="0.15"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</row>
    <row r="1021" spans="3:27" ht="12.75" customHeight="1" x14ac:dyDescent="0.15"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</row>
    <row r="1022" spans="3:27" ht="12.75" customHeight="1" x14ac:dyDescent="0.15"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</row>
    <row r="1023" spans="3:27" ht="12.75" customHeight="1" x14ac:dyDescent="0.15"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</row>
    <row r="1024" spans="3:27" ht="12.75" customHeight="1" x14ac:dyDescent="0.15"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</row>
    <row r="1025" spans="3:27" ht="12.75" customHeight="1" x14ac:dyDescent="0.15"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</row>
    <row r="1026" spans="3:27" ht="12.75" customHeight="1" x14ac:dyDescent="0.15"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</row>
    <row r="1027" spans="3:27" ht="12.75" customHeight="1" x14ac:dyDescent="0.15"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</row>
    <row r="1028" spans="3:27" ht="12.75" customHeight="1" x14ac:dyDescent="0.15"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</row>
    <row r="1029" spans="3:27" ht="12.75" customHeight="1" x14ac:dyDescent="0.15"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</row>
    <row r="1030" spans="3:27" ht="12.75" customHeight="1" x14ac:dyDescent="0.15"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</row>
    <row r="1031" spans="3:27" ht="12.75" customHeight="1" x14ac:dyDescent="0.15"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</row>
    <row r="1032" spans="3:27" ht="12.75" customHeight="1" x14ac:dyDescent="0.15"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</row>
    <row r="1033" spans="3:27" ht="12.75" customHeight="1" x14ac:dyDescent="0.15"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</row>
    <row r="1034" spans="3:27" ht="12.75" customHeight="1" x14ac:dyDescent="0.15"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</row>
    <row r="1035" spans="3:27" ht="12.75" customHeight="1" x14ac:dyDescent="0.15"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</row>
    <row r="1036" spans="3:27" ht="12.75" customHeight="1" x14ac:dyDescent="0.15"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</row>
    <row r="1037" spans="3:27" ht="12.75" customHeight="1" x14ac:dyDescent="0.15"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</row>
    <row r="1038" spans="3:27" ht="12.75" customHeight="1" x14ac:dyDescent="0.15"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</row>
    <row r="1039" spans="3:27" ht="12.75" customHeight="1" x14ac:dyDescent="0.15"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</row>
    <row r="1040" spans="3:27" ht="12.75" customHeight="1" x14ac:dyDescent="0.15"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</row>
    <row r="1041" spans="3:27" ht="12.75" customHeight="1" x14ac:dyDescent="0.15"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</row>
    <row r="1042" spans="3:27" ht="12.75" customHeight="1" x14ac:dyDescent="0.15"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</row>
    <row r="1043" spans="3:27" ht="12.75" customHeight="1" x14ac:dyDescent="0.15"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</row>
    <row r="1044" spans="3:27" ht="12.75" customHeight="1" x14ac:dyDescent="0.15"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</row>
    <row r="1045" spans="3:27" ht="12.75" customHeight="1" x14ac:dyDescent="0.15"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</row>
    <row r="1046" spans="3:27" ht="12.75" customHeight="1" x14ac:dyDescent="0.15"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</row>
    <row r="1047" spans="3:27" ht="12.75" customHeight="1" x14ac:dyDescent="0.15"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</row>
    <row r="1048" spans="3:27" ht="12.75" customHeight="1" x14ac:dyDescent="0.15"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</row>
    <row r="1049" spans="3:27" ht="12.75" customHeight="1" x14ac:dyDescent="0.15"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</row>
    <row r="1050" spans="3:27" ht="12.75" customHeight="1" x14ac:dyDescent="0.15"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</row>
    <row r="1051" spans="3:27" ht="12.75" customHeight="1" x14ac:dyDescent="0.15"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</row>
    <row r="1052" spans="3:27" ht="12.75" customHeight="1" x14ac:dyDescent="0.15"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</row>
    <row r="1053" spans="3:27" ht="12.75" customHeight="1" x14ac:dyDescent="0.15"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</row>
    <row r="1054" spans="3:27" ht="12.75" customHeight="1" x14ac:dyDescent="0.15"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</row>
    <row r="1055" spans="3:27" ht="12.75" customHeight="1" x14ac:dyDescent="0.15"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</row>
    <row r="1056" spans="3:27" ht="12.75" customHeight="1" x14ac:dyDescent="0.15"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</row>
    <row r="1057" spans="3:27" ht="12.75" customHeight="1" x14ac:dyDescent="0.15"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</row>
    <row r="1058" spans="3:27" ht="12.75" customHeight="1" x14ac:dyDescent="0.15"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</row>
    <row r="1059" spans="3:27" ht="12.75" customHeight="1" x14ac:dyDescent="0.15"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</row>
    <row r="1060" spans="3:27" ht="12.75" customHeight="1" x14ac:dyDescent="0.15"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</row>
    <row r="1061" spans="3:27" ht="12.75" customHeight="1" x14ac:dyDescent="0.15"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</row>
    <row r="1062" spans="3:27" ht="12.75" customHeight="1" x14ac:dyDescent="0.15"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</row>
    <row r="1063" spans="3:27" ht="12.75" customHeight="1" x14ac:dyDescent="0.15"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</row>
    <row r="1064" spans="3:27" ht="12.75" customHeight="1" x14ac:dyDescent="0.15"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</row>
    <row r="1065" spans="3:27" ht="12.75" customHeight="1" x14ac:dyDescent="0.15"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</row>
    <row r="1066" spans="3:27" ht="12.75" customHeight="1" x14ac:dyDescent="0.15"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</row>
    <row r="1067" spans="3:27" ht="12.75" customHeight="1" x14ac:dyDescent="0.15"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</row>
    <row r="1068" spans="3:27" ht="12.75" customHeight="1" x14ac:dyDescent="0.15"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</row>
    <row r="1069" spans="3:27" ht="12.75" customHeight="1" x14ac:dyDescent="0.15"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</row>
    <row r="1070" spans="3:27" ht="12.75" customHeight="1" x14ac:dyDescent="0.15"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</row>
    <row r="1071" spans="3:27" ht="12.75" customHeight="1" x14ac:dyDescent="0.15"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</row>
    <row r="1072" spans="3:27" ht="12.75" customHeight="1" x14ac:dyDescent="0.15"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</row>
    <row r="1073" spans="3:27" ht="12.75" customHeight="1" x14ac:dyDescent="0.15"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</row>
    <row r="1074" spans="3:27" ht="12.75" customHeight="1" x14ac:dyDescent="0.15"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</row>
    <row r="1075" spans="3:27" ht="12.75" customHeight="1" x14ac:dyDescent="0.15"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</row>
    <row r="1076" spans="3:27" ht="12.75" customHeight="1" x14ac:dyDescent="0.15"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</row>
    <row r="1077" spans="3:27" ht="12.75" customHeight="1" x14ac:dyDescent="0.15"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</row>
    <row r="1078" spans="3:27" ht="12.75" customHeight="1" x14ac:dyDescent="0.15"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</row>
    <row r="1079" spans="3:27" ht="12.75" customHeight="1" x14ac:dyDescent="0.15"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</row>
    <row r="1080" spans="3:27" ht="12.75" customHeight="1" x14ac:dyDescent="0.15"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</row>
    <row r="1081" spans="3:27" ht="12.75" customHeight="1" x14ac:dyDescent="0.15"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</row>
    <row r="1082" spans="3:27" ht="12.75" customHeight="1" x14ac:dyDescent="0.15"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</row>
    <row r="1083" spans="3:27" ht="12.75" customHeight="1" x14ac:dyDescent="0.15"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</row>
    <row r="1084" spans="3:27" ht="12.75" customHeight="1" x14ac:dyDescent="0.15"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</row>
    <row r="1085" spans="3:27" ht="12.75" customHeight="1" x14ac:dyDescent="0.15"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</row>
    <row r="1086" spans="3:27" ht="12.75" customHeight="1" x14ac:dyDescent="0.15"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</row>
    <row r="1087" spans="3:27" ht="12.75" customHeight="1" x14ac:dyDescent="0.15"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</row>
    <row r="1088" spans="3:27" ht="12.75" customHeight="1" x14ac:dyDescent="0.15"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</row>
    <row r="1089" spans="3:27" ht="12.75" customHeight="1" x14ac:dyDescent="0.15"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</row>
    <row r="1090" spans="3:27" ht="12.75" customHeight="1" x14ac:dyDescent="0.15"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</row>
    <row r="1091" spans="3:27" ht="12.75" customHeight="1" x14ac:dyDescent="0.15"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</row>
    <row r="1092" spans="3:27" ht="12.75" customHeight="1" x14ac:dyDescent="0.15"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</row>
    <row r="1093" spans="3:27" ht="12.75" customHeight="1" x14ac:dyDescent="0.15"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</row>
    <row r="1094" spans="3:27" ht="12.75" customHeight="1" x14ac:dyDescent="0.15"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</row>
    <row r="1095" spans="3:27" ht="12.75" customHeight="1" x14ac:dyDescent="0.15"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</row>
    <row r="1096" spans="3:27" ht="12.75" customHeight="1" x14ac:dyDescent="0.15"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</row>
    <row r="1097" spans="3:27" ht="12.75" customHeight="1" x14ac:dyDescent="0.15"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</row>
    <row r="1098" spans="3:27" ht="12.75" customHeight="1" x14ac:dyDescent="0.15"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</row>
    <row r="1099" spans="3:27" ht="12.75" customHeight="1" x14ac:dyDescent="0.15"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</row>
    <row r="1100" spans="3:27" ht="12.75" customHeight="1" x14ac:dyDescent="0.15"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</row>
    <row r="1101" spans="3:27" ht="12.75" customHeight="1" x14ac:dyDescent="0.15"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</row>
    <row r="1102" spans="3:27" ht="12.75" customHeight="1" x14ac:dyDescent="0.15"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</row>
    <row r="1103" spans="3:27" ht="12.75" customHeight="1" x14ac:dyDescent="0.15"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</row>
    <row r="1104" spans="3:27" ht="12.75" customHeight="1" x14ac:dyDescent="0.15"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</row>
    <row r="1105" spans="3:27" ht="12.75" customHeight="1" x14ac:dyDescent="0.15"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</row>
    <row r="1106" spans="3:27" ht="12.75" customHeight="1" x14ac:dyDescent="0.15"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</row>
    <row r="1107" spans="3:27" ht="12.75" customHeight="1" x14ac:dyDescent="0.15"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</row>
    <row r="1108" spans="3:27" ht="12.75" customHeight="1" x14ac:dyDescent="0.15"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</row>
    <row r="1109" spans="3:27" ht="12.75" customHeight="1" x14ac:dyDescent="0.15"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</row>
    <row r="1110" spans="3:27" ht="12.75" customHeight="1" x14ac:dyDescent="0.15"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</row>
    <row r="1111" spans="3:27" ht="12.75" customHeight="1" x14ac:dyDescent="0.15"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</row>
    <row r="1112" spans="3:27" ht="12.75" customHeight="1" x14ac:dyDescent="0.15"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</row>
    <row r="1113" spans="3:27" ht="12.75" customHeight="1" x14ac:dyDescent="0.15"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</row>
    <row r="1114" spans="3:27" ht="12.75" customHeight="1" x14ac:dyDescent="0.15"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</row>
    <row r="1115" spans="3:27" ht="12.75" customHeight="1" x14ac:dyDescent="0.15"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</row>
    <row r="1116" spans="3:27" ht="12.75" customHeight="1" x14ac:dyDescent="0.15"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</row>
    <row r="1117" spans="3:27" ht="12.75" customHeight="1" x14ac:dyDescent="0.15"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</row>
    <row r="1118" spans="3:27" ht="12.75" customHeight="1" x14ac:dyDescent="0.15"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</row>
    <row r="1119" spans="3:27" ht="12.75" customHeight="1" x14ac:dyDescent="0.15"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</row>
    <row r="1120" spans="3:27" ht="12.75" customHeight="1" x14ac:dyDescent="0.15"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</row>
    <row r="1121" spans="3:27" ht="12.75" customHeight="1" x14ac:dyDescent="0.15"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</row>
    <row r="1122" spans="3:27" ht="12.75" customHeight="1" x14ac:dyDescent="0.15"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</row>
    <row r="1123" spans="3:27" ht="12.75" customHeight="1" x14ac:dyDescent="0.15"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</row>
    <row r="1124" spans="3:27" ht="12.75" customHeight="1" x14ac:dyDescent="0.15"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</row>
    <row r="1125" spans="3:27" ht="12.75" customHeight="1" x14ac:dyDescent="0.15"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</row>
    <row r="1126" spans="3:27" ht="12.75" customHeight="1" x14ac:dyDescent="0.15"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</row>
    <row r="1127" spans="3:27" ht="12.75" customHeight="1" x14ac:dyDescent="0.15"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</row>
    <row r="1128" spans="3:27" ht="12.75" customHeight="1" x14ac:dyDescent="0.15"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</row>
    <row r="1129" spans="3:27" ht="12.75" customHeight="1" x14ac:dyDescent="0.15"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</row>
    <row r="1130" spans="3:27" ht="12.75" customHeight="1" x14ac:dyDescent="0.15"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</row>
    <row r="1131" spans="3:27" ht="12.75" customHeight="1" x14ac:dyDescent="0.15"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</row>
    <row r="1132" spans="3:27" ht="12.75" customHeight="1" x14ac:dyDescent="0.15"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</row>
    <row r="1133" spans="3:27" ht="12.75" customHeight="1" x14ac:dyDescent="0.15"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</row>
    <row r="1134" spans="3:27" ht="12.75" customHeight="1" x14ac:dyDescent="0.15"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</row>
    <row r="1135" spans="3:27" ht="12.75" customHeight="1" x14ac:dyDescent="0.15"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</row>
    <row r="1136" spans="3:27" ht="12.75" customHeight="1" x14ac:dyDescent="0.15"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</row>
    <row r="1137" spans="3:27" ht="12.75" customHeight="1" x14ac:dyDescent="0.15"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</row>
    <row r="1138" spans="3:27" ht="12.75" customHeight="1" x14ac:dyDescent="0.15"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</row>
    <row r="1139" spans="3:27" ht="12.75" customHeight="1" x14ac:dyDescent="0.15"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</row>
    <row r="1140" spans="3:27" ht="12.75" customHeight="1" x14ac:dyDescent="0.15"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</row>
    <row r="1141" spans="3:27" ht="12.75" customHeight="1" x14ac:dyDescent="0.15"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</row>
    <row r="1142" spans="3:27" ht="12.75" customHeight="1" x14ac:dyDescent="0.15"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</row>
    <row r="1143" spans="3:27" ht="12.75" customHeight="1" x14ac:dyDescent="0.15"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</row>
    <row r="1144" spans="3:27" ht="12.75" customHeight="1" x14ac:dyDescent="0.15"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</row>
    <row r="1145" spans="3:27" ht="12.75" customHeight="1" x14ac:dyDescent="0.15"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</row>
    <row r="1146" spans="3:27" ht="12.75" customHeight="1" x14ac:dyDescent="0.15"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</row>
    <row r="1147" spans="3:27" ht="12.75" customHeight="1" x14ac:dyDescent="0.15"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</row>
    <row r="1148" spans="3:27" ht="12.75" customHeight="1" x14ac:dyDescent="0.15"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</row>
    <row r="1149" spans="3:27" ht="12.75" customHeight="1" x14ac:dyDescent="0.15"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</row>
    <row r="1150" spans="3:27" ht="12.75" customHeight="1" x14ac:dyDescent="0.15"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</row>
    <row r="1151" spans="3:27" ht="12.75" customHeight="1" x14ac:dyDescent="0.15"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</row>
    <row r="1152" spans="3:27" ht="12.75" customHeight="1" x14ac:dyDescent="0.15"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</row>
    <row r="1153" spans="3:27" ht="12.75" customHeight="1" x14ac:dyDescent="0.15"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</row>
    <row r="1154" spans="3:27" ht="12.75" customHeight="1" x14ac:dyDescent="0.15"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</row>
    <row r="1155" spans="3:27" ht="12.75" customHeight="1" x14ac:dyDescent="0.15"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</row>
    <row r="1156" spans="3:27" ht="12.75" customHeight="1" x14ac:dyDescent="0.15"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</row>
    <row r="1157" spans="3:27" ht="12.75" customHeight="1" x14ac:dyDescent="0.15"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</row>
    <row r="1158" spans="3:27" ht="12.75" customHeight="1" x14ac:dyDescent="0.15"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</row>
    <row r="1159" spans="3:27" ht="12.75" customHeight="1" x14ac:dyDescent="0.15"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</row>
    <row r="1160" spans="3:27" ht="12.75" customHeight="1" x14ac:dyDescent="0.15"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</row>
    <row r="1161" spans="3:27" ht="12.75" customHeight="1" x14ac:dyDescent="0.15"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</row>
    <row r="1162" spans="3:27" ht="12.75" customHeight="1" x14ac:dyDescent="0.15"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</row>
    <row r="1163" spans="3:27" ht="12.75" customHeight="1" x14ac:dyDescent="0.15"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</row>
    <row r="1164" spans="3:27" ht="12.75" customHeight="1" x14ac:dyDescent="0.15"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</row>
    <row r="1165" spans="3:27" ht="12.75" customHeight="1" x14ac:dyDescent="0.15"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</row>
    <row r="1166" spans="3:27" ht="12.75" customHeight="1" x14ac:dyDescent="0.15"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</row>
    <row r="1167" spans="3:27" ht="12.75" customHeight="1" x14ac:dyDescent="0.15"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</row>
    <row r="1168" spans="3:27" ht="12.75" customHeight="1" x14ac:dyDescent="0.15"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</row>
    <row r="1169" spans="3:27" ht="12.75" customHeight="1" x14ac:dyDescent="0.15"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</row>
    <row r="1170" spans="3:27" ht="12.75" customHeight="1" x14ac:dyDescent="0.15"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</row>
    <row r="1171" spans="3:27" ht="12.75" customHeight="1" x14ac:dyDescent="0.15"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</row>
    <row r="1172" spans="3:27" ht="12.75" customHeight="1" x14ac:dyDescent="0.15"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</row>
    <row r="1173" spans="3:27" ht="12.75" customHeight="1" x14ac:dyDescent="0.15"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</row>
    <row r="1174" spans="3:27" ht="12.75" customHeight="1" x14ac:dyDescent="0.15"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</row>
    <row r="1175" spans="3:27" ht="12.75" customHeight="1" x14ac:dyDescent="0.15"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</row>
    <row r="1176" spans="3:27" ht="12.75" customHeight="1" x14ac:dyDescent="0.15"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</row>
    <row r="1177" spans="3:27" ht="12.75" customHeight="1" x14ac:dyDescent="0.15"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</row>
    <row r="1178" spans="3:27" ht="12.75" customHeight="1" x14ac:dyDescent="0.15"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</row>
    <row r="1179" spans="3:27" ht="12.75" customHeight="1" x14ac:dyDescent="0.15"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</row>
    <row r="1180" spans="3:27" ht="12.75" customHeight="1" x14ac:dyDescent="0.15"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</row>
    <row r="1181" spans="3:27" ht="12.75" customHeight="1" x14ac:dyDescent="0.15"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</row>
    <row r="1182" spans="3:27" ht="12.75" customHeight="1" x14ac:dyDescent="0.15"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</row>
    <row r="1183" spans="3:27" ht="12.75" customHeight="1" x14ac:dyDescent="0.15"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</row>
    <row r="1184" spans="3:27" ht="12.75" customHeight="1" x14ac:dyDescent="0.15"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</row>
    <row r="1185" spans="3:27" ht="12.75" customHeight="1" x14ac:dyDescent="0.15"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</row>
    <row r="1186" spans="3:27" ht="12.75" customHeight="1" x14ac:dyDescent="0.15"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</row>
    <row r="1187" spans="3:27" ht="12.75" customHeight="1" x14ac:dyDescent="0.15"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</row>
    <row r="1188" spans="3:27" ht="12.75" customHeight="1" x14ac:dyDescent="0.15"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</row>
    <row r="1189" spans="3:27" ht="12.75" customHeight="1" x14ac:dyDescent="0.15"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</row>
    <row r="1190" spans="3:27" ht="12.75" customHeight="1" x14ac:dyDescent="0.15"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</row>
    <row r="1191" spans="3:27" ht="12.75" customHeight="1" x14ac:dyDescent="0.15"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</row>
    <row r="1192" spans="3:27" ht="12.75" customHeight="1" x14ac:dyDescent="0.15"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</row>
    <row r="1193" spans="3:27" ht="12.75" customHeight="1" x14ac:dyDescent="0.15"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</row>
    <row r="1194" spans="3:27" ht="12.75" customHeight="1" x14ac:dyDescent="0.15"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</row>
    <row r="1195" spans="3:27" ht="12.75" customHeight="1" x14ac:dyDescent="0.15"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</row>
    <row r="1196" spans="3:27" ht="12.75" customHeight="1" x14ac:dyDescent="0.15"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</row>
    <row r="1197" spans="3:27" ht="12.75" customHeight="1" x14ac:dyDescent="0.15"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</row>
    <row r="1198" spans="3:27" ht="12.75" customHeight="1" x14ac:dyDescent="0.15"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</row>
    <row r="1199" spans="3:27" ht="12.75" customHeight="1" x14ac:dyDescent="0.15"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</row>
    <row r="1200" spans="3:27" ht="12.75" customHeight="1" x14ac:dyDescent="0.15"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</row>
    <row r="1201" spans="3:27" ht="12.75" customHeight="1" x14ac:dyDescent="0.15"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</row>
    <row r="1202" spans="3:27" ht="12.75" customHeight="1" x14ac:dyDescent="0.15"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</row>
    <row r="1203" spans="3:27" ht="12.75" customHeight="1" x14ac:dyDescent="0.15"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</row>
    <row r="1204" spans="3:27" ht="12.75" customHeight="1" x14ac:dyDescent="0.15"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</row>
    <row r="1205" spans="3:27" ht="12.75" customHeight="1" x14ac:dyDescent="0.15"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</row>
    <row r="1206" spans="3:27" ht="12.75" customHeight="1" x14ac:dyDescent="0.15"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</row>
    <row r="1207" spans="3:27" ht="12.75" customHeight="1" x14ac:dyDescent="0.15"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</row>
    <row r="1208" spans="3:27" ht="12.75" customHeight="1" x14ac:dyDescent="0.15"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</row>
    <row r="1209" spans="3:27" ht="12.75" customHeight="1" x14ac:dyDescent="0.15"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</row>
    <row r="1210" spans="3:27" ht="12.75" customHeight="1" x14ac:dyDescent="0.15"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</row>
    <row r="1211" spans="3:27" ht="12.75" customHeight="1" x14ac:dyDescent="0.15"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</row>
    <row r="1212" spans="3:27" ht="12.75" customHeight="1" x14ac:dyDescent="0.15"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</row>
    <row r="1213" spans="3:27" ht="12.75" customHeight="1" x14ac:dyDescent="0.15"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</row>
    <row r="1214" spans="3:27" ht="12.75" customHeight="1" x14ac:dyDescent="0.15"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</row>
    <row r="1215" spans="3:27" ht="12.75" customHeight="1" x14ac:dyDescent="0.15"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</row>
    <row r="1216" spans="3:27" ht="12.75" customHeight="1" x14ac:dyDescent="0.15"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</row>
    <row r="1217" spans="3:27" ht="12.75" customHeight="1" x14ac:dyDescent="0.15"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</row>
    <row r="1218" spans="3:27" ht="12.75" customHeight="1" x14ac:dyDescent="0.15"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</row>
    <row r="1219" spans="3:27" ht="12.75" customHeight="1" x14ac:dyDescent="0.15"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</row>
    <row r="1220" spans="3:27" ht="12.75" customHeight="1" x14ac:dyDescent="0.15"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</row>
    <row r="1221" spans="3:27" ht="12.75" customHeight="1" x14ac:dyDescent="0.15"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</row>
    <row r="1222" spans="3:27" ht="12.75" customHeight="1" x14ac:dyDescent="0.15"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</row>
    <row r="1223" spans="3:27" ht="12.75" customHeight="1" x14ac:dyDescent="0.15"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</row>
    <row r="1224" spans="3:27" ht="12.75" customHeight="1" x14ac:dyDescent="0.15"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</row>
    <row r="1225" spans="3:27" ht="12.75" customHeight="1" x14ac:dyDescent="0.15"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</row>
    <row r="1226" spans="3:27" ht="12.75" customHeight="1" x14ac:dyDescent="0.15"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</row>
    <row r="1227" spans="3:27" ht="12.75" customHeight="1" x14ac:dyDescent="0.15"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</row>
    <row r="1228" spans="3:27" ht="12.75" customHeight="1" x14ac:dyDescent="0.15"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</row>
    <row r="1229" spans="3:27" ht="12.75" customHeight="1" x14ac:dyDescent="0.15"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</row>
    <row r="1230" spans="3:27" ht="12.75" customHeight="1" x14ac:dyDescent="0.15"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</row>
    <row r="1231" spans="3:27" ht="12.75" customHeight="1" x14ac:dyDescent="0.15"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</row>
    <row r="1232" spans="3:27" ht="12.75" customHeight="1" x14ac:dyDescent="0.15"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</row>
    <row r="1233" spans="3:27" ht="12.75" customHeight="1" x14ac:dyDescent="0.15"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</row>
    <row r="1234" spans="3:27" ht="12.75" customHeight="1" x14ac:dyDescent="0.15"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</row>
    <row r="1235" spans="3:27" ht="12.75" customHeight="1" x14ac:dyDescent="0.15"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</row>
    <row r="1236" spans="3:27" ht="12.75" customHeight="1" x14ac:dyDescent="0.15"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</row>
    <row r="1237" spans="3:27" ht="12.75" customHeight="1" x14ac:dyDescent="0.15"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</row>
    <row r="1238" spans="3:27" ht="12.75" customHeight="1" x14ac:dyDescent="0.15"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</row>
    <row r="1239" spans="3:27" ht="12.75" customHeight="1" x14ac:dyDescent="0.15"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</row>
    <row r="1240" spans="3:27" ht="12.75" customHeight="1" x14ac:dyDescent="0.15"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</row>
    <row r="1241" spans="3:27" ht="12.75" customHeight="1" x14ac:dyDescent="0.15"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</row>
    <row r="1242" spans="3:27" ht="12.75" customHeight="1" x14ac:dyDescent="0.15"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</row>
    <row r="1243" spans="3:27" ht="12.75" customHeight="1" x14ac:dyDescent="0.15"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</row>
    <row r="1244" spans="3:27" ht="12.75" customHeight="1" x14ac:dyDescent="0.15"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</row>
    <row r="1245" spans="3:27" ht="12.75" customHeight="1" x14ac:dyDescent="0.15"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</row>
    <row r="1246" spans="3:27" ht="12.75" customHeight="1" x14ac:dyDescent="0.15"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</row>
    <row r="1247" spans="3:27" ht="12.75" customHeight="1" x14ac:dyDescent="0.15"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</row>
    <row r="1248" spans="3:27" ht="12.75" customHeight="1" x14ac:dyDescent="0.15"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</row>
    <row r="1249" spans="3:27" ht="12.75" customHeight="1" x14ac:dyDescent="0.15"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</row>
    <row r="1250" spans="3:27" ht="12.75" customHeight="1" x14ac:dyDescent="0.15"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</row>
    <row r="1251" spans="3:27" ht="12.75" customHeight="1" x14ac:dyDescent="0.15"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</row>
    <row r="1252" spans="3:27" ht="12.75" customHeight="1" x14ac:dyDescent="0.15"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</row>
    <row r="1253" spans="3:27" ht="12.75" customHeight="1" x14ac:dyDescent="0.15"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</row>
    <row r="1254" spans="3:27" ht="12.75" customHeight="1" x14ac:dyDescent="0.15"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</row>
    <row r="1255" spans="3:27" ht="12.75" customHeight="1" x14ac:dyDescent="0.15"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</row>
    <row r="1256" spans="3:27" ht="12.75" customHeight="1" x14ac:dyDescent="0.15"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</row>
    <row r="1257" spans="3:27" ht="12.75" customHeight="1" x14ac:dyDescent="0.15"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</row>
    <row r="1258" spans="3:27" ht="12.75" customHeight="1" x14ac:dyDescent="0.15"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</row>
    <row r="1259" spans="3:27" ht="12.75" customHeight="1" x14ac:dyDescent="0.15"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</row>
    <row r="1260" spans="3:27" ht="12.75" customHeight="1" x14ac:dyDescent="0.15"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</row>
    <row r="1261" spans="3:27" ht="12.75" customHeight="1" x14ac:dyDescent="0.15"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</row>
    <row r="1262" spans="3:27" ht="12.75" customHeight="1" x14ac:dyDescent="0.15"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</row>
    <row r="1263" spans="3:27" ht="12.75" customHeight="1" x14ac:dyDescent="0.15"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</row>
    <row r="1264" spans="3:27" ht="12.75" customHeight="1" x14ac:dyDescent="0.15"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</row>
    <row r="1265" spans="3:27" ht="12.75" customHeight="1" x14ac:dyDescent="0.15"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</row>
    <row r="1266" spans="3:27" ht="12.75" customHeight="1" x14ac:dyDescent="0.15"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</row>
    <row r="1267" spans="3:27" ht="12.75" customHeight="1" x14ac:dyDescent="0.15"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</row>
    <row r="1268" spans="3:27" ht="12.75" customHeight="1" x14ac:dyDescent="0.15"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</row>
    <row r="1269" spans="3:27" ht="12.75" customHeight="1" x14ac:dyDescent="0.15"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</row>
    <row r="1270" spans="3:27" ht="12.75" customHeight="1" x14ac:dyDescent="0.15"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</row>
    <row r="1271" spans="3:27" ht="12.75" customHeight="1" x14ac:dyDescent="0.15"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</row>
    <row r="1272" spans="3:27" ht="12.75" customHeight="1" x14ac:dyDescent="0.15"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</row>
    <row r="1273" spans="3:27" ht="12.75" customHeight="1" x14ac:dyDescent="0.15"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</row>
    <row r="1274" spans="3:27" ht="12.75" customHeight="1" x14ac:dyDescent="0.15"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</row>
    <row r="1275" spans="3:27" ht="12.75" customHeight="1" x14ac:dyDescent="0.15"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</row>
    <row r="1276" spans="3:27" ht="12.75" customHeight="1" x14ac:dyDescent="0.15"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</row>
    <row r="1277" spans="3:27" ht="12.75" customHeight="1" x14ac:dyDescent="0.15"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</row>
    <row r="1278" spans="3:27" ht="12.75" customHeight="1" x14ac:dyDescent="0.15"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</row>
    <row r="1279" spans="3:27" ht="12.75" customHeight="1" x14ac:dyDescent="0.15"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</row>
    <row r="1280" spans="3:27" ht="12.75" customHeight="1" x14ac:dyDescent="0.15"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</row>
    <row r="1281" spans="3:27" ht="12.75" customHeight="1" x14ac:dyDescent="0.15"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</row>
    <row r="1282" spans="3:27" ht="12.75" customHeight="1" x14ac:dyDescent="0.15"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</row>
    <row r="1283" spans="3:27" ht="12.75" customHeight="1" x14ac:dyDescent="0.15"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</row>
    <row r="1284" spans="3:27" ht="12.75" customHeight="1" x14ac:dyDescent="0.15"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</row>
    <row r="1285" spans="3:27" ht="12.75" customHeight="1" x14ac:dyDescent="0.15"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</row>
    <row r="1286" spans="3:27" ht="12.75" customHeight="1" x14ac:dyDescent="0.15"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</row>
    <row r="1287" spans="3:27" ht="12.75" customHeight="1" x14ac:dyDescent="0.15"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</row>
    <row r="1288" spans="3:27" ht="12.75" customHeight="1" x14ac:dyDescent="0.15"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</row>
    <row r="1289" spans="3:27" ht="12.75" customHeight="1" x14ac:dyDescent="0.15"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</row>
    <row r="1290" spans="3:27" ht="12.75" customHeight="1" x14ac:dyDescent="0.15"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</row>
    <row r="1291" spans="3:27" ht="12.75" customHeight="1" x14ac:dyDescent="0.15"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</row>
    <row r="1292" spans="3:27" ht="12.75" customHeight="1" x14ac:dyDescent="0.15"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</row>
    <row r="1293" spans="3:27" ht="12.75" customHeight="1" x14ac:dyDescent="0.15"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</row>
    <row r="1294" spans="3:27" ht="12.75" customHeight="1" x14ac:dyDescent="0.15"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</row>
    <row r="1295" spans="3:27" ht="12.75" customHeight="1" x14ac:dyDescent="0.15"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</row>
    <row r="1296" spans="3:27" ht="12.75" customHeight="1" x14ac:dyDescent="0.15"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</row>
    <row r="1297" spans="3:27" ht="12.75" customHeight="1" x14ac:dyDescent="0.15"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</row>
    <row r="1298" spans="3:27" ht="12.75" customHeight="1" x14ac:dyDescent="0.15"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</row>
    <row r="1299" spans="3:27" ht="12.75" customHeight="1" x14ac:dyDescent="0.15"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</row>
    <row r="1300" spans="3:27" ht="12.75" customHeight="1" x14ac:dyDescent="0.15"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</row>
    <row r="1301" spans="3:27" ht="12.75" customHeight="1" x14ac:dyDescent="0.15"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</row>
    <row r="1302" spans="3:27" ht="12.75" customHeight="1" x14ac:dyDescent="0.15"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</row>
    <row r="1303" spans="3:27" ht="12.75" customHeight="1" x14ac:dyDescent="0.15"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</row>
    <row r="1304" spans="3:27" ht="12.75" customHeight="1" x14ac:dyDescent="0.15"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</row>
    <row r="1305" spans="3:27" ht="12.75" customHeight="1" x14ac:dyDescent="0.15"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</row>
    <row r="1306" spans="3:27" ht="12.75" customHeight="1" x14ac:dyDescent="0.15"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</row>
    <row r="1307" spans="3:27" ht="12.75" customHeight="1" x14ac:dyDescent="0.15"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</row>
    <row r="1308" spans="3:27" ht="12.75" customHeight="1" x14ac:dyDescent="0.15"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</row>
    <row r="1309" spans="3:27" ht="12.75" customHeight="1" x14ac:dyDescent="0.15"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</row>
    <row r="1310" spans="3:27" ht="12.75" customHeight="1" x14ac:dyDescent="0.15"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</row>
    <row r="1311" spans="3:27" ht="12.75" customHeight="1" x14ac:dyDescent="0.15"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</row>
    <row r="1312" spans="3:27" ht="12.75" customHeight="1" x14ac:dyDescent="0.15"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</row>
    <row r="1313" spans="3:27" ht="12.75" customHeight="1" x14ac:dyDescent="0.15"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</row>
    <row r="1314" spans="3:27" ht="12.75" customHeight="1" x14ac:dyDescent="0.15"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</row>
    <row r="1315" spans="3:27" ht="12.75" customHeight="1" x14ac:dyDescent="0.15"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</row>
    <row r="1316" spans="3:27" ht="12.75" customHeight="1" x14ac:dyDescent="0.15"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</row>
    <row r="1317" spans="3:27" ht="12.75" customHeight="1" x14ac:dyDescent="0.15"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</row>
    <row r="1318" spans="3:27" ht="12.75" customHeight="1" x14ac:dyDescent="0.15"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</row>
    <row r="1319" spans="3:27" ht="12.75" customHeight="1" x14ac:dyDescent="0.15"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</row>
    <row r="1320" spans="3:27" ht="12.75" customHeight="1" x14ac:dyDescent="0.15"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</row>
    <row r="1321" spans="3:27" ht="12.75" customHeight="1" x14ac:dyDescent="0.15"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</row>
    <row r="1322" spans="3:27" ht="12.75" customHeight="1" x14ac:dyDescent="0.15"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</row>
    <row r="1323" spans="3:27" ht="12.75" customHeight="1" x14ac:dyDescent="0.15"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</row>
    <row r="1324" spans="3:27" ht="12.75" customHeight="1" x14ac:dyDescent="0.15"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</row>
    <row r="1325" spans="3:27" ht="12.75" customHeight="1" x14ac:dyDescent="0.15"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</row>
    <row r="1326" spans="3:27" ht="12.75" customHeight="1" x14ac:dyDescent="0.15"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</row>
    <row r="1327" spans="3:27" ht="12.75" customHeight="1" x14ac:dyDescent="0.15"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</row>
    <row r="1328" spans="3:27" ht="12.75" customHeight="1" x14ac:dyDescent="0.15"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</row>
    <row r="1329" spans="3:27" ht="12.75" customHeight="1" x14ac:dyDescent="0.15"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</row>
    <row r="1330" spans="3:27" ht="12.75" customHeight="1" x14ac:dyDescent="0.15"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</row>
    <row r="1331" spans="3:27" ht="12.75" customHeight="1" x14ac:dyDescent="0.15"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</row>
    <row r="1332" spans="3:27" ht="12.75" customHeight="1" x14ac:dyDescent="0.15"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</row>
    <row r="1333" spans="3:27" ht="12.75" customHeight="1" x14ac:dyDescent="0.15"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</row>
    <row r="1334" spans="3:27" ht="12.75" customHeight="1" x14ac:dyDescent="0.15"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</row>
    <row r="1335" spans="3:27" ht="12.75" customHeight="1" x14ac:dyDescent="0.15"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</row>
    <row r="1336" spans="3:27" ht="12.75" customHeight="1" x14ac:dyDescent="0.15"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</row>
    <row r="1337" spans="3:27" ht="12.75" customHeight="1" x14ac:dyDescent="0.15"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</row>
    <row r="1338" spans="3:27" ht="12.75" customHeight="1" x14ac:dyDescent="0.15"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</row>
  </sheetData>
  <pageMargins left="0.18" right="0.18" top="0.75" bottom="0.75" header="0.3" footer="0.3"/>
  <pageSetup paperSize="9" scale="67" fitToHeight="0" orientation="landscape" r:id="rId2"/>
  <customProperties>
    <customPr name="_pios_id" r:id="rId3"/>
  </customProperties>
  <legacy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FF0000"/>
  </sheetPr>
  <dimension ref="A1:AJ45"/>
  <sheetViews>
    <sheetView showGridLines="0" zoomScale="80" zoomScaleNormal="80" workbookViewId="0">
      <pane xSplit="2" ySplit="18" topLeftCell="C19" activePane="bottomRight" state="frozen"/>
      <selection pane="topRight" activeCell="C1" sqref="C1"/>
      <selection pane="bottomLeft" activeCell="A19" sqref="A19"/>
      <selection pane="bottomRight" activeCell="C19" sqref="C19"/>
    </sheetView>
  </sheetViews>
  <sheetFormatPr defaultRowHeight="15" outlineLevelRow="1" outlineLevelCol="1" x14ac:dyDescent="0.25"/>
  <cols>
    <col min="2" max="2" width="39.28515625" bestFit="1" customWidth="1"/>
    <col min="3" max="3" width="17" bestFit="1" customWidth="1"/>
    <col min="4" max="4" width="14.42578125" bestFit="1" customWidth="1"/>
    <col min="5" max="9" width="9.28515625" customWidth="1" outlineLevel="1"/>
    <col min="10" max="10" width="12" customWidth="1"/>
    <col min="14" max="33" width="13.7109375" customWidth="1"/>
    <col min="35" max="35" width="13.42578125" bestFit="1" customWidth="1"/>
    <col min="36" max="36" width="14.28515625" bestFit="1" customWidth="1"/>
  </cols>
  <sheetData>
    <row r="1" spans="2:34" s="1" customFormat="1" ht="12.75" customHeight="1" x14ac:dyDescent="0.2">
      <c r="B1" s="77" t="s">
        <v>3026</v>
      </c>
      <c r="N1" s="26">
        <v>72</v>
      </c>
      <c r="O1" s="26">
        <f>N1+1</f>
        <v>73</v>
      </c>
      <c r="P1" s="26">
        <f t="shared" ref="P1:AE1" si="0">O1+1</f>
        <v>74</v>
      </c>
      <c r="Q1" s="26">
        <f t="shared" si="0"/>
        <v>75</v>
      </c>
      <c r="R1" s="26">
        <f t="shared" si="0"/>
        <v>76</v>
      </c>
      <c r="S1" s="26">
        <f t="shared" si="0"/>
        <v>77</v>
      </c>
      <c r="T1" s="26">
        <f t="shared" si="0"/>
        <v>78</v>
      </c>
      <c r="U1" s="26">
        <f t="shared" si="0"/>
        <v>79</v>
      </c>
      <c r="V1" s="26">
        <f t="shared" si="0"/>
        <v>80</v>
      </c>
      <c r="W1" s="26">
        <f t="shared" si="0"/>
        <v>81</v>
      </c>
      <c r="X1" s="26">
        <f t="shared" si="0"/>
        <v>82</v>
      </c>
      <c r="Y1" s="26">
        <f t="shared" si="0"/>
        <v>83</v>
      </c>
      <c r="Z1" s="26">
        <f t="shared" si="0"/>
        <v>84</v>
      </c>
      <c r="AA1" s="26">
        <f t="shared" si="0"/>
        <v>85</v>
      </c>
      <c r="AB1" s="26">
        <f t="shared" si="0"/>
        <v>86</v>
      </c>
      <c r="AC1" s="26">
        <f t="shared" si="0"/>
        <v>87</v>
      </c>
      <c r="AD1" s="26">
        <f t="shared" si="0"/>
        <v>88</v>
      </c>
      <c r="AE1" s="26">
        <f t="shared" si="0"/>
        <v>89</v>
      </c>
      <c r="AF1" s="26">
        <f t="shared" ref="P1:AF2" si="1">AE1+1</f>
        <v>90</v>
      </c>
      <c r="AG1" s="26"/>
    </row>
    <row r="2" spans="2:34" s="1" customFormat="1" ht="12.75" customHeight="1" x14ac:dyDescent="0.15">
      <c r="C2" s="3"/>
      <c r="D2" s="3"/>
      <c r="E2" s="3"/>
      <c r="F2" s="3"/>
      <c r="G2" s="3"/>
      <c r="H2" s="3"/>
      <c r="I2" s="3"/>
      <c r="J2" s="3"/>
      <c r="N2" s="26">
        <v>3</v>
      </c>
      <c r="O2" s="26">
        <f>N2+1</f>
        <v>4</v>
      </c>
      <c r="P2" s="26">
        <f t="shared" si="1"/>
        <v>5</v>
      </c>
      <c r="Q2" s="26">
        <f t="shared" si="1"/>
        <v>6</v>
      </c>
      <c r="R2" s="26">
        <f t="shared" si="1"/>
        <v>7</v>
      </c>
      <c r="S2" s="26">
        <f t="shared" si="1"/>
        <v>8</v>
      </c>
      <c r="T2" s="26">
        <f t="shared" si="1"/>
        <v>9</v>
      </c>
      <c r="U2" s="26">
        <f t="shared" si="1"/>
        <v>10</v>
      </c>
      <c r="V2" s="26">
        <f t="shared" si="1"/>
        <v>11</v>
      </c>
      <c r="W2" s="26">
        <f t="shared" si="1"/>
        <v>12</v>
      </c>
      <c r="X2" s="26">
        <f t="shared" si="1"/>
        <v>13</v>
      </c>
      <c r="Y2" s="26">
        <f t="shared" si="1"/>
        <v>14</v>
      </c>
      <c r="Z2" s="26">
        <f t="shared" si="1"/>
        <v>15</v>
      </c>
      <c r="AA2" s="26">
        <f t="shared" si="1"/>
        <v>16</v>
      </c>
      <c r="AB2" s="26">
        <f t="shared" si="1"/>
        <v>17</v>
      </c>
      <c r="AC2" s="26">
        <f t="shared" si="1"/>
        <v>18</v>
      </c>
      <c r="AD2" s="26">
        <f t="shared" si="1"/>
        <v>19</v>
      </c>
      <c r="AE2" s="26">
        <f t="shared" si="1"/>
        <v>20</v>
      </c>
      <c r="AF2" s="26">
        <f t="shared" si="1"/>
        <v>21</v>
      </c>
      <c r="AG2" s="26"/>
    </row>
    <row r="3" spans="2:34" s="1" customFormat="1" ht="12.75" customHeight="1" thickBot="1" x14ac:dyDescent="0.2">
      <c r="C3" s="3"/>
      <c r="D3" s="3">
        <v>18</v>
      </c>
      <c r="E3" s="3">
        <f>D3+1</f>
        <v>19</v>
      </c>
      <c r="F3" s="3">
        <f t="shared" ref="F3:I3" si="2">E3+1</f>
        <v>20</v>
      </c>
      <c r="G3" s="3">
        <f t="shared" si="2"/>
        <v>21</v>
      </c>
      <c r="H3" s="3">
        <f t="shared" si="2"/>
        <v>22</v>
      </c>
      <c r="I3" s="3">
        <f t="shared" si="2"/>
        <v>23</v>
      </c>
      <c r="J3" s="3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</row>
    <row r="4" spans="2:34" s="1" customFormat="1" ht="57" customHeight="1" x14ac:dyDescent="0.15">
      <c r="B4" s="131"/>
      <c r="C4" s="132"/>
      <c r="D4" s="132"/>
      <c r="E4" s="132"/>
      <c r="F4" s="132"/>
      <c r="G4" s="132"/>
      <c r="H4" s="132"/>
      <c r="I4" s="132"/>
      <c r="J4" s="590" t="s">
        <v>2293</v>
      </c>
      <c r="M4" s="594"/>
      <c r="N4" s="569" t="s">
        <v>1031</v>
      </c>
      <c r="O4" s="569" t="s">
        <v>1032</v>
      </c>
      <c r="P4" s="569" t="s">
        <v>1033</v>
      </c>
      <c r="Q4" s="569" t="s">
        <v>1034</v>
      </c>
      <c r="R4" s="569" t="s">
        <v>1035</v>
      </c>
      <c r="S4" s="569" t="s">
        <v>854</v>
      </c>
      <c r="T4" s="569" t="s">
        <v>1036</v>
      </c>
      <c r="U4" s="569" t="s">
        <v>1037</v>
      </c>
      <c r="V4" s="569" t="s">
        <v>41</v>
      </c>
      <c r="W4" s="569" t="s">
        <v>1038</v>
      </c>
      <c r="X4" s="569" t="s">
        <v>1039</v>
      </c>
      <c r="Y4" s="569" t="s">
        <v>1040</v>
      </c>
      <c r="Z4" s="569" t="s">
        <v>1041</v>
      </c>
      <c r="AA4" s="569" t="s">
        <v>1042</v>
      </c>
      <c r="AB4" s="569" t="s">
        <v>1043</v>
      </c>
      <c r="AC4" s="569" t="s">
        <v>1044</v>
      </c>
      <c r="AD4" s="569" t="s">
        <v>1045</v>
      </c>
      <c r="AE4" s="569" t="s">
        <v>1046</v>
      </c>
      <c r="AF4" s="570" t="s">
        <v>1047</v>
      </c>
      <c r="AG4" s="570"/>
      <c r="AH4" s="571"/>
    </row>
    <row r="5" spans="2:34" s="1" customFormat="1" ht="12.75" hidden="1" customHeight="1" outlineLevel="1" x14ac:dyDescent="0.15">
      <c r="B5" s="133">
        <v>2014</v>
      </c>
      <c r="C5" s="591"/>
      <c r="D5" s="591"/>
      <c r="E5" s="591"/>
      <c r="F5" s="591"/>
      <c r="G5" s="591"/>
      <c r="H5" s="591"/>
      <c r="I5" s="591"/>
      <c r="J5" s="592">
        <f t="shared" ref="J5:J14" si="3">SUM(C5:I5)</f>
        <v>0</v>
      </c>
      <c r="K5" s="3"/>
      <c r="L5" s="3"/>
      <c r="M5" s="595" t="s">
        <v>2289</v>
      </c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572"/>
    </row>
    <row r="6" spans="2:34" s="1" customFormat="1" ht="12.75" hidden="1" customHeight="1" outlineLevel="1" x14ac:dyDescent="0.15">
      <c r="B6" s="133">
        <v>2015</v>
      </c>
      <c r="C6" s="591"/>
      <c r="D6" s="591"/>
      <c r="E6" s="591"/>
      <c r="F6" s="591"/>
      <c r="G6" s="591"/>
      <c r="H6" s="591"/>
      <c r="I6" s="591"/>
      <c r="J6" s="592">
        <f t="shared" si="3"/>
        <v>0</v>
      </c>
      <c r="K6" s="3"/>
      <c r="L6" s="3"/>
      <c r="M6" s="595" t="s">
        <v>2290</v>
      </c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572"/>
    </row>
    <row r="7" spans="2:34" s="1" customFormat="1" ht="12.75" hidden="1" customHeight="1" outlineLevel="1" x14ac:dyDescent="0.15">
      <c r="B7" s="133">
        <v>2016</v>
      </c>
      <c r="C7" s="108"/>
      <c r="D7" s="108"/>
      <c r="E7" s="108"/>
      <c r="F7" s="108"/>
      <c r="G7" s="108"/>
      <c r="H7" s="108"/>
      <c r="I7" s="108"/>
      <c r="J7" s="572">
        <f t="shared" si="3"/>
        <v>0</v>
      </c>
      <c r="K7" s="3"/>
      <c r="L7" s="3"/>
      <c r="M7" s="595" t="s">
        <v>2278</v>
      </c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572"/>
    </row>
    <row r="8" spans="2:34" s="1" customFormat="1" ht="12.75" customHeight="1" collapsed="1" x14ac:dyDescent="0.15">
      <c r="B8" s="133">
        <v>2017</v>
      </c>
      <c r="C8" s="108">
        <f>SUM(N8:AF8)</f>
        <v>16887286.830000002</v>
      </c>
      <c r="D8" s="108"/>
      <c r="E8" s="108"/>
      <c r="F8" s="108"/>
      <c r="G8" s="108"/>
      <c r="H8" s="108"/>
      <c r="I8" s="108"/>
      <c r="J8" s="572">
        <f t="shared" si="3"/>
        <v>16887286.830000002</v>
      </c>
      <c r="K8" s="3"/>
      <c r="L8" s="3"/>
      <c r="M8" s="595" t="s">
        <v>2279</v>
      </c>
      <c r="N8" s="108">
        <f t="shared" ref="N8:AF8" si="4">SUMPRODUCT(N$19:N$355,$C$19:$C$355)</f>
        <v>88922.595495810645</v>
      </c>
      <c r="O8" s="108">
        <f t="shared" si="4"/>
        <v>12962.85362175004</v>
      </c>
      <c r="P8" s="108">
        <f t="shared" si="4"/>
        <v>962559.641672372</v>
      </c>
      <c r="Q8" s="108">
        <f t="shared" si="4"/>
        <v>578752.01140164828</v>
      </c>
      <c r="R8" s="108">
        <f t="shared" si="4"/>
        <v>1376462.0037508055</v>
      </c>
      <c r="S8" s="108">
        <f t="shared" si="4"/>
        <v>11294905.149999999</v>
      </c>
      <c r="T8" s="108">
        <f t="shared" si="4"/>
        <v>376.89999208577774</v>
      </c>
      <c r="U8" s="108">
        <f t="shared" si="4"/>
        <v>283013.66310254106</v>
      </c>
      <c r="V8" s="108">
        <f t="shared" si="4"/>
        <v>0</v>
      </c>
      <c r="W8" s="108">
        <f t="shared" si="4"/>
        <v>940484.23323584232</v>
      </c>
      <c r="X8" s="108">
        <f t="shared" si="4"/>
        <v>748.09657340833371</v>
      </c>
      <c r="Y8" s="108">
        <f t="shared" si="4"/>
        <v>468465.77577799873</v>
      </c>
      <c r="Z8" s="108">
        <f t="shared" si="4"/>
        <v>0</v>
      </c>
      <c r="AA8" s="108">
        <f t="shared" si="4"/>
        <v>0</v>
      </c>
      <c r="AB8" s="108">
        <f t="shared" si="4"/>
        <v>312706.69519900886</v>
      </c>
      <c r="AC8" s="108">
        <f t="shared" si="4"/>
        <v>263568.79567611788</v>
      </c>
      <c r="AD8" s="108">
        <f t="shared" si="4"/>
        <v>295390.24812379398</v>
      </c>
      <c r="AE8" s="108">
        <f t="shared" si="4"/>
        <v>0</v>
      </c>
      <c r="AF8" s="108">
        <f t="shared" si="4"/>
        <v>7968.1663768167382</v>
      </c>
      <c r="AG8" s="108"/>
      <c r="AH8" s="572">
        <f t="shared" ref="AH8:AH14" si="5">SUM(N8:AF8)</f>
        <v>16887286.830000002</v>
      </c>
    </row>
    <row r="9" spans="2:34" s="1" customFormat="1" ht="12.75" customHeight="1" x14ac:dyDescent="0.15">
      <c r="B9" s="133">
        <v>2018</v>
      </c>
      <c r="C9" s="108"/>
      <c r="D9" s="108">
        <f>SUM(N9:AF9)</f>
        <v>925522.79618567019</v>
      </c>
      <c r="E9" s="108"/>
      <c r="F9" s="108"/>
      <c r="G9" s="108"/>
      <c r="H9" s="108"/>
      <c r="I9" s="108"/>
      <c r="J9" s="572">
        <f t="shared" si="3"/>
        <v>925522.79618567019</v>
      </c>
      <c r="K9" s="3"/>
      <c r="L9" s="3"/>
      <c r="M9" s="595" t="s">
        <v>2280</v>
      </c>
      <c r="N9" s="108">
        <f t="shared" ref="N9:AF9" si="6">SUMPRODUCT(N$19:N$355,$D$19:$D$355)</f>
        <v>0</v>
      </c>
      <c r="O9" s="108">
        <f t="shared" si="6"/>
        <v>0</v>
      </c>
      <c r="P9" s="108">
        <f t="shared" si="6"/>
        <v>40283.37169406077</v>
      </c>
      <c r="Q9" s="108">
        <f t="shared" si="6"/>
        <v>0</v>
      </c>
      <c r="R9" s="108">
        <f t="shared" si="6"/>
        <v>9394.9431787014946</v>
      </c>
      <c r="S9" s="108">
        <f t="shared" si="6"/>
        <v>18180.897851940728</v>
      </c>
      <c r="T9" s="108">
        <f t="shared" si="6"/>
        <v>690.05313834168248</v>
      </c>
      <c r="U9" s="108">
        <f t="shared" si="6"/>
        <v>0</v>
      </c>
      <c r="V9" s="108">
        <f t="shared" si="6"/>
        <v>0</v>
      </c>
      <c r="W9" s="108">
        <f t="shared" si="6"/>
        <v>226245.67899940934</v>
      </c>
      <c r="X9" s="108">
        <f t="shared" si="6"/>
        <v>0</v>
      </c>
      <c r="Y9" s="108">
        <f t="shared" si="6"/>
        <v>116963.80029592992</v>
      </c>
      <c r="Z9" s="108">
        <f t="shared" si="6"/>
        <v>0</v>
      </c>
      <c r="AA9" s="108">
        <f t="shared" si="6"/>
        <v>0</v>
      </c>
      <c r="AB9" s="108">
        <f t="shared" si="6"/>
        <v>40664.217046488033</v>
      </c>
      <c r="AC9" s="108">
        <f t="shared" si="6"/>
        <v>0</v>
      </c>
      <c r="AD9" s="108">
        <f t="shared" si="6"/>
        <v>473099.83398079826</v>
      </c>
      <c r="AE9" s="108">
        <f t="shared" si="6"/>
        <v>0</v>
      </c>
      <c r="AF9" s="108">
        <f t="shared" si="6"/>
        <v>0</v>
      </c>
      <c r="AG9" s="108"/>
      <c r="AH9" s="572">
        <f t="shared" si="5"/>
        <v>925522.79618567019</v>
      </c>
    </row>
    <row r="10" spans="2:34" s="1" customFormat="1" ht="12.75" hidden="1" customHeight="1" outlineLevel="1" x14ac:dyDescent="0.15">
      <c r="B10" s="133">
        <v>2019</v>
      </c>
      <c r="C10" s="108"/>
      <c r="D10" s="108"/>
      <c r="E10" s="108">
        <f>SUM(N10:AF10)</f>
        <v>0</v>
      </c>
      <c r="F10" s="108"/>
      <c r="G10" s="108"/>
      <c r="H10" s="108"/>
      <c r="I10" s="108"/>
      <c r="J10" s="572">
        <f t="shared" si="3"/>
        <v>0</v>
      </c>
      <c r="K10" s="3"/>
      <c r="L10" s="3"/>
      <c r="M10" s="595" t="s">
        <v>2281</v>
      </c>
      <c r="N10" s="108">
        <f t="shared" ref="N10:AF10" si="7">SUMPRODUCT(N$19:N$355,$E$19:$E$355)</f>
        <v>0</v>
      </c>
      <c r="O10" s="108">
        <f t="shared" si="7"/>
        <v>0</v>
      </c>
      <c r="P10" s="108">
        <f t="shared" si="7"/>
        <v>0</v>
      </c>
      <c r="Q10" s="108">
        <f t="shared" si="7"/>
        <v>0</v>
      </c>
      <c r="R10" s="108">
        <f t="shared" si="7"/>
        <v>0</v>
      </c>
      <c r="S10" s="108">
        <f t="shared" si="7"/>
        <v>0</v>
      </c>
      <c r="T10" s="108">
        <f t="shared" si="7"/>
        <v>0</v>
      </c>
      <c r="U10" s="108">
        <f t="shared" si="7"/>
        <v>0</v>
      </c>
      <c r="V10" s="108">
        <f t="shared" si="7"/>
        <v>0</v>
      </c>
      <c r="W10" s="108">
        <f t="shared" si="7"/>
        <v>0</v>
      </c>
      <c r="X10" s="108">
        <f t="shared" si="7"/>
        <v>0</v>
      </c>
      <c r="Y10" s="108">
        <f t="shared" si="7"/>
        <v>0</v>
      </c>
      <c r="Z10" s="108">
        <f t="shared" si="7"/>
        <v>0</v>
      </c>
      <c r="AA10" s="108">
        <f t="shared" si="7"/>
        <v>0</v>
      </c>
      <c r="AB10" s="108">
        <f t="shared" si="7"/>
        <v>0</v>
      </c>
      <c r="AC10" s="108">
        <f t="shared" si="7"/>
        <v>0</v>
      </c>
      <c r="AD10" s="108">
        <f t="shared" si="7"/>
        <v>0</v>
      </c>
      <c r="AE10" s="108">
        <f t="shared" si="7"/>
        <v>0</v>
      </c>
      <c r="AF10" s="108">
        <f t="shared" si="7"/>
        <v>0</v>
      </c>
      <c r="AG10" s="108"/>
      <c r="AH10" s="572">
        <f t="shared" si="5"/>
        <v>0</v>
      </c>
    </row>
    <row r="11" spans="2:34" s="1" customFormat="1" ht="12.75" hidden="1" customHeight="1" outlineLevel="1" x14ac:dyDescent="0.15">
      <c r="B11" s="133">
        <v>2020</v>
      </c>
      <c r="C11" s="108"/>
      <c r="D11" s="108"/>
      <c r="E11" s="108"/>
      <c r="F11" s="108">
        <f>SUM(N11:AF11)</f>
        <v>0</v>
      </c>
      <c r="G11" s="108"/>
      <c r="H11" s="108"/>
      <c r="I11" s="108"/>
      <c r="J11" s="572">
        <f t="shared" si="3"/>
        <v>0</v>
      </c>
      <c r="K11" s="3"/>
      <c r="L11" s="3"/>
      <c r="M11" s="595" t="s">
        <v>2282</v>
      </c>
      <c r="N11" s="108">
        <f t="shared" ref="N11:AF11" si="8">SUMPRODUCT(N$19:N$355,$F$19:$F$355)</f>
        <v>0</v>
      </c>
      <c r="O11" s="108">
        <f t="shared" si="8"/>
        <v>0</v>
      </c>
      <c r="P11" s="108">
        <f t="shared" si="8"/>
        <v>0</v>
      </c>
      <c r="Q11" s="108">
        <f t="shared" si="8"/>
        <v>0</v>
      </c>
      <c r="R11" s="108">
        <f t="shared" si="8"/>
        <v>0</v>
      </c>
      <c r="S11" s="108">
        <f t="shared" si="8"/>
        <v>0</v>
      </c>
      <c r="T11" s="108">
        <f t="shared" si="8"/>
        <v>0</v>
      </c>
      <c r="U11" s="108">
        <f t="shared" si="8"/>
        <v>0</v>
      </c>
      <c r="V11" s="108">
        <f t="shared" si="8"/>
        <v>0</v>
      </c>
      <c r="W11" s="108">
        <f t="shared" si="8"/>
        <v>0</v>
      </c>
      <c r="X11" s="108">
        <f t="shared" si="8"/>
        <v>0</v>
      </c>
      <c r="Y11" s="108">
        <f t="shared" si="8"/>
        <v>0</v>
      </c>
      <c r="Z11" s="108">
        <f t="shared" si="8"/>
        <v>0</v>
      </c>
      <c r="AA11" s="108">
        <f t="shared" si="8"/>
        <v>0</v>
      </c>
      <c r="AB11" s="108">
        <f t="shared" si="8"/>
        <v>0</v>
      </c>
      <c r="AC11" s="108">
        <f t="shared" si="8"/>
        <v>0</v>
      </c>
      <c r="AD11" s="108">
        <f t="shared" si="8"/>
        <v>0</v>
      </c>
      <c r="AE11" s="108">
        <f t="shared" si="8"/>
        <v>0</v>
      </c>
      <c r="AF11" s="108">
        <f t="shared" si="8"/>
        <v>0</v>
      </c>
      <c r="AG11" s="108"/>
      <c r="AH11" s="572">
        <f t="shared" si="5"/>
        <v>0</v>
      </c>
    </row>
    <row r="12" spans="2:34" s="1" customFormat="1" ht="12.75" hidden="1" customHeight="1" outlineLevel="1" x14ac:dyDescent="0.15">
      <c r="B12" s="133">
        <v>2021</v>
      </c>
      <c r="C12" s="108"/>
      <c r="D12" s="108"/>
      <c r="E12" s="108"/>
      <c r="F12" s="108"/>
      <c r="G12" s="108">
        <f>SUM(N12:AF12)</f>
        <v>0</v>
      </c>
      <c r="H12" s="108"/>
      <c r="I12" s="108"/>
      <c r="J12" s="572">
        <f t="shared" si="3"/>
        <v>0</v>
      </c>
      <c r="K12" s="3"/>
      <c r="L12" s="3"/>
      <c r="M12" s="595" t="s">
        <v>2283</v>
      </c>
      <c r="N12" s="108">
        <f t="shared" ref="N12:AF12" si="9">SUMPRODUCT(N$19:N$355,$G$19:$G$355)</f>
        <v>0</v>
      </c>
      <c r="O12" s="108">
        <f t="shared" si="9"/>
        <v>0</v>
      </c>
      <c r="P12" s="108">
        <f t="shared" si="9"/>
        <v>0</v>
      </c>
      <c r="Q12" s="108">
        <f t="shared" si="9"/>
        <v>0</v>
      </c>
      <c r="R12" s="108">
        <f t="shared" si="9"/>
        <v>0</v>
      </c>
      <c r="S12" s="108">
        <f t="shared" si="9"/>
        <v>0</v>
      </c>
      <c r="T12" s="108">
        <f t="shared" si="9"/>
        <v>0</v>
      </c>
      <c r="U12" s="108">
        <f t="shared" si="9"/>
        <v>0</v>
      </c>
      <c r="V12" s="108">
        <f t="shared" si="9"/>
        <v>0</v>
      </c>
      <c r="W12" s="108">
        <f t="shared" si="9"/>
        <v>0</v>
      </c>
      <c r="X12" s="108">
        <f t="shared" si="9"/>
        <v>0</v>
      </c>
      <c r="Y12" s="108">
        <f t="shared" si="9"/>
        <v>0</v>
      </c>
      <c r="Z12" s="108">
        <f t="shared" si="9"/>
        <v>0</v>
      </c>
      <c r="AA12" s="108">
        <f t="shared" si="9"/>
        <v>0</v>
      </c>
      <c r="AB12" s="108">
        <f t="shared" si="9"/>
        <v>0</v>
      </c>
      <c r="AC12" s="108">
        <f t="shared" si="9"/>
        <v>0</v>
      </c>
      <c r="AD12" s="108">
        <f t="shared" si="9"/>
        <v>0</v>
      </c>
      <c r="AE12" s="108">
        <f t="shared" si="9"/>
        <v>0</v>
      </c>
      <c r="AF12" s="108">
        <f t="shared" si="9"/>
        <v>0</v>
      </c>
      <c r="AG12" s="108"/>
      <c r="AH12" s="572">
        <f t="shared" si="5"/>
        <v>0</v>
      </c>
    </row>
    <row r="13" spans="2:34" s="1" customFormat="1" ht="12.75" hidden="1" customHeight="1" outlineLevel="1" x14ac:dyDescent="0.15">
      <c r="B13" s="133">
        <v>2022</v>
      </c>
      <c r="C13" s="108"/>
      <c r="D13" s="108"/>
      <c r="E13" s="108"/>
      <c r="F13" s="108"/>
      <c r="G13" s="108"/>
      <c r="H13" s="108">
        <f>SUM(N13:AF13)</f>
        <v>0</v>
      </c>
      <c r="I13" s="108"/>
      <c r="J13" s="572">
        <f t="shared" si="3"/>
        <v>0</v>
      </c>
      <c r="K13" s="3"/>
      <c r="L13" s="3"/>
      <c r="M13" s="595" t="s">
        <v>2284</v>
      </c>
      <c r="N13" s="108">
        <f t="shared" ref="N13:AF13" si="10">SUMPRODUCT(N$19:N$355,$H$19:$H$355)</f>
        <v>0</v>
      </c>
      <c r="O13" s="108">
        <f t="shared" si="10"/>
        <v>0</v>
      </c>
      <c r="P13" s="108">
        <f t="shared" si="10"/>
        <v>0</v>
      </c>
      <c r="Q13" s="108">
        <f t="shared" si="10"/>
        <v>0</v>
      </c>
      <c r="R13" s="108">
        <f t="shared" si="10"/>
        <v>0</v>
      </c>
      <c r="S13" s="108">
        <f t="shared" si="10"/>
        <v>0</v>
      </c>
      <c r="T13" s="108">
        <f t="shared" si="10"/>
        <v>0</v>
      </c>
      <c r="U13" s="108">
        <f t="shared" si="10"/>
        <v>0</v>
      </c>
      <c r="V13" s="108">
        <f t="shared" si="10"/>
        <v>0</v>
      </c>
      <c r="W13" s="108">
        <f t="shared" si="10"/>
        <v>0</v>
      </c>
      <c r="X13" s="108">
        <f t="shared" si="10"/>
        <v>0</v>
      </c>
      <c r="Y13" s="108">
        <f t="shared" si="10"/>
        <v>0</v>
      </c>
      <c r="Z13" s="108">
        <f t="shared" si="10"/>
        <v>0</v>
      </c>
      <c r="AA13" s="108">
        <f t="shared" si="10"/>
        <v>0</v>
      </c>
      <c r="AB13" s="108">
        <f t="shared" si="10"/>
        <v>0</v>
      </c>
      <c r="AC13" s="108">
        <f t="shared" si="10"/>
        <v>0</v>
      </c>
      <c r="AD13" s="108">
        <f t="shared" si="10"/>
        <v>0</v>
      </c>
      <c r="AE13" s="108">
        <f t="shared" si="10"/>
        <v>0</v>
      </c>
      <c r="AF13" s="108">
        <f t="shared" si="10"/>
        <v>0</v>
      </c>
      <c r="AG13" s="108"/>
      <c r="AH13" s="572">
        <f t="shared" si="5"/>
        <v>0</v>
      </c>
    </row>
    <row r="14" spans="2:34" s="1" customFormat="1" ht="12.75" hidden="1" customHeight="1" outlineLevel="1" x14ac:dyDescent="0.15">
      <c r="B14" s="133">
        <v>2023</v>
      </c>
      <c r="C14" s="108"/>
      <c r="D14" s="108"/>
      <c r="E14" s="108"/>
      <c r="F14" s="108"/>
      <c r="G14" s="108"/>
      <c r="H14" s="108"/>
      <c r="I14" s="108">
        <f>SUM(N14:AF14)</f>
        <v>0</v>
      </c>
      <c r="J14" s="572">
        <f t="shared" si="3"/>
        <v>0</v>
      </c>
      <c r="K14" s="3"/>
      <c r="L14" s="3"/>
      <c r="M14" s="595" t="s">
        <v>2285</v>
      </c>
      <c r="N14" s="108">
        <f t="shared" ref="N14:AF14" si="11">SUMPRODUCT(N$19:N$355,$I$19:$I$355)</f>
        <v>0</v>
      </c>
      <c r="O14" s="108">
        <f t="shared" si="11"/>
        <v>0</v>
      </c>
      <c r="P14" s="108">
        <f t="shared" si="11"/>
        <v>0</v>
      </c>
      <c r="Q14" s="108">
        <f t="shared" si="11"/>
        <v>0</v>
      </c>
      <c r="R14" s="108">
        <f t="shared" si="11"/>
        <v>0</v>
      </c>
      <c r="S14" s="108">
        <f t="shared" si="11"/>
        <v>0</v>
      </c>
      <c r="T14" s="108">
        <f t="shared" si="11"/>
        <v>0</v>
      </c>
      <c r="U14" s="108">
        <f t="shared" si="11"/>
        <v>0</v>
      </c>
      <c r="V14" s="108">
        <f t="shared" si="11"/>
        <v>0</v>
      </c>
      <c r="W14" s="108">
        <f t="shared" si="11"/>
        <v>0</v>
      </c>
      <c r="X14" s="108">
        <f t="shared" si="11"/>
        <v>0</v>
      </c>
      <c r="Y14" s="108">
        <f t="shared" si="11"/>
        <v>0</v>
      </c>
      <c r="Z14" s="108">
        <f t="shared" si="11"/>
        <v>0</v>
      </c>
      <c r="AA14" s="108">
        <f t="shared" si="11"/>
        <v>0</v>
      </c>
      <c r="AB14" s="108">
        <f t="shared" si="11"/>
        <v>0</v>
      </c>
      <c r="AC14" s="108">
        <f t="shared" si="11"/>
        <v>0</v>
      </c>
      <c r="AD14" s="108">
        <f t="shared" si="11"/>
        <v>0</v>
      </c>
      <c r="AE14" s="108">
        <f t="shared" si="11"/>
        <v>0</v>
      </c>
      <c r="AF14" s="108">
        <f t="shared" si="11"/>
        <v>0</v>
      </c>
      <c r="AG14" s="108"/>
      <c r="AH14" s="572">
        <f t="shared" si="5"/>
        <v>0</v>
      </c>
    </row>
    <row r="15" spans="2:34" s="1" customFormat="1" ht="12.75" customHeight="1" collapsed="1" thickBot="1" x14ac:dyDescent="0.2">
      <c r="B15" s="133"/>
      <c r="C15" s="108">
        <f t="shared" ref="C15:I15" si="12">SUM(C5:C14)</f>
        <v>16887286.830000002</v>
      </c>
      <c r="D15" s="108">
        <f t="shared" si="12"/>
        <v>925522.79618567019</v>
      </c>
      <c r="E15" s="108">
        <f t="shared" si="12"/>
        <v>0</v>
      </c>
      <c r="F15" s="108">
        <f t="shared" si="12"/>
        <v>0</v>
      </c>
      <c r="G15" s="108">
        <f t="shared" si="12"/>
        <v>0</v>
      </c>
      <c r="H15" s="108">
        <f t="shared" si="12"/>
        <v>0</v>
      </c>
      <c r="I15" s="108">
        <f t="shared" si="12"/>
        <v>0</v>
      </c>
      <c r="J15" s="572">
        <f>SUM(J7:J14)</f>
        <v>17812809.62618567</v>
      </c>
      <c r="K15" s="3"/>
      <c r="L15" s="3"/>
      <c r="M15" s="596"/>
      <c r="N15" s="573"/>
      <c r="O15" s="573"/>
      <c r="P15" s="573"/>
      <c r="Q15" s="573"/>
      <c r="R15" s="573"/>
      <c r="S15" s="573"/>
      <c r="T15" s="573"/>
      <c r="U15" s="573"/>
      <c r="V15" s="573"/>
      <c r="W15" s="573"/>
      <c r="X15" s="573"/>
      <c r="Y15" s="573"/>
      <c r="Z15" s="573"/>
      <c r="AA15" s="573"/>
      <c r="AB15" s="573"/>
      <c r="AC15" s="573"/>
      <c r="AD15" s="573"/>
      <c r="AE15" s="573"/>
      <c r="AF15" s="573"/>
      <c r="AG15" s="573"/>
      <c r="AH15" s="574">
        <f>SUBTOTAL(9,AH5:AH14)</f>
        <v>17812809.62618567</v>
      </c>
    </row>
    <row r="16" spans="2:34" s="1" customFormat="1" ht="12.75" customHeight="1" thickBot="1" x14ac:dyDescent="0.2">
      <c r="B16" s="593" t="s">
        <v>2264</v>
      </c>
      <c r="C16" s="573">
        <f t="shared" ref="C16:I16" si="13">C15-MAX(C19:C417)</f>
        <v>0</v>
      </c>
      <c r="D16" s="573">
        <f t="shared" si="13"/>
        <v>0</v>
      </c>
      <c r="E16" s="573">
        <f t="shared" si="13"/>
        <v>0</v>
      </c>
      <c r="F16" s="573">
        <f t="shared" si="13"/>
        <v>0</v>
      </c>
      <c r="G16" s="573">
        <f t="shared" si="13"/>
        <v>0</v>
      </c>
      <c r="H16" s="573">
        <f t="shared" si="13"/>
        <v>0</v>
      </c>
      <c r="I16" s="573">
        <f t="shared" si="13"/>
        <v>0</v>
      </c>
      <c r="J16" s="574"/>
      <c r="K16" s="3"/>
      <c r="L16" s="3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</row>
    <row r="17" spans="1:34" s="1" customFormat="1" ht="12.75" customHeight="1" x14ac:dyDescent="0.25">
      <c r="A17" s="1" t="s">
        <v>2263</v>
      </c>
      <c r="K17"/>
      <c r="AH17" s="3"/>
    </row>
    <row r="18" spans="1:34" s="1" customFormat="1" ht="52.5" x14ac:dyDescent="0.25">
      <c r="A18" s="75" t="s">
        <v>20</v>
      </c>
      <c r="B18" s="65" t="s">
        <v>21</v>
      </c>
      <c r="C18" s="76">
        <v>2017</v>
      </c>
      <c r="D18" s="76">
        <v>2018</v>
      </c>
      <c r="E18" s="76">
        <v>2019</v>
      </c>
      <c r="F18" s="76">
        <v>2020</v>
      </c>
      <c r="G18" s="76">
        <v>2021</v>
      </c>
      <c r="H18" s="76">
        <v>2022</v>
      </c>
      <c r="I18" s="76">
        <v>2023</v>
      </c>
      <c r="J18" s="76" t="s">
        <v>2262</v>
      </c>
      <c r="K18"/>
      <c r="L18" s="39"/>
      <c r="M18" s="40" t="s">
        <v>2238</v>
      </c>
      <c r="N18" s="35" t="s">
        <v>1031</v>
      </c>
      <c r="O18" s="35" t="s">
        <v>1032</v>
      </c>
      <c r="P18" s="35" t="s">
        <v>1033</v>
      </c>
      <c r="Q18" s="35" t="s">
        <v>1034</v>
      </c>
      <c r="R18" s="35" t="s">
        <v>1035</v>
      </c>
      <c r="S18" s="35" t="s">
        <v>854</v>
      </c>
      <c r="T18" s="35" t="s">
        <v>1036</v>
      </c>
      <c r="U18" s="35" t="s">
        <v>1037</v>
      </c>
      <c r="V18" s="35" t="s">
        <v>41</v>
      </c>
      <c r="W18" s="35" t="s">
        <v>1038</v>
      </c>
      <c r="X18" s="35" t="s">
        <v>1039</v>
      </c>
      <c r="Y18" s="35" t="s">
        <v>1040</v>
      </c>
      <c r="Z18" s="35" t="s">
        <v>1041</v>
      </c>
      <c r="AA18" s="35" t="s">
        <v>1042</v>
      </c>
      <c r="AB18" s="35" t="s">
        <v>1043</v>
      </c>
      <c r="AC18" s="35" t="s">
        <v>1044</v>
      </c>
      <c r="AD18" s="35" t="s">
        <v>1045</v>
      </c>
      <c r="AE18" s="35" t="s">
        <v>1046</v>
      </c>
      <c r="AF18" s="36" t="s">
        <v>1047</v>
      </c>
      <c r="AG18" s="36" t="s">
        <v>639</v>
      </c>
      <c r="AH18" s="42" t="s">
        <v>2272</v>
      </c>
    </row>
    <row r="19" spans="1:34" s="1" customFormat="1" ht="12.75" customHeight="1" x14ac:dyDescent="0.25">
      <c r="A19" s="12" t="s">
        <v>25</v>
      </c>
      <c r="B19" s="13" t="s">
        <v>26</v>
      </c>
      <c r="C19" s="3">
        <f>IF(VLOOKUP($A19,Incurred!$A$22:$W$363,17,FALSE)="",0,VLOOKUP($A19,Incurred!$A$22:$W$363,17,FALSE))+AH19</f>
        <v>490311.06999999995</v>
      </c>
      <c r="D19" s="3">
        <f>VLOOKUP($A19,Incurred!$A$22:$W$363,D$3,FALSE)</f>
        <v>897693.5519281365</v>
      </c>
      <c r="E19" s="3" t="str">
        <f>VLOOKUP($A19,Incurred!$A$22:$W$363,E$3,FALSE)</f>
        <v/>
      </c>
      <c r="F19" s="3" t="str">
        <f>VLOOKUP($A19,Incurred!$A$22:$W$363,F$3,FALSE)</f>
        <v/>
      </c>
      <c r="G19" s="3" t="str">
        <f>VLOOKUP($A19,Incurred!$A$22:$W$363,G$3,FALSE)</f>
        <v/>
      </c>
      <c r="H19" s="3" t="str">
        <f>VLOOKUP($A19,Incurred!$A$22:$W$363,H$3,FALSE)</f>
        <v/>
      </c>
      <c r="I19" s="3" t="str">
        <f>VLOOKUP($A19,Incurred!$A$22:$W$363,I$3,FALSE)</f>
        <v/>
      </c>
      <c r="J19" s="3">
        <f t="shared" ref="J19:J44" si="14">SUM(C19:I19)</f>
        <v>1388004.6219281363</v>
      </c>
      <c r="K19"/>
      <c r="L19" s="3"/>
      <c r="M19" s="37">
        <f t="shared" ref="M19:M44" si="15">IF(ISNA(VLOOKUP($A19,Estimates,70,FALSE)),0,VLOOKUP($A19,Estimates,70,FALSE))</f>
        <v>0</v>
      </c>
      <c r="N19" s="31">
        <f t="shared" ref="N19:W28" si="16">IF(OR(LEFT($A19,1)="E",LEFT($A19,1)="Z"),IF($M19=0,VLOOKUP(MID($A19,4,5),ProjectSplits,N$2,FALSE),IF(ISNA(VLOOKUP($A19,Estimates,N$1,FALSE)),VLOOKUP(MID($A19,4,5),ProjectSplits,N$2,FALSE),VLOOKUP($A19,Estimates,N$1,FALSE))),0)</f>
        <v>0</v>
      </c>
      <c r="O19" s="31">
        <f t="shared" si="16"/>
        <v>0</v>
      </c>
      <c r="P19" s="31">
        <f t="shared" si="16"/>
        <v>4.4874302157497943E-2</v>
      </c>
      <c r="Q19" s="31">
        <f t="shared" si="16"/>
        <v>0</v>
      </c>
      <c r="R19" s="31">
        <f t="shared" si="16"/>
        <v>0</v>
      </c>
      <c r="S19" s="31">
        <f t="shared" si="16"/>
        <v>0</v>
      </c>
      <c r="T19" s="31">
        <f t="shared" si="16"/>
        <v>7.6869566107446395E-4</v>
      </c>
      <c r="U19" s="31">
        <f t="shared" si="16"/>
        <v>0</v>
      </c>
      <c r="V19" s="31">
        <f t="shared" si="16"/>
        <v>0</v>
      </c>
      <c r="W19" s="31">
        <f t="shared" si="16"/>
        <v>0.25202997004207189</v>
      </c>
      <c r="X19" s="31">
        <f t="shared" ref="X19:AF28" si="17">IF(OR(LEFT($A19,1)="E",LEFT($A19,1)="Z"),IF($M19=0,VLOOKUP(MID($A19,4,5),ProjectSplits,X$2,FALSE),IF(ISNA(VLOOKUP($A19,Estimates,X$1,FALSE)),VLOOKUP(MID($A19,4,5),ProjectSplits,X$2,FALSE),VLOOKUP($A19,Estimates,X$1,FALSE))),0)</f>
        <v>0</v>
      </c>
      <c r="Y19" s="31">
        <f t="shared" si="17"/>
        <v>0.13029368434774419</v>
      </c>
      <c r="Z19" s="31">
        <f t="shared" si="17"/>
        <v>0</v>
      </c>
      <c r="AA19" s="31">
        <f t="shared" si="17"/>
        <v>0</v>
      </c>
      <c r="AB19" s="31">
        <f t="shared" si="17"/>
        <v>4.5298550890942951E-2</v>
      </c>
      <c r="AC19" s="31">
        <f t="shared" si="17"/>
        <v>0</v>
      </c>
      <c r="AD19" s="31">
        <f t="shared" si="17"/>
        <v>0.5267347969006686</v>
      </c>
      <c r="AE19" s="31">
        <f t="shared" si="17"/>
        <v>0</v>
      </c>
      <c r="AF19" s="31">
        <f t="shared" si="17"/>
        <v>0</v>
      </c>
      <c r="AG19" s="31">
        <f>SUM(N19:AF19)</f>
        <v>1</v>
      </c>
      <c r="AH19" s="73">
        <v>354909.36</v>
      </c>
    </row>
    <row r="20" spans="1:34" s="1" customFormat="1" ht="12.75" customHeight="1" x14ac:dyDescent="0.25">
      <c r="A20" s="12" t="s">
        <v>37</v>
      </c>
      <c r="B20" s="13" t="s">
        <v>38</v>
      </c>
      <c r="C20" s="3">
        <f>IF(VLOOKUP($A20,Incurred!$A$22:$W$363,17,FALSE)="",0,VLOOKUP($A20,Incurred!$A$22:$W$363,17,FALSE))+AH20</f>
        <v>702828.29</v>
      </c>
      <c r="D20" s="3" t="str">
        <f>VLOOKUP($A20,Incurred!$A$22:$W$363,D$3,FALSE)</f>
        <v/>
      </c>
      <c r="E20" s="3" t="str">
        <f>VLOOKUP($A20,Incurred!$A$22:$W$363,E$3,FALSE)</f>
        <v/>
      </c>
      <c r="F20" s="3" t="str">
        <f>VLOOKUP($A20,Incurred!$A$22:$W$363,F$3,FALSE)</f>
        <v/>
      </c>
      <c r="G20" s="3" t="str">
        <f>VLOOKUP($A20,Incurred!$A$22:$W$363,G$3,FALSE)</f>
        <v/>
      </c>
      <c r="H20" s="3" t="str">
        <f>VLOOKUP($A20,Incurred!$A$22:$W$363,H$3,FALSE)</f>
        <v/>
      </c>
      <c r="I20" s="3" t="str">
        <f>VLOOKUP($A20,Incurred!$A$22:$W$363,I$3,FALSE)</f>
        <v/>
      </c>
      <c r="J20" s="3">
        <f t="shared" si="14"/>
        <v>702828.29</v>
      </c>
      <c r="K20"/>
      <c r="L20" s="3"/>
      <c r="M20" s="37">
        <f t="shared" si="15"/>
        <v>0</v>
      </c>
      <c r="N20" s="31">
        <f t="shared" si="16"/>
        <v>0</v>
      </c>
      <c r="O20" s="31">
        <f t="shared" si="16"/>
        <v>0</v>
      </c>
      <c r="P20" s="31">
        <f t="shared" si="16"/>
        <v>9.5604049437070203E-3</v>
      </c>
      <c r="Q20" s="31">
        <f t="shared" si="16"/>
        <v>0</v>
      </c>
      <c r="R20" s="31">
        <f t="shared" si="16"/>
        <v>0</v>
      </c>
      <c r="S20" s="31">
        <f t="shared" si="16"/>
        <v>0</v>
      </c>
      <c r="T20" s="31">
        <f t="shared" si="16"/>
        <v>0</v>
      </c>
      <c r="U20" s="31">
        <f t="shared" si="16"/>
        <v>0</v>
      </c>
      <c r="V20" s="31">
        <f t="shared" si="16"/>
        <v>0</v>
      </c>
      <c r="W20" s="31">
        <f t="shared" si="16"/>
        <v>0.56218143898982686</v>
      </c>
      <c r="X20" s="31">
        <f t="shared" si="17"/>
        <v>0</v>
      </c>
      <c r="Y20" s="31">
        <f t="shared" si="17"/>
        <v>0.26308070577347437</v>
      </c>
      <c r="Z20" s="31">
        <f t="shared" si="17"/>
        <v>0</v>
      </c>
      <c r="AA20" s="31">
        <f t="shared" si="17"/>
        <v>0</v>
      </c>
      <c r="AB20" s="31">
        <f t="shared" si="17"/>
        <v>0.13730816501851864</v>
      </c>
      <c r="AC20" s="31">
        <f t="shared" si="17"/>
        <v>2.7869285274473111E-2</v>
      </c>
      <c r="AD20" s="31">
        <f t="shared" si="17"/>
        <v>0</v>
      </c>
      <c r="AE20" s="31">
        <f t="shared" si="17"/>
        <v>0</v>
      </c>
      <c r="AF20" s="31">
        <f t="shared" si="17"/>
        <v>0</v>
      </c>
      <c r="AG20" s="31">
        <f t="shared" ref="AG20:AG43" si="18">SUM(N20:AF20)</f>
        <v>1</v>
      </c>
      <c r="AH20" s="73">
        <v>181070.22</v>
      </c>
    </row>
    <row r="21" spans="1:34" s="1" customFormat="1" ht="12.75" customHeight="1" x14ac:dyDescent="0.25">
      <c r="A21" s="12" t="s">
        <v>46</v>
      </c>
      <c r="B21" s="13" t="s">
        <v>47</v>
      </c>
      <c r="C21" s="3">
        <f>IF(VLOOKUP($A21,Incurred!$A$22:$W$363,17,FALSE)="",0,VLOOKUP($A21,Incurred!$A$22:$W$363,17,FALSE))+AH21</f>
        <v>51943.360000000001</v>
      </c>
      <c r="D21" s="3" t="str">
        <f>VLOOKUP($A21,Incurred!$A$22:$W$363,D$3,FALSE)</f>
        <v/>
      </c>
      <c r="E21" s="3" t="str">
        <f>VLOOKUP($A21,Incurred!$A$22:$W$363,E$3,FALSE)</f>
        <v/>
      </c>
      <c r="F21" s="3" t="str">
        <f>VLOOKUP($A21,Incurred!$A$22:$W$363,F$3,FALSE)</f>
        <v/>
      </c>
      <c r="G21" s="3" t="str">
        <f>VLOOKUP($A21,Incurred!$A$22:$W$363,G$3,FALSE)</f>
        <v/>
      </c>
      <c r="H21" s="3" t="str">
        <f>VLOOKUP($A21,Incurred!$A$22:$W$363,H$3,FALSE)</f>
        <v/>
      </c>
      <c r="I21" s="3" t="str">
        <f>VLOOKUP($A21,Incurred!$A$22:$W$363,I$3,FALSE)</f>
        <v/>
      </c>
      <c r="J21" s="3">
        <f t="shared" si="14"/>
        <v>51943.360000000001</v>
      </c>
      <c r="K21"/>
      <c r="L21" s="3"/>
      <c r="M21" s="37">
        <f t="shared" si="15"/>
        <v>0</v>
      </c>
      <c r="N21" s="31">
        <f t="shared" si="16"/>
        <v>0</v>
      </c>
      <c r="O21" s="31">
        <f t="shared" si="16"/>
        <v>5.9975675784972029E-3</v>
      </c>
      <c r="P21" s="31">
        <f t="shared" si="16"/>
        <v>6.8812806221026201E-2</v>
      </c>
      <c r="Q21" s="31">
        <f t="shared" si="16"/>
        <v>0</v>
      </c>
      <c r="R21" s="31">
        <f t="shared" si="16"/>
        <v>0</v>
      </c>
      <c r="S21" s="31">
        <f t="shared" si="16"/>
        <v>0</v>
      </c>
      <c r="T21" s="31">
        <f t="shared" si="16"/>
        <v>0</v>
      </c>
      <c r="U21" s="31">
        <f t="shared" si="16"/>
        <v>0</v>
      </c>
      <c r="V21" s="31">
        <f t="shared" si="16"/>
        <v>0</v>
      </c>
      <c r="W21" s="31">
        <f t="shared" si="16"/>
        <v>0.21413670272955318</v>
      </c>
      <c r="X21" s="31">
        <f t="shared" si="17"/>
        <v>0</v>
      </c>
      <c r="Y21" s="31">
        <f t="shared" si="17"/>
        <v>0.34840753576984795</v>
      </c>
      <c r="Z21" s="31">
        <f t="shared" si="17"/>
        <v>0</v>
      </c>
      <c r="AA21" s="31">
        <f t="shared" si="17"/>
        <v>0</v>
      </c>
      <c r="AB21" s="31">
        <f t="shared" si="17"/>
        <v>0.14397345474177362</v>
      </c>
      <c r="AC21" s="31">
        <f t="shared" si="17"/>
        <v>0.21867193295930187</v>
      </c>
      <c r="AD21" s="31">
        <f t="shared" si="17"/>
        <v>0</v>
      </c>
      <c r="AE21" s="31">
        <f t="shared" si="17"/>
        <v>0</v>
      </c>
      <c r="AF21" s="31">
        <f t="shared" si="17"/>
        <v>0</v>
      </c>
      <c r="AG21" s="31">
        <f t="shared" si="18"/>
        <v>1</v>
      </c>
      <c r="AH21" s="73">
        <v>0</v>
      </c>
    </row>
    <row r="22" spans="1:34" s="1" customFormat="1" ht="12.75" customHeight="1" x14ac:dyDescent="0.25">
      <c r="A22" s="12" t="s">
        <v>229</v>
      </c>
      <c r="B22" s="13" t="s">
        <v>230</v>
      </c>
      <c r="C22" s="3">
        <f>IF(VLOOKUP($A22,Incurred!$A$22:$W$363,17,FALSE)="",0,VLOOKUP($A22,Incurred!$A$22:$W$363,17,FALSE))+AH22</f>
        <v>16.18</v>
      </c>
      <c r="D22" s="3" t="str">
        <f>VLOOKUP($A22,Incurred!$A$22:$W$363,D$3,FALSE)</f>
        <v/>
      </c>
      <c r="E22" s="3" t="str">
        <f>VLOOKUP($A22,Incurred!$A$22:$W$363,E$3,FALSE)</f>
        <v/>
      </c>
      <c r="F22" s="3" t="str">
        <f>VLOOKUP($A22,Incurred!$A$22:$W$363,F$3,FALSE)</f>
        <v/>
      </c>
      <c r="G22" s="3" t="str">
        <f>VLOOKUP($A22,Incurred!$A$22:$W$363,G$3,FALSE)</f>
        <v/>
      </c>
      <c r="H22" s="3" t="str">
        <f>VLOOKUP($A22,Incurred!$A$22:$W$363,H$3,FALSE)</f>
        <v/>
      </c>
      <c r="I22" s="3" t="str">
        <f>VLOOKUP($A22,Incurred!$A$22:$W$363,I$3,FALSE)</f>
        <v/>
      </c>
      <c r="J22" s="3">
        <f t="shared" si="14"/>
        <v>16.18</v>
      </c>
      <c r="K22"/>
      <c r="L22" s="3"/>
      <c r="M22" s="37">
        <f t="shared" si="15"/>
        <v>2062000.0000000005</v>
      </c>
      <c r="N22" s="31">
        <f t="shared" si="16"/>
        <v>0</v>
      </c>
      <c r="O22" s="31">
        <f t="shared" si="16"/>
        <v>0</v>
      </c>
      <c r="P22" s="31">
        <f t="shared" si="16"/>
        <v>0</v>
      </c>
      <c r="Q22" s="31">
        <f t="shared" si="16"/>
        <v>0</v>
      </c>
      <c r="R22" s="31">
        <f t="shared" si="16"/>
        <v>0</v>
      </c>
      <c r="S22" s="31">
        <f t="shared" si="16"/>
        <v>0</v>
      </c>
      <c r="T22" s="31">
        <f t="shared" si="16"/>
        <v>0</v>
      </c>
      <c r="U22" s="31">
        <f t="shared" si="16"/>
        <v>0</v>
      </c>
      <c r="V22" s="31">
        <f t="shared" si="16"/>
        <v>0</v>
      </c>
      <c r="W22" s="31">
        <f t="shared" si="16"/>
        <v>1</v>
      </c>
      <c r="X22" s="31">
        <f t="shared" si="17"/>
        <v>0</v>
      </c>
      <c r="Y22" s="31">
        <f t="shared" si="17"/>
        <v>0</v>
      </c>
      <c r="Z22" s="31">
        <f t="shared" si="17"/>
        <v>0</v>
      </c>
      <c r="AA22" s="31">
        <f t="shared" si="17"/>
        <v>0</v>
      </c>
      <c r="AB22" s="31">
        <f t="shared" si="17"/>
        <v>0</v>
      </c>
      <c r="AC22" s="31">
        <f t="shared" si="17"/>
        <v>0</v>
      </c>
      <c r="AD22" s="31">
        <f t="shared" si="17"/>
        <v>0</v>
      </c>
      <c r="AE22" s="31">
        <f t="shared" si="17"/>
        <v>0</v>
      </c>
      <c r="AF22" s="31">
        <f t="shared" si="17"/>
        <v>0</v>
      </c>
      <c r="AG22" s="31">
        <f t="shared" si="18"/>
        <v>1</v>
      </c>
      <c r="AH22" s="73">
        <v>16.18</v>
      </c>
    </row>
    <row r="23" spans="1:34" s="1" customFormat="1" ht="12.75" customHeight="1" x14ac:dyDescent="0.25">
      <c r="A23" s="12" t="s">
        <v>57</v>
      </c>
      <c r="B23" s="13" t="s">
        <v>58</v>
      </c>
      <c r="C23" s="3">
        <f>IF(VLOOKUP($A23,Incurred!$A$22:$W$363,17,FALSE)="",0,VLOOKUP($A23,Incurred!$A$22:$W$363,17,FALSE))+AH23</f>
        <v>26390.36</v>
      </c>
      <c r="D23" s="3" t="str">
        <f>VLOOKUP($A23,Incurred!$A$22:$W$363,D$3,FALSE)</f>
        <v/>
      </c>
      <c r="E23" s="3" t="str">
        <f>VLOOKUP($A23,Incurred!$A$22:$W$363,E$3,FALSE)</f>
        <v/>
      </c>
      <c r="F23" s="3" t="str">
        <f>VLOOKUP($A23,Incurred!$A$22:$W$363,F$3,FALSE)</f>
        <v/>
      </c>
      <c r="G23" s="3" t="str">
        <f>VLOOKUP($A23,Incurred!$A$22:$W$363,G$3,FALSE)</f>
        <v/>
      </c>
      <c r="H23" s="3" t="str">
        <f>VLOOKUP($A23,Incurred!$A$22:$W$363,H$3,FALSE)</f>
        <v/>
      </c>
      <c r="I23" s="3" t="str">
        <f>VLOOKUP($A23,Incurred!$A$22:$W$363,I$3,FALSE)</f>
        <v/>
      </c>
      <c r="J23" s="3">
        <f t="shared" si="14"/>
        <v>26390.36</v>
      </c>
      <c r="K23"/>
      <c r="L23" s="3"/>
      <c r="M23" s="37">
        <f t="shared" si="15"/>
        <v>0</v>
      </c>
      <c r="N23" s="31">
        <f t="shared" si="16"/>
        <v>0</v>
      </c>
      <c r="O23" s="31">
        <f t="shared" si="16"/>
        <v>0</v>
      </c>
      <c r="P23" s="31">
        <f t="shared" si="16"/>
        <v>4.5019449406495209E-2</v>
      </c>
      <c r="Q23" s="31">
        <f t="shared" si="16"/>
        <v>0</v>
      </c>
      <c r="R23" s="31">
        <f t="shared" si="16"/>
        <v>0</v>
      </c>
      <c r="S23" s="31">
        <f t="shared" si="16"/>
        <v>0</v>
      </c>
      <c r="T23" s="31">
        <f t="shared" si="16"/>
        <v>0</v>
      </c>
      <c r="U23" s="31">
        <f t="shared" si="16"/>
        <v>0</v>
      </c>
      <c r="V23" s="31">
        <f t="shared" si="16"/>
        <v>0</v>
      </c>
      <c r="W23" s="31">
        <f t="shared" si="16"/>
        <v>0.46141719957434996</v>
      </c>
      <c r="X23" s="31">
        <f t="shared" si="17"/>
        <v>0</v>
      </c>
      <c r="Y23" s="31">
        <f t="shared" si="17"/>
        <v>0.22842542937902044</v>
      </c>
      <c r="Z23" s="31">
        <f t="shared" si="17"/>
        <v>0</v>
      </c>
      <c r="AA23" s="31">
        <f t="shared" si="17"/>
        <v>0</v>
      </c>
      <c r="AB23" s="31">
        <f t="shared" si="17"/>
        <v>0.26513792164013439</v>
      </c>
      <c r="AC23" s="31">
        <f t="shared" si="17"/>
        <v>0</v>
      </c>
      <c r="AD23" s="31">
        <f t="shared" si="17"/>
        <v>0</v>
      </c>
      <c r="AE23" s="31">
        <f t="shared" si="17"/>
        <v>0</v>
      </c>
      <c r="AF23" s="31">
        <f t="shared" si="17"/>
        <v>0</v>
      </c>
      <c r="AG23" s="31">
        <f t="shared" si="18"/>
        <v>1</v>
      </c>
      <c r="AH23" s="73">
        <v>0</v>
      </c>
    </row>
    <row r="24" spans="1:34" s="1" customFormat="1" ht="12.75" customHeight="1" x14ac:dyDescent="0.25">
      <c r="A24" s="12" t="s">
        <v>67</v>
      </c>
      <c r="B24" s="13" t="s">
        <v>68</v>
      </c>
      <c r="C24" s="3">
        <f>IF(VLOOKUP($A24,Incurred!$A$22:$W$363,17,FALSE)="",0,VLOOKUP($A24,Incurred!$A$22:$W$363,17,FALSE))+AH24</f>
        <v>944364.38</v>
      </c>
      <c r="D24" s="3" t="str">
        <f>VLOOKUP($A24,Incurred!$A$22:$W$363,D$3,FALSE)</f>
        <v/>
      </c>
      <c r="E24" s="3" t="str">
        <f>VLOOKUP($A24,Incurred!$A$22:$W$363,E$3,FALSE)</f>
        <v/>
      </c>
      <c r="F24" s="3" t="str">
        <f>VLOOKUP($A24,Incurred!$A$22:$W$363,F$3,FALSE)</f>
        <v/>
      </c>
      <c r="G24" s="3" t="str">
        <f>VLOOKUP($A24,Incurred!$A$22:$W$363,G$3,FALSE)</f>
        <v/>
      </c>
      <c r="H24" s="3" t="str">
        <f>VLOOKUP($A24,Incurred!$A$22:$W$363,H$3,FALSE)</f>
        <v/>
      </c>
      <c r="I24" s="3" t="str">
        <f>VLOOKUP($A24,Incurred!$A$22:$W$363,I$3,FALSE)</f>
        <v/>
      </c>
      <c r="J24" s="3">
        <f t="shared" si="14"/>
        <v>944364.38</v>
      </c>
      <c r="K24"/>
      <c r="L24" s="3"/>
      <c r="M24" s="37">
        <f t="shared" si="15"/>
        <v>0</v>
      </c>
      <c r="N24" s="31">
        <f t="shared" si="16"/>
        <v>0</v>
      </c>
      <c r="O24" s="31">
        <f t="shared" si="16"/>
        <v>1.7017376710523916E-3</v>
      </c>
      <c r="P24" s="31">
        <f t="shared" si="16"/>
        <v>7.2796248786436257E-2</v>
      </c>
      <c r="Q24" s="31">
        <f t="shared" si="16"/>
        <v>0</v>
      </c>
      <c r="R24" s="31">
        <f t="shared" si="16"/>
        <v>0</v>
      </c>
      <c r="S24" s="31">
        <f t="shared" si="16"/>
        <v>0</v>
      </c>
      <c r="T24" s="31">
        <f t="shared" si="16"/>
        <v>0</v>
      </c>
      <c r="U24" s="31">
        <f t="shared" si="16"/>
        <v>0</v>
      </c>
      <c r="V24" s="31">
        <f t="shared" si="16"/>
        <v>0</v>
      </c>
      <c r="W24" s="31">
        <f t="shared" si="16"/>
        <v>0.40929924573090215</v>
      </c>
      <c r="X24" s="31">
        <f t="shared" si="17"/>
        <v>0</v>
      </c>
      <c r="Y24" s="31">
        <f t="shared" si="17"/>
        <v>0.15460765779756919</v>
      </c>
      <c r="Z24" s="31">
        <f t="shared" si="17"/>
        <v>0</v>
      </c>
      <c r="AA24" s="31">
        <f t="shared" si="17"/>
        <v>0</v>
      </c>
      <c r="AB24" s="31">
        <f t="shared" si="17"/>
        <v>0.11708801793106921</v>
      </c>
      <c r="AC24" s="31">
        <f t="shared" si="17"/>
        <v>0.24450709208297083</v>
      </c>
      <c r="AD24" s="31">
        <f t="shared" si="17"/>
        <v>0</v>
      </c>
      <c r="AE24" s="31">
        <f t="shared" si="17"/>
        <v>0</v>
      </c>
      <c r="AF24" s="31">
        <f t="shared" si="17"/>
        <v>0</v>
      </c>
      <c r="AG24" s="31">
        <f t="shared" si="18"/>
        <v>1</v>
      </c>
      <c r="AH24" s="73">
        <v>0</v>
      </c>
    </row>
    <row r="25" spans="1:34" s="1" customFormat="1" ht="12.75" customHeight="1" x14ac:dyDescent="0.25">
      <c r="A25" s="12" t="s">
        <v>89</v>
      </c>
      <c r="B25" s="13" t="s">
        <v>90</v>
      </c>
      <c r="C25" s="3">
        <f>IF(VLOOKUP($A25,Incurred!$A$22:$W$363,17,FALSE)="",0,VLOOKUP($A25,Incurred!$A$22:$W$363,17,FALSE))+AH25</f>
        <v>857760.69</v>
      </c>
      <c r="D25" s="3" t="str">
        <f>VLOOKUP($A25,Incurred!$A$22:$W$363,D$3,FALSE)</f>
        <v/>
      </c>
      <c r="E25" s="3" t="str">
        <f>VLOOKUP($A25,Incurred!$A$22:$W$363,E$3,FALSE)</f>
        <v/>
      </c>
      <c r="F25" s="3" t="str">
        <f>VLOOKUP($A25,Incurred!$A$22:$W$363,F$3,FALSE)</f>
        <v/>
      </c>
      <c r="G25" s="3" t="str">
        <f>VLOOKUP($A25,Incurred!$A$22:$W$363,G$3,FALSE)</f>
        <v/>
      </c>
      <c r="H25" s="3" t="str">
        <f>VLOOKUP($A25,Incurred!$A$22:$W$363,H$3,FALSE)</f>
        <v/>
      </c>
      <c r="I25" s="3" t="str">
        <f>VLOOKUP($A25,Incurred!$A$22:$W$363,I$3,FALSE)</f>
        <v/>
      </c>
      <c r="J25" s="3">
        <f t="shared" si="14"/>
        <v>857760.69</v>
      </c>
      <c r="K25"/>
      <c r="L25" s="3"/>
      <c r="M25" s="37">
        <f t="shared" si="15"/>
        <v>0</v>
      </c>
      <c r="N25" s="31">
        <f t="shared" si="16"/>
        <v>0</v>
      </c>
      <c r="O25" s="31">
        <f t="shared" si="16"/>
        <v>0</v>
      </c>
      <c r="P25" s="31">
        <f t="shared" si="16"/>
        <v>0.98529252208264806</v>
      </c>
      <c r="Q25" s="31">
        <f t="shared" si="16"/>
        <v>0</v>
      </c>
      <c r="R25" s="31">
        <f t="shared" si="16"/>
        <v>0</v>
      </c>
      <c r="S25" s="31">
        <f t="shared" si="16"/>
        <v>0</v>
      </c>
      <c r="T25" s="31">
        <f t="shared" si="16"/>
        <v>0</v>
      </c>
      <c r="U25" s="31">
        <f t="shared" si="16"/>
        <v>0</v>
      </c>
      <c r="V25" s="31">
        <f t="shared" si="16"/>
        <v>0</v>
      </c>
      <c r="W25" s="31">
        <f t="shared" si="16"/>
        <v>0</v>
      </c>
      <c r="X25" s="31">
        <f t="shared" si="17"/>
        <v>0</v>
      </c>
      <c r="Y25" s="31">
        <f t="shared" si="17"/>
        <v>1.470747791735184E-2</v>
      </c>
      <c r="Z25" s="31">
        <f t="shared" si="17"/>
        <v>0</v>
      </c>
      <c r="AA25" s="31">
        <f t="shared" si="17"/>
        <v>0</v>
      </c>
      <c r="AB25" s="31">
        <f t="shared" si="17"/>
        <v>0</v>
      </c>
      <c r="AC25" s="31">
        <f t="shared" si="17"/>
        <v>0</v>
      </c>
      <c r="AD25" s="31">
        <f t="shared" si="17"/>
        <v>0</v>
      </c>
      <c r="AE25" s="31">
        <f t="shared" si="17"/>
        <v>0</v>
      </c>
      <c r="AF25" s="31">
        <f t="shared" si="17"/>
        <v>0</v>
      </c>
      <c r="AG25" s="31">
        <f t="shared" si="18"/>
        <v>0.99999999999999989</v>
      </c>
      <c r="AH25" s="73">
        <v>857760.69</v>
      </c>
    </row>
    <row r="26" spans="1:34" s="1" customFormat="1" ht="12.75" customHeight="1" x14ac:dyDescent="0.25">
      <c r="A26" s="12" t="s">
        <v>110</v>
      </c>
      <c r="B26" s="13" t="s">
        <v>111</v>
      </c>
      <c r="C26" s="3">
        <f>IF(VLOOKUP($A26,Incurred!$A$22:$W$363,17,FALSE)="",0,VLOOKUP($A26,Incurred!$A$22:$W$363,17,FALSE))+AH26</f>
        <v>120668.72</v>
      </c>
      <c r="D26" s="3" t="str">
        <f>VLOOKUP($A26,Incurred!$A$22:$W$363,D$3,FALSE)</f>
        <v/>
      </c>
      <c r="E26" s="3" t="str">
        <f>VLOOKUP($A26,Incurred!$A$22:$W$363,E$3,FALSE)</f>
        <v/>
      </c>
      <c r="F26" s="3" t="str">
        <f>VLOOKUP($A26,Incurred!$A$22:$W$363,F$3,FALSE)</f>
        <v/>
      </c>
      <c r="G26" s="3" t="str">
        <f>VLOOKUP($A26,Incurred!$A$22:$W$363,G$3,FALSE)</f>
        <v/>
      </c>
      <c r="H26" s="3" t="str">
        <f>VLOOKUP($A26,Incurred!$A$22:$W$363,H$3,FALSE)</f>
        <v/>
      </c>
      <c r="I26" s="3" t="str">
        <f>VLOOKUP($A26,Incurred!$A$22:$W$363,I$3,FALSE)</f>
        <v/>
      </c>
      <c r="J26" s="3">
        <f t="shared" si="14"/>
        <v>120668.72</v>
      </c>
      <c r="K26"/>
      <c r="L26" s="3"/>
      <c r="M26" s="37">
        <f t="shared" si="15"/>
        <v>0</v>
      </c>
      <c r="N26" s="31">
        <f t="shared" si="16"/>
        <v>0</v>
      </c>
      <c r="O26" s="31">
        <f t="shared" si="16"/>
        <v>5.4800000208486938E-2</v>
      </c>
      <c r="P26" s="31">
        <f t="shared" si="16"/>
        <v>9.1600000273894575E-2</v>
      </c>
      <c r="Q26" s="31">
        <f t="shared" si="16"/>
        <v>0</v>
      </c>
      <c r="R26" s="31">
        <f t="shared" si="16"/>
        <v>0</v>
      </c>
      <c r="S26" s="31">
        <f t="shared" si="16"/>
        <v>0</v>
      </c>
      <c r="T26" s="31">
        <f t="shared" si="16"/>
        <v>0</v>
      </c>
      <c r="U26" s="31">
        <f t="shared" si="16"/>
        <v>0</v>
      </c>
      <c r="V26" s="31">
        <f t="shared" si="16"/>
        <v>0</v>
      </c>
      <c r="W26" s="31">
        <f t="shared" si="16"/>
        <v>0.10100000006472634</v>
      </c>
      <c r="X26" s="31">
        <f t="shared" si="17"/>
        <v>0</v>
      </c>
      <c r="Y26" s="31">
        <f t="shared" si="17"/>
        <v>0.30879999978606243</v>
      </c>
      <c r="Z26" s="31">
        <f t="shared" si="17"/>
        <v>0</v>
      </c>
      <c r="AA26" s="31">
        <f t="shared" si="17"/>
        <v>0</v>
      </c>
      <c r="AB26" s="31">
        <f t="shared" si="17"/>
        <v>0.44379999966682976</v>
      </c>
      <c r="AC26" s="31">
        <f t="shared" si="17"/>
        <v>0</v>
      </c>
      <c r="AD26" s="31">
        <f t="shared" si="17"/>
        <v>0</v>
      </c>
      <c r="AE26" s="31">
        <f t="shared" si="17"/>
        <v>0</v>
      </c>
      <c r="AF26" s="31">
        <f t="shared" si="17"/>
        <v>0</v>
      </c>
      <c r="AG26" s="31">
        <f t="shared" ref="AG26" si="19">SUM(N26:AF26)</f>
        <v>1</v>
      </c>
      <c r="AH26" s="73">
        <v>0</v>
      </c>
    </row>
    <row r="27" spans="1:34" s="1" customFormat="1" ht="12.75" customHeight="1" x14ac:dyDescent="0.25">
      <c r="A27" s="12" t="s">
        <v>139</v>
      </c>
      <c r="B27" s="13" t="s">
        <v>140</v>
      </c>
      <c r="C27" s="3">
        <f>IF(VLOOKUP($A27,Incurred!$A$22:$W$363,17,FALSE)="",0,VLOOKUP($A27,Incurred!$A$22:$W$363,17,FALSE))+AH27</f>
        <v>3969.64</v>
      </c>
      <c r="D27" s="3" t="str">
        <f>VLOOKUP($A27,Incurred!$A$22:$W$363,D$3,FALSE)</f>
        <v/>
      </c>
      <c r="E27" s="3" t="str">
        <f>VLOOKUP($A27,Incurred!$A$22:$W$363,E$3,FALSE)</f>
        <v/>
      </c>
      <c r="F27" s="3" t="str">
        <f>VLOOKUP($A27,Incurred!$A$22:$W$363,F$3,FALSE)</f>
        <v/>
      </c>
      <c r="G27" s="3" t="str">
        <f>VLOOKUP($A27,Incurred!$A$22:$W$363,G$3,FALSE)</f>
        <v/>
      </c>
      <c r="H27" s="3" t="str">
        <f>VLOOKUP($A27,Incurred!$A$22:$W$363,H$3,FALSE)</f>
        <v/>
      </c>
      <c r="I27" s="3" t="str">
        <f>VLOOKUP($A27,Incurred!$A$22:$W$363,I$3,FALSE)</f>
        <v/>
      </c>
      <c r="J27" s="3">
        <f t="shared" si="14"/>
        <v>3969.64</v>
      </c>
      <c r="K27"/>
      <c r="L27" s="3"/>
      <c r="M27" s="37">
        <f t="shared" si="15"/>
        <v>0</v>
      </c>
      <c r="N27" s="31">
        <f t="shared" si="16"/>
        <v>0</v>
      </c>
      <c r="O27" s="31">
        <f t="shared" si="16"/>
        <v>0</v>
      </c>
      <c r="P27" s="31">
        <f t="shared" si="16"/>
        <v>0</v>
      </c>
      <c r="Q27" s="31">
        <f t="shared" si="16"/>
        <v>1</v>
      </c>
      <c r="R27" s="31">
        <f t="shared" si="16"/>
        <v>0</v>
      </c>
      <c r="S27" s="31">
        <f t="shared" si="16"/>
        <v>0</v>
      </c>
      <c r="T27" s="31">
        <f t="shared" si="16"/>
        <v>0</v>
      </c>
      <c r="U27" s="31">
        <f t="shared" si="16"/>
        <v>0</v>
      </c>
      <c r="V27" s="31">
        <f t="shared" si="16"/>
        <v>0</v>
      </c>
      <c r="W27" s="31">
        <f t="shared" si="16"/>
        <v>0</v>
      </c>
      <c r="X27" s="31">
        <f t="shared" si="17"/>
        <v>0</v>
      </c>
      <c r="Y27" s="31">
        <f t="shared" si="17"/>
        <v>0</v>
      </c>
      <c r="Z27" s="31">
        <f t="shared" si="17"/>
        <v>0</v>
      </c>
      <c r="AA27" s="31">
        <f t="shared" si="17"/>
        <v>0</v>
      </c>
      <c r="AB27" s="31">
        <f t="shared" si="17"/>
        <v>0</v>
      </c>
      <c r="AC27" s="31">
        <f t="shared" si="17"/>
        <v>0</v>
      </c>
      <c r="AD27" s="31">
        <f t="shared" si="17"/>
        <v>0</v>
      </c>
      <c r="AE27" s="31">
        <f t="shared" si="17"/>
        <v>0</v>
      </c>
      <c r="AF27" s="31">
        <f t="shared" si="17"/>
        <v>0</v>
      </c>
      <c r="AG27" s="31">
        <f t="shared" ref="AG27" si="20">SUM(N27:AF27)</f>
        <v>1</v>
      </c>
      <c r="AH27" s="73">
        <v>0</v>
      </c>
    </row>
    <row r="28" spans="1:34" s="1" customFormat="1" ht="12.75" customHeight="1" x14ac:dyDescent="0.25">
      <c r="A28" s="12" t="s">
        <v>162</v>
      </c>
      <c r="B28" s="13" t="s">
        <v>163</v>
      </c>
      <c r="C28" s="3">
        <f>IF(VLOOKUP($A28,Incurred!$A$22:$W$363,17,FALSE)="",0,VLOOKUP($A28,Incurred!$A$22:$W$363,17,FALSE))+AH28</f>
        <v>8506.75</v>
      </c>
      <c r="D28" s="3" t="str">
        <f>VLOOKUP($A28,Incurred!$A$22:$W$363,D$3,FALSE)</f>
        <v/>
      </c>
      <c r="E28" s="3" t="str">
        <f>VLOOKUP($A28,Incurred!$A$22:$W$363,E$3,FALSE)</f>
        <v/>
      </c>
      <c r="F28" s="3" t="str">
        <f>VLOOKUP($A28,Incurred!$A$22:$W$363,F$3,FALSE)</f>
        <v/>
      </c>
      <c r="G28" s="3" t="str">
        <f>VLOOKUP($A28,Incurred!$A$22:$W$363,G$3,FALSE)</f>
        <v/>
      </c>
      <c r="H28" s="3" t="str">
        <f>VLOOKUP($A28,Incurred!$A$22:$W$363,H$3,FALSE)</f>
        <v/>
      </c>
      <c r="I28" s="3" t="str">
        <f>VLOOKUP($A28,Incurred!$A$22:$W$363,I$3,FALSE)</f>
        <v/>
      </c>
      <c r="J28" s="3">
        <f t="shared" si="14"/>
        <v>8506.75</v>
      </c>
      <c r="K28"/>
      <c r="L28" s="3"/>
      <c r="M28" s="37">
        <f t="shared" si="15"/>
        <v>4094623.5982408649</v>
      </c>
      <c r="N28" s="31">
        <f t="shared" si="16"/>
        <v>0</v>
      </c>
      <c r="O28" s="31">
        <f t="shared" si="16"/>
        <v>0</v>
      </c>
      <c r="P28" s="31">
        <f t="shared" si="16"/>
        <v>0</v>
      </c>
      <c r="Q28" s="31">
        <f t="shared" si="16"/>
        <v>0</v>
      </c>
      <c r="R28" s="31">
        <f t="shared" si="16"/>
        <v>0</v>
      </c>
      <c r="S28" s="31">
        <f t="shared" si="16"/>
        <v>0</v>
      </c>
      <c r="T28" s="31">
        <f t="shared" si="16"/>
        <v>0</v>
      </c>
      <c r="U28" s="31">
        <f t="shared" si="16"/>
        <v>0</v>
      </c>
      <c r="V28" s="31">
        <f t="shared" si="16"/>
        <v>0</v>
      </c>
      <c r="W28" s="31">
        <f t="shared" si="16"/>
        <v>0</v>
      </c>
      <c r="X28" s="31">
        <f t="shared" si="17"/>
        <v>0</v>
      </c>
      <c r="Y28" s="31">
        <f t="shared" si="17"/>
        <v>0</v>
      </c>
      <c r="Z28" s="31">
        <f t="shared" si="17"/>
        <v>0</v>
      </c>
      <c r="AA28" s="31">
        <f t="shared" si="17"/>
        <v>0</v>
      </c>
      <c r="AB28" s="31">
        <f t="shared" si="17"/>
        <v>0</v>
      </c>
      <c r="AC28" s="31">
        <f t="shared" si="17"/>
        <v>6.3312501623212419E-2</v>
      </c>
      <c r="AD28" s="31">
        <f t="shared" si="17"/>
        <v>0</v>
      </c>
      <c r="AE28" s="31">
        <f t="shared" si="17"/>
        <v>0</v>
      </c>
      <c r="AF28" s="31">
        <f t="shared" si="17"/>
        <v>0.93668749837678766</v>
      </c>
      <c r="AG28" s="31">
        <f t="shared" si="18"/>
        <v>1</v>
      </c>
      <c r="AH28" s="73">
        <v>0</v>
      </c>
    </row>
    <row r="29" spans="1:34" s="1" customFormat="1" ht="12.75" customHeight="1" x14ac:dyDescent="0.25">
      <c r="A29" s="12" t="s">
        <v>186</v>
      </c>
      <c r="B29" s="13" t="s">
        <v>2268</v>
      </c>
      <c r="C29" s="3">
        <f>IF(VLOOKUP($A29,Incurred!$A$22:$W$363,17,FALSE)="",0,VLOOKUP($A29,Incurred!$A$22:$W$363,17,FALSE))+AH29</f>
        <v>-556.55999999999995</v>
      </c>
      <c r="D29" s="3" t="str">
        <f>VLOOKUP($A29,Incurred!$A$22:$W$363,D$3,FALSE)</f>
        <v/>
      </c>
      <c r="E29" s="3" t="str">
        <f>VLOOKUP($A29,Incurred!$A$22:$W$363,E$3,FALSE)</f>
        <v/>
      </c>
      <c r="F29" s="3" t="str">
        <f>VLOOKUP($A29,Incurred!$A$22:$W$363,F$3,FALSE)</f>
        <v/>
      </c>
      <c r="G29" s="3" t="str">
        <f>VLOOKUP($A29,Incurred!$A$22:$W$363,G$3,FALSE)</f>
        <v/>
      </c>
      <c r="H29" s="3" t="str">
        <f>VLOOKUP($A29,Incurred!$A$22:$W$363,H$3,FALSE)</f>
        <v/>
      </c>
      <c r="I29" s="3" t="str">
        <f>VLOOKUP($A29,Incurred!$A$22:$W$363,I$3,FALSE)</f>
        <v/>
      </c>
      <c r="J29" s="3">
        <f t="shared" si="14"/>
        <v>-556.55999999999995</v>
      </c>
      <c r="K29"/>
      <c r="L29" s="3"/>
      <c r="M29" s="37">
        <f t="shared" si="15"/>
        <v>0</v>
      </c>
      <c r="N29" s="31">
        <f t="shared" ref="N29:W38" si="21">IF(OR(LEFT($A29,1)="E",LEFT($A29,1)="Z"),IF($M29=0,VLOOKUP(MID($A29,4,5),ProjectSplits,N$2,FALSE),IF(ISNA(VLOOKUP($A29,Estimates,N$1,FALSE)),VLOOKUP(MID($A29,4,5),ProjectSplits,N$2,FALSE),VLOOKUP($A29,Estimates,N$1,FALSE))),0)</f>
        <v>0</v>
      </c>
      <c r="O29" s="31">
        <f t="shared" si="21"/>
        <v>0.11010069401149368</v>
      </c>
      <c r="P29" s="31">
        <f t="shared" si="21"/>
        <v>8.799416012524533E-2</v>
      </c>
      <c r="Q29" s="31">
        <f t="shared" si="21"/>
        <v>0</v>
      </c>
      <c r="R29" s="31">
        <f t="shared" si="21"/>
        <v>0</v>
      </c>
      <c r="S29" s="31">
        <f t="shared" si="21"/>
        <v>0</v>
      </c>
      <c r="T29" s="31">
        <f t="shared" si="21"/>
        <v>0</v>
      </c>
      <c r="U29" s="31">
        <f t="shared" si="21"/>
        <v>0</v>
      </c>
      <c r="V29" s="31">
        <f t="shared" si="21"/>
        <v>0</v>
      </c>
      <c r="W29" s="31">
        <f t="shared" si="21"/>
        <v>0.27760663198910435</v>
      </c>
      <c r="X29" s="31">
        <f t="shared" ref="X29:AF38" si="22">IF(OR(LEFT($A29,1)="E",LEFT($A29,1)="Z"),IF($M29=0,VLOOKUP(MID($A29,4,5),ProjectSplits,X$2,FALSE),IF(ISNA(VLOOKUP($A29,Estimates,X$1,FALSE)),VLOOKUP(MID($A29,4,5),ProjectSplits,X$2,FALSE),VLOOKUP($A29,Estimates,X$1,FALSE))),0)</f>
        <v>0</v>
      </c>
      <c r="Y29" s="31">
        <f t="shared" si="22"/>
        <v>0.35649687827932458</v>
      </c>
      <c r="Z29" s="31">
        <f t="shared" si="22"/>
        <v>0</v>
      </c>
      <c r="AA29" s="31">
        <f t="shared" si="22"/>
        <v>0</v>
      </c>
      <c r="AB29" s="31">
        <f t="shared" si="22"/>
        <v>0.15050164214928188</v>
      </c>
      <c r="AC29" s="31">
        <f t="shared" si="22"/>
        <v>1.7299993445550034E-2</v>
      </c>
      <c r="AD29" s="31">
        <f t="shared" si="22"/>
        <v>0</v>
      </c>
      <c r="AE29" s="31">
        <f t="shared" si="22"/>
        <v>0</v>
      </c>
      <c r="AF29" s="31">
        <f t="shared" si="22"/>
        <v>0</v>
      </c>
      <c r="AG29" s="31">
        <f t="shared" si="18"/>
        <v>0.99999999999999978</v>
      </c>
      <c r="AH29" s="73">
        <v>-556.55999999999995</v>
      </c>
    </row>
    <row r="30" spans="1:34" s="1" customFormat="1" ht="12.75" customHeight="1" x14ac:dyDescent="0.25">
      <c r="A30" s="12" t="s">
        <v>187</v>
      </c>
      <c r="B30" s="13" t="s">
        <v>2362</v>
      </c>
      <c r="C30" s="3">
        <f>IF(VLOOKUP($A30,Incurred!$A$22:$W$363,17,FALSE)="",0,VLOOKUP($A30,Incurred!$A$22:$W$363,17,FALSE))+AH30</f>
        <v>-429.37</v>
      </c>
      <c r="D30" s="3" t="str">
        <f>VLOOKUP($A30,Incurred!$A$22:$W$363,D$3,FALSE)</f>
        <v/>
      </c>
      <c r="E30" s="3" t="str">
        <f>VLOOKUP($A30,Incurred!$A$22:$W$363,E$3,FALSE)</f>
        <v/>
      </c>
      <c r="F30" s="3" t="str">
        <f>VLOOKUP($A30,Incurred!$A$22:$W$363,F$3,FALSE)</f>
        <v/>
      </c>
      <c r="G30" s="3" t="str">
        <f>VLOOKUP($A30,Incurred!$A$22:$W$363,G$3,FALSE)</f>
        <v/>
      </c>
      <c r="H30" s="3" t="str">
        <f>VLOOKUP($A30,Incurred!$A$22:$W$363,H$3,FALSE)</f>
        <v/>
      </c>
      <c r="I30" s="3" t="str">
        <f>VLOOKUP($A30,Incurred!$A$22:$W$363,I$3,FALSE)</f>
        <v/>
      </c>
      <c r="J30" s="3">
        <f t="shared" si="14"/>
        <v>-429.37</v>
      </c>
      <c r="K30"/>
      <c r="L30" s="3"/>
      <c r="M30" s="37">
        <f t="shared" si="15"/>
        <v>0</v>
      </c>
      <c r="N30" s="31">
        <f t="shared" si="21"/>
        <v>0</v>
      </c>
      <c r="O30" s="31">
        <f t="shared" si="21"/>
        <v>0</v>
      </c>
      <c r="P30" s="31">
        <f t="shared" si="21"/>
        <v>0.10779900758652504</v>
      </c>
      <c r="Q30" s="31">
        <f t="shared" si="21"/>
        <v>0</v>
      </c>
      <c r="R30" s="31">
        <f t="shared" si="21"/>
        <v>0</v>
      </c>
      <c r="S30" s="31">
        <f t="shared" si="21"/>
        <v>0</v>
      </c>
      <c r="T30" s="31">
        <f t="shared" si="21"/>
        <v>0</v>
      </c>
      <c r="U30" s="31">
        <f t="shared" si="21"/>
        <v>0</v>
      </c>
      <c r="V30" s="31">
        <f t="shared" si="21"/>
        <v>0</v>
      </c>
      <c r="W30" s="31">
        <f t="shared" si="21"/>
        <v>0.39139992961582287</v>
      </c>
      <c r="X30" s="31">
        <f t="shared" si="22"/>
        <v>0</v>
      </c>
      <c r="Y30" s="31">
        <f t="shared" si="22"/>
        <v>0.30939983500572144</v>
      </c>
      <c r="Z30" s="31">
        <f t="shared" si="22"/>
        <v>0</v>
      </c>
      <c r="AA30" s="31">
        <f t="shared" si="22"/>
        <v>0</v>
      </c>
      <c r="AB30" s="31">
        <f t="shared" si="22"/>
        <v>0.19140122779193078</v>
      </c>
      <c r="AC30" s="31">
        <f t="shared" si="22"/>
        <v>0</v>
      </c>
      <c r="AD30" s="31">
        <f t="shared" si="22"/>
        <v>0</v>
      </c>
      <c r="AE30" s="31">
        <f t="shared" si="22"/>
        <v>0</v>
      </c>
      <c r="AF30" s="31">
        <f t="shared" si="22"/>
        <v>0</v>
      </c>
      <c r="AG30" s="31">
        <f t="shared" si="18"/>
        <v>1.0000000000000002</v>
      </c>
      <c r="AH30" s="73">
        <v>-429.37</v>
      </c>
    </row>
    <row r="31" spans="1:34" s="1" customFormat="1" ht="12.75" customHeight="1" x14ac:dyDescent="0.25">
      <c r="A31" s="12" t="s">
        <v>203</v>
      </c>
      <c r="B31" s="13" t="s">
        <v>204</v>
      </c>
      <c r="C31" s="3">
        <f>IF(VLOOKUP($A31,Incurred!$A$22:$W$363,17,FALSE)="",0,VLOOKUP($A31,Incurred!$A$22:$W$363,17,FALSE))+AH31</f>
        <v>271.25</v>
      </c>
      <c r="D31" s="3" t="str">
        <f>VLOOKUP($A31,Incurred!$A$22:$W$363,D$3,FALSE)</f>
        <v/>
      </c>
      <c r="E31" s="3" t="str">
        <f>VLOOKUP($A31,Incurred!$A$22:$W$363,E$3,FALSE)</f>
        <v/>
      </c>
      <c r="F31" s="3" t="str">
        <f>VLOOKUP($A31,Incurred!$A$22:$W$363,F$3,FALSE)</f>
        <v/>
      </c>
      <c r="G31" s="3" t="str">
        <f>VLOOKUP($A31,Incurred!$A$22:$W$363,G$3,FALSE)</f>
        <v/>
      </c>
      <c r="H31" s="3" t="str">
        <f>VLOOKUP($A31,Incurred!$A$22:$W$363,H$3,FALSE)</f>
        <v/>
      </c>
      <c r="I31" s="3" t="str">
        <f>VLOOKUP($A31,Incurred!$A$22:$W$363,I$3,FALSE)</f>
        <v/>
      </c>
      <c r="J31" s="3">
        <f t="shared" si="14"/>
        <v>271.25</v>
      </c>
      <c r="K31"/>
      <c r="L31" s="3"/>
      <c r="M31" s="37">
        <f t="shared" si="15"/>
        <v>0</v>
      </c>
      <c r="N31" s="31">
        <f t="shared" si="21"/>
        <v>0</v>
      </c>
      <c r="O31" s="31">
        <f t="shared" si="21"/>
        <v>5.4113247421954639E-4</v>
      </c>
      <c r="P31" s="31">
        <f t="shared" si="21"/>
        <v>0.24782136750391559</v>
      </c>
      <c r="Q31" s="31">
        <f t="shared" si="21"/>
        <v>0</v>
      </c>
      <c r="R31" s="31">
        <f t="shared" si="21"/>
        <v>0</v>
      </c>
      <c r="S31" s="31">
        <f t="shared" si="21"/>
        <v>0</v>
      </c>
      <c r="T31" s="31">
        <f t="shared" si="21"/>
        <v>0</v>
      </c>
      <c r="U31" s="31">
        <f t="shared" si="21"/>
        <v>0</v>
      </c>
      <c r="V31" s="31">
        <f t="shared" si="21"/>
        <v>0</v>
      </c>
      <c r="W31" s="31">
        <f t="shared" si="21"/>
        <v>0</v>
      </c>
      <c r="X31" s="31">
        <f t="shared" si="22"/>
        <v>0</v>
      </c>
      <c r="Y31" s="31">
        <f t="shared" si="22"/>
        <v>8.7997881025152803E-3</v>
      </c>
      <c r="Z31" s="31">
        <f t="shared" si="22"/>
        <v>0</v>
      </c>
      <c r="AA31" s="31">
        <f t="shared" si="22"/>
        <v>0</v>
      </c>
      <c r="AB31" s="31">
        <f t="shared" si="22"/>
        <v>0</v>
      </c>
      <c r="AC31" s="31">
        <f t="shared" si="22"/>
        <v>0.74283771191934955</v>
      </c>
      <c r="AD31" s="31">
        <f t="shared" si="22"/>
        <v>0</v>
      </c>
      <c r="AE31" s="31">
        <f t="shared" si="22"/>
        <v>0</v>
      </c>
      <c r="AF31" s="31">
        <f t="shared" si="22"/>
        <v>0</v>
      </c>
      <c r="AG31" s="31">
        <f t="shared" si="18"/>
        <v>1</v>
      </c>
      <c r="AH31" s="73">
        <v>0</v>
      </c>
    </row>
    <row r="32" spans="1:34" s="1" customFormat="1" ht="12.75" customHeight="1" x14ac:dyDescent="0.25">
      <c r="A32" s="12" t="s">
        <v>254</v>
      </c>
      <c r="B32" s="13" t="s">
        <v>2377</v>
      </c>
      <c r="C32" s="3">
        <f>IF(VLOOKUP($A32,Incurred!$A$22:$W$363,17,FALSE)="",0,VLOOKUP($A32,Incurred!$A$22:$W$363,17,FALSE))+AH32</f>
        <v>160.63999999999999</v>
      </c>
      <c r="D32" s="3" t="str">
        <f>VLOOKUP($A32,Incurred!$A$22:$W$363,D$3,FALSE)</f>
        <v/>
      </c>
      <c r="E32" s="3" t="str">
        <f>VLOOKUP($A32,Incurred!$A$22:$W$363,E$3,FALSE)</f>
        <v/>
      </c>
      <c r="F32" s="3" t="str">
        <f>VLOOKUP($A32,Incurred!$A$22:$W$363,F$3,FALSE)</f>
        <v/>
      </c>
      <c r="G32" s="3" t="str">
        <f>VLOOKUP($A32,Incurred!$A$22:$W$363,G$3,FALSE)</f>
        <v/>
      </c>
      <c r="H32" s="3" t="str">
        <f>VLOOKUP($A32,Incurred!$A$22:$W$363,H$3,FALSE)</f>
        <v/>
      </c>
      <c r="I32" s="3" t="str">
        <f>VLOOKUP($A32,Incurred!$A$22:$W$363,I$3,FALSE)</f>
        <v/>
      </c>
      <c r="J32" s="3">
        <f t="shared" si="14"/>
        <v>160.63999999999999</v>
      </c>
      <c r="K32"/>
      <c r="L32" s="3"/>
      <c r="M32" s="37">
        <f t="shared" si="15"/>
        <v>70583.753947132573</v>
      </c>
      <c r="N32" s="31">
        <f t="shared" si="21"/>
        <v>0.24444444444444444</v>
      </c>
      <c r="O32" s="31">
        <f t="shared" si="21"/>
        <v>0</v>
      </c>
      <c r="P32" s="31">
        <f t="shared" si="21"/>
        <v>0</v>
      </c>
      <c r="Q32" s="31">
        <f t="shared" si="21"/>
        <v>0</v>
      </c>
      <c r="R32" s="31">
        <f t="shared" si="21"/>
        <v>0</v>
      </c>
      <c r="S32" s="31">
        <f t="shared" si="21"/>
        <v>0</v>
      </c>
      <c r="T32" s="31">
        <f t="shared" si="21"/>
        <v>0</v>
      </c>
      <c r="U32" s="31">
        <f t="shared" si="21"/>
        <v>0.75555555555555554</v>
      </c>
      <c r="V32" s="31">
        <f t="shared" si="21"/>
        <v>0</v>
      </c>
      <c r="W32" s="31">
        <f t="shared" si="21"/>
        <v>0</v>
      </c>
      <c r="X32" s="31">
        <f t="shared" si="22"/>
        <v>0</v>
      </c>
      <c r="Y32" s="31">
        <f t="shared" si="22"/>
        <v>0</v>
      </c>
      <c r="Z32" s="31">
        <f t="shared" si="22"/>
        <v>0</v>
      </c>
      <c r="AA32" s="31">
        <f t="shared" si="22"/>
        <v>0</v>
      </c>
      <c r="AB32" s="31">
        <f t="shared" si="22"/>
        <v>0</v>
      </c>
      <c r="AC32" s="31">
        <f t="shared" si="22"/>
        <v>0</v>
      </c>
      <c r="AD32" s="31">
        <f t="shared" si="22"/>
        <v>0</v>
      </c>
      <c r="AE32" s="31">
        <f t="shared" si="22"/>
        <v>0</v>
      </c>
      <c r="AF32" s="31">
        <f t="shared" si="22"/>
        <v>0</v>
      </c>
      <c r="AG32" s="31">
        <f t="shared" ref="AG32:AG33" si="23">SUM(N32:AF32)</f>
        <v>1</v>
      </c>
      <c r="AH32" s="73">
        <v>0</v>
      </c>
    </row>
    <row r="33" spans="1:36" s="1" customFormat="1" ht="12.75" customHeight="1" x14ac:dyDescent="0.25">
      <c r="A33" s="12" t="s">
        <v>257</v>
      </c>
      <c r="B33" s="13" t="s">
        <v>2378</v>
      </c>
      <c r="C33" s="3">
        <f>IF(VLOOKUP($A33,Incurred!$A$22:$W$363,17,FALSE)="",0,VLOOKUP($A33,Incurred!$A$22:$W$363,17,FALSE))+AH33</f>
        <v>1448.55</v>
      </c>
      <c r="D33" s="3" t="str">
        <f>VLOOKUP($A33,Incurred!$A$22:$W$363,D$3,FALSE)</f>
        <v/>
      </c>
      <c r="E33" s="3" t="str">
        <f>VLOOKUP($A33,Incurred!$A$22:$W$363,E$3,FALSE)</f>
        <v/>
      </c>
      <c r="F33" s="3" t="str">
        <f>VLOOKUP($A33,Incurred!$A$22:$W$363,F$3,FALSE)</f>
        <v/>
      </c>
      <c r="G33" s="3" t="str">
        <f>VLOOKUP($A33,Incurred!$A$22:$W$363,G$3,FALSE)</f>
        <v/>
      </c>
      <c r="H33" s="3" t="str">
        <f>VLOOKUP($A33,Incurred!$A$22:$W$363,H$3,FALSE)</f>
        <v/>
      </c>
      <c r="I33" s="3" t="str">
        <f>VLOOKUP($A33,Incurred!$A$22:$W$363,I$3,FALSE)</f>
        <v/>
      </c>
      <c r="J33" s="3">
        <f t="shared" si="14"/>
        <v>1448.55</v>
      </c>
      <c r="K33"/>
      <c r="L33" s="3"/>
      <c r="M33" s="37">
        <f t="shared" si="15"/>
        <v>107506.23589815476</v>
      </c>
      <c r="N33" s="31">
        <f t="shared" si="21"/>
        <v>0</v>
      </c>
      <c r="O33" s="31">
        <f t="shared" si="21"/>
        <v>0</v>
      </c>
      <c r="P33" s="31">
        <f t="shared" si="21"/>
        <v>0</v>
      </c>
      <c r="Q33" s="31">
        <f t="shared" si="21"/>
        <v>0</v>
      </c>
      <c r="R33" s="31">
        <f t="shared" si="21"/>
        <v>0</v>
      </c>
      <c r="S33" s="31">
        <f t="shared" si="21"/>
        <v>0</v>
      </c>
      <c r="T33" s="31">
        <f t="shared" si="21"/>
        <v>0</v>
      </c>
      <c r="U33" s="31">
        <f t="shared" si="21"/>
        <v>1</v>
      </c>
      <c r="V33" s="31">
        <f t="shared" si="21"/>
        <v>0</v>
      </c>
      <c r="W33" s="31">
        <f t="shared" si="21"/>
        <v>0</v>
      </c>
      <c r="X33" s="31">
        <f t="shared" si="22"/>
        <v>0</v>
      </c>
      <c r="Y33" s="31">
        <f t="shared" si="22"/>
        <v>0</v>
      </c>
      <c r="Z33" s="31">
        <f t="shared" si="22"/>
        <v>0</v>
      </c>
      <c r="AA33" s="31">
        <f t="shared" si="22"/>
        <v>0</v>
      </c>
      <c r="AB33" s="31">
        <f t="shared" si="22"/>
        <v>0</v>
      </c>
      <c r="AC33" s="31">
        <f t="shared" si="22"/>
        <v>0</v>
      </c>
      <c r="AD33" s="31">
        <f t="shared" si="22"/>
        <v>0</v>
      </c>
      <c r="AE33" s="31">
        <f t="shared" si="22"/>
        <v>0</v>
      </c>
      <c r="AF33" s="31">
        <f t="shared" si="22"/>
        <v>0</v>
      </c>
      <c r="AG33" s="31">
        <f t="shared" si="23"/>
        <v>1</v>
      </c>
      <c r="AH33" s="73">
        <v>0</v>
      </c>
    </row>
    <row r="34" spans="1:36" s="1" customFormat="1" ht="12.75" customHeight="1" x14ac:dyDescent="0.25">
      <c r="A34" s="12" t="s">
        <v>214</v>
      </c>
      <c r="B34" s="13" t="s">
        <v>215</v>
      </c>
      <c r="C34" s="3">
        <f>IF(VLOOKUP($A34,Incurred!$A$22:$W$363,17,FALSE)="",0,VLOOKUP($A34,Incurred!$A$22:$W$363,17,FALSE))+AH34</f>
        <v>10351.82</v>
      </c>
      <c r="D34" s="3" t="str">
        <f>VLOOKUP($A34,Incurred!$A$22:$W$363,D$3,FALSE)</f>
        <v/>
      </c>
      <c r="E34" s="3" t="str">
        <f>VLOOKUP($A34,Incurred!$A$22:$W$363,E$3,FALSE)</f>
        <v/>
      </c>
      <c r="F34" s="3" t="str">
        <f>VLOOKUP($A34,Incurred!$A$22:$W$363,F$3,FALSE)</f>
        <v/>
      </c>
      <c r="G34" s="3" t="str">
        <f>VLOOKUP($A34,Incurred!$A$22:$W$363,G$3,FALSE)</f>
        <v/>
      </c>
      <c r="H34" s="3" t="str">
        <f>VLOOKUP($A34,Incurred!$A$22:$W$363,H$3,FALSE)</f>
        <v/>
      </c>
      <c r="I34" s="3" t="str">
        <f>VLOOKUP($A34,Incurred!$A$22:$W$363,I$3,FALSE)</f>
        <v/>
      </c>
      <c r="J34" s="3">
        <f t="shared" si="14"/>
        <v>10351.82</v>
      </c>
      <c r="K34"/>
      <c r="L34" s="3"/>
      <c r="M34" s="37">
        <f t="shared" si="15"/>
        <v>169999.99999999997</v>
      </c>
      <c r="N34" s="31">
        <f t="shared" si="21"/>
        <v>0</v>
      </c>
      <c r="O34" s="31">
        <f t="shared" si="21"/>
        <v>0</v>
      </c>
      <c r="P34" s="31">
        <f t="shared" si="21"/>
        <v>0</v>
      </c>
      <c r="Q34" s="31">
        <f t="shared" si="21"/>
        <v>0</v>
      </c>
      <c r="R34" s="31">
        <f t="shared" si="21"/>
        <v>0</v>
      </c>
      <c r="S34" s="31">
        <f t="shared" si="21"/>
        <v>0</v>
      </c>
      <c r="T34" s="31">
        <f t="shared" si="21"/>
        <v>0</v>
      </c>
      <c r="U34" s="31">
        <f t="shared" si="21"/>
        <v>1</v>
      </c>
      <c r="V34" s="31">
        <f t="shared" si="21"/>
        <v>0</v>
      </c>
      <c r="W34" s="31">
        <f t="shared" si="21"/>
        <v>0</v>
      </c>
      <c r="X34" s="31">
        <f t="shared" si="22"/>
        <v>0</v>
      </c>
      <c r="Y34" s="31">
        <f t="shared" si="22"/>
        <v>0</v>
      </c>
      <c r="Z34" s="31">
        <f t="shared" si="22"/>
        <v>0</v>
      </c>
      <c r="AA34" s="31">
        <f t="shared" si="22"/>
        <v>0</v>
      </c>
      <c r="AB34" s="31">
        <f t="shared" si="22"/>
        <v>0</v>
      </c>
      <c r="AC34" s="31">
        <f t="shared" si="22"/>
        <v>0</v>
      </c>
      <c r="AD34" s="31">
        <f t="shared" si="22"/>
        <v>0</v>
      </c>
      <c r="AE34" s="31">
        <f t="shared" si="22"/>
        <v>0</v>
      </c>
      <c r="AF34" s="31">
        <f t="shared" si="22"/>
        <v>0</v>
      </c>
      <c r="AG34" s="31">
        <f t="shared" si="18"/>
        <v>1</v>
      </c>
      <c r="AH34" s="73">
        <v>852.42</v>
      </c>
    </row>
    <row r="35" spans="1:36" s="1" customFormat="1" ht="12.75" customHeight="1" x14ac:dyDescent="0.25">
      <c r="A35" s="12" t="s">
        <v>221</v>
      </c>
      <c r="B35" s="13" t="s">
        <v>222</v>
      </c>
      <c r="C35" s="3">
        <f>IF(VLOOKUP($A35,Incurred!$A$22:$W$363,17,FALSE)="",0,VLOOKUP($A35,Incurred!$A$22:$W$363,17,FALSE))+AH35</f>
        <v>145338.79999999999</v>
      </c>
      <c r="D35" s="3" t="str">
        <f>VLOOKUP($A35,Incurred!$A$22:$W$363,D$3,FALSE)</f>
        <v/>
      </c>
      <c r="E35" s="3" t="str">
        <f>VLOOKUP($A35,Incurred!$A$22:$W$363,E$3,FALSE)</f>
        <v/>
      </c>
      <c r="F35" s="3" t="str">
        <f>VLOOKUP($A35,Incurred!$A$22:$W$363,F$3,FALSE)</f>
        <v/>
      </c>
      <c r="G35" s="3" t="str">
        <f>VLOOKUP($A35,Incurred!$A$22:$W$363,G$3,FALSE)</f>
        <v/>
      </c>
      <c r="H35" s="3" t="str">
        <f>VLOOKUP($A35,Incurred!$A$22:$W$363,H$3,FALSE)</f>
        <v/>
      </c>
      <c r="I35" s="3" t="str">
        <f>VLOOKUP($A35,Incurred!$A$22:$W$363,I$3,FALSE)</f>
        <v/>
      </c>
      <c r="J35" s="3">
        <f t="shared" si="14"/>
        <v>145338.79999999999</v>
      </c>
      <c r="K35"/>
      <c r="L35" s="3"/>
      <c r="M35" s="37">
        <f t="shared" si="15"/>
        <v>0</v>
      </c>
      <c r="N35" s="31">
        <f t="shared" si="21"/>
        <v>0</v>
      </c>
      <c r="O35" s="31">
        <f t="shared" si="21"/>
        <v>0</v>
      </c>
      <c r="P35" s="31">
        <f t="shared" si="21"/>
        <v>0</v>
      </c>
      <c r="Q35" s="31">
        <f t="shared" si="21"/>
        <v>1</v>
      </c>
      <c r="R35" s="31">
        <f t="shared" si="21"/>
        <v>0</v>
      </c>
      <c r="S35" s="31">
        <f t="shared" si="21"/>
        <v>0</v>
      </c>
      <c r="T35" s="31">
        <f t="shared" si="21"/>
        <v>0</v>
      </c>
      <c r="U35" s="31">
        <f t="shared" si="21"/>
        <v>0</v>
      </c>
      <c r="V35" s="31">
        <f t="shared" si="21"/>
        <v>0</v>
      </c>
      <c r="W35" s="31">
        <f t="shared" si="21"/>
        <v>0</v>
      </c>
      <c r="X35" s="31">
        <f t="shared" si="22"/>
        <v>0</v>
      </c>
      <c r="Y35" s="31">
        <f t="shared" si="22"/>
        <v>0</v>
      </c>
      <c r="Z35" s="31">
        <f t="shared" si="22"/>
        <v>0</v>
      </c>
      <c r="AA35" s="31">
        <f t="shared" si="22"/>
        <v>0</v>
      </c>
      <c r="AB35" s="31">
        <f t="shared" si="22"/>
        <v>0</v>
      </c>
      <c r="AC35" s="31">
        <f t="shared" si="22"/>
        <v>0</v>
      </c>
      <c r="AD35" s="31">
        <f t="shared" si="22"/>
        <v>0</v>
      </c>
      <c r="AE35" s="31">
        <f t="shared" si="22"/>
        <v>0</v>
      </c>
      <c r="AF35" s="31">
        <f t="shared" si="22"/>
        <v>0</v>
      </c>
      <c r="AG35" s="31">
        <f t="shared" si="18"/>
        <v>1</v>
      </c>
      <c r="AH35" s="73">
        <v>0</v>
      </c>
    </row>
    <row r="36" spans="1:36" s="1" customFormat="1" ht="12.75" customHeight="1" x14ac:dyDescent="0.25">
      <c r="A36" s="12" t="s">
        <v>245</v>
      </c>
      <c r="B36" s="13" t="s">
        <v>246</v>
      </c>
      <c r="C36" s="3">
        <f>IF(VLOOKUP($A36,Incurred!$A$22:$W$363,17,FALSE)="",0,VLOOKUP($A36,Incurred!$A$22:$W$363,17,FALSE))+AH36</f>
        <v>11294905.149999999</v>
      </c>
      <c r="D36" s="3">
        <f>VLOOKUP($A36,Incurred!$A$22:$W$363,D$3,FALSE)</f>
        <v>18180.897851940728</v>
      </c>
      <c r="E36" s="3" t="str">
        <f>VLOOKUP($A36,Incurred!$A$22:$W$363,E$3,FALSE)</f>
        <v/>
      </c>
      <c r="F36" s="3" t="str">
        <f>VLOOKUP($A36,Incurred!$A$22:$W$363,F$3,FALSE)</f>
        <v/>
      </c>
      <c r="G36" s="3" t="str">
        <f>VLOOKUP($A36,Incurred!$A$22:$W$363,G$3,FALSE)</f>
        <v/>
      </c>
      <c r="H36" s="3" t="str">
        <f>VLOOKUP($A36,Incurred!$A$22:$W$363,H$3,FALSE)</f>
        <v/>
      </c>
      <c r="I36" s="3" t="str">
        <f>VLOOKUP($A36,Incurred!$A$22:$W$363,I$3,FALSE)</f>
        <v/>
      </c>
      <c r="J36" s="3">
        <f t="shared" si="14"/>
        <v>11313086.047851939</v>
      </c>
      <c r="K36"/>
      <c r="L36" s="3"/>
      <c r="M36" s="37">
        <f t="shared" si="15"/>
        <v>0</v>
      </c>
      <c r="N36" s="31">
        <f t="shared" si="21"/>
        <v>0</v>
      </c>
      <c r="O36" s="31">
        <f t="shared" si="21"/>
        <v>0</v>
      </c>
      <c r="P36" s="31">
        <f t="shared" si="21"/>
        <v>0</v>
      </c>
      <c r="Q36" s="31">
        <f t="shared" si="21"/>
        <v>0</v>
      </c>
      <c r="R36" s="31">
        <f t="shared" si="21"/>
        <v>0</v>
      </c>
      <c r="S36" s="31">
        <f t="shared" si="21"/>
        <v>1</v>
      </c>
      <c r="T36" s="31">
        <f t="shared" si="21"/>
        <v>0</v>
      </c>
      <c r="U36" s="31">
        <f t="shared" si="21"/>
        <v>0</v>
      </c>
      <c r="V36" s="31">
        <f t="shared" si="21"/>
        <v>0</v>
      </c>
      <c r="W36" s="31">
        <f t="shared" si="21"/>
        <v>0</v>
      </c>
      <c r="X36" s="31">
        <f t="shared" si="22"/>
        <v>0</v>
      </c>
      <c r="Y36" s="31">
        <f t="shared" si="22"/>
        <v>0</v>
      </c>
      <c r="Z36" s="31">
        <f t="shared" si="22"/>
        <v>0</v>
      </c>
      <c r="AA36" s="31">
        <f t="shared" si="22"/>
        <v>0</v>
      </c>
      <c r="AB36" s="31">
        <f t="shared" si="22"/>
        <v>0</v>
      </c>
      <c r="AC36" s="31">
        <f t="shared" si="22"/>
        <v>0</v>
      </c>
      <c r="AD36" s="31">
        <f t="shared" si="22"/>
        <v>0</v>
      </c>
      <c r="AE36" s="31">
        <f t="shared" si="22"/>
        <v>0</v>
      </c>
      <c r="AF36" s="31">
        <f t="shared" si="22"/>
        <v>0</v>
      </c>
      <c r="AG36" s="31">
        <f t="shared" si="18"/>
        <v>1</v>
      </c>
      <c r="AH36" s="73">
        <v>4992954.55</v>
      </c>
    </row>
    <row r="37" spans="1:36" s="1" customFormat="1" ht="12.75" customHeight="1" x14ac:dyDescent="0.25">
      <c r="A37" s="12" t="s">
        <v>270</v>
      </c>
      <c r="B37" s="13" t="s">
        <v>271</v>
      </c>
      <c r="C37" s="3">
        <f>IF(VLOOKUP($A37,Incurred!$A$22:$W$363,17,FALSE)="",0,VLOOKUP($A37,Incurred!$A$22:$W$363,17,FALSE))+AH37</f>
        <v>429420.97</v>
      </c>
      <c r="D37" s="3" t="str">
        <f>VLOOKUP($A37,Incurred!$A$22:$W$363,D$3,FALSE)</f>
        <v/>
      </c>
      <c r="E37" s="3" t="str">
        <f>VLOOKUP($A37,Incurred!$A$22:$W$363,E$3,FALSE)</f>
        <v/>
      </c>
      <c r="F37" s="3" t="str">
        <f>VLOOKUP($A37,Incurred!$A$22:$W$363,F$3,FALSE)</f>
        <v/>
      </c>
      <c r="G37" s="3" t="str">
        <f>VLOOKUP($A37,Incurred!$A$22:$W$363,G$3,FALSE)</f>
        <v/>
      </c>
      <c r="H37" s="3" t="str">
        <f>VLOOKUP($A37,Incurred!$A$22:$W$363,H$3,FALSE)</f>
        <v/>
      </c>
      <c r="I37" s="3" t="str">
        <f>VLOOKUP($A37,Incurred!$A$22:$W$363,I$3,FALSE)</f>
        <v/>
      </c>
      <c r="J37" s="3">
        <f t="shared" si="14"/>
        <v>429420.97</v>
      </c>
      <c r="K37"/>
      <c r="L37" s="3"/>
      <c r="M37" s="37">
        <f t="shared" si="15"/>
        <v>2531002.0000000042</v>
      </c>
      <c r="N37" s="31">
        <f t="shared" si="21"/>
        <v>0</v>
      </c>
      <c r="O37" s="31">
        <f t="shared" si="21"/>
        <v>0</v>
      </c>
      <c r="P37" s="31">
        <f t="shared" si="21"/>
        <v>0</v>
      </c>
      <c r="Q37" s="31">
        <f t="shared" si="21"/>
        <v>1</v>
      </c>
      <c r="R37" s="31">
        <f t="shared" si="21"/>
        <v>0</v>
      </c>
      <c r="S37" s="31">
        <f t="shared" si="21"/>
        <v>0</v>
      </c>
      <c r="T37" s="31">
        <f t="shared" si="21"/>
        <v>0</v>
      </c>
      <c r="U37" s="31">
        <f t="shared" si="21"/>
        <v>0</v>
      </c>
      <c r="V37" s="31">
        <f t="shared" si="21"/>
        <v>0</v>
      </c>
      <c r="W37" s="31">
        <f t="shared" si="21"/>
        <v>0</v>
      </c>
      <c r="X37" s="31">
        <f t="shared" si="22"/>
        <v>0</v>
      </c>
      <c r="Y37" s="31">
        <f t="shared" si="22"/>
        <v>0</v>
      </c>
      <c r="Z37" s="31">
        <f t="shared" si="22"/>
        <v>0</v>
      </c>
      <c r="AA37" s="31">
        <f t="shared" si="22"/>
        <v>0</v>
      </c>
      <c r="AB37" s="31">
        <f t="shared" si="22"/>
        <v>0</v>
      </c>
      <c r="AC37" s="31">
        <f t="shared" si="22"/>
        <v>0</v>
      </c>
      <c r="AD37" s="31">
        <f t="shared" si="22"/>
        <v>0</v>
      </c>
      <c r="AE37" s="31">
        <f t="shared" si="22"/>
        <v>0</v>
      </c>
      <c r="AF37" s="31">
        <f t="shared" si="22"/>
        <v>0</v>
      </c>
      <c r="AG37" s="31">
        <f t="shared" ref="AG37" si="24">SUM(N37:AF37)</f>
        <v>1</v>
      </c>
      <c r="AH37" s="73">
        <v>0</v>
      </c>
    </row>
    <row r="38" spans="1:36" s="1" customFormat="1" ht="12.75" customHeight="1" x14ac:dyDescent="0.25">
      <c r="A38" s="12" t="s">
        <v>276</v>
      </c>
      <c r="B38" s="13" t="s">
        <v>2596</v>
      </c>
      <c r="C38" s="3">
        <f>IF(VLOOKUP($A38,Incurred!$A$22:$W$363,17,FALSE)="",0,VLOOKUP($A38,Incurred!$A$22:$W$363,17,FALSE))+AH38</f>
        <v>276166.64</v>
      </c>
      <c r="D38" s="3" t="str">
        <f>VLOOKUP($A38,Incurred!$A$22:$W$363,D$3,FALSE)</f>
        <v/>
      </c>
      <c r="E38" s="3" t="str">
        <f>VLOOKUP($A38,Incurred!$A$22:$W$363,E$3,FALSE)</f>
        <v/>
      </c>
      <c r="F38" s="3" t="str">
        <f>VLOOKUP($A38,Incurred!$A$22:$W$363,F$3,FALSE)</f>
        <v/>
      </c>
      <c r="G38" s="3" t="str">
        <f>VLOOKUP($A38,Incurred!$A$22:$W$363,G$3,FALSE)</f>
        <v/>
      </c>
      <c r="H38" s="3" t="str">
        <f>VLOOKUP($A38,Incurred!$A$22:$W$363,H$3,FALSE)</f>
        <v/>
      </c>
      <c r="I38" s="3" t="str">
        <f>VLOOKUP($A38,Incurred!$A$22:$W$363,I$3,FALSE)</f>
        <v/>
      </c>
      <c r="J38" s="3">
        <f t="shared" si="14"/>
        <v>276166.64</v>
      </c>
      <c r="K38"/>
      <c r="L38" s="3"/>
      <c r="M38" s="37">
        <f t="shared" si="15"/>
        <v>282925.18095531233</v>
      </c>
      <c r="N38" s="31">
        <f t="shared" si="21"/>
        <v>0.30232558139534887</v>
      </c>
      <c r="O38" s="31">
        <f t="shared" si="21"/>
        <v>0</v>
      </c>
      <c r="P38" s="31">
        <f t="shared" si="21"/>
        <v>0</v>
      </c>
      <c r="Q38" s="31">
        <f t="shared" si="21"/>
        <v>0</v>
      </c>
      <c r="R38" s="31">
        <f t="shared" si="21"/>
        <v>0</v>
      </c>
      <c r="S38" s="31">
        <f t="shared" si="21"/>
        <v>0</v>
      </c>
      <c r="T38" s="31">
        <f t="shared" si="21"/>
        <v>0</v>
      </c>
      <c r="U38" s="31">
        <f t="shared" si="21"/>
        <v>0.69767441860465107</v>
      </c>
      <c r="V38" s="31">
        <f t="shared" si="21"/>
        <v>0</v>
      </c>
      <c r="W38" s="31">
        <f t="shared" si="21"/>
        <v>0</v>
      </c>
      <c r="X38" s="31">
        <f t="shared" si="22"/>
        <v>0</v>
      </c>
      <c r="Y38" s="31">
        <f t="shared" si="22"/>
        <v>0</v>
      </c>
      <c r="Z38" s="31">
        <f t="shared" si="22"/>
        <v>0</v>
      </c>
      <c r="AA38" s="31">
        <f t="shared" si="22"/>
        <v>0</v>
      </c>
      <c r="AB38" s="31">
        <f t="shared" si="22"/>
        <v>0</v>
      </c>
      <c r="AC38" s="31">
        <f t="shared" si="22"/>
        <v>0</v>
      </c>
      <c r="AD38" s="31">
        <f t="shared" si="22"/>
        <v>0</v>
      </c>
      <c r="AE38" s="31">
        <f t="shared" si="22"/>
        <v>0</v>
      </c>
      <c r="AF38" s="31">
        <f t="shared" si="22"/>
        <v>0</v>
      </c>
      <c r="AG38" s="31">
        <f t="shared" si="18"/>
        <v>1</v>
      </c>
      <c r="AH38" s="73">
        <v>276166.64</v>
      </c>
    </row>
    <row r="39" spans="1:36" s="1" customFormat="1" ht="12.75" customHeight="1" x14ac:dyDescent="0.25">
      <c r="A39" s="12" t="s">
        <v>284</v>
      </c>
      <c r="B39" s="13" t="s">
        <v>2380</v>
      </c>
      <c r="C39" s="3">
        <f>IF(VLOOKUP($A39,Incurred!$A$22:$W$363,17,FALSE)="",0,VLOOKUP($A39,Incurred!$A$22:$W$363,17,FALSE))+AH39</f>
        <v>83668.19</v>
      </c>
      <c r="D39" s="3" t="str">
        <f>VLOOKUP($A39,Incurred!$A$22:$W$363,D$3,FALSE)</f>
        <v/>
      </c>
      <c r="E39" s="3" t="str">
        <f>VLOOKUP($A39,Incurred!$A$22:$W$363,E$3,FALSE)</f>
        <v/>
      </c>
      <c r="F39" s="3" t="str">
        <f>VLOOKUP($A39,Incurred!$A$22:$W$363,F$3,FALSE)</f>
        <v/>
      </c>
      <c r="G39" s="3" t="str">
        <f>VLOOKUP($A39,Incurred!$A$22:$W$363,G$3,FALSE)</f>
        <v/>
      </c>
      <c r="H39" s="3" t="str">
        <f>VLOOKUP($A39,Incurred!$A$22:$W$363,H$3,FALSE)</f>
        <v/>
      </c>
      <c r="I39" s="3" t="str">
        <f>VLOOKUP($A39,Incurred!$A$22:$W$363,I$3,FALSE)</f>
        <v/>
      </c>
      <c r="J39" s="3">
        <f t="shared" si="14"/>
        <v>83668.19</v>
      </c>
      <c r="K39"/>
      <c r="L39" s="3"/>
      <c r="M39" s="37">
        <f t="shared" si="15"/>
        <v>117737.95077301795</v>
      </c>
      <c r="N39" s="31">
        <f t="shared" ref="N39:W44" si="25">IF(OR(LEFT($A39,1)="E",LEFT($A39,1)="Z"),IF($M39=0,VLOOKUP(MID($A39,4,5),ProjectSplits,N$2,FALSE),IF(ISNA(VLOOKUP($A39,Estimates,N$1,FALSE)),VLOOKUP(MID($A39,4,5),ProjectSplits,N$2,FALSE),VLOOKUP($A39,Estimates,N$1,FALSE))),0)</f>
        <v>6.3829787234042548E-2</v>
      </c>
      <c r="O39" s="31">
        <f t="shared" si="25"/>
        <v>0</v>
      </c>
      <c r="P39" s="31">
        <f t="shared" si="25"/>
        <v>0</v>
      </c>
      <c r="Q39" s="31">
        <f t="shared" si="25"/>
        <v>0</v>
      </c>
      <c r="R39" s="31">
        <f t="shared" si="25"/>
        <v>0</v>
      </c>
      <c r="S39" s="31">
        <f t="shared" si="25"/>
        <v>0</v>
      </c>
      <c r="T39" s="31">
        <f t="shared" si="25"/>
        <v>0</v>
      </c>
      <c r="U39" s="31">
        <f t="shared" si="25"/>
        <v>0.93617021276595747</v>
      </c>
      <c r="V39" s="31">
        <f t="shared" si="25"/>
        <v>0</v>
      </c>
      <c r="W39" s="31">
        <f t="shared" si="25"/>
        <v>0</v>
      </c>
      <c r="X39" s="31">
        <f t="shared" ref="X39:AF44" si="26">IF(OR(LEFT($A39,1)="E",LEFT($A39,1)="Z"),IF($M39=0,VLOOKUP(MID($A39,4,5),ProjectSplits,X$2,FALSE),IF(ISNA(VLOOKUP($A39,Estimates,X$1,FALSE)),VLOOKUP(MID($A39,4,5),ProjectSplits,X$2,FALSE),VLOOKUP($A39,Estimates,X$1,FALSE))),0)</f>
        <v>0</v>
      </c>
      <c r="Y39" s="31">
        <f t="shared" si="26"/>
        <v>0</v>
      </c>
      <c r="Z39" s="31">
        <f t="shared" si="26"/>
        <v>0</v>
      </c>
      <c r="AA39" s="31">
        <f t="shared" si="26"/>
        <v>0</v>
      </c>
      <c r="AB39" s="31">
        <f t="shared" si="26"/>
        <v>0</v>
      </c>
      <c r="AC39" s="31">
        <f t="shared" si="26"/>
        <v>0</v>
      </c>
      <c r="AD39" s="31">
        <f t="shared" si="26"/>
        <v>0</v>
      </c>
      <c r="AE39" s="31">
        <f t="shared" si="26"/>
        <v>0</v>
      </c>
      <c r="AF39" s="31">
        <f t="shared" si="26"/>
        <v>0</v>
      </c>
      <c r="AG39" s="31">
        <f t="shared" si="18"/>
        <v>1</v>
      </c>
      <c r="AH39" s="73">
        <v>83668.19</v>
      </c>
    </row>
    <row r="40" spans="1:36" s="1" customFormat="1" ht="12.75" customHeight="1" x14ac:dyDescent="0.25">
      <c r="A40" s="12" t="s">
        <v>304</v>
      </c>
      <c r="B40" s="13" t="s">
        <v>305</v>
      </c>
      <c r="C40" s="3">
        <f>IF(VLOOKUP($A40,Incurred!$A$22:$W$363,17,FALSE)="",0,VLOOKUP($A40,Incurred!$A$22:$W$363,17,FALSE))+AH40</f>
        <v>1116.27</v>
      </c>
      <c r="D40" s="3" t="str">
        <f>VLOOKUP($A40,Incurred!$A$22:$W$363,D$3,FALSE)</f>
        <v/>
      </c>
      <c r="E40" s="3" t="str">
        <f>VLOOKUP($A40,Incurred!$A$22:$W$363,E$3,FALSE)</f>
        <v/>
      </c>
      <c r="F40" s="3" t="str">
        <f>VLOOKUP($A40,Incurred!$A$22:$W$363,F$3,FALSE)</f>
        <v/>
      </c>
      <c r="G40" s="3" t="str">
        <f>VLOOKUP($A40,Incurred!$A$22:$W$363,G$3,FALSE)</f>
        <v/>
      </c>
      <c r="H40" s="3" t="str">
        <f>VLOOKUP($A40,Incurred!$A$22:$W$363,H$3,FALSE)</f>
        <v/>
      </c>
      <c r="I40" s="3" t="str">
        <f>VLOOKUP($A40,Incurred!$A$22:$W$363,I$3,FALSE)</f>
        <v/>
      </c>
      <c r="J40" s="3">
        <f t="shared" si="14"/>
        <v>1116.27</v>
      </c>
      <c r="K40"/>
      <c r="L40" s="3"/>
      <c r="M40" s="37">
        <f t="shared" si="15"/>
        <v>0</v>
      </c>
      <c r="N40" s="31">
        <f t="shared" si="25"/>
        <v>0</v>
      </c>
      <c r="O40" s="31">
        <f t="shared" si="25"/>
        <v>0</v>
      </c>
      <c r="P40" s="31">
        <f t="shared" si="25"/>
        <v>0</v>
      </c>
      <c r="Q40" s="31">
        <f t="shared" si="25"/>
        <v>0</v>
      </c>
      <c r="R40" s="31">
        <f t="shared" si="25"/>
        <v>0</v>
      </c>
      <c r="S40" s="31">
        <f t="shared" si="25"/>
        <v>0</v>
      </c>
      <c r="T40" s="31">
        <f t="shared" si="25"/>
        <v>0</v>
      </c>
      <c r="U40" s="31">
        <f t="shared" si="25"/>
        <v>0</v>
      </c>
      <c r="V40" s="31">
        <f t="shared" si="25"/>
        <v>0</v>
      </c>
      <c r="W40" s="31">
        <f t="shared" si="25"/>
        <v>7.6499994957252668E-2</v>
      </c>
      <c r="X40" s="31">
        <f t="shared" si="26"/>
        <v>0</v>
      </c>
      <c r="Y40" s="31">
        <f t="shared" si="26"/>
        <v>0</v>
      </c>
      <c r="Z40" s="31">
        <f t="shared" si="26"/>
        <v>0</v>
      </c>
      <c r="AA40" s="31">
        <f t="shared" si="26"/>
        <v>0</v>
      </c>
      <c r="AB40" s="31">
        <f t="shared" si="26"/>
        <v>3.7800005213021896E-2</v>
      </c>
      <c r="AC40" s="31">
        <f t="shared" si="26"/>
        <v>0.88569999982972536</v>
      </c>
      <c r="AD40" s="31">
        <f t="shared" si="26"/>
        <v>0</v>
      </c>
      <c r="AE40" s="31">
        <f t="shared" si="26"/>
        <v>0</v>
      </c>
      <c r="AF40" s="31">
        <f t="shared" si="26"/>
        <v>0</v>
      </c>
      <c r="AG40" s="31">
        <f t="shared" ref="AG40" si="27">SUM(N40:AF40)</f>
        <v>0.99999999999999989</v>
      </c>
      <c r="AH40" s="73">
        <v>0</v>
      </c>
    </row>
    <row r="41" spans="1:36" s="1" customFormat="1" ht="12.75" customHeight="1" x14ac:dyDescent="0.25">
      <c r="A41" s="12" t="s">
        <v>326</v>
      </c>
      <c r="B41" s="13" t="s">
        <v>2363</v>
      </c>
      <c r="C41" s="3">
        <f>IF(VLOOKUP($A41,Incurred!$A$22:$W$363,17,FALSE)="",0,VLOOKUP($A41,Incurred!$A$22:$W$363,17,FALSE))+AH41</f>
        <v>9399.75</v>
      </c>
      <c r="D41" s="3"/>
      <c r="E41" s="3"/>
      <c r="F41" s="3"/>
      <c r="G41" s="3"/>
      <c r="H41" s="3"/>
      <c r="I41" s="3"/>
      <c r="J41" s="3">
        <f t="shared" si="14"/>
        <v>9399.75</v>
      </c>
      <c r="K41"/>
      <c r="L41" s="3"/>
      <c r="M41" s="37">
        <f t="shared" si="15"/>
        <v>4201684.377614148</v>
      </c>
      <c r="N41" s="31">
        <f t="shared" si="25"/>
        <v>0</v>
      </c>
      <c r="O41" s="31">
        <f t="shared" si="25"/>
        <v>0.477964238215628</v>
      </c>
      <c r="P41" s="31">
        <f t="shared" si="25"/>
        <v>0.44244890326065239</v>
      </c>
      <c r="Q41" s="31">
        <f t="shared" si="25"/>
        <v>0</v>
      </c>
      <c r="R41" s="31">
        <f t="shared" si="25"/>
        <v>0</v>
      </c>
      <c r="S41" s="31">
        <f t="shared" si="25"/>
        <v>0</v>
      </c>
      <c r="T41" s="31">
        <f t="shared" si="25"/>
        <v>0</v>
      </c>
      <c r="U41" s="31">
        <f t="shared" si="25"/>
        <v>0</v>
      </c>
      <c r="V41" s="31">
        <f t="shared" si="25"/>
        <v>0</v>
      </c>
      <c r="W41" s="31">
        <f t="shared" si="25"/>
        <v>0</v>
      </c>
      <c r="X41" s="31">
        <f t="shared" si="26"/>
        <v>7.9586858523719647E-2</v>
      </c>
      <c r="Y41" s="31">
        <f t="shared" si="26"/>
        <v>0</v>
      </c>
      <c r="Z41" s="31">
        <f t="shared" si="26"/>
        <v>0</v>
      </c>
      <c r="AA41" s="31">
        <f t="shared" si="26"/>
        <v>0</v>
      </c>
      <c r="AB41" s="31">
        <f t="shared" si="26"/>
        <v>0</v>
      </c>
      <c r="AC41" s="31">
        <f t="shared" si="26"/>
        <v>0</v>
      </c>
      <c r="AD41" s="31">
        <f t="shared" si="26"/>
        <v>0</v>
      </c>
      <c r="AE41" s="31">
        <f t="shared" si="26"/>
        <v>0</v>
      </c>
      <c r="AF41" s="31">
        <f t="shared" si="26"/>
        <v>0</v>
      </c>
      <c r="AG41" s="31">
        <f t="shared" ref="AG41" si="28">SUM(N41:AF41)</f>
        <v>1</v>
      </c>
      <c r="AH41" s="73">
        <v>0</v>
      </c>
    </row>
    <row r="42" spans="1:36" s="1" customFormat="1" ht="12.75" customHeight="1" x14ac:dyDescent="0.25">
      <c r="A42" s="12" t="s">
        <v>334</v>
      </c>
      <c r="B42" s="13" t="s">
        <v>335</v>
      </c>
      <c r="C42" s="3">
        <f>IF(VLOOKUP($A42,Incurred!$A$22:$W$363,17,FALSE)="",0,VLOOKUP($A42,Incurred!$A$22:$W$363,17,FALSE))+AH42</f>
        <v>15513.92</v>
      </c>
      <c r="D42" s="3" t="str">
        <f>VLOOKUP($A42,Incurred!$A$22:$W$363,D$3,FALSE)</f>
        <v/>
      </c>
      <c r="E42" s="3" t="str">
        <f>VLOOKUP($A42,Incurred!$A$22:$W$363,E$3,FALSE)</f>
        <v/>
      </c>
      <c r="F42" s="3" t="str">
        <f>VLOOKUP($A42,Incurred!$A$22:$W$363,F$3,FALSE)</f>
        <v/>
      </c>
      <c r="G42" s="3" t="str">
        <f>VLOOKUP($A42,Incurred!$A$22:$W$363,G$3,FALSE)</f>
        <v/>
      </c>
      <c r="H42" s="3" t="str">
        <f>VLOOKUP($A42,Incurred!$A$22:$W$363,H$3,FALSE)</f>
        <v/>
      </c>
      <c r="I42" s="3" t="str">
        <f>VLOOKUP($A42,Incurred!$A$22:$W$363,I$3,FALSE)</f>
        <v/>
      </c>
      <c r="J42" s="3">
        <f t="shared" si="14"/>
        <v>15513.92</v>
      </c>
      <c r="K42"/>
      <c r="L42" s="3"/>
      <c r="M42" s="37">
        <f t="shared" si="15"/>
        <v>0</v>
      </c>
      <c r="N42" s="31">
        <f t="shared" si="25"/>
        <v>0</v>
      </c>
      <c r="O42" s="31">
        <f t="shared" si="25"/>
        <v>0</v>
      </c>
      <c r="P42" s="31">
        <f t="shared" si="25"/>
        <v>0</v>
      </c>
      <c r="Q42" s="31">
        <f t="shared" si="25"/>
        <v>0</v>
      </c>
      <c r="R42" s="31">
        <f t="shared" si="25"/>
        <v>0</v>
      </c>
      <c r="S42" s="31">
        <f t="shared" si="25"/>
        <v>0</v>
      </c>
      <c r="T42" s="31">
        <f t="shared" si="25"/>
        <v>0</v>
      </c>
      <c r="U42" s="31">
        <f t="shared" si="25"/>
        <v>0</v>
      </c>
      <c r="V42" s="31">
        <f t="shared" si="25"/>
        <v>0</v>
      </c>
      <c r="W42" s="31">
        <f t="shared" si="25"/>
        <v>0</v>
      </c>
      <c r="X42" s="31">
        <f t="shared" si="26"/>
        <v>0</v>
      </c>
      <c r="Y42" s="31">
        <f t="shared" si="26"/>
        <v>0</v>
      </c>
      <c r="Z42" s="31">
        <f t="shared" si="26"/>
        <v>0</v>
      </c>
      <c r="AA42" s="31">
        <f t="shared" si="26"/>
        <v>0</v>
      </c>
      <c r="AB42" s="31">
        <f t="shared" si="26"/>
        <v>1</v>
      </c>
      <c r="AC42" s="31">
        <f t="shared" si="26"/>
        <v>0</v>
      </c>
      <c r="AD42" s="31">
        <f t="shared" si="26"/>
        <v>0</v>
      </c>
      <c r="AE42" s="31">
        <f t="shared" si="26"/>
        <v>0</v>
      </c>
      <c r="AF42" s="31">
        <f t="shared" si="26"/>
        <v>0</v>
      </c>
      <c r="AG42" s="31">
        <f t="shared" si="18"/>
        <v>1</v>
      </c>
      <c r="AH42" s="73">
        <v>0</v>
      </c>
    </row>
    <row r="43" spans="1:36" x14ac:dyDescent="0.25">
      <c r="A43" s="12" t="s">
        <v>295</v>
      </c>
      <c r="B43" s="13" t="s">
        <v>296</v>
      </c>
      <c r="C43" s="3">
        <f>IF(VLOOKUP($A43,Incurred!$A$22:$W$363,17,FALSE)="",0,VLOOKUP($A43,Incurred!$A$22:$W$363,17,FALSE))+AH43</f>
        <v>1413588.35</v>
      </c>
      <c r="D43" s="3">
        <f>VLOOKUP($A43,Incurred!$A$22:$W$363,D$3,FALSE)</f>
        <v>9648.3464055929835</v>
      </c>
      <c r="E43" s="3" t="str">
        <f>VLOOKUP($A43,Incurred!$A$22:$W$363,E$3,FALSE)</f>
        <v/>
      </c>
      <c r="F43" s="3" t="str">
        <f>VLOOKUP($A43,Incurred!$A$22:$W$363,F$3,FALSE)</f>
        <v/>
      </c>
      <c r="G43" s="3" t="str">
        <f>VLOOKUP($A43,Incurred!$A$22:$W$363,G$3,FALSE)</f>
        <v/>
      </c>
      <c r="H43" s="3" t="str">
        <f>VLOOKUP($A43,Incurred!$A$22:$W$363,H$3,FALSE)</f>
        <v/>
      </c>
      <c r="I43" s="3" t="str">
        <f>VLOOKUP($A43,Incurred!$A$22:$W$363,I$3,FALSE)</f>
        <v/>
      </c>
      <c r="J43" s="3">
        <f t="shared" si="14"/>
        <v>1423236.6964055931</v>
      </c>
      <c r="M43" s="37">
        <f t="shared" si="15"/>
        <v>9040074</v>
      </c>
      <c r="N43" s="31">
        <f t="shared" si="25"/>
        <v>0</v>
      </c>
      <c r="O43" s="31">
        <f t="shared" si="25"/>
        <v>0</v>
      </c>
      <c r="P43" s="31">
        <f t="shared" si="25"/>
        <v>0</v>
      </c>
      <c r="Q43" s="31">
        <f t="shared" si="25"/>
        <v>0</v>
      </c>
      <c r="R43" s="31">
        <f t="shared" si="25"/>
        <v>0.97373609774783831</v>
      </c>
      <c r="S43" s="31">
        <f t="shared" si="25"/>
        <v>0</v>
      </c>
      <c r="T43" s="31">
        <f t="shared" si="25"/>
        <v>0</v>
      </c>
      <c r="U43" s="31">
        <f t="shared" si="25"/>
        <v>0</v>
      </c>
      <c r="V43" s="31">
        <f t="shared" si="25"/>
        <v>0</v>
      </c>
      <c r="W43" s="31">
        <f t="shared" si="25"/>
        <v>0</v>
      </c>
      <c r="X43" s="31">
        <f t="shared" si="26"/>
        <v>0</v>
      </c>
      <c r="Y43" s="31">
        <f t="shared" si="26"/>
        <v>0</v>
      </c>
      <c r="Z43" s="31">
        <f t="shared" si="26"/>
        <v>0</v>
      </c>
      <c r="AA43" s="31">
        <f t="shared" si="26"/>
        <v>0</v>
      </c>
      <c r="AB43" s="31">
        <f t="shared" si="26"/>
        <v>0</v>
      </c>
      <c r="AC43" s="31">
        <f t="shared" si="26"/>
        <v>0</v>
      </c>
      <c r="AD43" s="31">
        <f t="shared" si="26"/>
        <v>2.6263902252161648E-2</v>
      </c>
      <c r="AE43" s="31">
        <f t="shared" si="26"/>
        <v>0</v>
      </c>
      <c r="AF43" s="31">
        <f t="shared" si="26"/>
        <v>0</v>
      </c>
      <c r="AG43" s="31">
        <f t="shared" si="18"/>
        <v>1</v>
      </c>
      <c r="AH43" s="73">
        <v>841235.26</v>
      </c>
      <c r="AI43" s="1"/>
      <c r="AJ43" s="1"/>
    </row>
    <row r="44" spans="1:36" x14ac:dyDescent="0.25">
      <c r="A44" s="442" t="s">
        <v>588</v>
      </c>
      <c r="B44" s="13" t="s">
        <v>2392</v>
      </c>
      <c r="C44" s="3">
        <f>IF(VLOOKUP($A44,Incurred!$A$22:$W$363,17,FALSE)="",0,VLOOKUP($A44,Incurred!$A$22:$W$363,17,FALSE))+AH44</f>
        <v>163.02000000000001</v>
      </c>
      <c r="D44" s="3" t="str">
        <f>VLOOKUP($A44,Incurred!$A$22:$W$363,D$3,FALSE)</f>
        <v/>
      </c>
      <c r="E44" s="3" t="str">
        <f>VLOOKUP($A44,Incurred!$A$22:$W$363,E$3,FALSE)</f>
        <v/>
      </c>
      <c r="F44" s="3" t="str">
        <f>VLOOKUP($A44,Incurred!$A$22:$W$363,F$3,FALSE)</f>
        <v/>
      </c>
      <c r="G44" s="3" t="str">
        <f>VLOOKUP($A44,Incurred!$A$22:$W$363,G$3,FALSE)</f>
        <v/>
      </c>
      <c r="H44" s="3" t="str">
        <f>VLOOKUP($A44,Incurred!$A$22:$W$363,H$3,FALSE)</f>
        <v/>
      </c>
      <c r="I44" s="3" t="str">
        <f>VLOOKUP($A44,Incurred!$A$22:$W$363,I$3,FALSE)</f>
        <v/>
      </c>
      <c r="J44" s="3">
        <f t="shared" si="14"/>
        <v>163.02000000000001</v>
      </c>
      <c r="M44" s="37">
        <f t="shared" si="15"/>
        <v>0</v>
      </c>
      <c r="N44" s="31">
        <f t="shared" si="25"/>
        <v>0.31017773461918163</v>
      </c>
      <c r="O44" s="31">
        <f t="shared" si="25"/>
        <v>0</v>
      </c>
      <c r="P44" s="31">
        <f t="shared" si="25"/>
        <v>0</v>
      </c>
      <c r="Q44" s="31">
        <f t="shared" si="25"/>
        <v>0.13864189454261708</v>
      </c>
      <c r="R44" s="31">
        <f t="shared" si="25"/>
        <v>0</v>
      </c>
      <c r="S44" s="31">
        <f t="shared" si="25"/>
        <v>0</v>
      </c>
      <c r="T44" s="31">
        <f t="shared" si="25"/>
        <v>0</v>
      </c>
      <c r="U44" s="31">
        <f t="shared" si="25"/>
        <v>0.55118037083820126</v>
      </c>
      <c r="V44" s="31">
        <f t="shared" si="25"/>
        <v>0</v>
      </c>
      <c r="W44" s="31">
        <f t="shared" si="25"/>
        <v>0</v>
      </c>
      <c r="X44" s="31">
        <f t="shared" si="26"/>
        <v>0</v>
      </c>
      <c r="Y44" s="31">
        <f t="shared" si="26"/>
        <v>0</v>
      </c>
      <c r="Z44" s="31">
        <f t="shared" si="26"/>
        <v>0</v>
      </c>
      <c r="AA44" s="31">
        <f t="shared" si="26"/>
        <v>0</v>
      </c>
      <c r="AB44" s="31">
        <f t="shared" si="26"/>
        <v>0</v>
      </c>
      <c r="AC44" s="31">
        <f t="shared" si="26"/>
        <v>0</v>
      </c>
      <c r="AD44" s="31">
        <f t="shared" si="26"/>
        <v>0</v>
      </c>
      <c r="AE44" s="31">
        <f t="shared" si="26"/>
        <v>0</v>
      </c>
      <c r="AF44" s="31">
        <f t="shared" si="26"/>
        <v>0</v>
      </c>
      <c r="AG44" s="31">
        <f t="shared" ref="AG44" si="29">SUM(N44:AF44)</f>
        <v>1</v>
      </c>
      <c r="AH44" s="73">
        <v>0</v>
      </c>
      <c r="AI44" s="1"/>
      <c r="AJ44" s="1"/>
    </row>
    <row r="45" spans="1:36" x14ac:dyDescent="0.25">
      <c r="C45" s="3">
        <f>SUM(C19:C44)</f>
        <v>16887286.829999998</v>
      </c>
      <c r="D45" s="3">
        <f t="shared" ref="D45:J45" si="30">SUM(D19:D44)</f>
        <v>925522.79618567019</v>
      </c>
      <c r="E45" s="3">
        <f t="shared" si="30"/>
        <v>0</v>
      </c>
      <c r="F45" s="3">
        <f t="shared" si="30"/>
        <v>0</v>
      </c>
      <c r="G45" s="3">
        <f t="shared" si="30"/>
        <v>0</v>
      </c>
      <c r="H45" s="3">
        <f t="shared" si="30"/>
        <v>0</v>
      </c>
      <c r="I45" s="3">
        <f t="shared" si="30"/>
        <v>0</v>
      </c>
      <c r="J45" s="3">
        <f t="shared" si="30"/>
        <v>17812809.626185667</v>
      </c>
    </row>
  </sheetData>
  <pageMargins left="0.48" right="0.17" top="0.75" bottom="0.75" header="0.3" footer="0.3"/>
  <pageSetup paperSize="9" orientation="portrait" r:id="rId1"/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0">
    <tabColor rgb="FF00B050"/>
  </sheetPr>
  <dimension ref="A1:CM862"/>
  <sheetViews>
    <sheetView showGridLines="0" zoomScale="80" zoomScaleNormal="80" workbookViewId="0">
      <pane xSplit="3" ySplit="1" topLeftCell="D11" activePane="bottomRight" state="frozen"/>
      <selection pane="topRight" activeCell="D1" sqref="D1"/>
      <selection pane="bottomLeft" activeCell="A2" sqref="A2"/>
      <selection pane="bottomRight" activeCell="D11" sqref="D11"/>
    </sheetView>
  </sheetViews>
  <sheetFormatPr defaultColWidth="9.140625" defaultRowHeight="12.75" outlineLevelRow="1" outlineLevelCol="1" x14ac:dyDescent="0.2"/>
  <cols>
    <col min="1" max="1" width="9.42578125" style="41" bestFit="1" customWidth="1"/>
    <col min="2" max="2" width="7.85546875" style="41" hidden="1" customWidth="1" outlineLevel="1"/>
    <col min="3" max="3" width="68.28515625" style="41" customWidth="1" collapsed="1"/>
    <col min="4" max="4" width="18.85546875" style="41" customWidth="1"/>
    <col min="5" max="6" width="10.42578125" style="41" hidden="1" customWidth="1" outlineLevel="1"/>
    <col min="7" max="9" width="13.7109375" style="41" hidden="1" customWidth="1" outlineLevel="1"/>
    <col min="10" max="10" width="13.7109375" style="41" customWidth="1" collapsed="1"/>
    <col min="11" max="11" width="13.7109375" style="41" hidden="1" customWidth="1" outlineLevel="1"/>
    <col min="12" max="12" width="13.7109375" style="41" customWidth="1" collapsed="1"/>
    <col min="13" max="13" width="13.7109375" style="41" hidden="1" customWidth="1" outlineLevel="1"/>
    <col min="14" max="14" width="13.7109375" style="41" customWidth="1" collapsed="1"/>
    <col min="15" max="23" width="13.7109375" style="41" hidden="1" customWidth="1" outlineLevel="1"/>
    <col min="24" max="24" width="13.7109375" style="41" customWidth="1" collapsed="1"/>
    <col min="25" max="27" width="13.7109375" style="41" customWidth="1"/>
    <col min="28" max="28" width="15.140625" style="41" hidden="1" customWidth="1" outlineLevel="1"/>
    <col min="29" max="29" width="13.7109375" style="41" hidden="1" customWidth="1" outlineLevel="1"/>
    <col min="30" max="30" width="12.28515625" style="41" bestFit="1" customWidth="1" collapsed="1"/>
    <col min="31" max="31" width="12.42578125" style="41" bestFit="1" customWidth="1"/>
    <col min="32" max="32" width="12.28515625" style="41" bestFit="1" customWidth="1"/>
    <col min="33" max="33" width="12.5703125" style="41" bestFit="1" customWidth="1"/>
    <col min="34" max="34" width="11.42578125" style="41" customWidth="1"/>
    <col min="35" max="38" width="12.28515625" style="41" bestFit="1" customWidth="1"/>
    <col min="39" max="39" width="11.42578125" style="41" customWidth="1"/>
    <col min="40" max="51" width="12.28515625" style="41" bestFit="1" customWidth="1"/>
    <col min="52" max="52" width="14.42578125" style="41" bestFit="1" customWidth="1"/>
    <col min="53" max="53" width="12.28515625" style="41" bestFit="1" customWidth="1"/>
    <col min="54" max="54" width="11.42578125" style="41" hidden="1" customWidth="1" outlineLevel="1"/>
    <col min="55" max="55" width="10.28515625" style="41" hidden="1" customWidth="1" outlineLevel="1"/>
    <col min="56" max="56" width="11.42578125" style="41" hidden="1" customWidth="1" outlineLevel="1"/>
    <col min="57" max="57" width="8.7109375" style="41" hidden="1" customWidth="1" outlineLevel="1"/>
    <col min="58" max="58" width="10.28515625" style="41" hidden="1" customWidth="1" outlineLevel="1"/>
    <col min="59" max="59" width="12.42578125" style="41" hidden="1" customWidth="1" outlineLevel="1"/>
    <col min="60" max="60" width="10.28515625" style="41" hidden="1" customWidth="1" outlineLevel="1"/>
    <col min="61" max="61" width="8.7109375" style="41" hidden="1" customWidth="1" outlineLevel="1"/>
    <col min="62" max="65" width="10.28515625" style="41" hidden="1" customWidth="1" outlineLevel="1"/>
    <col min="66" max="66" width="11.42578125" style="41" hidden="1" customWidth="1" outlineLevel="1"/>
    <col min="67" max="67" width="12.42578125" style="41" hidden="1" customWidth="1" outlineLevel="1"/>
    <col min="68" max="68" width="11.42578125" style="41" hidden="1" customWidth="1" outlineLevel="1"/>
    <col min="69" max="69" width="10.28515625" style="41" hidden="1" customWidth="1" outlineLevel="1"/>
    <col min="70" max="70" width="12.42578125" style="41" hidden="1" customWidth="1" outlineLevel="1"/>
    <col min="71" max="71" width="18.5703125" style="41" bestFit="1" customWidth="1" collapsed="1"/>
    <col min="72" max="91" width="12.5703125" style="41" customWidth="1"/>
    <col min="92" max="16384" width="9.140625" style="41"/>
  </cols>
  <sheetData>
    <row r="1" spans="1:90" ht="25.5" x14ac:dyDescent="0.2">
      <c r="A1" s="135"/>
      <c r="B1" s="136" t="s">
        <v>2780</v>
      </c>
      <c r="C1" s="768" t="s">
        <v>1000</v>
      </c>
      <c r="D1" s="769"/>
      <c r="E1" s="768" t="s">
        <v>999</v>
      </c>
      <c r="F1" s="769"/>
      <c r="G1" s="492" t="s">
        <v>998</v>
      </c>
      <c r="H1" s="492" t="s">
        <v>997</v>
      </c>
      <c r="I1" s="492" t="s">
        <v>996</v>
      </c>
      <c r="J1" s="492" t="s">
        <v>995</v>
      </c>
      <c r="K1" s="492" t="s">
        <v>994</v>
      </c>
      <c r="L1" s="492" t="s">
        <v>993</v>
      </c>
      <c r="M1" s="492" t="s">
        <v>992</v>
      </c>
      <c r="N1" s="492" t="s">
        <v>991</v>
      </c>
      <c r="O1" s="492" t="s">
        <v>990</v>
      </c>
      <c r="P1" s="492" t="s">
        <v>24</v>
      </c>
      <c r="Q1" s="492" t="s">
        <v>989</v>
      </c>
      <c r="R1" s="492" t="s">
        <v>988</v>
      </c>
      <c r="S1" s="492" t="s">
        <v>987</v>
      </c>
      <c r="T1" s="492" t="s">
        <v>986</v>
      </c>
      <c r="U1" s="492" t="s">
        <v>985</v>
      </c>
      <c r="V1" s="492" t="s">
        <v>984</v>
      </c>
      <c r="W1" s="492" t="s">
        <v>983</v>
      </c>
      <c r="X1" s="492" t="s">
        <v>982</v>
      </c>
      <c r="Y1" s="492" t="s">
        <v>981</v>
      </c>
      <c r="Z1" s="492" t="s">
        <v>980</v>
      </c>
      <c r="AA1" s="492" t="s">
        <v>979</v>
      </c>
      <c r="AB1" s="492" t="s">
        <v>978</v>
      </c>
      <c r="AC1" s="492" t="s">
        <v>977</v>
      </c>
      <c r="AD1" s="492">
        <v>10000</v>
      </c>
      <c r="AE1" s="492">
        <v>10001</v>
      </c>
      <c r="AF1" s="492">
        <v>10002</v>
      </c>
      <c r="AG1" s="492">
        <v>10003</v>
      </c>
      <c r="AH1" s="492" t="s">
        <v>1051</v>
      </c>
      <c r="AI1" s="492">
        <v>10005</v>
      </c>
      <c r="AJ1" s="492">
        <v>10013</v>
      </c>
      <c r="AK1" s="492">
        <v>10014</v>
      </c>
      <c r="AL1" s="492">
        <v>10015</v>
      </c>
      <c r="AM1" s="492">
        <v>10020</v>
      </c>
      <c r="AN1" s="492">
        <v>10100</v>
      </c>
      <c r="AO1" s="492">
        <v>10101</v>
      </c>
      <c r="AP1" s="492">
        <v>10103</v>
      </c>
      <c r="AQ1" s="492">
        <v>10200</v>
      </c>
      <c r="AR1" s="492">
        <v>10201</v>
      </c>
      <c r="AS1" s="492">
        <v>20000</v>
      </c>
      <c r="AT1" s="492">
        <v>20001</v>
      </c>
      <c r="AU1" s="492">
        <v>20002</v>
      </c>
      <c r="AV1" s="492">
        <v>30004</v>
      </c>
      <c r="AW1" s="492">
        <v>30005</v>
      </c>
      <c r="AX1" s="492">
        <v>30200</v>
      </c>
      <c r="AY1" s="492">
        <v>30201</v>
      </c>
      <c r="AZ1" s="492">
        <v>30300</v>
      </c>
      <c r="BA1" s="492">
        <v>30400</v>
      </c>
      <c r="BB1" s="492">
        <v>90001</v>
      </c>
      <c r="BC1" s="492">
        <v>90002</v>
      </c>
      <c r="BD1" s="492">
        <v>90003</v>
      </c>
      <c r="BE1" s="492">
        <v>90004</v>
      </c>
      <c r="BF1" s="492">
        <v>90005</v>
      </c>
      <c r="BG1" s="492">
        <v>90006</v>
      </c>
      <c r="BH1" s="492">
        <v>90007</v>
      </c>
      <c r="BI1" s="492">
        <v>90008</v>
      </c>
      <c r="BJ1" s="492">
        <v>90009</v>
      </c>
      <c r="BK1" s="492">
        <v>90010</v>
      </c>
      <c r="BL1" s="492">
        <v>90011</v>
      </c>
      <c r="BM1" s="492">
        <v>90012</v>
      </c>
      <c r="BN1" s="492">
        <v>90013</v>
      </c>
      <c r="BO1" s="492">
        <v>90014</v>
      </c>
      <c r="BP1" s="492">
        <v>90015</v>
      </c>
      <c r="BQ1" s="492">
        <v>90016</v>
      </c>
      <c r="BR1" s="492" t="s">
        <v>639</v>
      </c>
    </row>
    <row r="2" spans="1:90" ht="23.25" hidden="1" customHeight="1" outlineLevel="1" x14ac:dyDescent="0.2">
      <c r="B2" s="137" t="s">
        <v>1011</v>
      </c>
      <c r="C2" s="138"/>
      <c r="D2" s="138"/>
      <c r="E2" s="138"/>
    </row>
    <row r="3" spans="1:90" ht="5.0999999999999996" hidden="1" customHeight="1" outlineLevel="1" x14ac:dyDescent="0.2"/>
    <row r="4" spans="1:90" ht="18" hidden="1" customHeight="1" outlineLevel="1" x14ac:dyDescent="0.2">
      <c r="B4" s="770" t="s">
        <v>1010</v>
      </c>
      <c r="C4" s="771"/>
      <c r="D4" s="772" t="s">
        <v>1009</v>
      </c>
      <c r="E4" s="773"/>
    </row>
    <row r="5" spans="1:90" ht="18" hidden="1" customHeight="1" outlineLevel="1" x14ac:dyDescent="0.2">
      <c r="B5" s="774" t="s">
        <v>1008</v>
      </c>
      <c r="C5" s="771"/>
      <c r="D5" s="775" t="s">
        <v>2781</v>
      </c>
      <c r="E5" s="776"/>
    </row>
    <row r="6" spans="1:90" ht="18" hidden="1" customHeight="1" outlineLevel="1" x14ac:dyDescent="0.2">
      <c r="B6" s="774" t="s">
        <v>996</v>
      </c>
      <c r="C6" s="771"/>
      <c r="D6" s="775" t="s">
        <v>647</v>
      </c>
      <c r="E6" s="776"/>
    </row>
    <row r="7" spans="1:90" ht="18" hidden="1" customHeight="1" outlineLevel="1" x14ac:dyDescent="0.2">
      <c r="B7" s="774" t="s">
        <v>1007</v>
      </c>
      <c r="C7" s="771"/>
      <c r="D7" s="775" t="s">
        <v>653</v>
      </c>
      <c r="E7" s="776"/>
    </row>
    <row r="8" spans="1:90" ht="37.5" hidden="1" customHeight="1" outlineLevel="1" x14ac:dyDescent="0.2">
      <c r="B8" s="774" t="s">
        <v>993</v>
      </c>
      <c r="C8" s="771"/>
      <c r="D8" s="775" t="s">
        <v>1006</v>
      </c>
      <c r="E8" s="776"/>
    </row>
    <row r="9" spans="1:90" ht="18" hidden="1" customHeight="1" outlineLevel="1" x14ac:dyDescent="0.2">
      <c r="B9" s="774" t="s">
        <v>1005</v>
      </c>
      <c r="C9" s="771"/>
      <c r="D9" s="775" t="s">
        <v>1004</v>
      </c>
      <c r="E9" s="776"/>
      <c r="AD9" s="494" t="s">
        <v>1048</v>
      </c>
      <c r="AE9" s="494" t="s">
        <v>1049</v>
      </c>
      <c r="AF9" s="494" t="s">
        <v>1050</v>
      </c>
      <c r="AG9" s="494" t="s">
        <v>1021</v>
      </c>
      <c r="AH9" s="494" t="s">
        <v>1051</v>
      </c>
      <c r="AI9" s="494" t="s">
        <v>1023</v>
      </c>
      <c r="AJ9" s="494" t="s">
        <v>1022</v>
      </c>
      <c r="AK9" s="494" t="s">
        <v>1024</v>
      </c>
      <c r="AL9" s="494" t="s">
        <v>1026</v>
      </c>
      <c r="AM9" s="494" t="s">
        <v>2271</v>
      </c>
      <c r="AN9" s="494" t="s">
        <v>1028</v>
      </c>
      <c r="AO9" s="494" t="s">
        <v>1027</v>
      </c>
      <c r="AP9" s="494" t="s">
        <v>1052</v>
      </c>
      <c r="AQ9" s="494" t="s">
        <v>1014</v>
      </c>
      <c r="AR9" s="494" t="s">
        <v>1013</v>
      </c>
      <c r="AS9" s="494" t="s">
        <v>1017</v>
      </c>
      <c r="AT9" s="494" t="s">
        <v>1016</v>
      </c>
      <c r="AU9" s="494" t="s">
        <v>1012</v>
      </c>
      <c r="AV9" s="494" t="s">
        <v>1054</v>
      </c>
      <c r="AW9" s="494" t="s">
        <v>1055</v>
      </c>
      <c r="AX9" s="494" t="s">
        <v>1019</v>
      </c>
      <c r="AY9" s="494" t="s">
        <v>1056</v>
      </c>
      <c r="AZ9" s="494" t="s">
        <v>1057</v>
      </c>
      <c r="BA9" s="41" t="s">
        <v>1058</v>
      </c>
      <c r="BB9" s="41" t="s">
        <v>2560</v>
      </c>
      <c r="BC9" s="41" t="s">
        <v>2561</v>
      </c>
      <c r="BD9" s="41" t="s">
        <v>2562</v>
      </c>
      <c r="BE9" s="41" t="s">
        <v>2563</v>
      </c>
      <c r="BF9" s="41" t="s">
        <v>2564</v>
      </c>
      <c r="BG9" s="41" t="s">
        <v>2565</v>
      </c>
      <c r="BH9" s="41" t="s">
        <v>2566</v>
      </c>
      <c r="BI9" s="41" t="s">
        <v>2567</v>
      </c>
      <c r="BJ9" s="41" t="s">
        <v>2568</v>
      </c>
      <c r="BK9" s="41" t="s">
        <v>2569</v>
      </c>
      <c r="BL9" s="41" t="s">
        <v>2570</v>
      </c>
      <c r="BM9" s="41" t="s">
        <v>2571</v>
      </c>
      <c r="BN9" s="41" t="s">
        <v>2572</v>
      </c>
      <c r="BO9" s="41" t="s">
        <v>2573</v>
      </c>
      <c r="BP9" s="41" t="s">
        <v>2574</v>
      </c>
      <c r="BQ9" s="41" t="s">
        <v>2575</v>
      </c>
      <c r="BR9" s="41" t="s">
        <v>639</v>
      </c>
    </row>
    <row r="10" spans="1:90" ht="18" hidden="1" customHeight="1" outlineLevel="1" x14ac:dyDescent="0.2">
      <c r="B10" s="774" t="s">
        <v>997</v>
      </c>
      <c r="C10" s="771"/>
      <c r="D10" s="775" t="s">
        <v>1003</v>
      </c>
      <c r="E10" s="776"/>
    </row>
    <row r="11" spans="1:90" ht="56.25" collapsed="1" x14ac:dyDescent="0.2">
      <c r="B11" s="139" t="s">
        <v>1002</v>
      </c>
      <c r="C11" s="490" t="s">
        <v>1002</v>
      </c>
      <c r="D11" s="495" t="s">
        <v>652</v>
      </c>
      <c r="E11" s="496"/>
      <c r="AD11" s="493" t="s">
        <v>1038</v>
      </c>
      <c r="AE11" s="493" t="s">
        <v>1038</v>
      </c>
      <c r="AF11" s="493" t="s">
        <v>1038</v>
      </c>
      <c r="AG11" s="493" t="s">
        <v>1038</v>
      </c>
      <c r="AH11" s="493" t="s">
        <v>1038</v>
      </c>
      <c r="AI11" s="493" t="s">
        <v>1040</v>
      </c>
      <c r="AJ11" s="493" t="s">
        <v>1039</v>
      </c>
      <c r="AK11" s="493" t="s">
        <v>1041</v>
      </c>
      <c r="AL11" s="493" t="s">
        <v>1043</v>
      </c>
      <c r="AM11" s="493" t="s">
        <v>1043</v>
      </c>
      <c r="AN11" s="493" t="s">
        <v>1045</v>
      </c>
      <c r="AO11" s="493" t="s">
        <v>1044</v>
      </c>
      <c r="AP11" s="493" t="s">
        <v>1047</v>
      </c>
      <c r="AQ11" s="493" t="s">
        <v>1033</v>
      </c>
      <c r="AR11" s="493" t="s">
        <v>1032</v>
      </c>
      <c r="AS11" s="493" t="s">
        <v>854</v>
      </c>
      <c r="AT11" s="493" t="s">
        <v>1035</v>
      </c>
      <c r="AU11" s="493" t="s">
        <v>1031</v>
      </c>
      <c r="AV11" s="493" t="s">
        <v>1034</v>
      </c>
      <c r="AW11" s="493" t="s">
        <v>1034</v>
      </c>
      <c r="AX11" s="493" t="s">
        <v>1037</v>
      </c>
      <c r="AY11" s="493" t="s">
        <v>1037</v>
      </c>
      <c r="AZ11" s="493" t="s">
        <v>1037</v>
      </c>
      <c r="BA11" s="493" t="s">
        <v>1037</v>
      </c>
    </row>
    <row r="12" spans="1:90" ht="18" customHeight="1" x14ac:dyDescent="0.2">
      <c r="C12" s="491" t="s">
        <v>3012</v>
      </c>
      <c r="D12" s="775" t="s">
        <v>2782</v>
      </c>
      <c r="E12" s="776"/>
      <c r="BT12" s="41">
        <f>COLUMN()</f>
        <v>72</v>
      </c>
      <c r="BU12" s="41">
        <f>COLUMN()</f>
        <v>73</v>
      </c>
      <c r="BV12" s="41">
        <f>COLUMN()</f>
        <v>74</v>
      </c>
      <c r="BW12" s="41">
        <f>COLUMN()</f>
        <v>75</v>
      </c>
      <c r="BX12" s="41">
        <f>COLUMN()</f>
        <v>76</v>
      </c>
      <c r="BY12" s="41">
        <f>COLUMN()</f>
        <v>77</v>
      </c>
      <c r="BZ12" s="41">
        <f>COLUMN()</f>
        <v>78</v>
      </c>
      <c r="CA12" s="41">
        <f>COLUMN()</f>
        <v>79</v>
      </c>
      <c r="CB12" s="41">
        <f>COLUMN()</f>
        <v>80</v>
      </c>
      <c r="CC12" s="41">
        <f>COLUMN()</f>
        <v>81</v>
      </c>
      <c r="CD12" s="41">
        <f>COLUMN()</f>
        <v>82</v>
      </c>
      <c r="CE12" s="41">
        <f>COLUMN()</f>
        <v>83</v>
      </c>
      <c r="CF12" s="41">
        <f>COLUMN()</f>
        <v>84</v>
      </c>
      <c r="CG12" s="41">
        <f>COLUMN()</f>
        <v>85</v>
      </c>
      <c r="CH12" s="41">
        <f>COLUMN()</f>
        <v>86</v>
      </c>
      <c r="CI12" s="41">
        <f>COLUMN()</f>
        <v>87</v>
      </c>
      <c r="CJ12" s="41">
        <f>COLUMN()</f>
        <v>88</v>
      </c>
      <c r="CK12" s="41">
        <f>COLUMN()</f>
        <v>89</v>
      </c>
      <c r="CL12" s="41">
        <f>COLUMN()</f>
        <v>90</v>
      </c>
    </row>
    <row r="13" spans="1:90" ht="10.15" customHeight="1" x14ac:dyDescent="0.2"/>
    <row r="14" spans="1:90" ht="10.15" customHeight="1" x14ac:dyDescent="0.2"/>
    <row r="15" spans="1:90" ht="10.15" customHeight="1" x14ac:dyDescent="0.2"/>
    <row r="16" spans="1:90" ht="10.15" customHeight="1" x14ac:dyDescent="0.2"/>
    <row r="17" spans="1:91" ht="10.15" customHeight="1" x14ac:dyDescent="0.2"/>
    <row r="18" spans="1:91" ht="10.15" customHeight="1" x14ac:dyDescent="0.2"/>
    <row r="19" spans="1:91" ht="10.15" customHeight="1" x14ac:dyDescent="0.2"/>
    <row r="20" spans="1:91" ht="20.25" customHeight="1" x14ac:dyDescent="0.2">
      <c r="B20" s="441" t="s">
        <v>2983</v>
      </c>
    </row>
    <row r="21" spans="1:91" ht="56.25" x14ac:dyDescent="0.2">
      <c r="A21" s="514" t="s">
        <v>1001</v>
      </c>
      <c r="B21" s="515" t="s">
        <v>2811</v>
      </c>
      <c r="C21" s="514" t="s">
        <v>1000</v>
      </c>
      <c r="D21" s="515"/>
      <c r="E21" s="514" t="s">
        <v>999</v>
      </c>
      <c r="F21" s="515"/>
      <c r="G21" s="514" t="s">
        <v>998</v>
      </c>
      <c r="H21" s="514" t="s">
        <v>997</v>
      </c>
      <c r="I21" s="514" t="s">
        <v>996</v>
      </c>
      <c r="J21" s="514" t="s">
        <v>995</v>
      </c>
      <c r="K21" s="514" t="s">
        <v>994</v>
      </c>
      <c r="L21" s="514" t="s">
        <v>993</v>
      </c>
      <c r="M21" s="514" t="s">
        <v>992</v>
      </c>
      <c r="N21" s="514" t="s">
        <v>991</v>
      </c>
      <c r="O21" s="514" t="s">
        <v>990</v>
      </c>
      <c r="P21" s="514" t="s">
        <v>24</v>
      </c>
      <c r="Q21" s="514" t="s">
        <v>989</v>
      </c>
      <c r="R21" s="514" t="s">
        <v>988</v>
      </c>
      <c r="S21" s="514" t="s">
        <v>987</v>
      </c>
      <c r="T21" s="514" t="s">
        <v>986</v>
      </c>
      <c r="U21" s="514" t="s">
        <v>985</v>
      </c>
      <c r="V21" s="514" t="s">
        <v>984</v>
      </c>
      <c r="W21" s="514" t="s">
        <v>983</v>
      </c>
      <c r="X21" s="514" t="s">
        <v>982</v>
      </c>
      <c r="Y21" s="514" t="s">
        <v>981</v>
      </c>
      <c r="Z21" s="514" t="s">
        <v>980</v>
      </c>
      <c r="AA21" s="514" t="s">
        <v>979</v>
      </c>
      <c r="AB21" s="514" t="s">
        <v>978</v>
      </c>
      <c r="AC21" s="514" t="s">
        <v>977</v>
      </c>
      <c r="AD21" s="514">
        <v>10000</v>
      </c>
      <c r="AE21" s="514">
        <v>10001</v>
      </c>
      <c r="AF21" s="514">
        <v>10002</v>
      </c>
      <c r="AG21" s="514">
        <v>10003</v>
      </c>
      <c r="AH21" s="514" t="s">
        <v>1051</v>
      </c>
      <c r="AI21" s="514">
        <v>10005</v>
      </c>
      <c r="AJ21" s="514">
        <v>10013</v>
      </c>
      <c r="AK21" s="514">
        <v>10014</v>
      </c>
      <c r="AL21" s="514">
        <v>10015</v>
      </c>
      <c r="AM21" s="514">
        <v>10020</v>
      </c>
      <c r="AN21" s="514">
        <v>10100</v>
      </c>
      <c r="AO21" s="514">
        <v>10101</v>
      </c>
      <c r="AP21" s="514">
        <v>10103</v>
      </c>
      <c r="AQ21" s="514">
        <v>10200</v>
      </c>
      <c r="AR21" s="514">
        <v>10201</v>
      </c>
      <c r="AS21" s="514">
        <v>20000</v>
      </c>
      <c r="AT21" s="514">
        <v>20001</v>
      </c>
      <c r="AU21" s="514">
        <v>20002</v>
      </c>
      <c r="AV21" s="514">
        <v>30004</v>
      </c>
      <c r="AW21" s="514">
        <v>30005</v>
      </c>
      <c r="AX21" s="514">
        <v>30200</v>
      </c>
      <c r="AY21" s="514">
        <v>30201</v>
      </c>
      <c r="AZ21" s="514">
        <v>30300</v>
      </c>
      <c r="BA21" s="514">
        <v>30400</v>
      </c>
      <c r="BB21" s="492">
        <v>90001</v>
      </c>
      <c r="BC21" s="492">
        <v>90002</v>
      </c>
      <c r="BD21" s="492">
        <v>90003</v>
      </c>
      <c r="BE21" s="492">
        <v>90004</v>
      </c>
      <c r="BF21" s="492">
        <v>90005</v>
      </c>
      <c r="BG21" s="492">
        <v>90006</v>
      </c>
      <c r="BH21" s="492">
        <v>90007</v>
      </c>
      <c r="BI21" s="492">
        <v>90008</v>
      </c>
      <c r="BJ21" s="492">
        <v>90009</v>
      </c>
      <c r="BK21" s="492">
        <v>90010</v>
      </c>
      <c r="BL21" s="492">
        <v>90011</v>
      </c>
      <c r="BM21" s="492">
        <v>90012</v>
      </c>
      <c r="BN21" s="492">
        <v>90013</v>
      </c>
      <c r="BO21" s="492">
        <v>90014</v>
      </c>
      <c r="BP21" s="492">
        <v>90015</v>
      </c>
      <c r="BQ21" s="492">
        <v>90016</v>
      </c>
      <c r="BR21" s="492" t="s">
        <v>639</v>
      </c>
      <c r="BS21" s="517" t="s">
        <v>2265</v>
      </c>
      <c r="BT21" s="17" t="s">
        <v>1031</v>
      </c>
      <c r="BU21" s="17" t="s">
        <v>1032</v>
      </c>
      <c r="BV21" s="17" t="s">
        <v>1033</v>
      </c>
      <c r="BW21" s="17" t="s">
        <v>1034</v>
      </c>
      <c r="BX21" s="17" t="s">
        <v>1035</v>
      </c>
      <c r="BY21" s="17" t="s">
        <v>854</v>
      </c>
      <c r="BZ21" s="17" t="s">
        <v>1036</v>
      </c>
      <c r="CA21" s="17" t="s">
        <v>1037</v>
      </c>
      <c r="CB21" s="17" t="s">
        <v>41</v>
      </c>
      <c r="CC21" s="17" t="s">
        <v>1038</v>
      </c>
      <c r="CD21" s="17" t="s">
        <v>1039</v>
      </c>
      <c r="CE21" s="17" t="s">
        <v>1040</v>
      </c>
      <c r="CF21" s="17" t="s">
        <v>1041</v>
      </c>
      <c r="CG21" s="17" t="s">
        <v>1042</v>
      </c>
      <c r="CH21" s="17" t="s">
        <v>1043</v>
      </c>
      <c r="CI21" s="17" t="s">
        <v>1044</v>
      </c>
      <c r="CJ21" s="17" t="s">
        <v>1045</v>
      </c>
      <c r="CK21" s="17" t="s">
        <v>1046</v>
      </c>
      <c r="CL21" s="18" t="s">
        <v>1047</v>
      </c>
      <c r="CM21" s="516" t="s">
        <v>2265</v>
      </c>
    </row>
    <row r="22" spans="1:91" s="487" customFormat="1" ht="25.5" x14ac:dyDescent="0.25">
      <c r="A22" s="497" t="s">
        <v>233</v>
      </c>
      <c r="B22" s="498" t="s">
        <v>2838</v>
      </c>
      <c r="C22" s="497" t="s">
        <v>2457</v>
      </c>
      <c r="D22" s="498"/>
      <c r="E22" s="497" t="s">
        <v>655</v>
      </c>
      <c r="F22" s="498"/>
      <c r="G22" s="497"/>
      <c r="H22" s="497" t="s">
        <v>654</v>
      </c>
      <c r="I22" s="497" t="s">
        <v>647</v>
      </c>
      <c r="J22" s="497" t="s">
        <v>671</v>
      </c>
      <c r="K22" s="497" t="s">
        <v>649</v>
      </c>
      <c r="L22" s="497" t="s">
        <v>55</v>
      </c>
      <c r="M22" s="497" t="s">
        <v>653</v>
      </c>
      <c r="N22" s="497" t="s">
        <v>645</v>
      </c>
      <c r="O22" s="497"/>
      <c r="P22" s="497"/>
      <c r="Q22" s="497" t="s">
        <v>656</v>
      </c>
      <c r="R22" s="497" t="s">
        <v>652</v>
      </c>
      <c r="S22" s="497" t="s">
        <v>649</v>
      </c>
      <c r="T22" s="497"/>
      <c r="U22" s="497"/>
      <c r="V22" s="497" t="s">
        <v>683</v>
      </c>
      <c r="W22" s="497" t="s">
        <v>677</v>
      </c>
      <c r="X22" s="499">
        <v>43344</v>
      </c>
      <c r="Y22" s="499">
        <v>43872</v>
      </c>
      <c r="Z22" s="500">
        <v>2020</v>
      </c>
      <c r="AA22" s="497"/>
      <c r="AB22" s="497"/>
      <c r="AC22" s="497"/>
      <c r="AD22" s="501"/>
      <c r="AE22" s="501"/>
      <c r="AF22" s="501"/>
      <c r="AG22" s="501"/>
      <c r="AH22" s="501"/>
      <c r="AI22" s="501"/>
      <c r="AJ22" s="501"/>
      <c r="AK22" s="501"/>
      <c r="AL22" s="501"/>
      <c r="AM22" s="501"/>
      <c r="AN22" s="501"/>
      <c r="AO22" s="501"/>
      <c r="AP22" s="501"/>
      <c r="AQ22" s="501"/>
      <c r="AR22" s="501"/>
      <c r="AS22" s="501"/>
      <c r="AT22" s="501"/>
      <c r="AU22" s="501"/>
      <c r="AV22" s="501">
        <v>310308.99999999988</v>
      </c>
      <c r="AW22" s="501"/>
      <c r="AX22" s="501"/>
      <c r="AY22" s="501"/>
      <c r="AZ22" s="501"/>
      <c r="BA22" s="501"/>
      <c r="BB22" s="483"/>
      <c r="BC22" s="483"/>
      <c r="BD22" s="483"/>
      <c r="BE22" s="483"/>
      <c r="BF22" s="483"/>
      <c r="BG22" s="483">
        <v>1241236</v>
      </c>
      <c r="BH22" s="483"/>
      <c r="BI22" s="483"/>
      <c r="BJ22" s="483"/>
      <c r="BK22" s="483"/>
      <c r="BL22" s="483"/>
      <c r="BM22" s="483"/>
      <c r="BN22" s="483"/>
      <c r="BO22" s="483"/>
      <c r="BP22" s="483"/>
      <c r="BQ22" s="483"/>
      <c r="BR22" s="483">
        <v>1551544.9999999998</v>
      </c>
      <c r="BS22" s="484">
        <f>SUM(AD22:BA22)</f>
        <v>310308.99999999988</v>
      </c>
      <c r="BT22" s="485">
        <f t="shared" ref="BT22:CC24" si="0">SUMIFS($AD22:$BA22,$AD$11:$BA$11,BT$21)/$BS22</f>
        <v>0</v>
      </c>
      <c r="BU22" s="485">
        <f t="shared" si="0"/>
        <v>0</v>
      </c>
      <c r="BV22" s="485">
        <f t="shared" si="0"/>
        <v>0</v>
      </c>
      <c r="BW22" s="485">
        <f t="shared" si="0"/>
        <v>1</v>
      </c>
      <c r="BX22" s="485">
        <f t="shared" si="0"/>
        <v>0</v>
      </c>
      <c r="BY22" s="485">
        <f t="shared" si="0"/>
        <v>0</v>
      </c>
      <c r="BZ22" s="485">
        <f t="shared" si="0"/>
        <v>0</v>
      </c>
      <c r="CA22" s="485">
        <f t="shared" si="0"/>
        <v>0</v>
      </c>
      <c r="CB22" s="485">
        <f t="shared" si="0"/>
        <v>0</v>
      </c>
      <c r="CC22" s="485">
        <f t="shared" si="0"/>
        <v>0</v>
      </c>
      <c r="CD22" s="485">
        <f t="shared" ref="CD22:CL24" si="1">SUMIFS($AD22:$BA22,$AD$11:$BA$11,CD$21)/$BS22</f>
        <v>0</v>
      </c>
      <c r="CE22" s="485">
        <f t="shared" si="1"/>
        <v>0</v>
      </c>
      <c r="CF22" s="485">
        <f t="shared" si="1"/>
        <v>0</v>
      </c>
      <c r="CG22" s="485">
        <f t="shared" si="1"/>
        <v>0</v>
      </c>
      <c r="CH22" s="485">
        <f t="shared" si="1"/>
        <v>0</v>
      </c>
      <c r="CI22" s="485">
        <f t="shared" si="1"/>
        <v>0</v>
      </c>
      <c r="CJ22" s="485">
        <f t="shared" si="1"/>
        <v>0</v>
      </c>
      <c r="CK22" s="485">
        <f t="shared" si="1"/>
        <v>0</v>
      </c>
      <c r="CL22" s="485">
        <f t="shared" si="1"/>
        <v>0</v>
      </c>
      <c r="CM22" s="486">
        <f>SUM(BT22:CL22)</f>
        <v>1</v>
      </c>
    </row>
    <row r="23" spans="1:91" s="487" customFormat="1" ht="25.5" x14ac:dyDescent="0.25">
      <c r="A23" s="497" t="s">
        <v>264</v>
      </c>
      <c r="B23" s="498" t="s">
        <v>2839</v>
      </c>
      <c r="C23" s="497" t="s">
        <v>2458</v>
      </c>
      <c r="D23" s="498"/>
      <c r="E23" s="497"/>
      <c r="F23" s="498"/>
      <c r="G23" s="497"/>
      <c r="H23" s="497" t="s">
        <v>654</v>
      </c>
      <c r="I23" s="497" t="s">
        <v>647</v>
      </c>
      <c r="J23" s="497" t="s">
        <v>641</v>
      </c>
      <c r="K23" s="497" t="s">
        <v>649</v>
      </c>
      <c r="L23" s="497" t="s">
        <v>40</v>
      </c>
      <c r="M23" s="497" t="s">
        <v>653</v>
      </c>
      <c r="N23" s="497" t="s">
        <v>680</v>
      </c>
      <c r="O23" s="497"/>
      <c r="P23" s="497" t="s">
        <v>643</v>
      </c>
      <c r="Q23" s="497" t="s">
        <v>656</v>
      </c>
      <c r="R23" s="497" t="s">
        <v>652</v>
      </c>
      <c r="S23" s="497" t="s">
        <v>649</v>
      </c>
      <c r="T23" s="497"/>
      <c r="U23" s="497" t="s">
        <v>689</v>
      </c>
      <c r="V23" s="497" t="s">
        <v>641</v>
      </c>
      <c r="W23" s="497" t="s">
        <v>640</v>
      </c>
      <c r="X23" s="499">
        <v>42917</v>
      </c>
      <c r="Y23" s="499">
        <v>44047</v>
      </c>
      <c r="Z23" s="500">
        <v>2021</v>
      </c>
      <c r="AA23" s="497" t="s">
        <v>676</v>
      </c>
      <c r="AB23" s="497"/>
      <c r="AC23" s="497" t="s">
        <v>663</v>
      </c>
      <c r="AD23" s="501"/>
      <c r="AE23" s="501"/>
      <c r="AF23" s="501"/>
      <c r="AG23" s="501"/>
      <c r="AH23" s="501"/>
      <c r="AI23" s="501"/>
      <c r="AJ23" s="501"/>
      <c r="AK23" s="501"/>
      <c r="AL23" s="501">
        <v>1602200.020020003</v>
      </c>
      <c r="AM23" s="501"/>
      <c r="AN23" s="501"/>
      <c r="AO23" s="501"/>
      <c r="AP23" s="501"/>
      <c r="AQ23" s="501"/>
      <c r="AR23" s="501"/>
      <c r="AS23" s="501"/>
      <c r="AT23" s="501"/>
      <c r="AU23" s="501"/>
      <c r="AV23" s="501"/>
      <c r="AW23" s="501"/>
      <c r="AX23" s="501"/>
      <c r="AY23" s="501"/>
      <c r="AZ23" s="501"/>
      <c r="BA23" s="501"/>
      <c r="BB23" s="483">
        <v>240330.00300300037</v>
      </c>
      <c r="BC23" s="483"/>
      <c r="BD23" s="483">
        <v>248741.55310810538</v>
      </c>
      <c r="BE23" s="483">
        <v>5750.9968343605478</v>
      </c>
      <c r="BF23" s="483">
        <v>116159.50145145014</v>
      </c>
      <c r="BG23" s="483">
        <v>670245.7332183728</v>
      </c>
      <c r="BH23" s="483"/>
      <c r="BI23" s="483"/>
      <c r="BJ23" s="483"/>
      <c r="BK23" s="483"/>
      <c r="BL23" s="483"/>
      <c r="BM23" s="483"/>
      <c r="BN23" s="483"/>
      <c r="BO23" s="483"/>
      <c r="BP23" s="483"/>
      <c r="BQ23" s="483"/>
      <c r="BR23" s="483">
        <v>2883427.8076352924</v>
      </c>
      <c r="BS23" s="484">
        <f>SUM(AD23:BA23)</f>
        <v>1602200.020020003</v>
      </c>
      <c r="BT23" s="485">
        <f t="shared" si="0"/>
        <v>0</v>
      </c>
      <c r="BU23" s="485">
        <f t="shared" si="0"/>
        <v>0</v>
      </c>
      <c r="BV23" s="485">
        <f t="shared" si="0"/>
        <v>0</v>
      </c>
      <c r="BW23" s="485">
        <f t="shared" si="0"/>
        <v>0</v>
      </c>
      <c r="BX23" s="485">
        <f t="shared" si="0"/>
        <v>0</v>
      </c>
      <c r="BY23" s="485">
        <f t="shared" si="0"/>
        <v>0</v>
      </c>
      <c r="BZ23" s="485">
        <f t="shared" si="0"/>
        <v>0</v>
      </c>
      <c r="CA23" s="485">
        <f t="shared" si="0"/>
        <v>0</v>
      </c>
      <c r="CB23" s="485">
        <f t="shared" si="0"/>
        <v>0</v>
      </c>
      <c r="CC23" s="485">
        <f t="shared" si="0"/>
        <v>0</v>
      </c>
      <c r="CD23" s="485">
        <f t="shared" si="1"/>
        <v>0</v>
      </c>
      <c r="CE23" s="485">
        <f t="shared" si="1"/>
        <v>0</v>
      </c>
      <c r="CF23" s="485">
        <f t="shared" si="1"/>
        <v>0</v>
      </c>
      <c r="CG23" s="485">
        <f t="shared" si="1"/>
        <v>0</v>
      </c>
      <c r="CH23" s="485">
        <f t="shared" si="1"/>
        <v>1</v>
      </c>
      <c r="CI23" s="485">
        <f t="shared" si="1"/>
        <v>0</v>
      </c>
      <c r="CJ23" s="485">
        <f t="shared" si="1"/>
        <v>0</v>
      </c>
      <c r="CK23" s="485">
        <f t="shared" si="1"/>
        <v>0</v>
      </c>
      <c r="CL23" s="485">
        <f t="shared" si="1"/>
        <v>0</v>
      </c>
      <c r="CM23" s="486">
        <f>SUM(BT23:CL23)</f>
        <v>1</v>
      </c>
    </row>
    <row r="24" spans="1:91" s="487" customFormat="1" ht="25.5" x14ac:dyDescent="0.25">
      <c r="A24" s="497" t="s">
        <v>322</v>
      </c>
      <c r="B24" s="498" t="s">
        <v>1990</v>
      </c>
      <c r="C24" s="497" t="s">
        <v>833</v>
      </c>
      <c r="D24" s="498"/>
      <c r="E24" s="497" t="s">
        <v>655</v>
      </c>
      <c r="F24" s="498"/>
      <c r="G24" s="497"/>
      <c r="H24" s="497" t="s">
        <v>654</v>
      </c>
      <c r="I24" s="497" t="s">
        <v>647</v>
      </c>
      <c r="J24" s="497" t="s">
        <v>671</v>
      </c>
      <c r="K24" s="497" t="s">
        <v>649</v>
      </c>
      <c r="L24" s="497" t="s">
        <v>55</v>
      </c>
      <c r="M24" s="497" t="s">
        <v>653</v>
      </c>
      <c r="N24" s="497" t="s">
        <v>645</v>
      </c>
      <c r="O24" s="497"/>
      <c r="P24" s="497"/>
      <c r="Q24" s="497" t="s">
        <v>650</v>
      </c>
      <c r="R24" s="497" t="s">
        <v>652</v>
      </c>
      <c r="S24" s="497" t="s">
        <v>649</v>
      </c>
      <c r="T24" s="497"/>
      <c r="U24" s="497"/>
      <c r="V24" s="497" t="s">
        <v>683</v>
      </c>
      <c r="W24" s="497" t="s">
        <v>677</v>
      </c>
      <c r="X24" s="499">
        <v>43709</v>
      </c>
      <c r="Y24" s="499">
        <v>44945</v>
      </c>
      <c r="Z24" s="500">
        <v>2024</v>
      </c>
      <c r="AA24" s="497"/>
      <c r="AB24" s="497"/>
      <c r="AC24" s="497"/>
      <c r="AD24" s="501"/>
      <c r="AE24" s="501"/>
      <c r="AF24" s="501"/>
      <c r="AG24" s="501"/>
      <c r="AH24" s="501"/>
      <c r="AI24" s="501"/>
      <c r="AJ24" s="501"/>
      <c r="AK24" s="501"/>
      <c r="AL24" s="501"/>
      <c r="AM24" s="501"/>
      <c r="AN24" s="501"/>
      <c r="AO24" s="501"/>
      <c r="AP24" s="501"/>
      <c r="AQ24" s="501"/>
      <c r="AR24" s="501"/>
      <c r="AS24" s="501"/>
      <c r="AT24" s="501"/>
      <c r="AU24" s="501"/>
      <c r="AV24" s="501">
        <v>280000.00000000006</v>
      </c>
      <c r="AW24" s="501"/>
      <c r="AX24" s="501"/>
      <c r="AY24" s="501"/>
      <c r="AZ24" s="501"/>
      <c r="BA24" s="501"/>
      <c r="BB24" s="483"/>
      <c r="BC24" s="483"/>
      <c r="BD24" s="483"/>
      <c r="BE24" s="483"/>
      <c r="BF24" s="483"/>
      <c r="BG24" s="483">
        <v>1120000.0000000005</v>
      </c>
      <c r="BH24" s="483"/>
      <c r="BI24" s="483"/>
      <c r="BJ24" s="483"/>
      <c r="BK24" s="483"/>
      <c r="BL24" s="483"/>
      <c r="BM24" s="483"/>
      <c r="BN24" s="483"/>
      <c r="BO24" s="483"/>
      <c r="BP24" s="483"/>
      <c r="BQ24" s="483"/>
      <c r="BR24" s="483">
        <v>1400000.0000000005</v>
      </c>
      <c r="BS24" s="484">
        <f t="shared" ref="BS24:BS87" si="2">SUM(AD24:BA24)</f>
        <v>280000.00000000006</v>
      </c>
      <c r="BT24" s="485">
        <f t="shared" si="0"/>
        <v>0</v>
      </c>
      <c r="BU24" s="485">
        <f t="shared" si="0"/>
        <v>0</v>
      </c>
      <c r="BV24" s="485">
        <f t="shared" si="0"/>
        <v>0</v>
      </c>
      <c r="BW24" s="485">
        <f t="shared" si="0"/>
        <v>1</v>
      </c>
      <c r="BX24" s="485">
        <f t="shared" si="0"/>
        <v>0</v>
      </c>
      <c r="BY24" s="485">
        <f t="shared" si="0"/>
        <v>0</v>
      </c>
      <c r="BZ24" s="485">
        <f t="shared" si="0"/>
        <v>0</v>
      </c>
      <c r="CA24" s="485">
        <f t="shared" si="0"/>
        <v>0</v>
      </c>
      <c r="CB24" s="485">
        <f t="shared" si="0"/>
        <v>0</v>
      </c>
      <c r="CC24" s="485">
        <f t="shared" si="0"/>
        <v>0</v>
      </c>
      <c r="CD24" s="485">
        <f t="shared" si="1"/>
        <v>0</v>
      </c>
      <c r="CE24" s="485">
        <f t="shared" si="1"/>
        <v>0</v>
      </c>
      <c r="CF24" s="485">
        <f t="shared" si="1"/>
        <v>0</v>
      </c>
      <c r="CG24" s="485">
        <f t="shared" si="1"/>
        <v>0</v>
      </c>
      <c r="CH24" s="485">
        <f t="shared" si="1"/>
        <v>0</v>
      </c>
      <c r="CI24" s="485">
        <f t="shared" si="1"/>
        <v>0</v>
      </c>
      <c r="CJ24" s="485">
        <f t="shared" si="1"/>
        <v>0</v>
      </c>
      <c r="CK24" s="485">
        <f t="shared" si="1"/>
        <v>0</v>
      </c>
      <c r="CL24" s="485">
        <f t="shared" si="1"/>
        <v>0</v>
      </c>
      <c r="CM24" s="486">
        <f t="shared" ref="CM24:CM87" si="3">SUM(BT24:CL24)</f>
        <v>1</v>
      </c>
    </row>
    <row r="25" spans="1:91" s="487" customFormat="1" ht="25.5" x14ac:dyDescent="0.25">
      <c r="A25" s="497" t="s">
        <v>336</v>
      </c>
      <c r="B25" s="498" t="s">
        <v>2239</v>
      </c>
      <c r="C25" s="497" t="s">
        <v>818</v>
      </c>
      <c r="D25" s="498"/>
      <c r="E25" s="497" t="s">
        <v>655</v>
      </c>
      <c r="F25" s="498"/>
      <c r="G25" s="497"/>
      <c r="H25" s="497" t="s">
        <v>654</v>
      </c>
      <c r="I25" s="497" t="s">
        <v>647</v>
      </c>
      <c r="J25" s="497" t="s">
        <v>671</v>
      </c>
      <c r="K25" s="497" t="s">
        <v>649</v>
      </c>
      <c r="L25" s="497" t="s">
        <v>40</v>
      </c>
      <c r="M25" s="497" t="s">
        <v>653</v>
      </c>
      <c r="N25" s="497" t="s">
        <v>645</v>
      </c>
      <c r="O25" s="497"/>
      <c r="P25" s="497"/>
      <c r="Q25" s="497" t="s">
        <v>650</v>
      </c>
      <c r="R25" s="497" t="s">
        <v>652</v>
      </c>
      <c r="S25" s="497" t="s">
        <v>649</v>
      </c>
      <c r="T25" s="497"/>
      <c r="U25" s="497"/>
      <c r="V25" s="497" t="s">
        <v>683</v>
      </c>
      <c r="W25" s="497" t="s">
        <v>677</v>
      </c>
      <c r="X25" s="499">
        <v>44013</v>
      </c>
      <c r="Y25" s="499">
        <v>45107</v>
      </c>
      <c r="Z25" s="500">
        <v>2028</v>
      </c>
      <c r="AA25" s="497"/>
      <c r="AB25" s="497"/>
      <c r="AC25" s="497"/>
      <c r="AD25" s="501"/>
      <c r="AE25" s="501"/>
      <c r="AF25" s="501"/>
      <c r="AG25" s="501"/>
      <c r="AH25" s="501"/>
      <c r="AI25" s="501"/>
      <c r="AJ25" s="501"/>
      <c r="AK25" s="501"/>
      <c r="AL25" s="501"/>
      <c r="AM25" s="501"/>
      <c r="AN25" s="501"/>
      <c r="AO25" s="501"/>
      <c r="AP25" s="501"/>
      <c r="AQ25" s="501"/>
      <c r="AR25" s="501"/>
      <c r="AS25" s="501"/>
      <c r="AT25" s="501"/>
      <c r="AU25" s="501"/>
      <c r="AV25" s="501">
        <v>0</v>
      </c>
      <c r="AW25" s="501"/>
      <c r="AX25" s="501"/>
      <c r="AY25" s="501"/>
      <c r="AZ25" s="501"/>
      <c r="BA25" s="501"/>
      <c r="BB25" s="483"/>
      <c r="BC25" s="483"/>
      <c r="BD25" s="483"/>
      <c r="BE25" s="483"/>
      <c r="BF25" s="483"/>
      <c r="BG25" s="483">
        <v>349999.99999999971</v>
      </c>
      <c r="BH25" s="483"/>
      <c r="BI25" s="483"/>
      <c r="BJ25" s="483"/>
      <c r="BK25" s="483"/>
      <c r="BL25" s="483"/>
      <c r="BM25" s="483"/>
      <c r="BN25" s="483"/>
      <c r="BO25" s="483"/>
      <c r="BP25" s="483"/>
      <c r="BQ25" s="483"/>
      <c r="BR25" s="483">
        <v>349999.99999999971</v>
      </c>
      <c r="BS25" s="484">
        <f t="shared" si="2"/>
        <v>0</v>
      </c>
      <c r="BT25" s="485">
        <v>0</v>
      </c>
      <c r="BU25" s="485">
        <v>0</v>
      </c>
      <c r="BV25" s="485">
        <v>0</v>
      </c>
      <c r="BW25" s="485">
        <v>1</v>
      </c>
      <c r="BX25" s="485">
        <v>0</v>
      </c>
      <c r="BY25" s="485">
        <v>0</v>
      </c>
      <c r="BZ25" s="485">
        <v>0</v>
      </c>
      <c r="CA25" s="485">
        <v>0</v>
      </c>
      <c r="CB25" s="485">
        <v>0</v>
      </c>
      <c r="CC25" s="485">
        <v>0</v>
      </c>
      <c r="CD25" s="485">
        <v>0</v>
      </c>
      <c r="CE25" s="485">
        <v>0</v>
      </c>
      <c r="CF25" s="485">
        <v>0</v>
      </c>
      <c r="CG25" s="485">
        <v>0</v>
      </c>
      <c r="CH25" s="485">
        <v>0</v>
      </c>
      <c r="CI25" s="485">
        <v>0</v>
      </c>
      <c r="CJ25" s="485">
        <v>0</v>
      </c>
      <c r="CK25" s="485">
        <v>0</v>
      </c>
      <c r="CL25" s="485">
        <v>0</v>
      </c>
      <c r="CM25" s="486">
        <f t="shared" si="3"/>
        <v>1</v>
      </c>
    </row>
    <row r="26" spans="1:91" s="487" customFormat="1" ht="25.5" x14ac:dyDescent="0.25">
      <c r="A26" s="497" t="s">
        <v>343</v>
      </c>
      <c r="B26" s="498" t="s">
        <v>2054</v>
      </c>
      <c r="C26" s="497" t="s">
        <v>800</v>
      </c>
      <c r="D26" s="498"/>
      <c r="E26" s="497" t="s">
        <v>655</v>
      </c>
      <c r="F26" s="498"/>
      <c r="G26" s="497"/>
      <c r="H26" s="497" t="s">
        <v>654</v>
      </c>
      <c r="I26" s="497" t="s">
        <v>647</v>
      </c>
      <c r="J26" s="497" t="s">
        <v>671</v>
      </c>
      <c r="K26" s="497" t="s">
        <v>649</v>
      </c>
      <c r="L26" s="497" t="s">
        <v>40</v>
      </c>
      <c r="M26" s="497" t="s">
        <v>653</v>
      </c>
      <c r="N26" s="497" t="s">
        <v>645</v>
      </c>
      <c r="O26" s="497"/>
      <c r="P26" s="497"/>
      <c r="Q26" s="497" t="s">
        <v>650</v>
      </c>
      <c r="R26" s="497" t="s">
        <v>652</v>
      </c>
      <c r="S26" s="497" t="s">
        <v>649</v>
      </c>
      <c r="T26" s="497"/>
      <c r="U26" s="497"/>
      <c r="V26" s="497" t="s">
        <v>683</v>
      </c>
      <c r="W26" s="497" t="s">
        <v>677</v>
      </c>
      <c r="X26" s="499">
        <v>43709</v>
      </c>
      <c r="Y26" s="499">
        <v>44708</v>
      </c>
      <c r="Z26" s="500">
        <v>2022</v>
      </c>
      <c r="AA26" s="497"/>
      <c r="AB26" s="497"/>
      <c r="AC26" s="497"/>
      <c r="AD26" s="501"/>
      <c r="AE26" s="501"/>
      <c r="AF26" s="501"/>
      <c r="AG26" s="501"/>
      <c r="AH26" s="501"/>
      <c r="AI26" s="501"/>
      <c r="AJ26" s="501"/>
      <c r="AK26" s="501"/>
      <c r="AL26" s="501"/>
      <c r="AM26" s="501"/>
      <c r="AN26" s="501"/>
      <c r="AO26" s="501"/>
      <c r="AP26" s="501"/>
      <c r="AQ26" s="501"/>
      <c r="AR26" s="501"/>
      <c r="AS26" s="501"/>
      <c r="AT26" s="501"/>
      <c r="AU26" s="501"/>
      <c r="AV26" s="501">
        <v>169999.99999999974</v>
      </c>
      <c r="AW26" s="501"/>
      <c r="AX26" s="501"/>
      <c r="AY26" s="501"/>
      <c r="AZ26" s="501"/>
      <c r="BA26" s="501"/>
      <c r="BB26" s="483"/>
      <c r="BC26" s="483"/>
      <c r="BD26" s="483"/>
      <c r="BE26" s="483"/>
      <c r="BF26" s="483"/>
      <c r="BG26" s="483">
        <v>679999.99999999942</v>
      </c>
      <c r="BH26" s="483"/>
      <c r="BI26" s="483"/>
      <c r="BJ26" s="483"/>
      <c r="BK26" s="483"/>
      <c r="BL26" s="483"/>
      <c r="BM26" s="483"/>
      <c r="BN26" s="483"/>
      <c r="BO26" s="483"/>
      <c r="BP26" s="483"/>
      <c r="BQ26" s="483"/>
      <c r="BR26" s="483">
        <v>849999.99999999907</v>
      </c>
      <c r="BS26" s="484">
        <f t="shared" si="2"/>
        <v>169999.99999999974</v>
      </c>
      <c r="BT26" s="485">
        <f t="shared" ref="BT26:CC29" si="4">SUMIFS($AD26:$BA26,$AD$11:$BA$11,BT$21)/$BS26</f>
        <v>0</v>
      </c>
      <c r="BU26" s="485">
        <f t="shared" si="4"/>
        <v>0</v>
      </c>
      <c r="BV26" s="485">
        <f t="shared" si="4"/>
        <v>0</v>
      </c>
      <c r="BW26" s="485">
        <f t="shared" si="4"/>
        <v>1</v>
      </c>
      <c r="BX26" s="485">
        <f t="shared" si="4"/>
        <v>0</v>
      </c>
      <c r="BY26" s="485">
        <f t="shared" si="4"/>
        <v>0</v>
      </c>
      <c r="BZ26" s="485">
        <f t="shared" si="4"/>
        <v>0</v>
      </c>
      <c r="CA26" s="485">
        <f t="shared" si="4"/>
        <v>0</v>
      </c>
      <c r="CB26" s="485">
        <f t="shared" si="4"/>
        <v>0</v>
      </c>
      <c r="CC26" s="485">
        <f t="shared" si="4"/>
        <v>0</v>
      </c>
      <c r="CD26" s="485">
        <f t="shared" ref="CD26:CL29" si="5">SUMIFS($AD26:$BA26,$AD$11:$BA$11,CD$21)/$BS26</f>
        <v>0</v>
      </c>
      <c r="CE26" s="485">
        <f t="shared" si="5"/>
        <v>0</v>
      </c>
      <c r="CF26" s="485">
        <f t="shared" si="5"/>
        <v>0</v>
      </c>
      <c r="CG26" s="485">
        <f t="shared" si="5"/>
        <v>0</v>
      </c>
      <c r="CH26" s="485">
        <f t="shared" si="5"/>
        <v>0</v>
      </c>
      <c r="CI26" s="485">
        <f t="shared" si="5"/>
        <v>0</v>
      </c>
      <c r="CJ26" s="485">
        <f t="shared" si="5"/>
        <v>0</v>
      </c>
      <c r="CK26" s="485">
        <f t="shared" si="5"/>
        <v>0</v>
      </c>
      <c r="CL26" s="485">
        <f t="shared" si="5"/>
        <v>0</v>
      </c>
      <c r="CM26" s="486">
        <f t="shared" si="3"/>
        <v>1</v>
      </c>
    </row>
    <row r="27" spans="1:91" s="487" customFormat="1" ht="25.5" x14ac:dyDescent="0.25">
      <c r="A27" s="497" t="s">
        <v>371</v>
      </c>
      <c r="B27" s="498" t="s">
        <v>2842</v>
      </c>
      <c r="C27" s="497" t="s">
        <v>2467</v>
      </c>
      <c r="D27" s="498"/>
      <c r="E27" s="497" t="s">
        <v>655</v>
      </c>
      <c r="F27" s="498"/>
      <c r="G27" s="497"/>
      <c r="H27" s="497" t="s">
        <v>654</v>
      </c>
      <c r="I27" s="497" t="s">
        <v>647</v>
      </c>
      <c r="J27" s="497" t="s">
        <v>671</v>
      </c>
      <c r="K27" s="497" t="s">
        <v>649</v>
      </c>
      <c r="L27" s="497" t="s">
        <v>55</v>
      </c>
      <c r="M27" s="497" t="s">
        <v>653</v>
      </c>
      <c r="N27" s="497" t="s">
        <v>645</v>
      </c>
      <c r="O27" s="497"/>
      <c r="P27" s="497"/>
      <c r="Q27" s="497" t="s">
        <v>650</v>
      </c>
      <c r="R27" s="497" t="s">
        <v>652</v>
      </c>
      <c r="S27" s="497" t="s">
        <v>649</v>
      </c>
      <c r="T27" s="497"/>
      <c r="U27" s="497"/>
      <c r="V27" s="497" t="s">
        <v>683</v>
      </c>
      <c r="W27" s="497" t="s">
        <v>677</v>
      </c>
      <c r="X27" s="499">
        <v>43374</v>
      </c>
      <c r="Y27" s="499">
        <v>43706</v>
      </c>
      <c r="Z27" s="500">
        <v>2020</v>
      </c>
      <c r="AA27" s="497"/>
      <c r="AB27" s="497"/>
      <c r="AC27" s="497"/>
      <c r="AD27" s="501"/>
      <c r="AE27" s="501"/>
      <c r="AF27" s="501"/>
      <c r="AG27" s="501"/>
      <c r="AH27" s="501"/>
      <c r="AI27" s="501"/>
      <c r="AJ27" s="501"/>
      <c r="AK27" s="501"/>
      <c r="AL27" s="501"/>
      <c r="AM27" s="501"/>
      <c r="AN27" s="501"/>
      <c r="AO27" s="501"/>
      <c r="AP27" s="501"/>
      <c r="AQ27" s="501"/>
      <c r="AR27" s="501"/>
      <c r="AS27" s="501"/>
      <c r="AT27" s="501"/>
      <c r="AU27" s="501"/>
      <c r="AV27" s="501">
        <v>12500.000000000002</v>
      </c>
      <c r="AW27" s="501"/>
      <c r="AX27" s="501"/>
      <c r="AY27" s="501"/>
      <c r="AZ27" s="501"/>
      <c r="BA27" s="501"/>
      <c r="BB27" s="483"/>
      <c r="BC27" s="483"/>
      <c r="BD27" s="483"/>
      <c r="BE27" s="483"/>
      <c r="BF27" s="483"/>
      <c r="BG27" s="483">
        <v>237500.00000000015</v>
      </c>
      <c r="BH27" s="483"/>
      <c r="BI27" s="483"/>
      <c r="BJ27" s="483"/>
      <c r="BK27" s="483"/>
      <c r="BL27" s="483"/>
      <c r="BM27" s="483"/>
      <c r="BN27" s="483"/>
      <c r="BO27" s="483"/>
      <c r="BP27" s="483"/>
      <c r="BQ27" s="483"/>
      <c r="BR27" s="483">
        <v>250000.00000000015</v>
      </c>
      <c r="BS27" s="484">
        <f t="shared" si="2"/>
        <v>12500.000000000002</v>
      </c>
      <c r="BT27" s="485">
        <f t="shared" si="4"/>
        <v>0</v>
      </c>
      <c r="BU27" s="485">
        <f t="shared" si="4"/>
        <v>0</v>
      </c>
      <c r="BV27" s="485">
        <f t="shared" si="4"/>
        <v>0</v>
      </c>
      <c r="BW27" s="485">
        <f t="shared" si="4"/>
        <v>1</v>
      </c>
      <c r="BX27" s="485">
        <f t="shared" si="4"/>
        <v>0</v>
      </c>
      <c r="BY27" s="485">
        <f t="shared" si="4"/>
        <v>0</v>
      </c>
      <c r="BZ27" s="485">
        <f t="shared" si="4"/>
        <v>0</v>
      </c>
      <c r="CA27" s="485">
        <f t="shared" si="4"/>
        <v>0</v>
      </c>
      <c r="CB27" s="485">
        <f t="shared" si="4"/>
        <v>0</v>
      </c>
      <c r="CC27" s="485">
        <f t="shared" si="4"/>
        <v>0</v>
      </c>
      <c r="CD27" s="485">
        <f t="shared" si="5"/>
        <v>0</v>
      </c>
      <c r="CE27" s="485">
        <f t="shared" si="5"/>
        <v>0</v>
      </c>
      <c r="CF27" s="485">
        <f t="shared" si="5"/>
        <v>0</v>
      </c>
      <c r="CG27" s="485">
        <f t="shared" si="5"/>
        <v>0</v>
      </c>
      <c r="CH27" s="485">
        <f t="shared" si="5"/>
        <v>0</v>
      </c>
      <c r="CI27" s="485">
        <f t="shared" si="5"/>
        <v>0</v>
      </c>
      <c r="CJ27" s="485">
        <f t="shared" si="5"/>
        <v>0</v>
      </c>
      <c r="CK27" s="485">
        <f t="shared" si="5"/>
        <v>0</v>
      </c>
      <c r="CL27" s="485">
        <f t="shared" si="5"/>
        <v>0</v>
      </c>
      <c r="CM27" s="486">
        <f t="shared" si="3"/>
        <v>1</v>
      </c>
    </row>
    <row r="28" spans="1:91" s="487" customFormat="1" ht="25.5" x14ac:dyDescent="0.25">
      <c r="A28" s="497" t="s">
        <v>372</v>
      </c>
      <c r="B28" s="498" t="s">
        <v>2106</v>
      </c>
      <c r="C28" s="497" t="s">
        <v>777</v>
      </c>
      <c r="D28" s="498"/>
      <c r="E28" s="497" t="s">
        <v>655</v>
      </c>
      <c r="F28" s="498"/>
      <c r="G28" s="497" t="s">
        <v>648</v>
      </c>
      <c r="H28" s="497" t="s">
        <v>654</v>
      </c>
      <c r="I28" s="497" t="s">
        <v>647</v>
      </c>
      <c r="J28" s="497" t="s">
        <v>671</v>
      </c>
      <c r="K28" s="497" t="s">
        <v>649</v>
      </c>
      <c r="L28" s="497" t="s">
        <v>36</v>
      </c>
      <c r="M28" s="497" t="s">
        <v>653</v>
      </c>
      <c r="N28" s="497" t="s">
        <v>680</v>
      </c>
      <c r="O28" s="497"/>
      <c r="P28" s="497"/>
      <c r="Q28" s="497" t="s">
        <v>650</v>
      </c>
      <c r="R28" s="497" t="s">
        <v>652</v>
      </c>
      <c r="S28" s="497" t="s">
        <v>649</v>
      </c>
      <c r="T28" s="497"/>
      <c r="U28" s="497"/>
      <c r="V28" s="497" t="s">
        <v>36</v>
      </c>
      <c r="W28" s="497" t="s">
        <v>640</v>
      </c>
      <c r="X28" s="499">
        <v>43282</v>
      </c>
      <c r="Y28" s="499">
        <v>43640</v>
      </c>
      <c r="Z28" s="500">
        <v>2019</v>
      </c>
      <c r="AA28" s="497" t="s">
        <v>676</v>
      </c>
      <c r="AB28" s="497" t="s">
        <v>675</v>
      </c>
      <c r="AC28" s="497" t="s">
        <v>663</v>
      </c>
      <c r="AD28" s="501"/>
      <c r="AE28" s="501"/>
      <c r="AF28" s="501"/>
      <c r="AG28" s="501"/>
      <c r="AH28" s="501"/>
      <c r="AI28" s="501"/>
      <c r="AJ28" s="501"/>
      <c r="AK28" s="501"/>
      <c r="AL28" s="501"/>
      <c r="AM28" s="501"/>
      <c r="AN28" s="501"/>
      <c r="AO28" s="501"/>
      <c r="AP28" s="501"/>
      <c r="AQ28" s="501"/>
      <c r="AR28" s="501"/>
      <c r="AS28" s="501"/>
      <c r="AT28" s="501"/>
      <c r="AU28" s="501">
        <v>164500.00000000006</v>
      </c>
      <c r="AV28" s="501"/>
      <c r="AW28" s="501"/>
      <c r="AX28" s="501">
        <v>71000.000000000029</v>
      </c>
      <c r="AY28" s="501"/>
      <c r="AZ28" s="501"/>
      <c r="BA28" s="501"/>
      <c r="BB28" s="483">
        <v>30615.000000000007</v>
      </c>
      <c r="BC28" s="483"/>
      <c r="BD28" s="483"/>
      <c r="BE28" s="483"/>
      <c r="BF28" s="483"/>
      <c r="BG28" s="483">
        <v>47988.60671640787</v>
      </c>
      <c r="BH28" s="483"/>
      <c r="BI28" s="483"/>
      <c r="BJ28" s="483"/>
      <c r="BK28" s="483"/>
      <c r="BL28" s="483"/>
      <c r="BM28" s="483"/>
      <c r="BN28" s="483"/>
      <c r="BO28" s="483"/>
      <c r="BP28" s="483"/>
      <c r="BQ28" s="483"/>
      <c r="BR28" s="483">
        <v>314103.60671640793</v>
      </c>
      <c r="BS28" s="484">
        <f t="shared" si="2"/>
        <v>235500.00000000009</v>
      </c>
      <c r="BT28" s="485">
        <f t="shared" si="4"/>
        <v>0.69851380042462841</v>
      </c>
      <c r="BU28" s="485">
        <f t="shared" si="4"/>
        <v>0</v>
      </c>
      <c r="BV28" s="485">
        <f t="shared" si="4"/>
        <v>0</v>
      </c>
      <c r="BW28" s="485">
        <f t="shared" si="4"/>
        <v>0</v>
      </c>
      <c r="BX28" s="485">
        <f t="shared" si="4"/>
        <v>0</v>
      </c>
      <c r="BY28" s="485">
        <f t="shared" si="4"/>
        <v>0</v>
      </c>
      <c r="BZ28" s="485">
        <f t="shared" si="4"/>
        <v>0</v>
      </c>
      <c r="CA28" s="485">
        <f t="shared" si="4"/>
        <v>0.30148619957537154</v>
      </c>
      <c r="CB28" s="485">
        <f t="shared" si="4"/>
        <v>0</v>
      </c>
      <c r="CC28" s="485">
        <f t="shared" si="4"/>
        <v>0</v>
      </c>
      <c r="CD28" s="485">
        <f t="shared" si="5"/>
        <v>0</v>
      </c>
      <c r="CE28" s="485">
        <f t="shared" si="5"/>
        <v>0</v>
      </c>
      <c r="CF28" s="485">
        <f t="shared" si="5"/>
        <v>0</v>
      </c>
      <c r="CG28" s="485">
        <f t="shared" si="5"/>
        <v>0</v>
      </c>
      <c r="CH28" s="485">
        <f t="shared" si="5"/>
        <v>0</v>
      </c>
      <c r="CI28" s="485">
        <f t="shared" si="5"/>
        <v>0</v>
      </c>
      <c r="CJ28" s="485">
        <f t="shared" si="5"/>
        <v>0</v>
      </c>
      <c r="CK28" s="485">
        <f t="shared" si="5"/>
        <v>0</v>
      </c>
      <c r="CL28" s="485">
        <f t="shared" si="5"/>
        <v>0</v>
      </c>
      <c r="CM28" s="486">
        <f t="shared" si="3"/>
        <v>1</v>
      </c>
    </row>
    <row r="29" spans="1:91" s="487" customFormat="1" ht="25.5" x14ac:dyDescent="0.25">
      <c r="A29" s="497" t="s">
        <v>374</v>
      </c>
      <c r="B29" s="498" t="s">
        <v>2108</v>
      </c>
      <c r="C29" s="497" t="s">
        <v>776</v>
      </c>
      <c r="D29" s="498"/>
      <c r="E29" s="497" t="s">
        <v>655</v>
      </c>
      <c r="F29" s="498"/>
      <c r="G29" s="497" t="s">
        <v>648</v>
      </c>
      <c r="H29" s="497" t="s">
        <v>654</v>
      </c>
      <c r="I29" s="497" t="s">
        <v>647</v>
      </c>
      <c r="J29" s="497" t="s">
        <v>671</v>
      </c>
      <c r="K29" s="497" t="s">
        <v>649</v>
      </c>
      <c r="L29" s="497" t="s">
        <v>36</v>
      </c>
      <c r="M29" s="497" t="s">
        <v>653</v>
      </c>
      <c r="N29" s="497" t="s">
        <v>680</v>
      </c>
      <c r="O29" s="497"/>
      <c r="P29" s="497"/>
      <c r="Q29" s="497" t="s">
        <v>650</v>
      </c>
      <c r="R29" s="497" t="s">
        <v>652</v>
      </c>
      <c r="S29" s="497" t="s">
        <v>649</v>
      </c>
      <c r="T29" s="497"/>
      <c r="U29" s="497"/>
      <c r="V29" s="497" t="s">
        <v>36</v>
      </c>
      <c r="W29" s="497" t="s">
        <v>684</v>
      </c>
      <c r="X29" s="499">
        <v>43282</v>
      </c>
      <c r="Y29" s="499">
        <v>43565</v>
      </c>
      <c r="Z29" s="500">
        <v>2019</v>
      </c>
      <c r="AA29" s="497" t="s">
        <v>676</v>
      </c>
      <c r="AB29" s="497" t="s">
        <v>675</v>
      </c>
      <c r="AC29" s="497" t="s">
        <v>663</v>
      </c>
      <c r="AD29" s="501"/>
      <c r="AE29" s="501"/>
      <c r="AF29" s="501"/>
      <c r="AG29" s="501"/>
      <c r="AH29" s="501"/>
      <c r="AI29" s="501"/>
      <c r="AJ29" s="501"/>
      <c r="AK29" s="501"/>
      <c r="AL29" s="501"/>
      <c r="AM29" s="501"/>
      <c r="AN29" s="501"/>
      <c r="AO29" s="501"/>
      <c r="AP29" s="501"/>
      <c r="AQ29" s="501"/>
      <c r="AR29" s="501"/>
      <c r="AS29" s="501"/>
      <c r="AT29" s="501"/>
      <c r="AU29" s="501"/>
      <c r="AV29" s="501"/>
      <c r="AW29" s="501"/>
      <c r="AX29" s="501"/>
      <c r="AY29" s="501"/>
      <c r="AZ29" s="501">
        <v>122000.0000000001</v>
      </c>
      <c r="BA29" s="501"/>
      <c r="BB29" s="483"/>
      <c r="BC29" s="483"/>
      <c r="BD29" s="483"/>
      <c r="BE29" s="483"/>
      <c r="BF29" s="483"/>
      <c r="BG29" s="483">
        <v>17529.369995477518</v>
      </c>
      <c r="BH29" s="483"/>
      <c r="BI29" s="483"/>
      <c r="BJ29" s="483"/>
      <c r="BK29" s="483"/>
      <c r="BL29" s="483"/>
      <c r="BM29" s="483"/>
      <c r="BN29" s="483"/>
      <c r="BO29" s="483"/>
      <c r="BP29" s="483"/>
      <c r="BQ29" s="483"/>
      <c r="BR29" s="483">
        <v>139529.36999547761</v>
      </c>
      <c r="BS29" s="484">
        <f t="shared" si="2"/>
        <v>122000.0000000001</v>
      </c>
      <c r="BT29" s="485">
        <f t="shared" si="4"/>
        <v>0</v>
      </c>
      <c r="BU29" s="485">
        <f t="shared" si="4"/>
        <v>0</v>
      </c>
      <c r="BV29" s="485">
        <f t="shared" si="4"/>
        <v>0</v>
      </c>
      <c r="BW29" s="485">
        <f t="shared" si="4"/>
        <v>0</v>
      </c>
      <c r="BX29" s="485">
        <f t="shared" si="4"/>
        <v>0</v>
      </c>
      <c r="BY29" s="485">
        <f t="shared" si="4"/>
        <v>0</v>
      </c>
      <c r="BZ29" s="485">
        <f t="shared" si="4"/>
        <v>0</v>
      </c>
      <c r="CA29" s="485">
        <f t="shared" si="4"/>
        <v>1</v>
      </c>
      <c r="CB29" s="485">
        <f t="shared" si="4"/>
        <v>0</v>
      </c>
      <c r="CC29" s="485">
        <f t="shared" si="4"/>
        <v>0</v>
      </c>
      <c r="CD29" s="485">
        <f t="shared" si="5"/>
        <v>0</v>
      </c>
      <c r="CE29" s="485">
        <f t="shared" si="5"/>
        <v>0</v>
      </c>
      <c r="CF29" s="485">
        <f t="shared" si="5"/>
        <v>0</v>
      </c>
      <c r="CG29" s="485">
        <f t="shared" si="5"/>
        <v>0</v>
      </c>
      <c r="CH29" s="485">
        <f t="shared" si="5"/>
        <v>0</v>
      </c>
      <c r="CI29" s="485">
        <f t="shared" si="5"/>
        <v>0</v>
      </c>
      <c r="CJ29" s="485">
        <f t="shared" si="5"/>
        <v>0</v>
      </c>
      <c r="CK29" s="485">
        <f t="shared" si="5"/>
        <v>0</v>
      </c>
      <c r="CL29" s="485">
        <f t="shared" si="5"/>
        <v>0</v>
      </c>
      <c r="CM29" s="486">
        <f t="shared" si="3"/>
        <v>1</v>
      </c>
    </row>
    <row r="30" spans="1:91" s="487" customFormat="1" ht="25.5" x14ac:dyDescent="0.25">
      <c r="A30" s="497" t="s">
        <v>376</v>
      </c>
      <c r="B30" s="498" t="s">
        <v>2240</v>
      </c>
      <c r="C30" s="497" t="s">
        <v>775</v>
      </c>
      <c r="D30" s="498"/>
      <c r="E30" s="497" t="s">
        <v>655</v>
      </c>
      <c r="F30" s="498"/>
      <c r="G30" s="497"/>
      <c r="H30" s="497" t="s">
        <v>654</v>
      </c>
      <c r="I30" s="497" t="s">
        <v>647</v>
      </c>
      <c r="J30" s="497" t="s">
        <v>671</v>
      </c>
      <c r="K30" s="497" t="s">
        <v>649</v>
      </c>
      <c r="L30" s="497" t="s">
        <v>40</v>
      </c>
      <c r="M30" s="497" t="s">
        <v>653</v>
      </c>
      <c r="N30" s="497" t="s">
        <v>645</v>
      </c>
      <c r="O30" s="497"/>
      <c r="P30" s="497"/>
      <c r="Q30" s="497" t="s">
        <v>656</v>
      </c>
      <c r="R30" s="497" t="s">
        <v>652</v>
      </c>
      <c r="S30" s="497" t="s">
        <v>649</v>
      </c>
      <c r="T30" s="497"/>
      <c r="U30" s="497"/>
      <c r="V30" s="497" t="s">
        <v>670</v>
      </c>
      <c r="W30" s="497" t="s">
        <v>774</v>
      </c>
      <c r="X30" s="499">
        <v>43282</v>
      </c>
      <c r="Y30" s="499">
        <v>45096</v>
      </c>
      <c r="Z30" s="500">
        <v>2023</v>
      </c>
      <c r="AA30" s="497"/>
      <c r="AB30" s="497"/>
      <c r="AC30" s="497"/>
      <c r="AD30" s="501"/>
      <c r="AE30" s="501"/>
      <c r="AF30" s="501"/>
      <c r="AG30" s="501"/>
      <c r="AH30" s="501"/>
      <c r="AI30" s="501"/>
      <c r="AJ30" s="501"/>
      <c r="AK30" s="501"/>
      <c r="AL30" s="501"/>
      <c r="AM30" s="501"/>
      <c r="AN30" s="501"/>
      <c r="AO30" s="501"/>
      <c r="AP30" s="501"/>
      <c r="AQ30" s="501"/>
      <c r="AR30" s="501"/>
      <c r="AS30" s="501"/>
      <c r="AT30" s="501"/>
      <c r="AU30" s="501"/>
      <c r="AV30" s="501">
        <v>0</v>
      </c>
      <c r="AW30" s="501"/>
      <c r="AX30" s="501"/>
      <c r="AY30" s="501"/>
      <c r="AZ30" s="501"/>
      <c r="BA30" s="501"/>
      <c r="BB30" s="483"/>
      <c r="BC30" s="483"/>
      <c r="BD30" s="483"/>
      <c r="BE30" s="483"/>
      <c r="BF30" s="483"/>
      <c r="BG30" s="483">
        <v>2013795.9466459639</v>
      </c>
      <c r="BH30" s="483"/>
      <c r="BI30" s="483"/>
      <c r="BJ30" s="483"/>
      <c r="BK30" s="483"/>
      <c r="BL30" s="483"/>
      <c r="BM30" s="483"/>
      <c r="BN30" s="483"/>
      <c r="BO30" s="483"/>
      <c r="BP30" s="483"/>
      <c r="BQ30" s="483"/>
      <c r="BR30" s="483">
        <v>2013795.9466459639</v>
      </c>
      <c r="BS30" s="484">
        <f t="shared" si="2"/>
        <v>0</v>
      </c>
      <c r="BT30" s="485">
        <v>0</v>
      </c>
      <c r="BU30" s="485">
        <v>0</v>
      </c>
      <c r="BV30" s="485">
        <v>0</v>
      </c>
      <c r="BW30" s="485">
        <v>0</v>
      </c>
      <c r="BX30" s="485">
        <v>0</v>
      </c>
      <c r="BY30" s="485">
        <v>0</v>
      </c>
      <c r="BZ30" s="485">
        <v>0</v>
      </c>
      <c r="CA30" s="485">
        <v>1</v>
      </c>
      <c r="CB30" s="485">
        <v>0</v>
      </c>
      <c r="CC30" s="485">
        <v>0</v>
      </c>
      <c r="CD30" s="485">
        <v>0</v>
      </c>
      <c r="CE30" s="485">
        <v>0</v>
      </c>
      <c r="CF30" s="485">
        <v>0</v>
      </c>
      <c r="CG30" s="485">
        <v>0</v>
      </c>
      <c r="CH30" s="485">
        <v>0</v>
      </c>
      <c r="CI30" s="485">
        <v>0</v>
      </c>
      <c r="CJ30" s="485">
        <v>0</v>
      </c>
      <c r="CK30" s="485">
        <v>0</v>
      </c>
      <c r="CL30" s="485">
        <v>0</v>
      </c>
      <c r="CM30" s="486">
        <f t="shared" si="3"/>
        <v>1</v>
      </c>
    </row>
    <row r="31" spans="1:91" s="487" customFormat="1" ht="25.5" x14ac:dyDescent="0.25">
      <c r="A31" s="497" t="s">
        <v>379</v>
      </c>
      <c r="B31" s="498" t="s">
        <v>2843</v>
      </c>
      <c r="C31" s="497" t="s">
        <v>2676</v>
      </c>
      <c r="D31" s="498"/>
      <c r="E31" s="497" t="s">
        <v>655</v>
      </c>
      <c r="F31" s="498"/>
      <c r="G31" s="497" t="s">
        <v>722</v>
      </c>
      <c r="H31" s="497" t="s">
        <v>654</v>
      </c>
      <c r="I31" s="497" t="s">
        <v>647</v>
      </c>
      <c r="J31" s="497" t="s">
        <v>641</v>
      </c>
      <c r="K31" s="497" t="s">
        <v>649</v>
      </c>
      <c r="L31" s="497" t="s">
        <v>60</v>
      </c>
      <c r="M31" s="497" t="s">
        <v>653</v>
      </c>
      <c r="N31" s="497" t="s">
        <v>680</v>
      </c>
      <c r="O31" s="497"/>
      <c r="P31" s="497" t="s">
        <v>643</v>
      </c>
      <c r="Q31" s="497" t="s">
        <v>656</v>
      </c>
      <c r="R31" s="497" t="s">
        <v>652</v>
      </c>
      <c r="S31" s="497" t="s">
        <v>649</v>
      </c>
      <c r="T31" s="497"/>
      <c r="U31" s="497"/>
      <c r="V31" s="497" t="s">
        <v>641</v>
      </c>
      <c r="W31" s="497" t="s">
        <v>684</v>
      </c>
      <c r="X31" s="499">
        <v>43282</v>
      </c>
      <c r="Y31" s="499">
        <v>43643</v>
      </c>
      <c r="Z31" s="500">
        <v>2019</v>
      </c>
      <c r="AA31" s="497" t="s">
        <v>676</v>
      </c>
      <c r="AB31" s="497"/>
      <c r="AC31" s="497"/>
      <c r="AD31" s="501"/>
      <c r="AE31" s="501"/>
      <c r="AF31" s="501"/>
      <c r="AG31" s="501">
        <v>2094358.0000000002</v>
      </c>
      <c r="AH31" s="501"/>
      <c r="AI31" s="501"/>
      <c r="AJ31" s="501"/>
      <c r="AK31" s="501"/>
      <c r="AL31" s="501"/>
      <c r="AM31" s="501"/>
      <c r="AN31" s="501"/>
      <c r="AO31" s="501"/>
      <c r="AP31" s="501"/>
      <c r="AQ31" s="501"/>
      <c r="AR31" s="501"/>
      <c r="AS31" s="501"/>
      <c r="AT31" s="501"/>
      <c r="AU31" s="501"/>
      <c r="AV31" s="501"/>
      <c r="AW31" s="501"/>
      <c r="AX31" s="501"/>
      <c r="AY31" s="501"/>
      <c r="AZ31" s="501"/>
      <c r="BA31" s="501"/>
      <c r="BB31" s="483"/>
      <c r="BC31" s="483"/>
      <c r="BD31" s="483"/>
      <c r="BE31" s="483"/>
      <c r="BF31" s="483"/>
      <c r="BG31" s="483">
        <v>105641.85349198891</v>
      </c>
      <c r="BH31" s="483"/>
      <c r="BI31" s="483"/>
      <c r="BJ31" s="483"/>
      <c r="BK31" s="483"/>
      <c r="BL31" s="483"/>
      <c r="BM31" s="483"/>
      <c r="BN31" s="483"/>
      <c r="BO31" s="483"/>
      <c r="BP31" s="483"/>
      <c r="BQ31" s="483"/>
      <c r="BR31" s="483">
        <v>2199999.853491989</v>
      </c>
      <c r="BS31" s="484">
        <f t="shared" si="2"/>
        <v>2094358.0000000002</v>
      </c>
      <c r="BT31" s="485">
        <f t="shared" ref="BT31:CC35" si="6">SUMIFS($AD31:$BA31,$AD$11:$BA$11,BT$21)/$BS31</f>
        <v>0</v>
      </c>
      <c r="BU31" s="485">
        <f t="shared" si="6"/>
        <v>0</v>
      </c>
      <c r="BV31" s="485">
        <f t="shared" si="6"/>
        <v>0</v>
      </c>
      <c r="BW31" s="485">
        <f t="shared" si="6"/>
        <v>0</v>
      </c>
      <c r="BX31" s="485">
        <f t="shared" si="6"/>
        <v>0</v>
      </c>
      <c r="BY31" s="485">
        <f t="shared" si="6"/>
        <v>0</v>
      </c>
      <c r="BZ31" s="485">
        <f t="shared" si="6"/>
        <v>0</v>
      </c>
      <c r="CA31" s="485">
        <f t="shared" si="6"/>
        <v>0</v>
      </c>
      <c r="CB31" s="485">
        <f t="shared" si="6"/>
        <v>0</v>
      </c>
      <c r="CC31" s="485">
        <f t="shared" si="6"/>
        <v>1</v>
      </c>
      <c r="CD31" s="485">
        <f t="shared" ref="CD31:CL35" si="7">SUMIFS($AD31:$BA31,$AD$11:$BA$11,CD$21)/$BS31</f>
        <v>0</v>
      </c>
      <c r="CE31" s="485">
        <f t="shared" si="7"/>
        <v>0</v>
      </c>
      <c r="CF31" s="485">
        <f t="shared" si="7"/>
        <v>0</v>
      </c>
      <c r="CG31" s="485">
        <f t="shared" si="7"/>
        <v>0</v>
      </c>
      <c r="CH31" s="485">
        <f t="shared" si="7"/>
        <v>0</v>
      </c>
      <c r="CI31" s="485">
        <f t="shared" si="7"/>
        <v>0</v>
      </c>
      <c r="CJ31" s="485">
        <f t="shared" si="7"/>
        <v>0</v>
      </c>
      <c r="CK31" s="485">
        <f t="shared" si="7"/>
        <v>0</v>
      </c>
      <c r="CL31" s="485">
        <f t="shared" si="7"/>
        <v>0</v>
      </c>
      <c r="CM31" s="486">
        <f t="shared" si="3"/>
        <v>1</v>
      </c>
    </row>
    <row r="32" spans="1:91" s="487" customFormat="1" ht="25.5" x14ac:dyDescent="0.25">
      <c r="A32" s="497" t="s">
        <v>381</v>
      </c>
      <c r="B32" s="498" t="s">
        <v>2114</v>
      </c>
      <c r="C32" s="497" t="s">
        <v>2469</v>
      </c>
      <c r="D32" s="498"/>
      <c r="E32" s="497" t="s">
        <v>655</v>
      </c>
      <c r="F32" s="498"/>
      <c r="G32" s="497"/>
      <c r="H32" s="497" t="s">
        <v>654</v>
      </c>
      <c r="I32" s="497" t="s">
        <v>647</v>
      </c>
      <c r="J32" s="497" t="s">
        <v>671</v>
      </c>
      <c r="K32" s="497" t="s">
        <v>649</v>
      </c>
      <c r="L32" s="497" t="s">
        <v>55</v>
      </c>
      <c r="M32" s="497" t="s">
        <v>653</v>
      </c>
      <c r="N32" s="497" t="s">
        <v>645</v>
      </c>
      <c r="O32" s="497"/>
      <c r="P32" s="497"/>
      <c r="Q32" s="497" t="s">
        <v>656</v>
      </c>
      <c r="R32" s="497" t="s">
        <v>652</v>
      </c>
      <c r="S32" s="497" t="s">
        <v>649</v>
      </c>
      <c r="T32" s="497"/>
      <c r="U32" s="497"/>
      <c r="V32" s="497" t="s">
        <v>683</v>
      </c>
      <c r="W32" s="497" t="s">
        <v>684</v>
      </c>
      <c r="X32" s="499">
        <v>44317</v>
      </c>
      <c r="Y32" s="499">
        <v>44609</v>
      </c>
      <c r="Z32" s="500">
        <v>2022</v>
      </c>
      <c r="AA32" s="497"/>
      <c r="AB32" s="497"/>
      <c r="AC32" s="497"/>
      <c r="AD32" s="501"/>
      <c r="AE32" s="501"/>
      <c r="AF32" s="501"/>
      <c r="AG32" s="501"/>
      <c r="AH32" s="501"/>
      <c r="AI32" s="501"/>
      <c r="AJ32" s="501"/>
      <c r="AK32" s="501"/>
      <c r="AL32" s="501"/>
      <c r="AM32" s="501"/>
      <c r="AN32" s="501"/>
      <c r="AO32" s="501"/>
      <c r="AP32" s="501"/>
      <c r="AQ32" s="501"/>
      <c r="AR32" s="501"/>
      <c r="AS32" s="501"/>
      <c r="AT32" s="501"/>
      <c r="AU32" s="501"/>
      <c r="AV32" s="501">
        <v>1141371.0000000005</v>
      </c>
      <c r="AW32" s="501"/>
      <c r="AX32" s="501"/>
      <c r="AY32" s="501"/>
      <c r="AZ32" s="501"/>
      <c r="BA32" s="501"/>
      <c r="BB32" s="483"/>
      <c r="BC32" s="483"/>
      <c r="BD32" s="483"/>
      <c r="BE32" s="483"/>
      <c r="BF32" s="483"/>
      <c r="BG32" s="483">
        <v>670458.71108333417</v>
      </c>
      <c r="BH32" s="483"/>
      <c r="BI32" s="483"/>
      <c r="BJ32" s="483"/>
      <c r="BK32" s="483"/>
      <c r="BL32" s="483"/>
      <c r="BM32" s="483"/>
      <c r="BN32" s="483"/>
      <c r="BO32" s="483"/>
      <c r="BP32" s="483"/>
      <c r="BQ32" s="483"/>
      <c r="BR32" s="483">
        <v>1811829.7110833344</v>
      </c>
      <c r="BS32" s="484">
        <f t="shared" si="2"/>
        <v>1141371.0000000005</v>
      </c>
      <c r="BT32" s="485">
        <f t="shared" si="6"/>
        <v>0</v>
      </c>
      <c r="BU32" s="485">
        <f t="shared" si="6"/>
        <v>0</v>
      </c>
      <c r="BV32" s="485">
        <f t="shared" si="6"/>
        <v>0</v>
      </c>
      <c r="BW32" s="485">
        <f t="shared" si="6"/>
        <v>1</v>
      </c>
      <c r="BX32" s="485">
        <f t="shared" si="6"/>
        <v>0</v>
      </c>
      <c r="BY32" s="485">
        <f t="shared" si="6"/>
        <v>0</v>
      </c>
      <c r="BZ32" s="485">
        <f t="shared" si="6"/>
        <v>0</v>
      </c>
      <c r="CA32" s="485">
        <f t="shared" si="6"/>
        <v>0</v>
      </c>
      <c r="CB32" s="485">
        <f t="shared" si="6"/>
        <v>0</v>
      </c>
      <c r="CC32" s="485">
        <f t="shared" si="6"/>
        <v>0</v>
      </c>
      <c r="CD32" s="485">
        <f t="shared" si="7"/>
        <v>0</v>
      </c>
      <c r="CE32" s="485">
        <f t="shared" si="7"/>
        <v>0</v>
      </c>
      <c r="CF32" s="485">
        <f t="shared" si="7"/>
        <v>0</v>
      </c>
      <c r="CG32" s="485">
        <f t="shared" si="7"/>
        <v>0</v>
      </c>
      <c r="CH32" s="485">
        <f t="shared" si="7"/>
        <v>0</v>
      </c>
      <c r="CI32" s="485">
        <f t="shared" si="7"/>
        <v>0</v>
      </c>
      <c r="CJ32" s="485">
        <f t="shared" si="7"/>
        <v>0</v>
      </c>
      <c r="CK32" s="485">
        <f t="shared" si="7"/>
        <v>0</v>
      </c>
      <c r="CL32" s="485">
        <f t="shared" si="7"/>
        <v>0</v>
      </c>
      <c r="CM32" s="486">
        <f t="shared" si="3"/>
        <v>1</v>
      </c>
    </row>
    <row r="33" spans="1:91" s="487" customFormat="1" ht="25.5" x14ac:dyDescent="0.25">
      <c r="A33" s="497" t="s">
        <v>382</v>
      </c>
      <c r="B33" s="498" t="s">
        <v>2844</v>
      </c>
      <c r="C33" s="497" t="s">
        <v>2470</v>
      </c>
      <c r="D33" s="498"/>
      <c r="E33" s="497" t="s">
        <v>655</v>
      </c>
      <c r="F33" s="498"/>
      <c r="G33" s="497"/>
      <c r="H33" s="497" t="s">
        <v>654</v>
      </c>
      <c r="I33" s="497" t="s">
        <v>647</v>
      </c>
      <c r="J33" s="497" t="s">
        <v>671</v>
      </c>
      <c r="K33" s="497" t="s">
        <v>649</v>
      </c>
      <c r="L33" s="497" t="s">
        <v>55</v>
      </c>
      <c r="M33" s="497" t="s">
        <v>653</v>
      </c>
      <c r="N33" s="497" t="s">
        <v>645</v>
      </c>
      <c r="O33" s="497"/>
      <c r="P33" s="497"/>
      <c r="Q33" s="497" t="s">
        <v>650</v>
      </c>
      <c r="R33" s="497" t="s">
        <v>652</v>
      </c>
      <c r="S33" s="497" t="s">
        <v>649</v>
      </c>
      <c r="T33" s="497"/>
      <c r="U33" s="497"/>
      <c r="V33" s="497" t="s">
        <v>683</v>
      </c>
      <c r="W33" s="497" t="s">
        <v>677</v>
      </c>
      <c r="X33" s="499">
        <v>42948</v>
      </c>
      <c r="Y33" s="499">
        <v>43542</v>
      </c>
      <c r="Z33" s="500">
        <v>2020</v>
      </c>
      <c r="AA33" s="497"/>
      <c r="AB33" s="497"/>
      <c r="AC33" s="497"/>
      <c r="AD33" s="501"/>
      <c r="AE33" s="501"/>
      <c r="AF33" s="501"/>
      <c r="AG33" s="501"/>
      <c r="AH33" s="501"/>
      <c r="AI33" s="501"/>
      <c r="AJ33" s="501"/>
      <c r="AK33" s="501"/>
      <c r="AL33" s="501"/>
      <c r="AM33" s="501"/>
      <c r="AN33" s="501"/>
      <c r="AO33" s="501"/>
      <c r="AP33" s="501"/>
      <c r="AQ33" s="501"/>
      <c r="AR33" s="501"/>
      <c r="AS33" s="501"/>
      <c r="AT33" s="501"/>
      <c r="AU33" s="501"/>
      <c r="AV33" s="501">
        <v>60250.000000000029</v>
      </c>
      <c r="AW33" s="501"/>
      <c r="AX33" s="501"/>
      <c r="AY33" s="501"/>
      <c r="AZ33" s="501"/>
      <c r="BA33" s="501"/>
      <c r="BB33" s="483"/>
      <c r="BC33" s="483"/>
      <c r="BD33" s="483"/>
      <c r="BE33" s="483"/>
      <c r="BF33" s="483"/>
      <c r="BG33" s="483">
        <v>1144750.0000000007</v>
      </c>
      <c r="BH33" s="483"/>
      <c r="BI33" s="483"/>
      <c r="BJ33" s="483"/>
      <c r="BK33" s="483"/>
      <c r="BL33" s="483"/>
      <c r="BM33" s="483"/>
      <c r="BN33" s="483"/>
      <c r="BO33" s="483"/>
      <c r="BP33" s="483"/>
      <c r="BQ33" s="483"/>
      <c r="BR33" s="483">
        <v>1205000.0000000005</v>
      </c>
      <c r="BS33" s="484">
        <f t="shared" si="2"/>
        <v>60250.000000000029</v>
      </c>
      <c r="BT33" s="485">
        <f t="shared" si="6"/>
        <v>0</v>
      </c>
      <c r="BU33" s="485">
        <f t="shared" si="6"/>
        <v>0</v>
      </c>
      <c r="BV33" s="485">
        <f t="shared" si="6"/>
        <v>0</v>
      </c>
      <c r="BW33" s="485">
        <f t="shared" si="6"/>
        <v>1</v>
      </c>
      <c r="BX33" s="485">
        <f t="shared" si="6"/>
        <v>0</v>
      </c>
      <c r="BY33" s="485">
        <f t="shared" si="6"/>
        <v>0</v>
      </c>
      <c r="BZ33" s="485">
        <f t="shared" si="6"/>
        <v>0</v>
      </c>
      <c r="CA33" s="485">
        <f t="shared" si="6"/>
        <v>0</v>
      </c>
      <c r="CB33" s="485">
        <f t="shared" si="6"/>
        <v>0</v>
      </c>
      <c r="CC33" s="485">
        <f t="shared" si="6"/>
        <v>0</v>
      </c>
      <c r="CD33" s="485">
        <f t="shared" si="7"/>
        <v>0</v>
      </c>
      <c r="CE33" s="485">
        <f t="shared" si="7"/>
        <v>0</v>
      </c>
      <c r="CF33" s="485">
        <f t="shared" si="7"/>
        <v>0</v>
      </c>
      <c r="CG33" s="485">
        <f t="shared" si="7"/>
        <v>0</v>
      </c>
      <c r="CH33" s="485">
        <f t="shared" si="7"/>
        <v>0</v>
      </c>
      <c r="CI33" s="485">
        <f t="shared" si="7"/>
        <v>0</v>
      </c>
      <c r="CJ33" s="485">
        <f t="shared" si="7"/>
        <v>0</v>
      </c>
      <c r="CK33" s="485">
        <f t="shared" si="7"/>
        <v>0</v>
      </c>
      <c r="CL33" s="485">
        <f t="shared" si="7"/>
        <v>0</v>
      </c>
      <c r="CM33" s="486">
        <f t="shared" si="3"/>
        <v>1</v>
      </c>
    </row>
    <row r="34" spans="1:91" s="487" customFormat="1" ht="25.5" x14ac:dyDescent="0.25">
      <c r="A34" s="497" t="s">
        <v>383</v>
      </c>
      <c r="B34" s="498" t="s">
        <v>2845</v>
      </c>
      <c r="C34" s="497" t="s">
        <v>2783</v>
      </c>
      <c r="D34" s="498"/>
      <c r="E34" s="497" t="s">
        <v>655</v>
      </c>
      <c r="F34" s="498"/>
      <c r="G34" s="497"/>
      <c r="H34" s="497" t="s">
        <v>654</v>
      </c>
      <c r="I34" s="497" t="s">
        <v>647</v>
      </c>
      <c r="J34" s="497" t="s">
        <v>671</v>
      </c>
      <c r="K34" s="497" t="s">
        <v>649</v>
      </c>
      <c r="L34" s="497" t="s">
        <v>55</v>
      </c>
      <c r="M34" s="497" t="s">
        <v>653</v>
      </c>
      <c r="N34" s="497" t="s">
        <v>645</v>
      </c>
      <c r="O34" s="497"/>
      <c r="P34" s="497"/>
      <c r="Q34" s="497" t="s">
        <v>656</v>
      </c>
      <c r="R34" s="497" t="s">
        <v>652</v>
      </c>
      <c r="S34" s="497" t="s">
        <v>649</v>
      </c>
      <c r="T34" s="497"/>
      <c r="U34" s="497"/>
      <c r="V34" s="497" t="s">
        <v>683</v>
      </c>
      <c r="W34" s="497" t="s">
        <v>694</v>
      </c>
      <c r="X34" s="499">
        <v>43374</v>
      </c>
      <c r="Y34" s="499">
        <v>44432</v>
      </c>
      <c r="Z34" s="500">
        <v>2022</v>
      </c>
      <c r="AA34" s="497"/>
      <c r="AB34" s="497"/>
      <c r="AC34" s="497"/>
      <c r="AD34" s="501"/>
      <c r="AE34" s="501"/>
      <c r="AF34" s="501"/>
      <c r="AG34" s="501"/>
      <c r="AH34" s="501"/>
      <c r="AI34" s="501"/>
      <c r="AJ34" s="501"/>
      <c r="AK34" s="501"/>
      <c r="AL34" s="501"/>
      <c r="AM34" s="501"/>
      <c r="AN34" s="501"/>
      <c r="AO34" s="501"/>
      <c r="AP34" s="501"/>
      <c r="AQ34" s="501"/>
      <c r="AR34" s="501"/>
      <c r="AS34" s="501"/>
      <c r="AT34" s="501"/>
      <c r="AU34" s="501"/>
      <c r="AV34" s="501">
        <v>1769192.0000000023</v>
      </c>
      <c r="AW34" s="501"/>
      <c r="AX34" s="501"/>
      <c r="AY34" s="501"/>
      <c r="AZ34" s="501"/>
      <c r="BA34" s="501"/>
      <c r="BB34" s="483"/>
      <c r="BC34" s="483"/>
      <c r="BD34" s="483"/>
      <c r="BE34" s="483"/>
      <c r="BF34" s="483"/>
      <c r="BG34" s="483">
        <v>499561.24225000129</v>
      </c>
      <c r="BH34" s="483"/>
      <c r="BI34" s="483"/>
      <c r="BJ34" s="483"/>
      <c r="BK34" s="483"/>
      <c r="BL34" s="483"/>
      <c r="BM34" s="483"/>
      <c r="BN34" s="483"/>
      <c r="BO34" s="483"/>
      <c r="BP34" s="483"/>
      <c r="BQ34" s="483"/>
      <c r="BR34" s="483">
        <v>2268753.2422500039</v>
      </c>
      <c r="BS34" s="484">
        <f t="shared" si="2"/>
        <v>1769192.0000000023</v>
      </c>
      <c r="BT34" s="485">
        <f t="shared" si="6"/>
        <v>0</v>
      </c>
      <c r="BU34" s="485">
        <f t="shared" si="6"/>
        <v>0</v>
      </c>
      <c r="BV34" s="485">
        <f t="shared" si="6"/>
        <v>0</v>
      </c>
      <c r="BW34" s="485">
        <f t="shared" si="6"/>
        <v>1</v>
      </c>
      <c r="BX34" s="485">
        <f t="shared" si="6"/>
        <v>0</v>
      </c>
      <c r="BY34" s="485">
        <f t="shared" si="6"/>
        <v>0</v>
      </c>
      <c r="BZ34" s="485">
        <f t="shared" si="6"/>
        <v>0</v>
      </c>
      <c r="CA34" s="485">
        <f t="shared" si="6"/>
        <v>0</v>
      </c>
      <c r="CB34" s="485">
        <f t="shared" si="6"/>
        <v>0</v>
      </c>
      <c r="CC34" s="485">
        <f t="shared" si="6"/>
        <v>0</v>
      </c>
      <c r="CD34" s="485">
        <f t="shared" si="7"/>
        <v>0</v>
      </c>
      <c r="CE34" s="485">
        <f t="shared" si="7"/>
        <v>0</v>
      </c>
      <c r="CF34" s="485">
        <f t="shared" si="7"/>
        <v>0</v>
      </c>
      <c r="CG34" s="485">
        <f t="shared" si="7"/>
        <v>0</v>
      </c>
      <c r="CH34" s="485">
        <f t="shared" si="7"/>
        <v>0</v>
      </c>
      <c r="CI34" s="485">
        <f t="shared" si="7"/>
        <v>0</v>
      </c>
      <c r="CJ34" s="485">
        <f t="shared" si="7"/>
        <v>0</v>
      </c>
      <c r="CK34" s="485">
        <f t="shared" si="7"/>
        <v>0</v>
      </c>
      <c r="CL34" s="485">
        <f t="shared" si="7"/>
        <v>0</v>
      </c>
      <c r="CM34" s="486">
        <f t="shared" si="3"/>
        <v>1</v>
      </c>
    </row>
    <row r="35" spans="1:91" s="487" customFormat="1" ht="25.5" x14ac:dyDescent="0.25">
      <c r="A35" s="497" t="s">
        <v>385</v>
      </c>
      <c r="B35" s="498" t="s">
        <v>2117</v>
      </c>
      <c r="C35" s="497" t="s">
        <v>2472</v>
      </c>
      <c r="D35" s="498"/>
      <c r="E35" s="497" t="s">
        <v>655</v>
      </c>
      <c r="F35" s="498"/>
      <c r="G35" s="497"/>
      <c r="H35" s="497" t="s">
        <v>654</v>
      </c>
      <c r="I35" s="497" t="s">
        <v>647</v>
      </c>
      <c r="J35" s="497" t="s">
        <v>671</v>
      </c>
      <c r="K35" s="497" t="s">
        <v>649</v>
      </c>
      <c r="L35" s="497" t="s">
        <v>55</v>
      </c>
      <c r="M35" s="497" t="s">
        <v>653</v>
      </c>
      <c r="N35" s="497" t="s">
        <v>645</v>
      </c>
      <c r="O35" s="497"/>
      <c r="P35" s="497"/>
      <c r="Q35" s="497" t="s">
        <v>650</v>
      </c>
      <c r="R35" s="497" t="s">
        <v>652</v>
      </c>
      <c r="S35" s="497" t="s">
        <v>649</v>
      </c>
      <c r="T35" s="497"/>
      <c r="U35" s="497"/>
      <c r="V35" s="497" t="s">
        <v>683</v>
      </c>
      <c r="W35" s="497" t="s">
        <v>677</v>
      </c>
      <c r="X35" s="499">
        <v>44319</v>
      </c>
      <c r="Y35" s="499">
        <v>44895</v>
      </c>
      <c r="Z35" s="500">
        <v>2023</v>
      </c>
      <c r="AA35" s="497"/>
      <c r="AB35" s="497"/>
      <c r="AC35" s="497"/>
      <c r="AD35" s="501"/>
      <c r="AE35" s="501"/>
      <c r="AF35" s="501"/>
      <c r="AG35" s="501"/>
      <c r="AH35" s="501"/>
      <c r="AI35" s="501"/>
      <c r="AJ35" s="501"/>
      <c r="AK35" s="501"/>
      <c r="AL35" s="501"/>
      <c r="AM35" s="501"/>
      <c r="AN35" s="501"/>
      <c r="AO35" s="501"/>
      <c r="AP35" s="501"/>
      <c r="AQ35" s="501"/>
      <c r="AR35" s="501"/>
      <c r="AS35" s="501"/>
      <c r="AT35" s="501"/>
      <c r="AU35" s="501"/>
      <c r="AV35" s="501">
        <v>220000</v>
      </c>
      <c r="AW35" s="501"/>
      <c r="AX35" s="501"/>
      <c r="AY35" s="501"/>
      <c r="AZ35" s="501"/>
      <c r="BA35" s="501"/>
      <c r="BB35" s="483"/>
      <c r="BC35" s="483"/>
      <c r="BD35" s="483"/>
      <c r="BE35" s="483"/>
      <c r="BF35" s="483"/>
      <c r="BG35" s="483">
        <v>880000.00000000058</v>
      </c>
      <c r="BH35" s="483"/>
      <c r="BI35" s="483"/>
      <c r="BJ35" s="483"/>
      <c r="BK35" s="483"/>
      <c r="BL35" s="483"/>
      <c r="BM35" s="483"/>
      <c r="BN35" s="483"/>
      <c r="BO35" s="483"/>
      <c r="BP35" s="483"/>
      <c r="BQ35" s="483"/>
      <c r="BR35" s="483">
        <v>1100000.0000000005</v>
      </c>
      <c r="BS35" s="484">
        <f t="shared" si="2"/>
        <v>220000</v>
      </c>
      <c r="BT35" s="485">
        <f t="shared" si="6"/>
        <v>0</v>
      </c>
      <c r="BU35" s="485">
        <f t="shared" si="6"/>
        <v>0</v>
      </c>
      <c r="BV35" s="485">
        <f t="shared" si="6"/>
        <v>0</v>
      </c>
      <c r="BW35" s="485">
        <f t="shared" si="6"/>
        <v>1</v>
      </c>
      <c r="BX35" s="485">
        <f t="shared" si="6"/>
        <v>0</v>
      </c>
      <c r="BY35" s="485">
        <f t="shared" si="6"/>
        <v>0</v>
      </c>
      <c r="BZ35" s="485">
        <f t="shared" si="6"/>
        <v>0</v>
      </c>
      <c r="CA35" s="485">
        <f t="shared" si="6"/>
        <v>0</v>
      </c>
      <c r="CB35" s="485">
        <f t="shared" si="6"/>
        <v>0</v>
      </c>
      <c r="CC35" s="485">
        <f t="shared" si="6"/>
        <v>0</v>
      </c>
      <c r="CD35" s="485">
        <f t="shared" si="7"/>
        <v>0</v>
      </c>
      <c r="CE35" s="485">
        <f t="shared" si="7"/>
        <v>0</v>
      </c>
      <c r="CF35" s="485">
        <f t="shared" si="7"/>
        <v>0</v>
      </c>
      <c r="CG35" s="485">
        <f t="shared" si="7"/>
        <v>0</v>
      </c>
      <c r="CH35" s="485">
        <f t="shared" si="7"/>
        <v>0</v>
      </c>
      <c r="CI35" s="485">
        <f t="shared" si="7"/>
        <v>0</v>
      </c>
      <c r="CJ35" s="485">
        <f t="shared" si="7"/>
        <v>0</v>
      </c>
      <c r="CK35" s="485">
        <f t="shared" si="7"/>
        <v>0</v>
      </c>
      <c r="CL35" s="485">
        <f t="shared" si="7"/>
        <v>0</v>
      </c>
      <c r="CM35" s="486">
        <f t="shared" si="3"/>
        <v>1</v>
      </c>
    </row>
    <row r="36" spans="1:91" s="487" customFormat="1" ht="25.5" x14ac:dyDescent="0.25">
      <c r="A36" s="497" t="s">
        <v>386</v>
      </c>
      <c r="B36" s="498" t="s">
        <v>2119</v>
      </c>
      <c r="C36" s="497" t="s">
        <v>2473</v>
      </c>
      <c r="D36" s="498"/>
      <c r="E36" s="497" t="s">
        <v>655</v>
      </c>
      <c r="F36" s="498"/>
      <c r="G36" s="497"/>
      <c r="H36" s="497" t="s">
        <v>654</v>
      </c>
      <c r="I36" s="497" t="s">
        <v>647</v>
      </c>
      <c r="J36" s="497" t="s">
        <v>671</v>
      </c>
      <c r="K36" s="497" t="s">
        <v>649</v>
      </c>
      <c r="L36" s="497" t="s">
        <v>55</v>
      </c>
      <c r="M36" s="497" t="s">
        <v>653</v>
      </c>
      <c r="N36" s="497" t="s">
        <v>645</v>
      </c>
      <c r="O36" s="497"/>
      <c r="P36" s="497"/>
      <c r="Q36" s="497" t="s">
        <v>656</v>
      </c>
      <c r="R36" s="497" t="s">
        <v>652</v>
      </c>
      <c r="S36" s="497" t="s">
        <v>649</v>
      </c>
      <c r="T36" s="497"/>
      <c r="U36" s="497"/>
      <c r="V36" s="497" t="s">
        <v>683</v>
      </c>
      <c r="W36" s="497" t="s">
        <v>677</v>
      </c>
      <c r="X36" s="499">
        <v>44378</v>
      </c>
      <c r="Y36" s="499">
        <v>45471</v>
      </c>
      <c r="Z36" s="500">
        <v>2025</v>
      </c>
      <c r="AA36" s="497"/>
      <c r="AB36" s="497"/>
      <c r="AC36" s="497"/>
      <c r="AD36" s="501"/>
      <c r="AE36" s="501"/>
      <c r="AF36" s="501"/>
      <c r="AG36" s="501"/>
      <c r="AH36" s="501"/>
      <c r="AI36" s="501"/>
      <c r="AJ36" s="501"/>
      <c r="AK36" s="501"/>
      <c r="AL36" s="501"/>
      <c r="AM36" s="501"/>
      <c r="AN36" s="501"/>
      <c r="AO36" s="501"/>
      <c r="AP36" s="501"/>
      <c r="AQ36" s="501"/>
      <c r="AR36" s="501"/>
      <c r="AS36" s="501"/>
      <c r="AT36" s="501"/>
      <c r="AU36" s="501"/>
      <c r="AV36" s="501">
        <v>0</v>
      </c>
      <c r="AW36" s="501"/>
      <c r="AX36" s="501"/>
      <c r="AY36" s="501"/>
      <c r="AZ36" s="501"/>
      <c r="BA36" s="501"/>
      <c r="BB36" s="483"/>
      <c r="BC36" s="483"/>
      <c r="BD36" s="483"/>
      <c r="BE36" s="483"/>
      <c r="BF36" s="483"/>
      <c r="BG36" s="483">
        <v>2999368.2580833337</v>
      </c>
      <c r="BH36" s="483"/>
      <c r="BI36" s="483"/>
      <c r="BJ36" s="483"/>
      <c r="BK36" s="483"/>
      <c r="BL36" s="483"/>
      <c r="BM36" s="483"/>
      <c r="BN36" s="483"/>
      <c r="BO36" s="483"/>
      <c r="BP36" s="483"/>
      <c r="BQ36" s="483"/>
      <c r="BR36" s="483">
        <v>2999368.2580833337</v>
      </c>
      <c r="BS36" s="484">
        <f t="shared" si="2"/>
        <v>0</v>
      </c>
      <c r="BT36" s="485">
        <v>0</v>
      </c>
      <c r="BU36" s="485">
        <v>0</v>
      </c>
      <c r="BV36" s="485">
        <v>0</v>
      </c>
      <c r="BW36" s="485">
        <v>1</v>
      </c>
      <c r="BX36" s="485">
        <v>0</v>
      </c>
      <c r="BY36" s="485">
        <v>0</v>
      </c>
      <c r="BZ36" s="485">
        <v>0</v>
      </c>
      <c r="CA36" s="485">
        <v>0</v>
      </c>
      <c r="CB36" s="485">
        <v>0</v>
      </c>
      <c r="CC36" s="485">
        <v>0</v>
      </c>
      <c r="CD36" s="485">
        <v>0</v>
      </c>
      <c r="CE36" s="485">
        <v>0</v>
      </c>
      <c r="CF36" s="485">
        <v>0</v>
      </c>
      <c r="CG36" s="485">
        <v>0</v>
      </c>
      <c r="CH36" s="485">
        <v>0</v>
      </c>
      <c r="CI36" s="485">
        <v>0</v>
      </c>
      <c r="CJ36" s="485">
        <v>0</v>
      </c>
      <c r="CK36" s="485">
        <v>0</v>
      </c>
      <c r="CL36" s="485">
        <v>0</v>
      </c>
      <c r="CM36" s="486">
        <f t="shared" si="3"/>
        <v>1</v>
      </c>
    </row>
    <row r="37" spans="1:91" s="487" customFormat="1" ht="25.5" x14ac:dyDescent="0.25">
      <c r="A37" s="497" t="s">
        <v>388</v>
      </c>
      <c r="B37" s="498" t="s">
        <v>2241</v>
      </c>
      <c r="C37" s="497" t="s">
        <v>2677</v>
      </c>
      <c r="D37" s="498"/>
      <c r="E37" s="497" t="s">
        <v>655</v>
      </c>
      <c r="F37" s="498"/>
      <c r="G37" s="497"/>
      <c r="H37" s="497" t="s">
        <v>654</v>
      </c>
      <c r="I37" s="497" t="s">
        <v>647</v>
      </c>
      <c r="J37" s="497" t="s">
        <v>671</v>
      </c>
      <c r="K37" s="497" t="s">
        <v>649</v>
      </c>
      <c r="L37" s="497" t="s">
        <v>40</v>
      </c>
      <c r="M37" s="497" t="s">
        <v>653</v>
      </c>
      <c r="N37" s="497" t="s">
        <v>645</v>
      </c>
      <c r="O37" s="497"/>
      <c r="P37" s="497"/>
      <c r="Q37" s="497" t="s">
        <v>656</v>
      </c>
      <c r="R37" s="497" t="s">
        <v>652</v>
      </c>
      <c r="S37" s="497" t="s">
        <v>649</v>
      </c>
      <c r="T37" s="497"/>
      <c r="U37" s="497"/>
      <c r="V37" s="497" t="s">
        <v>670</v>
      </c>
      <c r="W37" s="497" t="s">
        <v>694</v>
      </c>
      <c r="X37" s="499">
        <v>43647</v>
      </c>
      <c r="Y37" s="499">
        <v>44644</v>
      </c>
      <c r="Z37" s="500">
        <v>2022</v>
      </c>
      <c r="AA37" s="497" t="s">
        <v>663</v>
      </c>
      <c r="AB37" s="497"/>
      <c r="AC37" s="497"/>
      <c r="AD37" s="501"/>
      <c r="AE37" s="501"/>
      <c r="AF37" s="501"/>
      <c r="AG37" s="501"/>
      <c r="AH37" s="501"/>
      <c r="AI37" s="501"/>
      <c r="AJ37" s="501"/>
      <c r="AK37" s="501"/>
      <c r="AL37" s="501"/>
      <c r="AM37" s="501"/>
      <c r="AN37" s="501"/>
      <c r="AO37" s="501"/>
      <c r="AP37" s="501"/>
      <c r="AQ37" s="501"/>
      <c r="AR37" s="501"/>
      <c r="AS37" s="501"/>
      <c r="AT37" s="501"/>
      <c r="AU37" s="501"/>
      <c r="AV37" s="501">
        <v>0</v>
      </c>
      <c r="AW37" s="501"/>
      <c r="AX37" s="501"/>
      <c r="AY37" s="501"/>
      <c r="AZ37" s="501"/>
      <c r="BA37" s="501"/>
      <c r="BB37" s="483"/>
      <c r="BC37" s="483"/>
      <c r="BD37" s="483"/>
      <c r="BE37" s="483"/>
      <c r="BF37" s="483"/>
      <c r="BG37" s="483">
        <v>2924949.7770005148</v>
      </c>
      <c r="BH37" s="483"/>
      <c r="BI37" s="483"/>
      <c r="BJ37" s="483"/>
      <c r="BK37" s="483"/>
      <c r="BL37" s="483"/>
      <c r="BM37" s="483"/>
      <c r="BN37" s="483"/>
      <c r="BO37" s="483"/>
      <c r="BP37" s="483"/>
      <c r="BQ37" s="483"/>
      <c r="BR37" s="483">
        <v>2924949.7770005148</v>
      </c>
      <c r="BS37" s="484">
        <f t="shared" si="2"/>
        <v>0</v>
      </c>
      <c r="BT37" s="485">
        <v>0</v>
      </c>
      <c r="BU37" s="485">
        <v>0</v>
      </c>
      <c r="BV37" s="485">
        <v>0</v>
      </c>
      <c r="BW37" s="485">
        <v>0</v>
      </c>
      <c r="BX37" s="485">
        <v>0</v>
      </c>
      <c r="BY37" s="485">
        <v>0</v>
      </c>
      <c r="BZ37" s="485">
        <v>0</v>
      </c>
      <c r="CA37" s="485">
        <v>1</v>
      </c>
      <c r="CB37" s="485">
        <v>0</v>
      </c>
      <c r="CC37" s="485">
        <v>0</v>
      </c>
      <c r="CD37" s="485">
        <v>0</v>
      </c>
      <c r="CE37" s="485">
        <v>0</v>
      </c>
      <c r="CF37" s="485">
        <v>0</v>
      </c>
      <c r="CG37" s="485">
        <v>0</v>
      </c>
      <c r="CH37" s="485">
        <v>0</v>
      </c>
      <c r="CI37" s="485">
        <v>0</v>
      </c>
      <c r="CJ37" s="485">
        <v>0</v>
      </c>
      <c r="CK37" s="485">
        <v>0</v>
      </c>
      <c r="CL37" s="485">
        <v>0</v>
      </c>
      <c r="CM37" s="486">
        <f t="shared" si="3"/>
        <v>1</v>
      </c>
    </row>
    <row r="38" spans="1:91" s="487" customFormat="1" ht="25.5" x14ac:dyDescent="0.25">
      <c r="A38" s="497" t="s">
        <v>392</v>
      </c>
      <c r="B38" s="498" t="s">
        <v>2847</v>
      </c>
      <c r="C38" s="497" t="s">
        <v>2784</v>
      </c>
      <c r="D38" s="498"/>
      <c r="E38" s="497" t="s">
        <v>655</v>
      </c>
      <c r="F38" s="498"/>
      <c r="G38" s="497"/>
      <c r="H38" s="497" t="s">
        <v>654</v>
      </c>
      <c r="I38" s="497" t="s">
        <v>647</v>
      </c>
      <c r="J38" s="497" t="s">
        <v>671</v>
      </c>
      <c r="K38" s="497" t="s">
        <v>649</v>
      </c>
      <c r="L38" s="497" t="s">
        <v>55</v>
      </c>
      <c r="M38" s="497" t="s">
        <v>653</v>
      </c>
      <c r="N38" s="497" t="s">
        <v>645</v>
      </c>
      <c r="O38" s="497"/>
      <c r="P38" s="497"/>
      <c r="Q38" s="497" t="s">
        <v>650</v>
      </c>
      <c r="R38" s="497" t="s">
        <v>652</v>
      </c>
      <c r="S38" s="497" t="s">
        <v>649</v>
      </c>
      <c r="T38" s="497"/>
      <c r="U38" s="497"/>
      <c r="V38" s="497" t="s">
        <v>683</v>
      </c>
      <c r="W38" s="497" t="s">
        <v>640</v>
      </c>
      <c r="X38" s="499">
        <v>44835</v>
      </c>
      <c r="Y38" s="499">
        <v>45467</v>
      </c>
      <c r="Z38" s="500">
        <v>2024</v>
      </c>
      <c r="AA38" s="497"/>
      <c r="AB38" s="497"/>
      <c r="AC38" s="497"/>
      <c r="AD38" s="501"/>
      <c r="AE38" s="501"/>
      <c r="AF38" s="501"/>
      <c r="AG38" s="501"/>
      <c r="AH38" s="501"/>
      <c r="AI38" s="501"/>
      <c r="AJ38" s="501"/>
      <c r="AK38" s="501"/>
      <c r="AL38" s="501"/>
      <c r="AM38" s="501"/>
      <c r="AN38" s="501"/>
      <c r="AO38" s="501"/>
      <c r="AP38" s="501"/>
      <c r="AQ38" s="501"/>
      <c r="AR38" s="501"/>
      <c r="AS38" s="501"/>
      <c r="AT38" s="501"/>
      <c r="AU38" s="501"/>
      <c r="AV38" s="501">
        <v>176000.00000000017</v>
      </c>
      <c r="AW38" s="501"/>
      <c r="AX38" s="501"/>
      <c r="AY38" s="501"/>
      <c r="AZ38" s="501"/>
      <c r="BA38" s="501"/>
      <c r="BB38" s="483"/>
      <c r="BC38" s="483"/>
      <c r="BD38" s="483"/>
      <c r="BE38" s="483"/>
      <c r="BF38" s="483"/>
      <c r="BG38" s="483">
        <v>702748.43466666737</v>
      </c>
      <c r="BH38" s="483"/>
      <c r="BI38" s="483"/>
      <c r="BJ38" s="483"/>
      <c r="BK38" s="483"/>
      <c r="BL38" s="483"/>
      <c r="BM38" s="483"/>
      <c r="BN38" s="483"/>
      <c r="BO38" s="483"/>
      <c r="BP38" s="483"/>
      <c r="BQ38" s="483"/>
      <c r="BR38" s="483">
        <v>878748.43466666748</v>
      </c>
      <c r="BS38" s="484">
        <f t="shared" si="2"/>
        <v>176000.00000000017</v>
      </c>
      <c r="BT38" s="485">
        <f t="shared" ref="BT38:CC47" si="8">SUMIFS($AD38:$BA38,$AD$11:$BA$11,BT$21)/$BS38</f>
        <v>0</v>
      </c>
      <c r="BU38" s="485">
        <f t="shared" si="8"/>
        <v>0</v>
      </c>
      <c r="BV38" s="485">
        <f t="shared" si="8"/>
        <v>0</v>
      </c>
      <c r="BW38" s="485">
        <f t="shared" si="8"/>
        <v>1</v>
      </c>
      <c r="BX38" s="485">
        <f t="shared" si="8"/>
        <v>0</v>
      </c>
      <c r="BY38" s="485">
        <f t="shared" si="8"/>
        <v>0</v>
      </c>
      <c r="BZ38" s="485">
        <f t="shared" si="8"/>
        <v>0</v>
      </c>
      <c r="CA38" s="485">
        <f t="shared" si="8"/>
        <v>0</v>
      </c>
      <c r="CB38" s="485">
        <f t="shared" si="8"/>
        <v>0</v>
      </c>
      <c r="CC38" s="485">
        <f t="shared" si="8"/>
        <v>0</v>
      </c>
      <c r="CD38" s="485">
        <f t="shared" ref="CD38:CL47" si="9">SUMIFS($AD38:$BA38,$AD$11:$BA$11,CD$21)/$BS38</f>
        <v>0</v>
      </c>
      <c r="CE38" s="485">
        <f t="shared" si="9"/>
        <v>0</v>
      </c>
      <c r="CF38" s="485">
        <f t="shared" si="9"/>
        <v>0</v>
      </c>
      <c r="CG38" s="485">
        <f t="shared" si="9"/>
        <v>0</v>
      </c>
      <c r="CH38" s="485">
        <f t="shared" si="9"/>
        <v>0</v>
      </c>
      <c r="CI38" s="485">
        <f t="shared" si="9"/>
        <v>0</v>
      </c>
      <c r="CJ38" s="485">
        <f t="shared" si="9"/>
        <v>0</v>
      </c>
      <c r="CK38" s="485">
        <f t="shared" si="9"/>
        <v>0</v>
      </c>
      <c r="CL38" s="485">
        <f t="shared" si="9"/>
        <v>0</v>
      </c>
      <c r="CM38" s="486">
        <f t="shared" si="3"/>
        <v>1</v>
      </c>
    </row>
    <row r="39" spans="1:91" s="487" customFormat="1" ht="25.5" x14ac:dyDescent="0.25">
      <c r="A39" s="497" t="s">
        <v>393</v>
      </c>
      <c r="B39" s="498" t="s">
        <v>2848</v>
      </c>
      <c r="C39" s="497" t="s">
        <v>2785</v>
      </c>
      <c r="D39" s="498"/>
      <c r="E39" s="497" t="s">
        <v>655</v>
      </c>
      <c r="F39" s="498"/>
      <c r="G39" s="497"/>
      <c r="H39" s="497" t="s">
        <v>654</v>
      </c>
      <c r="I39" s="497" t="s">
        <v>647</v>
      </c>
      <c r="J39" s="497" t="s">
        <v>671</v>
      </c>
      <c r="K39" s="497" t="s">
        <v>649</v>
      </c>
      <c r="L39" s="497" t="s">
        <v>55</v>
      </c>
      <c r="M39" s="497" t="s">
        <v>653</v>
      </c>
      <c r="N39" s="497" t="s">
        <v>645</v>
      </c>
      <c r="O39" s="497"/>
      <c r="P39" s="497"/>
      <c r="Q39" s="497" t="s">
        <v>656</v>
      </c>
      <c r="R39" s="497" t="s">
        <v>652</v>
      </c>
      <c r="S39" s="497" t="s">
        <v>649</v>
      </c>
      <c r="T39" s="497"/>
      <c r="U39" s="497"/>
      <c r="V39" s="497" t="s">
        <v>683</v>
      </c>
      <c r="W39" s="497" t="s">
        <v>640</v>
      </c>
      <c r="X39" s="499">
        <v>44683</v>
      </c>
      <c r="Y39" s="499">
        <v>45554</v>
      </c>
      <c r="Z39" s="500">
        <v>2025</v>
      </c>
      <c r="AA39" s="497"/>
      <c r="AB39" s="497"/>
      <c r="AC39" s="497"/>
      <c r="AD39" s="501"/>
      <c r="AE39" s="501"/>
      <c r="AF39" s="501"/>
      <c r="AG39" s="501"/>
      <c r="AH39" s="501"/>
      <c r="AI39" s="501"/>
      <c r="AJ39" s="501"/>
      <c r="AK39" s="501"/>
      <c r="AL39" s="501"/>
      <c r="AM39" s="501"/>
      <c r="AN39" s="501"/>
      <c r="AO39" s="501"/>
      <c r="AP39" s="501"/>
      <c r="AQ39" s="501"/>
      <c r="AR39" s="501"/>
      <c r="AS39" s="501"/>
      <c r="AT39" s="501"/>
      <c r="AU39" s="501"/>
      <c r="AV39" s="501">
        <v>449999.99999999953</v>
      </c>
      <c r="AW39" s="501"/>
      <c r="AX39" s="501"/>
      <c r="AY39" s="501"/>
      <c r="AZ39" s="501"/>
      <c r="BA39" s="501"/>
      <c r="BB39" s="483"/>
      <c r="BC39" s="483"/>
      <c r="BD39" s="483"/>
      <c r="BE39" s="483"/>
      <c r="BF39" s="483"/>
      <c r="BG39" s="483">
        <v>1800873.1120833319</v>
      </c>
      <c r="BH39" s="483"/>
      <c r="BI39" s="483"/>
      <c r="BJ39" s="483"/>
      <c r="BK39" s="483"/>
      <c r="BL39" s="483"/>
      <c r="BM39" s="483"/>
      <c r="BN39" s="483"/>
      <c r="BO39" s="483"/>
      <c r="BP39" s="483"/>
      <c r="BQ39" s="483"/>
      <c r="BR39" s="483">
        <v>2250873.1120833317</v>
      </c>
      <c r="BS39" s="484">
        <f t="shared" si="2"/>
        <v>449999.99999999953</v>
      </c>
      <c r="BT39" s="485">
        <f t="shared" si="8"/>
        <v>0</v>
      </c>
      <c r="BU39" s="485">
        <f t="shared" si="8"/>
        <v>0</v>
      </c>
      <c r="BV39" s="485">
        <f t="shared" si="8"/>
        <v>0</v>
      </c>
      <c r="BW39" s="485">
        <f t="shared" si="8"/>
        <v>1</v>
      </c>
      <c r="BX39" s="485">
        <f t="shared" si="8"/>
        <v>0</v>
      </c>
      <c r="BY39" s="485">
        <f t="shared" si="8"/>
        <v>0</v>
      </c>
      <c r="BZ39" s="485">
        <f t="shared" si="8"/>
        <v>0</v>
      </c>
      <c r="CA39" s="485">
        <f t="shared" si="8"/>
        <v>0</v>
      </c>
      <c r="CB39" s="485">
        <f t="shared" si="8"/>
        <v>0</v>
      </c>
      <c r="CC39" s="485">
        <f t="shared" si="8"/>
        <v>0</v>
      </c>
      <c r="CD39" s="485">
        <f t="shared" si="9"/>
        <v>0</v>
      </c>
      <c r="CE39" s="485">
        <f t="shared" si="9"/>
        <v>0</v>
      </c>
      <c r="CF39" s="485">
        <f t="shared" si="9"/>
        <v>0</v>
      </c>
      <c r="CG39" s="485">
        <f t="shared" si="9"/>
        <v>0</v>
      </c>
      <c r="CH39" s="485">
        <f t="shared" si="9"/>
        <v>0</v>
      </c>
      <c r="CI39" s="485">
        <f t="shared" si="9"/>
        <v>0</v>
      </c>
      <c r="CJ39" s="485">
        <f t="shared" si="9"/>
        <v>0</v>
      </c>
      <c r="CK39" s="485">
        <f t="shared" si="9"/>
        <v>0</v>
      </c>
      <c r="CL39" s="485">
        <f t="shared" si="9"/>
        <v>0</v>
      </c>
      <c r="CM39" s="486">
        <f t="shared" si="3"/>
        <v>1</v>
      </c>
    </row>
    <row r="40" spans="1:91" s="487" customFormat="1" ht="25.5" x14ac:dyDescent="0.25">
      <c r="A40" s="497" t="s">
        <v>394</v>
      </c>
      <c r="B40" s="498" t="s">
        <v>2125</v>
      </c>
      <c r="C40" s="497" t="s">
        <v>765</v>
      </c>
      <c r="D40" s="498"/>
      <c r="E40" s="497" t="s">
        <v>655</v>
      </c>
      <c r="F40" s="498"/>
      <c r="G40" s="497" t="s">
        <v>648</v>
      </c>
      <c r="H40" s="497" t="s">
        <v>654</v>
      </c>
      <c r="I40" s="497" t="s">
        <v>647</v>
      </c>
      <c r="J40" s="497" t="s">
        <v>671</v>
      </c>
      <c r="K40" s="497" t="s">
        <v>649</v>
      </c>
      <c r="L40" s="497" t="s">
        <v>36</v>
      </c>
      <c r="M40" s="497" t="s">
        <v>653</v>
      </c>
      <c r="N40" s="497" t="s">
        <v>680</v>
      </c>
      <c r="O40" s="497"/>
      <c r="P40" s="497"/>
      <c r="Q40" s="497" t="s">
        <v>650</v>
      </c>
      <c r="R40" s="497" t="s">
        <v>652</v>
      </c>
      <c r="S40" s="497" t="s">
        <v>649</v>
      </c>
      <c r="T40" s="497"/>
      <c r="U40" s="497"/>
      <c r="V40" s="497" t="s">
        <v>36</v>
      </c>
      <c r="W40" s="497" t="s">
        <v>640</v>
      </c>
      <c r="X40" s="499">
        <v>43282</v>
      </c>
      <c r="Y40" s="499">
        <v>43536</v>
      </c>
      <c r="Z40" s="500">
        <v>2019</v>
      </c>
      <c r="AA40" s="497" t="s">
        <v>676</v>
      </c>
      <c r="AB40" s="497" t="s">
        <v>675</v>
      </c>
      <c r="AC40" s="497" t="s">
        <v>663</v>
      </c>
      <c r="AD40" s="501"/>
      <c r="AE40" s="501"/>
      <c r="AF40" s="501"/>
      <c r="AG40" s="501"/>
      <c r="AH40" s="501"/>
      <c r="AI40" s="501"/>
      <c r="AJ40" s="501"/>
      <c r="AK40" s="501"/>
      <c r="AL40" s="501"/>
      <c r="AM40" s="501"/>
      <c r="AN40" s="501"/>
      <c r="AO40" s="501"/>
      <c r="AP40" s="501"/>
      <c r="AQ40" s="501"/>
      <c r="AR40" s="501"/>
      <c r="AS40" s="501"/>
      <c r="AT40" s="501"/>
      <c r="AU40" s="501">
        <v>455000</v>
      </c>
      <c r="AV40" s="501"/>
      <c r="AW40" s="501"/>
      <c r="AX40" s="501"/>
      <c r="AY40" s="501"/>
      <c r="AZ40" s="501"/>
      <c r="BA40" s="501"/>
      <c r="BB40" s="483">
        <v>59150.000000000007</v>
      </c>
      <c r="BC40" s="483"/>
      <c r="BD40" s="483"/>
      <c r="BE40" s="483"/>
      <c r="BF40" s="483"/>
      <c r="BG40" s="483">
        <v>92716.841001976951</v>
      </c>
      <c r="BH40" s="483"/>
      <c r="BI40" s="483"/>
      <c r="BJ40" s="483"/>
      <c r="BK40" s="483"/>
      <c r="BL40" s="483"/>
      <c r="BM40" s="483"/>
      <c r="BN40" s="483"/>
      <c r="BO40" s="483"/>
      <c r="BP40" s="483"/>
      <c r="BQ40" s="483"/>
      <c r="BR40" s="483">
        <v>606866.84100197698</v>
      </c>
      <c r="BS40" s="484">
        <f t="shared" si="2"/>
        <v>455000</v>
      </c>
      <c r="BT40" s="485">
        <f t="shared" si="8"/>
        <v>1</v>
      </c>
      <c r="BU40" s="485">
        <f t="shared" si="8"/>
        <v>0</v>
      </c>
      <c r="BV40" s="485">
        <f t="shared" si="8"/>
        <v>0</v>
      </c>
      <c r="BW40" s="485">
        <f t="shared" si="8"/>
        <v>0</v>
      </c>
      <c r="BX40" s="485">
        <f t="shared" si="8"/>
        <v>0</v>
      </c>
      <c r="BY40" s="485">
        <f t="shared" si="8"/>
        <v>0</v>
      </c>
      <c r="BZ40" s="485">
        <f t="shared" si="8"/>
        <v>0</v>
      </c>
      <c r="CA40" s="485">
        <f t="shared" si="8"/>
        <v>0</v>
      </c>
      <c r="CB40" s="485">
        <f t="shared" si="8"/>
        <v>0</v>
      </c>
      <c r="CC40" s="485">
        <f t="shared" si="8"/>
        <v>0</v>
      </c>
      <c r="CD40" s="485">
        <f t="shared" si="9"/>
        <v>0</v>
      </c>
      <c r="CE40" s="485">
        <f t="shared" si="9"/>
        <v>0</v>
      </c>
      <c r="CF40" s="485">
        <f t="shared" si="9"/>
        <v>0</v>
      </c>
      <c r="CG40" s="485">
        <f t="shared" si="9"/>
        <v>0</v>
      </c>
      <c r="CH40" s="485">
        <f t="shared" si="9"/>
        <v>0</v>
      </c>
      <c r="CI40" s="485">
        <f t="shared" si="9"/>
        <v>0</v>
      </c>
      <c r="CJ40" s="485">
        <f t="shared" si="9"/>
        <v>0</v>
      </c>
      <c r="CK40" s="485">
        <f t="shared" si="9"/>
        <v>0</v>
      </c>
      <c r="CL40" s="485">
        <f t="shared" si="9"/>
        <v>0</v>
      </c>
      <c r="CM40" s="486">
        <f t="shared" si="3"/>
        <v>1</v>
      </c>
    </row>
    <row r="41" spans="1:91" s="487" customFormat="1" ht="25.5" x14ac:dyDescent="0.25">
      <c r="A41" s="497" t="s">
        <v>396</v>
      </c>
      <c r="B41" s="498" t="s">
        <v>2127</v>
      </c>
      <c r="C41" s="497" t="s">
        <v>764</v>
      </c>
      <c r="D41" s="498"/>
      <c r="E41" s="497" t="s">
        <v>655</v>
      </c>
      <c r="F41" s="498"/>
      <c r="G41" s="497" t="s">
        <v>648</v>
      </c>
      <c r="H41" s="497" t="s">
        <v>654</v>
      </c>
      <c r="I41" s="497" t="s">
        <v>647</v>
      </c>
      <c r="J41" s="497" t="s">
        <v>671</v>
      </c>
      <c r="K41" s="497" t="s">
        <v>649</v>
      </c>
      <c r="L41" s="497" t="s">
        <v>36</v>
      </c>
      <c r="M41" s="497" t="s">
        <v>653</v>
      </c>
      <c r="N41" s="497" t="s">
        <v>680</v>
      </c>
      <c r="O41" s="497"/>
      <c r="P41" s="497"/>
      <c r="Q41" s="497" t="s">
        <v>650</v>
      </c>
      <c r="R41" s="497" t="s">
        <v>652</v>
      </c>
      <c r="S41" s="497" t="s">
        <v>649</v>
      </c>
      <c r="T41" s="497"/>
      <c r="U41" s="497"/>
      <c r="V41" s="497" t="s">
        <v>36</v>
      </c>
      <c r="W41" s="497" t="s">
        <v>640</v>
      </c>
      <c r="X41" s="499">
        <v>43647</v>
      </c>
      <c r="Y41" s="499">
        <v>43917</v>
      </c>
      <c r="Z41" s="500">
        <v>2020</v>
      </c>
      <c r="AA41" s="497" t="s">
        <v>676</v>
      </c>
      <c r="AB41" s="497" t="s">
        <v>675</v>
      </c>
      <c r="AC41" s="497" t="s">
        <v>663</v>
      </c>
      <c r="AD41" s="501"/>
      <c r="AE41" s="501"/>
      <c r="AF41" s="501"/>
      <c r="AG41" s="501"/>
      <c r="AH41" s="501"/>
      <c r="AI41" s="501"/>
      <c r="AJ41" s="501"/>
      <c r="AK41" s="501"/>
      <c r="AL41" s="501"/>
      <c r="AM41" s="501"/>
      <c r="AN41" s="501"/>
      <c r="AO41" s="501"/>
      <c r="AP41" s="501"/>
      <c r="AQ41" s="501"/>
      <c r="AR41" s="501"/>
      <c r="AS41" s="501"/>
      <c r="AT41" s="501"/>
      <c r="AU41" s="501">
        <v>162999.99999999994</v>
      </c>
      <c r="AV41" s="501"/>
      <c r="AW41" s="501"/>
      <c r="AX41" s="501">
        <v>69999.999999999971</v>
      </c>
      <c r="AY41" s="501"/>
      <c r="AZ41" s="501"/>
      <c r="BA41" s="501"/>
      <c r="BB41" s="483">
        <v>30289.999999999985</v>
      </c>
      <c r="BC41" s="483"/>
      <c r="BD41" s="483"/>
      <c r="BE41" s="483"/>
      <c r="BF41" s="483"/>
      <c r="BG41" s="483">
        <v>47479.173524089289</v>
      </c>
      <c r="BH41" s="483"/>
      <c r="BI41" s="483"/>
      <c r="BJ41" s="483"/>
      <c r="BK41" s="483"/>
      <c r="BL41" s="483"/>
      <c r="BM41" s="483"/>
      <c r="BN41" s="483"/>
      <c r="BO41" s="483"/>
      <c r="BP41" s="483"/>
      <c r="BQ41" s="483"/>
      <c r="BR41" s="483">
        <v>310769.17352408922</v>
      </c>
      <c r="BS41" s="484">
        <f t="shared" si="2"/>
        <v>232999.99999999991</v>
      </c>
      <c r="BT41" s="485">
        <f t="shared" si="8"/>
        <v>0.69957081545064381</v>
      </c>
      <c r="BU41" s="485">
        <f t="shared" si="8"/>
        <v>0</v>
      </c>
      <c r="BV41" s="485">
        <f t="shared" si="8"/>
        <v>0</v>
      </c>
      <c r="BW41" s="485">
        <f t="shared" si="8"/>
        <v>0</v>
      </c>
      <c r="BX41" s="485">
        <f t="shared" si="8"/>
        <v>0</v>
      </c>
      <c r="BY41" s="485">
        <f t="shared" si="8"/>
        <v>0</v>
      </c>
      <c r="BZ41" s="485">
        <f t="shared" si="8"/>
        <v>0</v>
      </c>
      <c r="CA41" s="485">
        <f t="shared" si="8"/>
        <v>0.30042918454935619</v>
      </c>
      <c r="CB41" s="485">
        <f t="shared" si="8"/>
        <v>0</v>
      </c>
      <c r="CC41" s="485">
        <f t="shared" si="8"/>
        <v>0</v>
      </c>
      <c r="CD41" s="485">
        <f t="shared" si="9"/>
        <v>0</v>
      </c>
      <c r="CE41" s="485">
        <f t="shared" si="9"/>
        <v>0</v>
      </c>
      <c r="CF41" s="485">
        <f t="shared" si="9"/>
        <v>0</v>
      </c>
      <c r="CG41" s="485">
        <f t="shared" si="9"/>
        <v>0</v>
      </c>
      <c r="CH41" s="485">
        <f t="shared" si="9"/>
        <v>0</v>
      </c>
      <c r="CI41" s="485">
        <f t="shared" si="9"/>
        <v>0</v>
      </c>
      <c r="CJ41" s="485">
        <f t="shared" si="9"/>
        <v>0</v>
      </c>
      <c r="CK41" s="485">
        <f t="shared" si="9"/>
        <v>0</v>
      </c>
      <c r="CL41" s="485">
        <f t="shared" si="9"/>
        <v>0</v>
      </c>
      <c r="CM41" s="486">
        <f t="shared" si="3"/>
        <v>1</v>
      </c>
    </row>
    <row r="42" spans="1:91" s="487" customFormat="1" ht="25.5" x14ac:dyDescent="0.25">
      <c r="A42" s="497" t="s">
        <v>398</v>
      </c>
      <c r="B42" s="498" t="s">
        <v>2131</v>
      </c>
      <c r="C42" s="497" t="s">
        <v>763</v>
      </c>
      <c r="D42" s="498"/>
      <c r="E42" s="497" t="s">
        <v>655</v>
      </c>
      <c r="F42" s="498"/>
      <c r="G42" s="497" t="s">
        <v>648</v>
      </c>
      <c r="H42" s="497" t="s">
        <v>654</v>
      </c>
      <c r="I42" s="497" t="s">
        <v>647</v>
      </c>
      <c r="J42" s="497" t="s">
        <v>671</v>
      </c>
      <c r="K42" s="497" t="s">
        <v>649</v>
      </c>
      <c r="L42" s="497" t="s">
        <v>36</v>
      </c>
      <c r="M42" s="497" t="s">
        <v>653</v>
      </c>
      <c r="N42" s="497" t="s">
        <v>680</v>
      </c>
      <c r="O42" s="497"/>
      <c r="P42" s="497"/>
      <c r="Q42" s="497" t="s">
        <v>650</v>
      </c>
      <c r="R42" s="497" t="s">
        <v>652</v>
      </c>
      <c r="S42" s="497" t="s">
        <v>649</v>
      </c>
      <c r="T42" s="497"/>
      <c r="U42" s="497"/>
      <c r="V42" s="497" t="s">
        <v>36</v>
      </c>
      <c r="W42" s="497" t="s">
        <v>684</v>
      </c>
      <c r="X42" s="499">
        <v>43647</v>
      </c>
      <c r="Y42" s="499">
        <v>43920</v>
      </c>
      <c r="Z42" s="500">
        <v>2020</v>
      </c>
      <c r="AA42" s="497" t="s">
        <v>676</v>
      </c>
      <c r="AB42" s="497" t="s">
        <v>675</v>
      </c>
      <c r="AC42" s="497" t="s">
        <v>663</v>
      </c>
      <c r="AD42" s="501"/>
      <c r="AE42" s="501"/>
      <c r="AF42" s="501"/>
      <c r="AG42" s="501"/>
      <c r="AH42" s="501"/>
      <c r="AI42" s="501"/>
      <c r="AJ42" s="501"/>
      <c r="AK42" s="501"/>
      <c r="AL42" s="501"/>
      <c r="AM42" s="501"/>
      <c r="AN42" s="501"/>
      <c r="AO42" s="501"/>
      <c r="AP42" s="501"/>
      <c r="AQ42" s="501"/>
      <c r="AR42" s="501"/>
      <c r="AS42" s="501"/>
      <c r="AT42" s="501"/>
      <c r="AU42" s="501"/>
      <c r="AV42" s="501"/>
      <c r="AW42" s="501"/>
      <c r="AX42" s="501"/>
      <c r="AY42" s="501"/>
      <c r="AZ42" s="501">
        <v>163000.00000000003</v>
      </c>
      <c r="BA42" s="501"/>
      <c r="BB42" s="483"/>
      <c r="BC42" s="483"/>
      <c r="BD42" s="483"/>
      <c r="BE42" s="483"/>
      <c r="BF42" s="483"/>
      <c r="BG42" s="483">
        <v>23420.387780842902</v>
      </c>
      <c r="BH42" s="483"/>
      <c r="BI42" s="483"/>
      <c r="BJ42" s="483"/>
      <c r="BK42" s="483"/>
      <c r="BL42" s="483"/>
      <c r="BM42" s="483"/>
      <c r="BN42" s="483"/>
      <c r="BO42" s="483"/>
      <c r="BP42" s="483"/>
      <c r="BQ42" s="483"/>
      <c r="BR42" s="483">
        <v>186420.38778084292</v>
      </c>
      <c r="BS42" s="484">
        <f t="shared" si="2"/>
        <v>163000.00000000003</v>
      </c>
      <c r="BT42" s="485">
        <f t="shared" si="8"/>
        <v>0</v>
      </c>
      <c r="BU42" s="485">
        <f t="shared" si="8"/>
        <v>0</v>
      </c>
      <c r="BV42" s="485">
        <f t="shared" si="8"/>
        <v>0</v>
      </c>
      <c r="BW42" s="485">
        <f t="shared" si="8"/>
        <v>0</v>
      </c>
      <c r="BX42" s="485">
        <f t="shared" si="8"/>
        <v>0</v>
      </c>
      <c r="BY42" s="485">
        <f t="shared" si="8"/>
        <v>0</v>
      </c>
      <c r="BZ42" s="485">
        <f t="shared" si="8"/>
        <v>0</v>
      </c>
      <c r="CA42" s="485">
        <f t="shared" si="8"/>
        <v>1</v>
      </c>
      <c r="CB42" s="485">
        <f t="shared" si="8"/>
        <v>0</v>
      </c>
      <c r="CC42" s="485">
        <f t="shared" si="8"/>
        <v>0</v>
      </c>
      <c r="CD42" s="485">
        <f t="shared" si="9"/>
        <v>0</v>
      </c>
      <c r="CE42" s="485">
        <f t="shared" si="9"/>
        <v>0</v>
      </c>
      <c r="CF42" s="485">
        <f t="shared" si="9"/>
        <v>0</v>
      </c>
      <c r="CG42" s="485">
        <f t="shared" si="9"/>
        <v>0</v>
      </c>
      <c r="CH42" s="485">
        <f t="shared" si="9"/>
        <v>0</v>
      </c>
      <c r="CI42" s="485">
        <f t="shared" si="9"/>
        <v>0</v>
      </c>
      <c r="CJ42" s="485">
        <f t="shared" si="9"/>
        <v>0</v>
      </c>
      <c r="CK42" s="485">
        <f t="shared" si="9"/>
        <v>0</v>
      </c>
      <c r="CL42" s="485">
        <f t="shared" si="9"/>
        <v>0</v>
      </c>
      <c r="CM42" s="486">
        <f t="shared" si="3"/>
        <v>1</v>
      </c>
    </row>
    <row r="43" spans="1:91" s="487" customFormat="1" ht="25.5" x14ac:dyDescent="0.25">
      <c r="A43" s="497" t="s">
        <v>400</v>
      </c>
      <c r="B43" s="498" t="s">
        <v>2133</v>
      </c>
      <c r="C43" s="497" t="s">
        <v>2476</v>
      </c>
      <c r="D43" s="498"/>
      <c r="E43" s="497" t="s">
        <v>655</v>
      </c>
      <c r="F43" s="498"/>
      <c r="G43" s="497"/>
      <c r="H43" s="497" t="s">
        <v>654</v>
      </c>
      <c r="I43" s="497" t="s">
        <v>647</v>
      </c>
      <c r="J43" s="497" t="s">
        <v>671</v>
      </c>
      <c r="K43" s="497" t="s">
        <v>649</v>
      </c>
      <c r="L43" s="497" t="s">
        <v>55</v>
      </c>
      <c r="M43" s="497" t="s">
        <v>653</v>
      </c>
      <c r="N43" s="497" t="s">
        <v>645</v>
      </c>
      <c r="O43" s="497"/>
      <c r="P43" s="497"/>
      <c r="Q43" s="497" t="s">
        <v>642</v>
      </c>
      <c r="R43" s="497" t="s">
        <v>652</v>
      </c>
      <c r="S43" s="497" t="s">
        <v>649</v>
      </c>
      <c r="T43" s="497"/>
      <c r="U43" s="497"/>
      <c r="V43" s="497" t="s">
        <v>683</v>
      </c>
      <c r="W43" s="497" t="s">
        <v>640</v>
      </c>
      <c r="X43" s="499">
        <v>43282</v>
      </c>
      <c r="Y43" s="499">
        <v>44193</v>
      </c>
      <c r="Z43" s="500">
        <v>2021</v>
      </c>
      <c r="AA43" s="497"/>
      <c r="AB43" s="497"/>
      <c r="AC43" s="497"/>
      <c r="AD43" s="501"/>
      <c r="AE43" s="501"/>
      <c r="AF43" s="501"/>
      <c r="AG43" s="501"/>
      <c r="AH43" s="501"/>
      <c r="AI43" s="501"/>
      <c r="AJ43" s="501"/>
      <c r="AK43" s="501"/>
      <c r="AL43" s="501"/>
      <c r="AM43" s="501"/>
      <c r="AN43" s="501"/>
      <c r="AO43" s="501"/>
      <c r="AP43" s="501"/>
      <c r="AQ43" s="501"/>
      <c r="AR43" s="501"/>
      <c r="AS43" s="501"/>
      <c r="AT43" s="501"/>
      <c r="AU43" s="501"/>
      <c r="AV43" s="501">
        <v>336119.99999999959</v>
      </c>
      <c r="AW43" s="501"/>
      <c r="AX43" s="501"/>
      <c r="AY43" s="501"/>
      <c r="AZ43" s="501"/>
      <c r="BA43" s="501"/>
      <c r="BB43" s="483"/>
      <c r="BC43" s="483"/>
      <c r="BD43" s="483"/>
      <c r="BE43" s="483"/>
      <c r="BF43" s="483"/>
      <c r="BG43" s="483">
        <v>1064509.0363333328</v>
      </c>
      <c r="BH43" s="483"/>
      <c r="BI43" s="483"/>
      <c r="BJ43" s="483"/>
      <c r="BK43" s="483"/>
      <c r="BL43" s="483"/>
      <c r="BM43" s="483"/>
      <c r="BN43" s="483"/>
      <c r="BO43" s="483"/>
      <c r="BP43" s="483"/>
      <c r="BQ43" s="483"/>
      <c r="BR43" s="483">
        <v>1400629.0363333323</v>
      </c>
      <c r="BS43" s="484">
        <f t="shared" si="2"/>
        <v>336119.99999999959</v>
      </c>
      <c r="BT43" s="485">
        <f t="shared" si="8"/>
        <v>0</v>
      </c>
      <c r="BU43" s="485">
        <f t="shared" si="8"/>
        <v>0</v>
      </c>
      <c r="BV43" s="485">
        <f t="shared" si="8"/>
        <v>0</v>
      </c>
      <c r="BW43" s="485">
        <f t="shared" si="8"/>
        <v>1</v>
      </c>
      <c r="BX43" s="485">
        <f t="shared" si="8"/>
        <v>0</v>
      </c>
      <c r="BY43" s="485">
        <f t="shared" si="8"/>
        <v>0</v>
      </c>
      <c r="BZ43" s="485">
        <f t="shared" si="8"/>
        <v>0</v>
      </c>
      <c r="CA43" s="485">
        <f t="shared" si="8"/>
        <v>0</v>
      </c>
      <c r="CB43" s="485">
        <f t="shared" si="8"/>
        <v>0</v>
      </c>
      <c r="CC43" s="485">
        <f t="shared" si="8"/>
        <v>0</v>
      </c>
      <c r="CD43" s="485">
        <f t="shared" si="9"/>
        <v>0</v>
      </c>
      <c r="CE43" s="485">
        <f t="shared" si="9"/>
        <v>0</v>
      </c>
      <c r="CF43" s="485">
        <f t="shared" si="9"/>
        <v>0</v>
      </c>
      <c r="CG43" s="485">
        <f t="shared" si="9"/>
        <v>0</v>
      </c>
      <c r="CH43" s="485">
        <f t="shared" si="9"/>
        <v>0</v>
      </c>
      <c r="CI43" s="485">
        <f t="shared" si="9"/>
        <v>0</v>
      </c>
      <c r="CJ43" s="485">
        <f t="shared" si="9"/>
        <v>0</v>
      </c>
      <c r="CK43" s="485">
        <f t="shared" si="9"/>
        <v>0</v>
      </c>
      <c r="CL43" s="485">
        <f t="shared" si="9"/>
        <v>0</v>
      </c>
      <c r="CM43" s="486">
        <f t="shared" si="3"/>
        <v>1</v>
      </c>
    </row>
    <row r="44" spans="1:91" s="487" customFormat="1" ht="25.5" x14ac:dyDescent="0.25">
      <c r="A44" s="497" t="s">
        <v>401</v>
      </c>
      <c r="B44" s="498" t="s">
        <v>2135</v>
      </c>
      <c r="C44" s="497" t="s">
        <v>2786</v>
      </c>
      <c r="D44" s="498"/>
      <c r="E44" s="497" t="s">
        <v>655</v>
      </c>
      <c r="F44" s="498"/>
      <c r="G44" s="497"/>
      <c r="H44" s="497" t="s">
        <v>654</v>
      </c>
      <c r="I44" s="497" t="s">
        <v>647</v>
      </c>
      <c r="J44" s="497" t="s">
        <v>671</v>
      </c>
      <c r="K44" s="497" t="s">
        <v>649</v>
      </c>
      <c r="L44" s="497" t="s">
        <v>55</v>
      </c>
      <c r="M44" s="497" t="s">
        <v>653</v>
      </c>
      <c r="N44" s="497" t="s">
        <v>645</v>
      </c>
      <c r="O44" s="497"/>
      <c r="P44" s="497"/>
      <c r="Q44" s="497" t="s">
        <v>656</v>
      </c>
      <c r="R44" s="497" t="s">
        <v>652</v>
      </c>
      <c r="S44" s="497" t="s">
        <v>649</v>
      </c>
      <c r="T44" s="497"/>
      <c r="U44" s="497"/>
      <c r="V44" s="497" t="s">
        <v>683</v>
      </c>
      <c r="W44" s="497" t="s">
        <v>694</v>
      </c>
      <c r="X44" s="499">
        <v>43252</v>
      </c>
      <c r="Y44" s="499">
        <v>44102</v>
      </c>
      <c r="Z44" s="500">
        <v>2021</v>
      </c>
      <c r="AA44" s="497"/>
      <c r="AB44" s="497"/>
      <c r="AC44" s="497"/>
      <c r="AD44" s="501"/>
      <c r="AE44" s="501"/>
      <c r="AF44" s="501"/>
      <c r="AG44" s="501"/>
      <c r="AH44" s="501"/>
      <c r="AI44" s="501"/>
      <c r="AJ44" s="501"/>
      <c r="AK44" s="501"/>
      <c r="AL44" s="501"/>
      <c r="AM44" s="501"/>
      <c r="AN44" s="501"/>
      <c r="AO44" s="501"/>
      <c r="AP44" s="501"/>
      <c r="AQ44" s="501"/>
      <c r="AR44" s="501"/>
      <c r="AS44" s="501"/>
      <c r="AT44" s="501"/>
      <c r="AU44" s="501"/>
      <c r="AV44" s="501">
        <v>460000.00000000041</v>
      </c>
      <c r="AW44" s="501"/>
      <c r="AX44" s="501"/>
      <c r="AY44" s="501"/>
      <c r="AZ44" s="501"/>
      <c r="BA44" s="501"/>
      <c r="BB44" s="483"/>
      <c r="BC44" s="483"/>
      <c r="BD44" s="483"/>
      <c r="BE44" s="483"/>
      <c r="BF44" s="483"/>
      <c r="BG44" s="483">
        <v>1839712.8146666682</v>
      </c>
      <c r="BH44" s="483"/>
      <c r="BI44" s="483"/>
      <c r="BJ44" s="483"/>
      <c r="BK44" s="483"/>
      <c r="BL44" s="483"/>
      <c r="BM44" s="483"/>
      <c r="BN44" s="483"/>
      <c r="BO44" s="483"/>
      <c r="BP44" s="483"/>
      <c r="BQ44" s="483"/>
      <c r="BR44" s="483">
        <v>2299712.8146666684</v>
      </c>
      <c r="BS44" s="484">
        <f t="shared" si="2"/>
        <v>460000.00000000041</v>
      </c>
      <c r="BT44" s="485">
        <f t="shared" si="8"/>
        <v>0</v>
      </c>
      <c r="BU44" s="485">
        <f t="shared" si="8"/>
        <v>0</v>
      </c>
      <c r="BV44" s="485">
        <f t="shared" si="8"/>
        <v>0</v>
      </c>
      <c r="BW44" s="485">
        <f t="shared" si="8"/>
        <v>1</v>
      </c>
      <c r="BX44" s="485">
        <f t="shared" si="8"/>
        <v>0</v>
      </c>
      <c r="BY44" s="485">
        <f t="shared" si="8"/>
        <v>0</v>
      </c>
      <c r="BZ44" s="485">
        <f t="shared" si="8"/>
        <v>0</v>
      </c>
      <c r="CA44" s="485">
        <f t="shared" si="8"/>
        <v>0</v>
      </c>
      <c r="CB44" s="485">
        <f t="shared" si="8"/>
        <v>0</v>
      </c>
      <c r="CC44" s="485">
        <f t="shared" si="8"/>
        <v>0</v>
      </c>
      <c r="CD44" s="485">
        <f t="shared" si="9"/>
        <v>0</v>
      </c>
      <c r="CE44" s="485">
        <f t="shared" si="9"/>
        <v>0</v>
      </c>
      <c r="CF44" s="485">
        <f t="shared" si="9"/>
        <v>0</v>
      </c>
      <c r="CG44" s="485">
        <f t="shared" si="9"/>
        <v>0</v>
      </c>
      <c r="CH44" s="485">
        <f t="shared" si="9"/>
        <v>0</v>
      </c>
      <c r="CI44" s="485">
        <f t="shared" si="9"/>
        <v>0</v>
      </c>
      <c r="CJ44" s="485">
        <f t="shared" si="9"/>
        <v>0</v>
      </c>
      <c r="CK44" s="485">
        <f t="shared" si="9"/>
        <v>0</v>
      </c>
      <c r="CL44" s="485">
        <f t="shared" si="9"/>
        <v>0</v>
      </c>
      <c r="CM44" s="486">
        <f t="shared" si="3"/>
        <v>1</v>
      </c>
    </row>
    <row r="45" spans="1:91" s="487" customFormat="1" ht="25.5" x14ac:dyDescent="0.25">
      <c r="A45" s="497" t="s">
        <v>402</v>
      </c>
      <c r="B45" s="498" t="s">
        <v>2849</v>
      </c>
      <c r="C45" s="497" t="s">
        <v>2478</v>
      </c>
      <c r="D45" s="498"/>
      <c r="E45" s="497" t="s">
        <v>655</v>
      </c>
      <c r="F45" s="498"/>
      <c r="G45" s="497"/>
      <c r="H45" s="497" t="s">
        <v>654</v>
      </c>
      <c r="I45" s="497" t="s">
        <v>647</v>
      </c>
      <c r="J45" s="497" t="s">
        <v>671</v>
      </c>
      <c r="K45" s="497" t="s">
        <v>649</v>
      </c>
      <c r="L45" s="497" t="s">
        <v>55</v>
      </c>
      <c r="M45" s="497" t="s">
        <v>653</v>
      </c>
      <c r="N45" s="497" t="s">
        <v>645</v>
      </c>
      <c r="O45" s="497"/>
      <c r="P45" s="497"/>
      <c r="Q45" s="497" t="s">
        <v>656</v>
      </c>
      <c r="R45" s="497" t="s">
        <v>652</v>
      </c>
      <c r="S45" s="497" t="s">
        <v>649</v>
      </c>
      <c r="T45" s="497"/>
      <c r="U45" s="497"/>
      <c r="V45" s="497" t="s">
        <v>683</v>
      </c>
      <c r="W45" s="497" t="s">
        <v>677</v>
      </c>
      <c r="X45" s="499">
        <v>43525</v>
      </c>
      <c r="Y45" s="499">
        <v>44319</v>
      </c>
      <c r="Z45" s="500">
        <v>2021</v>
      </c>
      <c r="AA45" s="497"/>
      <c r="AB45" s="497"/>
      <c r="AC45" s="497"/>
      <c r="AD45" s="501"/>
      <c r="AE45" s="501"/>
      <c r="AF45" s="501"/>
      <c r="AG45" s="501"/>
      <c r="AH45" s="501"/>
      <c r="AI45" s="501"/>
      <c r="AJ45" s="501"/>
      <c r="AK45" s="501"/>
      <c r="AL45" s="501"/>
      <c r="AM45" s="501"/>
      <c r="AN45" s="501"/>
      <c r="AO45" s="501"/>
      <c r="AP45" s="501"/>
      <c r="AQ45" s="501"/>
      <c r="AR45" s="501"/>
      <c r="AS45" s="501"/>
      <c r="AT45" s="501"/>
      <c r="AU45" s="501"/>
      <c r="AV45" s="501">
        <v>260000.00000000047</v>
      </c>
      <c r="AW45" s="501"/>
      <c r="AX45" s="501"/>
      <c r="AY45" s="501"/>
      <c r="AZ45" s="501"/>
      <c r="BA45" s="501"/>
      <c r="BB45" s="483"/>
      <c r="BC45" s="483"/>
      <c r="BD45" s="483"/>
      <c r="BE45" s="483"/>
      <c r="BF45" s="483"/>
      <c r="BG45" s="483">
        <v>1040000.0000000029</v>
      </c>
      <c r="BH45" s="483"/>
      <c r="BI45" s="483"/>
      <c r="BJ45" s="483"/>
      <c r="BK45" s="483"/>
      <c r="BL45" s="483"/>
      <c r="BM45" s="483"/>
      <c r="BN45" s="483"/>
      <c r="BO45" s="483"/>
      <c r="BP45" s="483"/>
      <c r="BQ45" s="483"/>
      <c r="BR45" s="483">
        <v>1300000.0000000033</v>
      </c>
      <c r="BS45" s="484">
        <f t="shared" si="2"/>
        <v>260000.00000000047</v>
      </c>
      <c r="BT45" s="485">
        <f t="shared" si="8"/>
        <v>0</v>
      </c>
      <c r="BU45" s="485">
        <f t="shared" si="8"/>
        <v>0</v>
      </c>
      <c r="BV45" s="485">
        <f t="shared" si="8"/>
        <v>0</v>
      </c>
      <c r="BW45" s="485">
        <f t="shared" si="8"/>
        <v>1</v>
      </c>
      <c r="BX45" s="485">
        <f t="shared" si="8"/>
        <v>0</v>
      </c>
      <c r="BY45" s="485">
        <f t="shared" si="8"/>
        <v>0</v>
      </c>
      <c r="BZ45" s="485">
        <f t="shared" si="8"/>
        <v>0</v>
      </c>
      <c r="CA45" s="485">
        <f t="shared" si="8"/>
        <v>0</v>
      </c>
      <c r="CB45" s="485">
        <f t="shared" si="8"/>
        <v>0</v>
      </c>
      <c r="CC45" s="485">
        <f t="shared" si="8"/>
        <v>0</v>
      </c>
      <c r="CD45" s="485">
        <f t="shared" si="9"/>
        <v>0</v>
      </c>
      <c r="CE45" s="485">
        <f t="shared" si="9"/>
        <v>0</v>
      </c>
      <c r="CF45" s="485">
        <f t="shared" si="9"/>
        <v>0</v>
      </c>
      <c r="CG45" s="485">
        <f t="shared" si="9"/>
        <v>0</v>
      </c>
      <c r="CH45" s="485">
        <f t="shared" si="9"/>
        <v>0</v>
      </c>
      <c r="CI45" s="485">
        <f t="shared" si="9"/>
        <v>0</v>
      </c>
      <c r="CJ45" s="485">
        <f t="shared" si="9"/>
        <v>0</v>
      </c>
      <c r="CK45" s="485">
        <f t="shared" si="9"/>
        <v>0</v>
      </c>
      <c r="CL45" s="485">
        <f t="shared" si="9"/>
        <v>0</v>
      </c>
      <c r="CM45" s="486">
        <f t="shared" si="3"/>
        <v>1</v>
      </c>
    </row>
    <row r="46" spans="1:91" s="487" customFormat="1" ht="25.5" x14ac:dyDescent="0.25">
      <c r="A46" s="497" t="s">
        <v>404</v>
      </c>
      <c r="B46" s="498" t="s">
        <v>2137</v>
      </c>
      <c r="C46" s="497" t="s">
        <v>762</v>
      </c>
      <c r="D46" s="498"/>
      <c r="E46" s="497" t="s">
        <v>655</v>
      </c>
      <c r="F46" s="498"/>
      <c r="G46" s="497"/>
      <c r="H46" s="497" t="s">
        <v>654</v>
      </c>
      <c r="I46" s="497" t="s">
        <v>647</v>
      </c>
      <c r="J46" s="497" t="s">
        <v>671</v>
      </c>
      <c r="K46" s="497" t="s">
        <v>649</v>
      </c>
      <c r="L46" s="497" t="s">
        <v>40</v>
      </c>
      <c r="M46" s="497" t="s">
        <v>653</v>
      </c>
      <c r="N46" s="497" t="s">
        <v>645</v>
      </c>
      <c r="O46" s="497"/>
      <c r="P46" s="497"/>
      <c r="Q46" s="497" t="s">
        <v>656</v>
      </c>
      <c r="R46" s="497" t="s">
        <v>652</v>
      </c>
      <c r="S46" s="497"/>
      <c r="T46" s="497"/>
      <c r="U46" s="497"/>
      <c r="V46" s="497" t="s">
        <v>683</v>
      </c>
      <c r="W46" s="497" t="s">
        <v>677</v>
      </c>
      <c r="X46" s="499">
        <v>43313</v>
      </c>
      <c r="Y46" s="499">
        <v>44223</v>
      </c>
      <c r="Z46" s="500">
        <v>2021</v>
      </c>
      <c r="AA46" s="497"/>
      <c r="AB46" s="497"/>
      <c r="AC46" s="497"/>
      <c r="AD46" s="501"/>
      <c r="AE46" s="501"/>
      <c r="AF46" s="501"/>
      <c r="AG46" s="501"/>
      <c r="AH46" s="501"/>
      <c r="AI46" s="501"/>
      <c r="AJ46" s="501"/>
      <c r="AK46" s="501"/>
      <c r="AL46" s="501"/>
      <c r="AM46" s="501"/>
      <c r="AN46" s="501"/>
      <c r="AO46" s="501"/>
      <c r="AP46" s="501"/>
      <c r="AQ46" s="501"/>
      <c r="AR46" s="501"/>
      <c r="AS46" s="501"/>
      <c r="AT46" s="501"/>
      <c r="AU46" s="501"/>
      <c r="AV46" s="501">
        <v>180000.00000000015</v>
      </c>
      <c r="AW46" s="501"/>
      <c r="AX46" s="501"/>
      <c r="AY46" s="501"/>
      <c r="AZ46" s="501"/>
      <c r="BA46" s="501"/>
      <c r="BB46" s="483"/>
      <c r="BC46" s="483"/>
      <c r="BD46" s="483"/>
      <c r="BE46" s="483"/>
      <c r="BF46" s="483"/>
      <c r="BG46" s="483">
        <v>1620000.0000000026</v>
      </c>
      <c r="BH46" s="483"/>
      <c r="BI46" s="483"/>
      <c r="BJ46" s="483"/>
      <c r="BK46" s="483"/>
      <c r="BL46" s="483"/>
      <c r="BM46" s="483"/>
      <c r="BN46" s="483"/>
      <c r="BO46" s="483"/>
      <c r="BP46" s="483"/>
      <c r="BQ46" s="483"/>
      <c r="BR46" s="483">
        <v>1800000.0000000026</v>
      </c>
      <c r="BS46" s="484">
        <f t="shared" si="2"/>
        <v>180000.00000000015</v>
      </c>
      <c r="BT46" s="485">
        <f t="shared" si="8"/>
        <v>0</v>
      </c>
      <c r="BU46" s="485">
        <f t="shared" si="8"/>
        <v>0</v>
      </c>
      <c r="BV46" s="485">
        <f t="shared" si="8"/>
        <v>0</v>
      </c>
      <c r="BW46" s="485">
        <f t="shared" si="8"/>
        <v>1</v>
      </c>
      <c r="BX46" s="485">
        <f t="shared" si="8"/>
        <v>0</v>
      </c>
      <c r="BY46" s="485">
        <f t="shared" si="8"/>
        <v>0</v>
      </c>
      <c r="BZ46" s="485">
        <f t="shared" si="8"/>
        <v>0</v>
      </c>
      <c r="CA46" s="485">
        <f t="shared" si="8"/>
        <v>0</v>
      </c>
      <c r="CB46" s="485">
        <f t="shared" si="8"/>
        <v>0</v>
      </c>
      <c r="CC46" s="485">
        <f t="shared" si="8"/>
        <v>0</v>
      </c>
      <c r="CD46" s="485">
        <f t="shared" si="9"/>
        <v>0</v>
      </c>
      <c r="CE46" s="485">
        <f t="shared" si="9"/>
        <v>0</v>
      </c>
      <c r="CF46" s="485">
        <f t="shared" si="9"/>
        <v>0</v>
      </c>
      <c r="CG46" s="485">
        <f t="shared" si="9"/>
        <v>0</v>
      </c>
      <c r="CH46" s="485">
        <f t="shared" si="9"/>
        <v>0</v>
      </c>
      <c r="CI46" s="485">
        <f t="shared" si="9"/>
        <v>0</v>
      </c>
      <c r="CJ46" s="485">
        <f t="shared" si="9"/>
        <v>0</v>
      </c>
      <c r="CK46" s="485">
        <f t="shared" si="9"/>
        <v>0</v>
      </c>
      <c r="CL46" s="485">
        <f t="shared" si="9"/>
        <v>0</v>
      </c>
      <c r="CM46" s="486">
        <f t="shared" si="3"/>
        <v>1</v>
      </c>
    </row>
    <row r="47" spans="1:91" s="487" customFormat="1" ht="25.5" x14ac:dyDescent="0.25">
      <c r="A47" s="497" t="s">
        <v>406</v>
      </c>
      <c r="B47" s="498" t="s">
        <v>2850</v>
      </c>
      <c r="C47" s="497" t="s">
        <v>2678</v>
      </c>
      <c r="D47" s="498"/>
      <c r="E47" s="497" t="s">
        <v>655</v>
      </c>
      <c r="F47" s="498"/>
      <c r="G47" s="497" t="s">
        <v>722</v>
      </c>
      <c r="H47" s="497" t="s">
        <v>654</v>
      </c>
      <c r="I47" s="497" t="s">
        <v>647</v>
      </c>
      <c r="J47" s="497" t="s">
        <v>641</v>
      </c>
      <c r="K47" s="497" t="s">
        <v>649</v>
      </c>
      <c r="L47" s="497" t="s">
        <v>60</v>
      </c>
      <c r="M47" s="497" t="s">
        <v>653</v>
      </c>
      <c r="N47" s="497" t="s">
        <v>680</v>
      </c>
      <c r="O47" s="497"/>
      <c r="P47" s="497" t="s">
        <v>643</v>
      </c>
      <c r="Q47" s="497" t="s">
        <v>656</v>
      </c>
      <c r="R47" s="497" t="s">
        <v>652</v>
      </c>
      <c r="S47" s="497"/>
      <c r="T47" s="497"/>
      <c r="U47" s="497"/>
      <c r="V47" s="497" t="s">
        <v>641</v>
      </c>
      <c r="W47" s="497" t="s">
        <v>684</v>
      </c>
      <c r="X47" s="499">
        <v>43647</v>
      </c>
      <c r="Y47" s="499">
        <v>44008</v>
      </c>
      <c r="Z47" s="500">
        <v>2020</v>
      </c>
      <c r="AA47" s="497" t="s">
        <v>676</v>
      </c>
      <c r="AB47" s="497"/>
      <c r="AC47" s="497"/>
      <c r="AD47" s="501"/>
      <c r="AE47" s="501"/>
      <c r="AF47" s="501"/>
      <c r="AG47" s="501">
        <v>2094358</v>
      </c>
      <c r="AH47" s="501"/>
      <c r="AI47" s="501"/>
      <c r="AJ47" s="501"/>
      <c r="AK47" s="501"/>
      <c r="AL47" s="501"/>
      <c r="AM47" s="501"/>
      <c r="AN47" s="501"/>
      <c r="AO47" s="501"/>
      <c r="AP47" s="501"/>
      <c r="AQ47" s="501"/>
      <c r="AR47" s="501"/>
      <c r="AS47" s="501"/>
      <c r="AT47" s="501"/>
      <c r="AU47" s="501"/>
      <c r="AV47" s="501"/>
      <c r="AW47" s="501"/>
      <c r="AX47" s="501"/>
      <c r="AY47" s="501"/>
      <c r="AZ47" s="501"/>
      <c r="BA47" s="501"/>
      <c r="BB47" s="483"/>
      <c r="BC47" s="483"/>
      <c r="BD47" s="483"/>
      <c r="BE47" s="483"/>
      <c r="BF47" s="483"/>
      <c r="BG47" s="483">
        <v>105641.85349198892</v>
      </c>
      <c r="BH47" s="483"/>
      <c r="BI47" s="483"/>
      <c r="BJ47" s="483"/>
      <c r="BK47" s="483"/>
      <c r="BL47" s="483"/>
      <c r="BM47" s="483"/>
      <c r="BN47" s="483"/>
      <c r="BO47" s="483"/>
      <c r="BP47" s="483"/>
      <c r="BQ47" s="483"/>
      <c r="BR47" s="483">
        <v>2199999.853491989</v>
      </c>
      <c r="BS47" s="484">
        <f t="shared" si="2"/>
        <v>2094358</v>
      </c>
      <c r="BT47" s="485">
        <f t="shared" si="8"/>
        <v>0</v>
      </c>
      <c r="BU47" s="485">
        <f t="shared" si="8"/>
        <v>0</v>
      </c>
      <c r="BV47" s="485">
        <f t="shared" si="8"/>
        <v>0</v>
      </c>
      <c r="BW47" s="485">
        <f t="shared" si="8"/>
        <v>0</v>
      </c>
      <c r="BX47" s="485">
        <f t="shared" si="8"/>
        <v>0</v>
      </c>
      <c r="BY47" s="485">
        <f t="shared" si="8"/>
        <v>0</v>
      </c>
      <c r="BZ47" s="485">
        <f t="shared" si="8"/>
        <v>0</v>
      </c>
      <c r="CA47" s="485">
        <f t="shared" si="8"/>
        <v>0</v>
      </c>
      <c r="CB47" s="485">
        <f t="shared" si="8"/>
        <v>0</v>
      </c>
      <c r="CC47" s="485">
        <f t="shared" si="8"/>
        <v>1</v>
      </c>
      <c r="CD47" s="485">
        <f t="shared" si="9"/>
        <v>0</v>
      </c>
      <c r="CE47" s="485">
        <f t="shared" si="9"/>
        <v>0</v>
      </c>
      <c r="CF47" s="485">
        <f t="shared" si="9"/>
        <v>0</v>
      </c>
      <c r="CG47" s="485">
        <f t="shared" si="9"/>
        <v>0</v>
      </c>
      <c r="CH47" s="485">
        <f t="shared" si="9"/>
        <v>0</v>
      </c>
      <c r="CI47" s="485">
        <f t="shared" si="9"/>
        <v>0</v>
      </c>
      <c r="CJ47" s="485">
        <f t="shared" si="9"/>
        <v>0</v>
      </c>
      <c r="CK47" s="485">
        <f t="shared" si="9"/>
        <v>0</v>
      </c>
      <c r="CL47" s="485">
        <f t="shared" si="9"/>
        <v>0</v>
      </c>
      <c r="CM47" s="486">
        <f t="shared" si="3"/>
        <v>1</v>
      </c>
    </row>
    <row r="48" spans="1:91" s="487" customFormat="1" ht="25.5" x14ac:dyDescent="0.25">
      <c r="A48" s="497" t="s">
        <v>411</v>
      </c>
      <c r="B48" s="498" t="s">
        <v>2143</v>
      </c>
      <c r="C48" s="497" t="s">
        <v>759</v>
      </c>
      <c r="D48" s="498"/>
      <c r="E48" s="497" t="s">
        <v>655</v>
      </c>
      <c r="F48" s="498"/>
      <c r="G48" s="497" t="s">
        <v>648</v>
      </c>
      <c r="H48" s="497" t="s">
        <v>654</v>
      </c>
      <c r="I48" s="497" t="s">
        <v>647</v>
      </c>
      <c r="J48" s="497" t="s">
        <v>671</v>
      </c>
      <c r="K48" s="497" t="s">
        <v>649</v>
      </c>
      <c r="L48" s="497" t="s">
        <v>36</v>
      </c>
      <c r="M48" s="497" t="s">
        <v>653</v>
      </c>
      <c r="N48" s="497" t="s">
        <v>680</v>
      </c>
      <c r="O48" s="497"/>
      <c r="P48" s="497" t="s">
        <v>643</v>
      </c>
      <c r="Q48" s="497" t="s">
        <v>650</v>
      </c>
      <c r="R48" s="497" t="s">
        <v>652</v>
      </c>
      <c r="S48" s="497" t="s">
        <v>649</v>
      </c>
      <c r="T48" s="497"/>
      <c r="U48" s="497"/>
      <c r="V48" s="497" t="s">
        <v>36</v>
      </c>
      <c r="W48" s="497" t="s">
        <v>640</v>
      </c>
      <c r="X48" s="499">
        <v>44013</v>
      </c>
      <c r="Y48" s="499">
        <v>44284</v>
      </c>
      <c r="Z48" s="500">
        <v>2021</v>
      </c>
      <c r="AA48" s="497" t="s">
        <v>676</v>
      </c>
      <c r="AB48" s="497" t="s">
        <v>675</v>
      </c>
      <c r="AC48" s="497" t="s">
        <v>663</v>
      </c>
      <c r="AD48" s="501"/>
      <c r="AE48" s="501"/>
      <c r="AF48" s="501"/>
      <c r="AG48" s="501"/>
      <c r="AH48" s="501"/>
      <c r="AI48" s="501"/>
      <c r="AJ48" s="501"/>
      <c r="AK48" s="501"/>
      <c r="AL48" s="501"/>
      <c r="AM48" s="501"/>
      <c r="AN48" s="501"/>
      <c r="AO48" s="501"/>
      <c r="AP48" s="501"/>
      <c r="AQ48" s="501"/>
      <c r="AR48" s="501"/>
      <c r="AS48" s="501"/>
      <c r="AT48" s="501"/>
      <c r="AU48" s="501">
        <v>170999.99999999997</v>
      </c>
      <c r="AV48" s="501"/>
      <c r="AW48" s="501"/>
      <c r="AX48" s="501"/>
      <c r="AY48" s="501"/>
      <c r="AZ48" s="501"/>
      <c r="BA48" s="501"/>
      <c r="BB48" s="483">
        <v>22229.999999999996</v>
      </c>
      <c r="BC48" s="483"/>
      <c r="BD48" s="483"/>
      <c r="BE48" s="483"/>
      <c r="BF48" s="483"/>
      <c r="BG48" s="483">
        <v>34845.230354589126</v>
      </c>
      <c r="BH48" s="483"/>
      <c r="BI48" s="483"/>
      <c r="BJ48" s="483"/>
      <c r="BK48" s="483"/>
      <c r="BL48" s="483"/>
      <c r="BM48" s="483"/>
      <c r="BN48" s="483"/>
      <c r="BO48" s="483"/>
      <c r="BP48" s="483"/>
      <c r="BQ48" s="483"/>
      <c r="BR48" s="483">
        <v>228075.23035458909</v>
      </c>
      <c r="BS48" s="484">
        <f t="shared" si="2"/>
        <v>170999.99999999997</v>
      </c>
      <c r="BT48" s="485">
        <f t="shared" ref="BT48:CC59" si="10">SUMIFS($AD48:$BA48,$AD$11:$BA$11,BT$21)/$BS48</f>
        <v>1</v>
      </c>
      <c r="BU48" s="485">
        <f t="shared" si="10"/>
        <v>0</v>
      </c>
      <c r="BV48" s="485">
        <f t="shared" si="10"/>
        <v>0</v>
      </c>
      <c r="BW48" s="485">
        <f t="shared" si="10"/>
        <v>0</v>
      </c>
      <c r="BX48" s="485">
        <f t="shared" si="10"/>
        <v>0</v>
      </c>
      <c r="BY48" s="485">
        <f t="shared" si="10"/>
        <v>0</v>
      </c>
      <c r="BZ48" s="485">
        <f t="shared" si="10"/>
        <v>0</v>
      </c>
      <c r="CA48" s="485">
        <f t="shared" si="10"/>
        <v>0</v>
      </c>
      <c r="CB48" s="485">
        <f t="shared" si="10"/>
        <v>0</v>
      </c>
      <c r="CC48" s="485">
        <f t="shared" si="10"/>
        <v>0</v>
      </c>
      <c r="CD48" s="485">
        <f t="shared" ref="CD48:CL59" si="11">SUMIFS($AD48:$BA48,$AD$11:$BA$11,CD$21)/$BS48</f>
        <v>0</v>
      </c>
      <c r="CE48" s="485">
        <f t="shared" si="11"/>
        <v>0</v>
      </c>
      <c r="CF48" s="485">
        <f t="shared" si="11"/>
        <v>0</v>
      </c>
      <c r="CG48" s="485">
        <f t="shared" si="11"/>
        <v>0</v>
      </c>
      <c r="CH48" s="485">
        <f t="shared" si="11"/>
        <v>0</v>
      </c>
      <c r="CI48" s="485">
        <f t="shared" si="11"/>
        <v>0</v>
      </c>
      <c r="CJ48" s="485">
        <f t="shared" si="11"/>
        <v>0</v>
      </c>
      <c r="CK48" s="485">
        <f t="shared" si="11"/>
        <v>0</v>
      </c>
      <c r="CL48" s="485">
        <f t="shared" si="11"/>
        <v>0</v>
      </c>
      <c r="CM48" s="486">
        <f t="shared" si="3"/>
        <v>1</v>
      </c>
    </row>
    <row r="49" spans="1:91" s="487" customFormat="1" ht="25.5" x14ac:dyDescent="0.25">
      <c r="A49" s="497" t="s">
        <v>413</v>
      </c>
      <c r="B49" s="498" t="s">
        <v>2145</v>
      </c>
      <c r="C49" s="497" t="s">
        <v>758</v>
      </c>
      <c r="D49" s="498"/>
      <c r="E49" s="497" t="s">
        <v>655</v>
      </c>
      <c r="F49" s="498"/>
      <c r="G49" s="497" t="s">
        <v>648</v>
      </c>
      <c r="H49" s="497" t="s">
        <v>654</v>
      </c>
      <c r="I49" s="497" t="s">
        <v>647</v>
      </c>
      <c r="J49" s="497" t="s">
        <v>671</v>
      </c>
      <c r="K49" s="497" t="s">
        <v>649</v>
      </c>
      <c r="L49" s="497" t="s">
        <v>36</v>
      </c>
      <c r="M49" s="497" t="s">
        <v>653</v>
      </c>
      <c r="N49" s="497" t="s">
        <v>680</v>
      </c>
      <c r="O49" s="497"/>
      <c r="P49" s="497"/>
      <c r="Q49" s="497" t="s">
        <v>650</v>
      </c>
      <c r="R49" s="497" t="s">
        <v>652</v>
      </c>
      <c r="S49" s="497" t="s">
        <v>649</v>
      </c>
      <c r="T49" s="497"/>
      <c r="U49" s="497"/>
      <c r="V49" s="497" t="s">
        <v>36</v>
      </c>
      <c r="W49" s="497" t="s">
        <v>640</v>
      </c>
      <c r="X49" s="499">
        <v>44013</v>
      </c>
      <c r="Y49" s="499">
        <v>44284</v>
      </c>
      <c r="Z49" s="500">
        <v>2021</v>
      </c>
      <c r="AA49" s="497" t="s">
        <v>676</v>
      </c>
      <c r="AB49" s="497" t="s">
        <v>675</v>
      </c>
      <c r="AC49" s="497" t="s">
        <v>663</v>
      </c>
      <c r="AD49" s="501"/>
      <c r="AE49" s="501"/>
      <c r="AF49" s="501"/>
      <c r="AG49" s="501"/>
      <c r="AH49" s="501"/>
      <c r="AI49" s="501"/>
      <c r="AJ49" s="501"/>
      <c r="AK49" s="501"/>
      <c r="AL49" s="501"/>
      <c r="AM49" s="501"/>
      <c r="AN49" s="501"/>
      <c r="AO49" s="501"/>
      <c r="AP49" s="501"/>
      <c r="AQ49" s="501"/>
      <c r="AR49" s="501"/>
      <c r="AS49" s="501"/>
      <c r="AT49" s="501"/>
      <c r="AU49" s="501">
        <v>186999.99999999994</v>
      </c>
      <c r="AV49" s="501"/>
      <c r="AW49" s="501"/>
      <c r="AX49" s="501">
        <v>57999.999999999993</v>
      </c>
      <c r="AY49" s="501"/>
      <c r="AZ49" s="501"/>
      <c r="BA49" s="501"/>
      <c r="BB49" s="483">
        <v>31849.999999999996</v>
      </c>
      <c r="BC49" s="483"/>
      <c r="BD49" s="483"/>
      <c r="BE49" s="483"/>
      <c r="BF49" s="483"/>
      <c r="BG49" s="483">
        <v>49924.452847218359</v>
      </c>
      <c r="BH49" s="483"/>
      <c r="BI49" s="483"/>
      <c r="BJ49" s="483"/>
      <c r="BK49" s="483"/>
      <c r="BL49" s="483"/>
      <c r="BM49" s="483"/>
      <c r="BN49" s="483"/>
      <c r="BO49" s="483"/>
      <c r="BP49" s="483"/>
      <c r="BQ49" s="483"/>
      <c r="BR49" s="483">
        <v>326774.45284721832</v>
      </c>
      <c r="BS49" s="484">
        <f t="shared" si="2"/>
        <v>244999.99999999994</v>
      </c>
      <c r="BT49" s="485">
        <f t="shared" si="10"/>
        <v>0.76326530612244892</v>
      </c>
      <c r="BU49" s="485">
        <f t="shared" si="10"/>
        <v>0</v>
      </c>
      <c r="BV49" s="485">
        <f t="shared" si="10"/>
        <v>0</v>
      </c>
      <c r="BW49" s="485">
        <f t="shared" si="10"/>
        <v>0</v>
      </c>
      <c r="BX49" s="485">
        <f t="shared" si="10"/>
        <v>0</v>
      </c>
      <c r="BY49" s="485">
        <f t="shared" si="10"/>
        <v>0</v>
      </c>
      <c r="BZ49" s="485">
        <f t="shared" si="10"/>
        <v>0</v>
      </c>
      <c r="CA49" s="485">
        <f t="shared" si="10"/>
        <v>0.23673469387755106</v>
      </c>
      <c r="CB49" s="485">
        <f t="shared" si="10"/>
        <v>0</v>
      </c>
      <c r="CC49" s="485">
        <f t="shared" si="10"/>
        <v>0</v>
      </c>
      <c r="CD49" s="485">
        <f t="shared" si="11"/>
        <v>0</v>
      </c>
      <c r="CE49" s="485">
        <f t="shared" si="11"/>
        <v>0</v>
      </c>
      <c r="CF49" s="485">
        <f t="shared" si="11"/>
        <v>0</v>
      </c>
      <c r="CG49" s="485">
        <f t="shared" si="11"/>
        <v>0</v>
      </c>
      <c r="CH49" s="485">
        <f t="shared" si="11"/>
        <v>0</v>
      </c>
      <c r="CI49" s="485">
        <f t="shared" si="11"/>
        <v>0</v>
      </c>
      <c r="CJ49" s="485">
        <f t="shared" si="11"/>
        <v>0</v>
      </c>
      <c r="CK49" s="485">
        <f t="shared" si="11"/>
        <v>0</v>
      </c>
      <c r="CL49" s="485">
        <f t="shared" si="11"/>
        <v>0</v>
      </c>
      <c r="CM49" s="486">
        <f t="shared" si="3"/>
        <v>1</v>
      </c>
    </row>
    <row r="50" spans="1:91" s="487" customFormat="1" ht="25.5" x14ac:dyDescent="0.25">
      <c r="A50" s="497" t="s">
        <v>415</v>
      </c>
      <c r="B50" s="498" t="s">
        <v>2149</v>
      </c>
      <c r="C50" s="497" t="s">
        <v>757</v>
      </c>
      <c r="D50" s="498"/>
      <c r="E50" s="497" t="s">
        <v>655</v>
      </c>
      <c r="F50" s="498"/>
      <c r="G50" s="497" t="s">
        <v>648</v>
      </c>
      <c r="H50" s="497" t="s">
        <v>654</v>
      </c>
      <c r="I50" s="497" t="s">
        <v>647</v>
      </c>
      <c r="J50" s="497" t="s">
        <v>671</v>
      </c>
      <c r="K50" s="497" t="s">
        <v>649</v>
      </c>
      <c r="L50" s="497" t="s">
        <v>36</v>
      </c>
      <c r="M50" s="497" t="s">
        <v>653</v>
      </c>
      <c r="N50" s="497" t="s">
        <v>680</v>
      </c>
      <c r="O50" s="497"/>
      <c r="P50" s="497"/>
      <c r="Q50" s="497" t="s">
        <v>650</v>
      </c>
      <c r="R50" s="497" t="s">
        <v>652</v>
      </c>
      <c r="S50" s="497" t="s">
        <v>649</v>
      </c>
      <c r="T50" s="497"/>
      <c r="U50" s="497"/>
      <c r="V50" s="497" t="s">
        <v>36</v>
      </c>
      <c r="W50" s="497" t="s">
        <v>640</v>
      </c>
      <c r="X50" s="499">
        <v>44013</v>
      </c>
      <c r="Y50" s="499">
        <v>44284</v>
      </c>
      <c r="Z50" s="500">
        <v>2021</v>
      </c>
      <c r="AA50" s="497" t="s">
        <v>676</v>
      </c>
      <c r="AB50" s="497" t="s">
        <v>675</v>
      </c>
      <c r="AC50" s="497" t="s">
        <v>663</v>
      </c>
      <c r="AD50" s="501"/>
      <c r="AE50" s="501"/>
      <c r="AF50" s="501"/>
      <c r="AG50" s="501"/>
      <c r="AH50" s="501"/>
      <c r="AI50" s="501"/>
      <c r="AJ50" s="501"/>
      <c r="AK50" s="501"/>
      <c r="AL50" s="501"/>
      <c r="AM50" s="501"/>
      <c r="AN50" s="501"/>
      <c r="AO50" s="501"/>
      <c r="AP50" s="501"/>
      <c r="AQ50" s="501"/>
      <c r="AR50" s="501"/>
      <c r="AS50" s="501"/>
      <c r="AT50" s="501"/>
      <c r="AU50" s="501">
        <v>114500</v>
      </c>
      <c r="AV50" s="501"/>
      <c r="AW50" s="501"/>
      <c r="AX50" s="501"/>
      <c r="AY50" s="501"/>
      <c r="AZ50" s="501"/>
      <c r="BA50" s="501"/>
      <c r="BB50" s="483">
        <v>14884.999999999998</v>
      </c>
      <c r="BC50" s="483"/>
      <c r="BD50" s="483"/>
      <c r="BE50" s="483"/>
      <c r="BF50" s="483"/>
      <c r="BG50" s="483">
        <v>23332.040208189806</v>
      </c>
      <c r="BH50" s="483"/>
      <c r="BI50" s="483"/>
      <c r="BJ50" s="483"/>
      <c r="BK50" s="483"/>
      <c r="BL50" s="483"/>
      <c r="BM50" s="483"/>
      <c r="BN50" s="483"/>
      <c r="BO50" s="483"/>
      <c r="BP50" s="483"/>
      <c r="BQ50" s="483"/>
      <c r="BR50" s="483">
        <v>152717.04020818981</v>
      </c>
      <c r="BS50" s="484">
        <f t="shared" si="2"/>
        <v>114500</v>
      </c>
      <c r="BT50" s="485">
        <f t="shared" si="10"/>
        <v>1</v>
      </c>
      <c r="BU50" s="485">
        <f t="shared" si="10"/>
        <v>0</v>
      </c>
      <c r="BV50" s="485">
        <f t="shared" si="10"/>
        <v>0</v>
      </c>
      <c r="BW50" s="485">
        <f t="shared" si="10"/>
        <v>0</v>
      </c>
      <c r="BX50" s="485">
        <f t="shared" si="10"/>
        <v>0</v>
      </c>
      <c r="BY50" s="485">
        <f t="shared" si="10"/>
        <v>0</v>
      </c>
      <c r="BZ50" s="485">
        <f t="shared" si="10"/>
        <v>0</v>
      </c>
      <c r="CA50" s="485">
        <f t="shared" si="10"/>
        <v>0</v>
      </c>
      <c r="CB50" s="485">
        <f t="shared" si="10"/>
        <v>0</v>
      </c>
      <c r="CC50" s="485">
        <f t="shared" si="10"/>
        <v>0</v>
      </c>
      <c r="CD50" s="485">
        <f t="shared" si="11"/>
        <v>0</v>
      </c>
      <c r="CE50" s="485">
        <f t="shared" si="11"/>
        <v>0</v>
      </c>
      <c r="CF50" s="485">
        <f t="shared" si="11"/>
        <v>0</v>
      </c>
      <c r="CG50" s="485">
        <f t="shared" si="11"/>
        <v>0</v>
      </c>
      <c r="CH50" s="485">
        <f t="shared" si="11"/>
        <v>0</v>
      </c>
      <c r="CI50" s="485">
        <f t="shared" si="11"/>
        <v>0</v>
      </c>
      <c r="CJ50" s="485">
        <f t="shared" si="11"/>
        <v>0</v>
      </c>
      <c r="CK50" s="485">
        <f t="shared" si="11"/>
        <v>0</v>
      </c>
      <c r="CL50" s="485">
        <f t="shared" si="11"/>
        <v>0</v>
      </c>
      <c r="CM50" s="486">
        <f t="shared" si="3"/>
        <v>1</v>
      </c>
    </row>
    <row r="51" spans="1:91" s="487" customFormat="1" ht="25.5" x14ac:dyDescent="0.25">
      <c r="A51" s="497" t="s">
        <v>417</v>
      </c>
      <c r="B51" s="498" t="s">
        <v>2153</v>
      </c>
      <c r="C51" s="497" t="s">
        <v>756</v>
      </c>
      <c r="D51" s="498"/>
      <c r="E51" s="497" t="s">
        <v>655</v>
      </c>
      <c r="F51" s="498"/>
      <c r="G51" s="497" t="s">
        <v>648</v>
      </c>
      <c r="H51" s="497" t="s">
        <v>654</v>
      </c>
      <c r="I51" s="497" t="s">
        <v>647</v>
      </c>
      <c r="J51" s="497" t="s">
        <v>671</v>
      </c>
      <c r="K51" s="497" t="s">
        <v>649</v>
      </c>
      <c r="L51" s="497" t="s">
        <v>36</v>
      </c>
      <c r="M51" s="497" t="s">
        <v>653</v>
      </c>
      <c r="N51" s="497" t="s">
        <v>680</v>
      </c>
      <c r="O51" s="497"/>
      <c r="P51" s="497"/>
      <c r="Q51" s="497" t="s">
        <v>650</v>
      </c>
      <c r="R51" s="497" t="s">
        <v>652</v>
      </c>
      <c r="S51" s="497" t="s">
        <v>649</v>
      </c>
      <c r="T51" s="497"/>
      <c r="U51" s="497"/>
      <c r="V51" s="497" t="s">
        <v>36</v>
      </c>
      <c r="W51" s="497" t="s">
        <v>640</v>
      </c>
      <c r="X51" s="499">
        <v>44013</v>
      </c>
      <c r="Y51" s="499">
        <v>44284</v>
      </c>
      <c r="Z51" s="500">
        <v>2021</v>
      </c>
      <c r="AA51" s="497" t="s">
        <v>676</v>
      </c>
      <c r="AB51" s="497" t="s">
        <v>675</v>
      </c>
      <c r="AC51" s="497" t="s">
        <v>663</v>
      </c>
      <c r="AD51" s="501"/>
      <c r="AE51" s="501"/>
      <c r="AF51" s="501"/>
      <c r="AG51" s="501"/>
      <c r="AH51" s="501"/>
      <c r="AI51" s="501"/>
      <c r="AJ51" s="501"/>
      <c r="AK51" s="501"/>
      <c r="AL51" s="501"/>
      <c r="AM51" s="501"/>
      <c r="AN51" s="501"/>
      <c r="AO51" s="501"/>
      <c r="AP51" s="501"/>
      <c r="AQ51" s="501"/>
      <c r="AR51" s="501"/>
      <c r="AS51" s="501"/>
      <c r="AT51" s="501"/>
      <c r="AU51" s="501">
        <v>175999.99999999997</v>
      </c>
      <c r="AV51" s="501"/>
      <c r="AW51" s="501"/>
      <c r="AX51" s="501"/>
      <c r="AY51" s="501"/>
      <c r="AZ51" s="501"/>
      <c r="BA51" s="501"/>
      <c r="BB51" s="483">
        <v>22879.999999999996</v>
      </c>
      <c r="BC51" s="483"/>
      <c r="BD51" s="483"/>
      <c r="BE51" s="483"/>
      <c r="BF51" s="483"/>
      <c r="BG51" s="483">
        <v>35864.096739226261</v>
      </c>
      <c r="BH51" s="483"/>
      <c r="BI51" s="483"/>
      <c r="BJ51" s="483"/>
      <c r="BK51" s="483"/>
      <c r="BL51" s="483"/>
      <c r="BM51" s="483"/>
      <c r="BN51" s="483"/>
      <c r="BO51" s="483"/>
      <c r="BP51" s="483"/>
      <c r="BQ51" s="483"/>
      <c r="BR51" s="483">
        <v>234744.09673922622</v>
      </c>
      <c r="BS51" s="484">
        <f t="shared" si="2"/>
        <v>175999.99999999997</v>
      </c>
      <c r="BT51" s="485">
        <f t="shared" si="10"/>
        <v>1</v>
      </c>
      <c r="BU51" s="485">
        <f t="shared" si="10"/>
        <v>0</v>
      </c>
      <c r="BV51" s="485">
        <f t="shared" si="10"/>
        <v>0</v>
      </c>
      <c r="BW51" s="485">
        <f t="shared" si="10"/>
        <v>0</v>
      </c>
      <c r="BX51" s="485">
        <f t="shared" si="10"/>
        <v>0</v>
      </c>
      <c r="BY51" s="485">
        <f t="shared" si="10"/>
        <v>0</v>
      </c>
      <c r="BZ51" s="485">
        <f t="shared" si="10"/>
        <v>0</v>
      </c>
      <c r="CA51" s="485">
        <f t="shared" si="10"/>
        <v>0</v>
      </c>
      <c r="CB51" s="485">
        <f t="shared" si="10"/>
        <v>0</v>
      </c>
      <c r="CC51" s="485">
        <f t="shared" si="10"/>
        <v>0</v>
      </c>
      <c r="CD51" s="485">
        <f t="shared" si="11"/>
        <v>0</v>
      </c>
      <c r="CE51" s="485">
        <f t="shared" si="11"/>
        <v>0</v>
      </c>
      <c r="CF51" s="485">
        <f t="shared" si="11"/>
        <v>0</v>
      </c>
      <c r="CG51" s="485">
        <f t="shared" si="11"/>
        <v>0</v>
      </c>
      <c r="CH51" s="485">
        <f t="shared" si="11"/>
        <v>0</v>
      </c>
      <c r="CI51" s="485">
        <f t="shared" si="11"/>
        <v>0</v>
      </c>
      <c r="CJ51" s="485">
        <f t="shared" si="11"/>
        <v>0</v>
      </c>
      <c r="CK51" s="485">
        <f t="shared" si="11"/>
        <v>0</v>
      </c>
      <c r="CL51" s="485">
        <f t="shared" si="11"/>
        <v>0</v>
      </c>
      <c r="CM51" s="486">
        <f t="shared" si="3"/>
        <v>1</v>
      </c>
    </row>
    <row r="52" spans="1:91" s="487" customFormat="1" ht="25.5" x14ac:dyDescent="0.25">
      <c r="A52" s="497" t="s">
        <v>418</v>
      </c>
      <c r="B52" s="498" t="s">
        <v>2155</v>
      </c>
      <c r="C52" s="497" t="s">
        <v>755</v>
      </c>
      <c r="D52" s="498"/>
      <c r="E52" s="497" t="s">
        <v>655</v>
      </c>
      <c r="F52" s="498"/>
      <c r="G52" s="497" t="s">
        <v>648</v>
      </c>
      <c r="H52" s="497" t="s">
        <v>654</v>
      </c>
      <c r="I52" s="497" t="s">
        <v>647</v>
      </c>
      <c r="J52" s="497" t="s">
        <v>671</v>
      </c>
      <c r="K52" s="497" t="s">
        <v>649</v>
      </c>
      <c r="L52" s="497" t="s">
        <v>36</v>
      </c>
      <c r="M52" s="497" t="s">
        <v>653</v>
      </c>
      <c r="N52" s="497" t="s">
        <v>680</v>
      </c>
      <c r="O52" s="497"/>
      <c r="P52" s="497"/>
      <c r="Q52" s="497" t="s">
        <v>650</v>
      </c>
      <c r="R52" s="497" t="s">
        <v>652</v>
      </c>
      <c r="S52" s="497" t="s">
        <v>649</v>
      </c>
      <c r="T52" s="497"/>
      <c r="U52" s="497"/>
      <c r="V52" s="497" t="s">
        <v>36</v>
      </c>
      <c r="W52" s="497" t="s">
        <v>684</v>
      </c>
      <c r="X52" s="499">
        <v>44013</v>
      </c>
      <c r="Y52" s="499">
        <v>44284</v>
      </c>
      <c r="Z52" s="500">
        <v>2021</v>
      </c>
      <c r="AA52" s="497" t="s">
        <v>676</v>
      </c>
      <c r="AB52" s="497" t="s">
        <v>675</v>
      </c>
      <c r="AC52" s="497" t="s">
        <v>663</v>
      </c>
      <c r="AD52" s="501"/>
      <c r="AE52" s="501"/>
      <c r="AF52" s="501"/>
      <c r="AG52" s="501"/>
      <c r="AH52" s="501"/>
      <c r="AI52" s="501"/>
      <c r="AJ52" s="501"/>
      <c r="AK52" s="501"/>
      <c r="AL52" s="501"/>
      <c r="AM52" s="501"/>
      <c r="AN52" s="501"/>
      <c r="AO52" s="501"/>
      <c r="AP52" s="501"/>
      <c r="AQ52" s="501"/>
      <c r="AR52" s="501"/>
      <c r="AS52" s="501"/>
      <c r="AT52" s="501"/>
      <c r="AU52" s="501"/>
      <c r="AV52" s="501"/>
      <c r="AW52" s="501"/>
      <c r="AX52" s="501"/>
      <c r="AY52" s="501"/>
      <c r="AZ52" s="501">
        <v>217000</v>
      </c>
      <c r="BA52" s="501"/>
      <c r="BB52" s="483"/>
      <c r="BC52" s="483"/>
      <c r="BD52" s="483"/>
      <c r="BE52" s="483"/>
      <c r="BF52" s="483"/>
      <c r="BG52" s="483">
        <v>31179.289254250965</v>
      </c>
      <c r="BH52" s="483"/>
      <c r="BI52" s="483"/>
      <c r="BJ52" s="483"/>
      <c r="BK52" s="483"/>
      <c r="BL52" s="483"/>
      <c r="BM52" s="483"/>
      <c r="BN52" s="483"/>
      <c r="BO52" s="483"/>
      <c r="BP52" s="483"/>
      <c r="BQ52" s="483"/>
      <c r="BR52" s="483">
        <v>248179.28925425097</v>
      </c>
      <c r="BS52" s="484">
        <f t="shared" si="2"/>
        <v>217000</v>
      </c>
      <c r="BT52" s="485">
        <f t="shared" si="10"/>
        <v>0</v>
      </c>
      <c r="BU52" s="485">
        <f t="shared" si="10"/>
        <v>0</v>
      </c>
      <c r="BV52" s="485">
        <f t="shared" si="10"/>
        <v>0</v>
      </c>
      <c r="BW52" s="485">
        <f t="shared" si="10"/>
        <v>0</v>
      </c>
      <c r="BX52" s="485">
        <f t="shared" si="10"/>
        <v>0</v>
      </c>
      <c r="BY52" s="485">
        <f t="shared" si="10"/>
        <v>0</v>
      </c>
      <c r="BZ52" s="485">
        <f t="shared" si="10"/>
        <v>0</v>
      </c>
      <c r="CA52" s="485">
        <f t="shared" si="10"/>
        <v>1</v>
      </c>
      <c r="CB52" s="485">
        <f t="shared" si="10"/>
        <v>0</v>
      </c>
      <c r="CC52" s="485">
        <f t="shared" si="10"/>
        <v>0</v>
      </c>
      <c r="CD52" s="485">
        <f t="shared" si="11"/>
        <v>0</v>
      </c>
      <c r="CE52" s="485">
        <f t="shared" si="11"/>
        <v>0</v>
      </c>
      <c r="CF52" s="485">
        <f t="shared" si="11"/>
        <v>0</v>
      </c>
      <c r="CG52" s="485">
        <f t="shared" si="11"/>
        <v>0</v>
      </c>
      <c r="CH52" s="485">
        <f t="shared" si="11"/>
        <v>0</v>
      </c>
      <c r="CI52" s="485">
        <f t="shared" si="11"/>
        <v>0</v>
      </c>
      <c r="CJ52" s="485">
        <f t="shared" si="11"/>
        <v>0</v>
      </c>
      <c r="CK52" s="485">
        <f t="shared" si="11"/>
        <v>0</v>
      </c>
      <c r="CL52" s="485">
        <f t="shared" si="11"/>
        <v>0</v>
      </c>
      <c r="CM52" s="486">
        <f t="shared" si="3"/>
        <v>1</v>
      </c>
    </row>
    <row r="53" spans="1:91" s="487" customFormat="1" ht="25.5" x14ac:dyDescent="0.25">
      <c r="A53" s="497" t="s">
        <v>420</v>
      </c>
      <c r="B53" s="498" t="s">
        <v>2851</v>
      </c>
      <c r="C53" s="497" t="s">
        <v>751</v>
      </c>
      <c r="D53" s="498"/>
      <c r="E53" s="497" t="s">
        <v>655</v>
      </c>
      <c r="F53" s="498"/>
      <c r="G53" s="497"/>
      <c r="H53" s="497" t="s">
        <v>654</v>
      </c>
      <c r="I53" s="497" t="s">
        <v>647</v>
      </c>
      <c r="J53" s="497" t="s">
        <v>641</v>
      </c>
      <c r="K53" s="497" t="s">
        <v>649</v>
      </c>
      <c r="L53" s="497" t="s">
        <v>40</v>
      </c>
      <c r="M53" s="497" t="s">
        <v>653</v>
      </c>
      <c r="N53" s="497" t="s">
        <v>645</v>
      </c>
      <c r="O53" s="497"/>
      <c r="P53" s="497"/>
      <c r="Q53" s="497" t="s">
        <v>642</v>
      </c>
      <c r="R53" s="497" t="s">
        <v>652</v>
      </c>
      <c r="S53" s="497" t="s">
        <v>649</v>
      </c>
      <c r="T53" s="497"/>
      <c r="U53" s="497"/>
      <c r="V53" s="497" t="s">
        <v>685</v>
      </c>
      <c r="W53" s="497" t="s">
        <v>677</v>
      </c>
      <c r="X53" s="499">
        <v>43283</v>
      </c>
      <c r="Y53" s="499">
        <v>45055</v>
      </c>
      <c r="Z53" s="500">
        <v>2023</v>
      </c>
      <c r="AA53" s="497"/>
      <c r="AB53" s="497"/>
      <c r="AC53" s="497"/>
      <c r="AD53" s="501"/>
      <c r="AE53" s="501"/>
      <c r="AF53" s="501"/>
      <c r="AG53" s="501"/>
      <c r="AH53" s="501"/>
      <c r="AI53" s="501"/>
      <c r="AJ53" s="501"/>
      <c r="AK53" s="501"/>
      <c r="AL53" s="501"/>
      <c r="AM53" s="501"/>
      <c r="AN53" s="501"/>
      <c r="AO53" s="501"/>
      <c r="AP53" s="501"/>
      <c r="AQ53" s="501">
        <v>5155050.0829000007</v>
      </c>
      <c r="AR53" s="501"/>
      <c r="AS53" s="501"/>
      <c r="AT53" s="501"/>
      <c r="AU53" s="501"/>
      <c r="AV53" s="501"/>
      <c r="AW53" s="501"/>
      <c r="AX53" s="501"/>
      <c r="AY53" s="501"/>
      <c r="AZ53" s="501"/>
      <c r="BA53" s="501"/>
      <c r="BB53" s="483">
        <v>0</v>
      </c>
      <c r="BC53" s="483">
        <v>0</v>
      </c>
      <c r="BD53" s="483">
        <v>0</v>
      </c>
      <c r="BE53" s="483">
        <v>0</v>
      </c>
      <c r="BF53" s="483">
        <v>0</v>
      </c>
      <c r="BG53" s="483">
        <v>1317463.0914685384</v>
      </c>
      <c r="BH53" s="483"/>
      <c r="BI53" s="483"/>
      <c r="BJ53" s="483"/>
      <c r="BK53" s="483"/>
      <c r="BL53" s="483"/>
      <c r="BM53" s="483"/>
      <c r="BN53" s="483"/>
      <c r="BO53" s="483"/>
      <c r="BP53" s="483"/>
      <c r="BQ53" s="483"/>
      <c r="BR53" s="483">
        <v>6472513.1743685398</v>
      </c>
      <c r="BS53" s="484">
        <f t="shared" si="2"/>
        <v>5155050.0829000007</v>
      </c>
      <c r="BT53" s="485">
        <f t="shared" si="10"/>
        <v>0</v>
      </c>
      <c r="BU53" s="485">
        <f t="shared" si="10"/>
        <v>0</v>
      </c>
      <c r="BV53" s="485">
        <f t="shared" si="10"/>
        <v>1</v>
      </c>
      <c r="BW53" s="485">
        <f t="shared" si="10"/>
        <v>0</v>
      </c>
      <c r="BX53" s="485">
        <f t="shared" si="10"/>
        <v>0</v>
      </c>
      <c r="BY53" s="485">
        <f t="shared" si="10"/>
        <v>0</v>
      </c>
      <c r="BZ53" s="485">
        <f t="shared" si="10"/>
        <v>0</v>
      </c>
      <c r="CA53" s="485">
        <f t="shared" si="10"/>
        <v>0</v>
      </c>
      <c r="CB53" s="485">
        <f t="shared" si="10"/>
        <v>0</v>
      </c>
      <c r="CC53" s="485">
        <f t="shared" si="10"/>
        <v>0</v>
      </c>
      <c r="CD53" s="485">
        <f t="shared" si="11"/>
        <v>0</v>
      </c>
      <c r="CE53" s="485">
        <f t="shared" si="11"/>
        <v>0</v>
      </c>
      <c r="CF53" s="485">
        <f t="shared" si="11"/>
        <v>0</v>
      </c>
      <c r="CG53" s="485">
        <f t="shared" si="11"/>
        <v>0</v>
      </c>
      <c r="CH53" s="485">
        <f t="shared" si="11"/>
        <v>0</v>
      </c>
      <c r="CI53" s="485">
        <f t="shared" si="11"/>
        <v>0</v>
      </c>
      <c r="CJ53" s="485">
        <f t="shared" si="11"/>
        <v>0</v>
      </c>
      <c r="CK53" s="485">
        <f t="shared" si="11"/>
        <v>0</v>
      </c>
      <c r="CL53" s="485">
        <f t="shared" si="11"/>
        <v>0</v>
      </c>
      <c r="CM53" s="486">
        <f t="shared" si="3"/>
        <v>1</v>
      </c>
    </row>
    <row r="54" spans="1:91" s="487" customFormat="1" ht="25.5" x14ac:dyDescent="0.25">
      <c r="A54" s="497" t="s">
        <v>422</v>
      </c>
      <c r="B54" s="498" t="s">
        <v>2852</v>
      </c>
      <c r="C54" s="497" t="s">
        <v>750</v>
      </c>
      <c r="D54" s="498"/>
      <c r="E54" s="497" t="s">
        <v>655</v>
      </c>
      <c r="F54" s="498"/>
      <c r="G54" s="497"/>
      <c r="H54" s="497" t="s">
        <v>654</v>
      </c>
      <c r="I54" s="497" t="s">
        <v>647</v>
      </c>
      <c r="J54" s="497" t="s">
        <v>671</v>
      </c>
      <c r="K54" s="497" t="s">
        <v>649</v>
      </c>
      <c r="L54" s="497" t="s">
        <v>40</v>
      </c>
      <c r="M54" s="497" t="s">
        <v>653</v>
      </c>
      <c r="N54" s="497" t="s">
        <v>645</v>
      </c>
      <c r="O54" s="497"/>
      <c r="P54" s="497"/>
      <c r="Q54" s="497" t="s">
        <v>656</v>
      </c>
      <c r="R54" s="497" t="s">
        <v>652</v>
      </c>
      <c r="S54" s="497" t="s">
        <v>649</v>
      </c>
      <c r="T54" s="497"/>
      <c r="U54" s="497"/>
      <c r="V54" s="497" t="s">
        <v>683</v>
      </c>
      <c r="W54" s="497" t="s">
        <v>677</v>
      </c>
      <c r="X54" s="499">
        <v>43952</v>
      </c>
      <c r="Y54" s="499">
        <v>44862</v>
      </c>
      <c r="Z54" s="500">
        <v>2023</v>
      </c>
      <c r="AA54" s="497"/>
      <c r="AB54" s="497"/>
      <c r="AC54" s="497"/>
      <c r="AD54" s="501"/>
      <c r="AE54" s="501"/>
      <c r="AF54" s="501"/>
      <c r="AG54" s="501"/>
      <c r="AH54" s="501"/>
      <c r="AI54" s="501"/>
      <c r="AJ54" s="501"/>
      <c r="AK54" s="501"/>
      <c r="AL54" s="501"/>
      <c r="AM54" s="501"/>
      <c r="AN54" s="501"/>
      <c r="AO54" s="501"/>
      <c r="AP54" s="501"/>
      <c r="AQ54" s="501"/>
      <c r="AR54" s="501"/>
      <c r="AS54" s="501"/>
      <c r="AT54" s="501"/>
      <c r="AU54" s="501"/>
      <c r="AV54" s="501">
        <v>180000.00000000015</v>
      </c>
      <c r="AW54" s="501"/>
      <c r="AX54" s="501"/>
      <c r="AY54" s="501"/>
      <c r="AZ54" s="501"/>
      <c r="BA54" s="501"/>
      <c r="BB54" s="483"/>
      <c r="BC54" s="483"/>
      <c r="BD54" s="483"/>
      <c r="BE54" s="483"/>
      <c r="BF54" s="483"/>
      <c r="BG54" s="483">
        <v>1620000.0000000023</v>
      </c>
      <c r="BH54" s="483"/>
      <c r="BI54" s="483"/>
      <c r="BJ54" s="483"/>
      <c r="BK54" s="483"/>
      <c r="BL54" s="483"/>
      <c r="BM54" s="483"/>
      <c r="BN54" s="483"/>
      <c r="BO54" s="483"/>
      <c r="BP54" s="483"/>
      <c r="BQ54" s="483"/>
      <c r="BR54" s="483">
        <v>1800000.0000000026</v>
      </c>
      <c r="BS54" s="484">
        <f t="shared" si="2"/>
        <v>180000.00000000015</v>
      </c>
      <c r="BT54" s="485">
        <f t="shared" si="10"/>
        <v>0</v>
      </c>
      <c r="BU54" s="485">
        <f t="shared" si="10"/>
        <v>0</v>
      </c>
      <c r="BV54" s="485">
        <f t="shared" si="10"/>
        <v>0</v>
      </c>
      <c r="BW54" s="485">
        <f t="shared" si="10"/>
        <v>1</v>
      </c>
      <c r="BX54" s="485">
        <f t="shared" si="10"/>
        <v>0</v>
      </c>
      <c r="BY54" s="485">
        <f t="shared" si="10"/>
        <v>0</v>
      </c>
      <c r="BZ54" s="485">
        <f t="shared" si="10"/>
        <v>0</v>
      </c>
      <c r="CA54" s="485">
        <f t="shared" si="10"/>
        <v>0</v>
      </c>
      <c r="CB54" s="485">
        <f t="shared" si="10"/>
        <v>0</v>
      </c>
      <c r="CC54" s="485">
        <f t="shared" si="10"/>
        <v>0</v>
      </c>
      <c r="CD54" s="485">
        <f t="shared" si="11"/>
        <v>0</v>
      </c>
      <c r="CE54" s="485">
        <f t="shared" si="11"/>
        <v>0</v>
      </c>
      <c r="CF54" s="485">
        <f t="shared" si="11"/>
        <v>0</v>
      </c>
      <c r="CG54" s="485">
        <f t="shared" si="11"/>
        <v>0</v>
      </c>
      <c r="CH54" s="485">
        <f t="shared" si="11"/>
        <v>0</v>
      </c>
      <c r="CI54" s="485">
        <f t="shared" si="11"/>
        <v>0</v>
      </c>
      <c r="CJ54" s="485">
        <f t="shared" si="11"/>
        <v>0</v>
      </c>
      <c r="CK54" s="485">
        <f t="shared" si="11"/>
        <v>0</v>
      </c>
      <c r="CL54" s="485">
        <f t="shared" si="11"/>
        <v>0</v>
      </c>
      <c r="CM54" s="486">
        <f t="shared" si="3"/>
        <v>1</v>
      </c>
    </row>
    <row r="55" spans="1:91" s="487" customFormat="1" ht="25.5" x14ac:dyDescent="0.25">
      <c r="A55" s="497" t="s">
        <v>424</v>
      </c>
      <c r="B55" s="498" t="s">
        <v>2159</v>
      </c>
      <c r="C55" s="497" t="s">
        <v>749</v>
      </c>
      <c r="D55" s="498"/>
      <c r="E55" s="497" t="s">
        <v>655</v>
      </c>
      <c r="F55" s="498"/>
      <c r="G55" s="497" t="s">
        <v>648</v>
      </c>
      <c r="H55" s="497" t="s">
        <v>654</v>
      </c>
      <c r="I55" s="497" t="s">
        <v>647</v>
      </c>
      <c r="J55" s="497" t="s">
        <v>671</v>
      </c>
      <c r="K55" s="497" t="s">
        <v>649</v>
      </c>
      <c r="L55" s="497" t="s">
        <v>36</v>
      </c>
      <c r="M55" s="497" t="s">
        <v>653</v>
      </c>
      <c r="N55" s="497" t="s">
        <v>680</v>
      </c>
      <c r="O55" s="497"/>
      <c r="P55" s="497"/>
      <c r="Q55" s="497" t="s">
        <v>650</v>
      </c>
      <c r="R55" s="497" t="s">
        <v>652</v>
      </c>
      <c r="S55" s="497" t="s">
        <v>649</v>
      </c>
      <c r="T55" s="497"/>
      <c r="U55" s="497"/>
      <c r="V55" s="497" t="s">
        <v>36</v>
      </c>
      <c r="W55" s="497" t="s">
        <v>640</v>
      </c>
      <c r="X55" s="499">
        <v>44378</v>
      </c>
      <c r="Y55" s="499">
        <v>44649</v>
      </c>
      <c r="Z55" s="500">
        <v>2022</v>
      </c>
      <c r="AA55" s="497" t="s">
        <v>676</v>
      </c>
      <c r="AB55" s="497" t="s">
        <v>675</v>
      </c>
      <c r="AC55" s="497" t="s">
        <v>663</v>
      </c>
      <c r="AD55" s="501"/>
      <c r="AE55" s="501"/>
      <c r="AF55" s="501"/>
      <c r="AG55" s="501"/>
      <c r="AH55" s="501"/>
      <c r="AI55" s="501"/>
      <c r="AJ55" s="501"/>
      <c r="AK55" s="501"/>
      <c r="AL55" s="501"/>
      <c r="AM55" s="501"/>
      <c r="AN55" s="501"/>
      <c r="AO55" s="501"/>
      <c r="AP55" s="501"/>
      <c r="AQ55" s="501"/>
      <c r="AR55" s="501"/>
      <c r="AS55" s="501"/>
      <c r="AT55" s="501"/>
      <c r="AU55" s="501">
        <v>244999.99999999997</v>
      </c>
      <c r="AV55" s="501"/>
      <c r="AW55" s="501"/>
      <c r="AX55" s="501"/>
      <c r="AY55" s="501"/>
      <c r="AZ55" s="501"/>
      <c r="BA55" s="501"/>
      <c r="BB55" s="483">
        <v>31850</v>
      </c>
      <c r="BC55" s="483"/>
      <c r="BD55" s="483"/>
      <c r="BE55" s="483"/>
      <c r="BF55" s="483"/>
      <c r="BG55" s="483">
        <v>49924.452847218367</v>
      </c>
      <c r="BH55" s="483"/>
      <c r="BI55" s="483"/>
      <c r="BJ55" s="483"/>
      <c r="BK55" s="483"/>
      <c r="BL55" s="483"/>
      <c r="BM55" s="483"/>
      <c r="BN55" s="483"/>
      <c r="BO55" s="483"/>
      <c r="BP55" s="483"/>
      <c r="BQ55" s="483"/>
      <c r="BR55" s="483">
        <v>326774.45284721832</v>
      </c>
      <c r="BS55" s="484">
        <f t="shared" si="2"/>
        <v>244999.99999999997</v>
      </c>
      <c r="BT55" s="485">
        <f t="shared" si="10"/>
        <v>1</v>
      </c>
      <c r="BU55" s="485">
        <f t="shared" si="10"/>
        <v>0</v>
      </c>
      <c r="BV55" s="485">
        <f t="shared" si="10"/>
        <v>0</v>
      </c>
      <c r="BW55" s="485">
        <f t="shared" si="10"/>
        <v>0</v>
      </c>
      <c r="BX55" s="485">
        <f t="shared" si="10"/>
        <v>0</v>
      </c>
      <c r="BY55" s="485">
        <f t="shared" si="10"/>
        <v>0</v>
      </c>
      <c r="BZ55" s="485">
        <f t="shared" si="10"/>
        <v>0</v>
      </c>
      <c r="CA55" s="485">
        <f t="shared" si="10"/>
        <v>0</v>
      </c>
      <c r="CB55" s="485">
        <f t="shared" si="10"/>
        <v>0</v>
      </c>
      <c r="CC55" s="485">
        <f t="shared" si="10"/>
        <v>0</v>
      </c>
      <c r="CD55" s="485">
        <f t="shared" si="11"/>
        <v>0</v>
      </c>
      <c r="CE55" s="485">
        <f t="shared" si="11"/>
        <v>0</v>
      </c>
      <c r="CF55" s="485">
        <f t="shared" si="11"/>
        <v>0</v>
      </c>
      <c r="CG55" s="485">
        <f t="shared" si="11"/>
        <v>0</v>
      </c>
      <c r="CH55" s="485">
        <f t="shared" si="11"/>
        <v>0</v>
      </c>
      <c r="CI55" s="485">
        <f t="shared" si="11"/>
        <v>0</v>
      </c>
      <c r="CJ55" s="485">
        <f t="shared" si="11"/>
        <v>0</v>
      </c>
      <c r="CK55" s="485">
        <f t="shared" si="11"/>
        <v>0</v>
      </c>
      <c r="CL55" s="485">
        <f t="shared" si="11"/>
        <v>0</v>
      </c>
      <c r="CM55" s="486">
        <f t="shared" si="3"/>
        <v>1</v>
      </c>
    </row>
    <row r="56" spans="1:91" s="487" customFormat="1" ht="25.5" x14ac:dyDescent="0.25">
      <c r="A56" s="497" t="s">
        <v>426</v>
      </c>
      <c r="B56" s="498" t="s">
        <v>2161</v>
      </c>
      <c r="C56" s="497" t="s">
        <v>748</v>
      </c>
      <c r="D56" s="498"/>
      <c r="E56" s="497" t="s">
        <v>655</v>
      </c>
      <c r="F56" s="498"/>
      <c r="G56" s="497" t="s">
        <v>648</v>
      </c>
      <c r="H56" s="497" t="s">
        <v>654</v>
      </c>
      <c r="I56" s="497" t="s">
        <v>647</v>
      </c>
      <c r="J56" s="497" t="s">
        <v>671</v>
      </c>
      <c r="K56" s="497" t="s">
        <v>649</v>
      </c>
      <c r="L56" s="497" t="s">
        <v>36</v>
      </c>
      <c r="M56" s="497" t="s">
        <v>653</v>
      </c>
      <c r="N56" s="497" t="s">
        <v>680</v>
      </c>
      <c r="O56" s="497"/>
      <c r="P56" s="497"/>
      <c r="Q56" s="497" t="s">
        <v>650</v>
      </c>
      <c r="R56" s="497" t="s">
        <v>652</v>
      </c>
      <c r="S56" s="497" t="s">
        <v>649</v>
      </c>
      <c r="T56" s="497"/>
      <c r="U56" s="497"/>
      <c r="V56" s="497" t="s">
        <v>36</v>
      </c>
      <c r="W56" s="497" t="s">
        <v>640</v>
      </c>
      <c r="X56" s="499">
        <v>44378</v>
      </c>
      <c r="Y56" s="499">
        <v>44649</v>
      </c>
      <c r="Z56" s="500">
        <v>2022</v>
      </c>
      <c r="AA56" s="497" t="s">
        <v>676</v>
      </c>
      <c r="AB56" s="497" t="s">
        <v>675</v>
      </c>
      <c r="AC56" s="497" t="s">
        <v>663</v>
      </c>
      <c r="AD56" s="501"/>
      <c r="AE56" s="501"/>
      <c r="AF56" s="501"/>
      <c r="AG56" s="501"/>
      <c r="AH56" s="501"/>
      <c r="AI56" s="501"/>
      <c r="AJ56" s="501"/>
      <c r="AK56" s="501"/>
      <c r="AL56" s="501"/>
      <c r="AM56" s="501"/>
      <c r="AN56" s="501"/>
      <c r="AO56" s="501"/>
      <c r="AP56" s="501"/>
      <c r="AQ56" s="501"/>
      <c r="AR56" s="501"/>
      <c r="AS56" s="501"/>
      <c r="AT56" s="501"/>
      <c r="AU56" s="501">
        <v>194999.99999999997</v>
      </c>
      <c r="AV56" s="501"/>
      <c r="AW56" s="501"/>
      <c r="AX56" s="501">
        <v>60999.999999999985</v>
      </c>
      <c r="AY56" s="501"/>
      <c r="AZ56" s="501"/>
      <c r="BA56" s="501"/>
      <c r="BB56" s="483">
        <v>33280</v>
      </c>
      <c r="BC56" s="483"/>
      <c r="BD56" s="483"/>
      <c r="BE56" s="483"/>
      <c r="BF56" s="483"/>
      <c r="BG56" s="483">
        <v>52165.958893419986</v>
      </c>
      <c r="BH56" s="483"/>
      <c r="BI56" s="483"/>
      <c r="BJ56" s="483"/>
      <c r="BK56" s="483"/>
      <c r="BL56" s="483"/>
      <c r="BM56" s="483"/>
      <c r="BN56" s="483"/>
      <c r="BO56" s="483"/>
      <c r="BP56" s="483"/>
      <c r="BQ56" s="483"/>
      <c r="BR56" s="483">
        <v>341445.95889341994</v>
      </c>
      <c r="BS56" s="484">
        <f t="shared" si="2"/>
        <v>255999.99999999994</v>
      </c>
      <c r="BT56" s="485">
        <f t="shared" si="10"/>
        <v>0.76171875000000011</v>
      </c>
      <c r="BU56" s="485">
        <f t="shared" si="10"/>
        <v>0</v>
      </c>
      <c r="BV56" s="485">
        <f t="shared" si="10"/>
        <v>0</v>
      </c>
      <c r="BW56" s="485">
        <f t="shared" si="10"/>
        <v>0</v>
      </c>
      <c r="BX56" s="485">
        <f t="shared" si="10"/>
        <v>0</v>
      </c>
      <c r="BY56" s="485">
        <f t="shared" si="10"/>
        <v>0</v>
      </c>
      <c r="BZ56" s="485">
        <f t="shared" si="10"/>
        <v>0</v>
      </c>
      <c r="CA56" s="485">
        <f t="shared" si="10"/>
        <v>0.23828125</v>
      </c>
      <c r="CB56" s="485">
        <f t="shared" si="10"/>
        <v>0</v>
      </c>
      <c r="CC56" s="485">
        <f t="shared" si="10"/>
        <v>0</v>
      </c>
      <c r="CD56" s="485">
        <f t="shared" si="11"/>
        <v>0</v>
      </c>
      <c r="CE56" s="485">
        <f t="shared" si="11"/>
        <v>0</v>
      </c>
      <c r="CF56" s="485">
        <f t="shared" si="11"/>
        <v>0</v>
      </c>
      <c r="CG56" s="485">
        <f t="shared" si="11"/>
        <v>0</v>
      </c>
      <c r="CH56" s="485">
        <f t="shared" si="11"/>
        <v>0</v>
      </c>
      <c r="CI56" s="485">
        <f t="shared" si="11"/>
        <v>0</v>
      </c>
      <c r="CJ56" s="485">
        <f t="shared" si="11"/>
        <v>0</v>
      </c>
      <c r="CK56" s="485">
        <f t="shared" si="11"/>
        <v>0</v>
      </c>
      <c r="CL56" s="485">
        <f t="shared" si="11"/>
        <v>0</v>
      </c>
      <c r="CM56" s="486">
        <f t="shared" si="3"/>
        <v>1</v>
      </c>
    </row>
    <row r="57" spans="1:91" s="487" customFormat="1" ht="25.5" x14ac:dyDescent="0.25">
      <c r="A57" s="497" t="s">
        <v>428</v>
      </c>
      <c r="B57" s="498" t="s">
        <v>2165</v>
      </c>
      <c r="C57" s="497" t="s">
        <v>747</v>
      </c>
      <c r="D57" s="498"/>
      <c r="E57" s="497" t="s">
        <v>655</v>
      </c>
      <c r="F57" s="498"/>
      <c r="G57" s="497" t="s">
        <v>648</v>
      </c>
      <c r="H57" s="497" t="s">
        <v>654</v>
      </c>
      <c r="I57" s="497" t="s">
        <v>647</v>
      </c>
      <c r="J57" s="497" t="s">
        <v>671</v>
      </c>
      <c r="K57" s="497" t="s">
        <v>649</v>
      </c>
      <c r="L57" s="497" t="s">
        <v>36</v>
      </c>
      <c r="M57" s="497" t="s">
        <v>653</v>
      </c>
      <c r="N57" s="497" t="s">
        <v>680</v>
      </c>
      <c r="O57" s="497"/>
      <c r="P57" s="497"/>
      <c r="Q57" s="497" t="s">
        <v>650</v>
      </c>
      <c r="R57" s="497" t="s">
        <v>652</v>
      </c>
      <c r="S57" s="497" t="s">
        <v>649</v>
      </c>
      <c r="T57" s="497"/>
      <c r="U57" s="497"/>
      <c r="V57" s="497" t="s">
        <v>36</v>
      </c>
      <c r="W57" s="497" t="s">
        <v>684</v>
      </c>
      <c r="X57" s="499">
        <v>44378</v>
      </c>
      <c r="Y57" s="499">
        <v>44649</v>
      </c>
      <c r="Z57" s="500">
        <v>2022</v>
      </c>
      <c r="AA57" s="497" t="s">
        <v>676</v>
      </c>
      <c r="AB57" s="497" t="s">
        <v>675</v>
      </c>
      <c r="AC57" s="497" t="s">
        <v>663</v>
      </c>
      <c r="AD57" s="501"/>
      <c r="AE57" s="501"/>
      <c r="AF57" s="501"/>
      <c r="AG57" s="501"/>
      <c r="AH57" s="501"/>
      <c r="AI57" s="501"/>
      <c r="AJ57" s="501"/>
      <c r="AK57" s="501"/>
      <c r="AL57" s="501"/>
      <c r="AM57" s="501"/>
      <c r="AN57" s="501"/>
      <c r="AO57" s="501"/>
      <c r="AP57" s="501"/>
      <c r="AQ57" s="501"/>
      <c r="AR57" s="501"/>
      <c r="AS57" s="501"/>
      <c r="AT57" s="501"/>
      <c r="AU57" s="501"/>
      <c r="AV57" s="501"/>
      <c r="AW57" s="501"/>
      <c r="AX57" s="501"/>
      <c r="AY57" s="501"/>
      <c r="AZ57" s="501">
        <v>203999.99999999994</v>
      </c>
      <c r="BA57" s="501"/>
      <c r="BB57" s="483"/>
      <c r="BC57" s="483"/>
      <c r="BD57" s="483"/>
      <c r="BE57" s="483"/>
      <c r="BF57" s="483"/>
      <c r="BG57" s="483">
        <v>29311.405566208283</v>
      </c>
      <c r="BH57" s="483"/>
      <c r="BI57" s="483"/>
      <c r="BJ57" s="483"/>
      <c r="BK57" s="483"/>
      <c r="BL57" s="483"/>
      <c r="BM57" s="483"/>
      <c r="BN57" s="483"/>
      <c r="BO57" s="483"/>
      <c r="BP57" s="483"/>
      <c r="BQ57" s="483"/>
      <c r="BR57" s="483">
        <v>233311.40556620824</v>
      </c>
      <c r="BS57" s="484">
        <f t="shared" si="2"/>
        <v>203999.99999999994</v>
      </c>
      <c r="BT57" s="485">
        <f t="shared" si="10"/>
        <v>0</v>
      </c>
      <c r="BU57" s="485">
        <f t="shared" si="10"/>
        <v>0</v>
      </c>
      <c r="BV57" s="485">
        <f t="shared" si="10"/>
        <v>0</v>
      </c>
      <c r="BW57" s="485">
        <f t="shared" si="10"/>
        <v>0</v>
      </c>
      <c r="BX57" s="485">
        <f t="shared" si="10"/>
        <v>0</v>
      </c>
      <c r="BY57" s="485">
        <f t="shared" si="10"/>
        <v>0</v>
      </c>
      <c r="BZ57" s="485">
        <f t="shared" si="10"/>
        <v>0</v>
      </c>
      <c r="CA57" s="485">
        <f t="shared" si="10"/>
        <v>1</v>
      </c>
      <c r="CB57" s="485">
        <f t="shared" si="10"/>
        <v>0</v>
      </c>
      <c r="CC57" s="485">
        <f t="shared" si="10"/>
        <v>0</v>
      </c>
      <c r="CD57" s="485">
        <f t="shared" si="11"/>
        <v>0</v>
      </c>
      <c r="CE57" s="485">
        <f t="shared" si="11"/>
        <v>0</v>
      </c>
      <c r="CF57" s="485">
        <f t="shared" si="11"/>
        <v>0</v>
      </c>
      <c r="CG57" s="485">
        <f t="shared" si="11"/>
        <v>0</v>
      </c>
      <c r="CH57" s="485">
        <f t="shared" si="11"/>
        <v>0</v>
      </c>
      <c r="CI57" s="485">
        <f t="shared" si="11"/>
        <v>0</v>
      </c>
      <c r="CJ57" s="485">
        <f t="shared" si="11"/>
        <v>0</v>
      </c>
      <c r="CK57" s="485">
        <f t="shared" si="11"/>
        <v>0</v>
      </c>
      <c r="CL57" s="485">
        <f t="shared" si="11"/>
        <v>0</v>
      </c>
      <c r="CM57" s="486">
        <f t="shared" si="3"/>
        <v>1</v>
      </c>
    </row>
    <row r="58" spans="1:91" s="487" customFormat="1" ht="25.5" x14ac:dyDescent="0.25">
      <c r="A58" s="497" t="s">
        <v>430</v>
      </c>
      <c r="B58" s="498" t="s">
        <v>2853</v>
      </c>
      <c r="C58" s="497" t="s">
        <v>2482</v>
      </c>
      <c r="D58" s="498"/>
      <c r="E58" s="497" t="s">
        <v>655</v>
      </c>
      <c r="F58" s="498"/>
      <c r="G58" s="497"/>
      <c r="H58" s="497" t="s">
        <v>654</v>
      </c>
      <c r="I58" s="497" t="s">
        <v>647</v>
      </c>
      <c r="J58" s="497" t="s">
        <v>671</v>
      </c>
      <c r="K58" s="497" t="s">
        <v>649</v>
      </c>
      <c r="L58" s="497" t="s">
        <v>55</v>
      </c>
      <c r="M58" s="497" t="s">
        <v>653</v>
      </c>
      <c r="N58" s="497" t="s">
        <v>645</v>
      </c>
      <c r="O58" s="497"/>
      <c r="P58" s="497"/>
      <c r="Q58" s="497" t="s">
        <v>656</v>
      </c>
      <c r="R58" s="497" t="s">
        <v>652</v>
      </c>
      <c r="S58" s="497" t="s">
        <v>649</v>
      </c>
      <c r="T58" s="497"/>
      <c r="U58" s="497"/>
      <c r="V58" s="497" t="s">
        <v>683</v>
      </c>
      <c r="W58" s="497" t="s">
        <v>677</v>
      </c>
      <c r="X58" s="499">
        <v>44013</v>
      </c>
      <c r="Y58" s="499">
        <v>44776</v>
      </c>
      <c r="Z58" s="500">
        <v>2023</v>
      </c>
      <c r="AA58" s="497"/>
      <c r="AB58" s="497"/>
      <c r="AC58" s="497"/>
      <c r="AD58" s="501"/>
      <c r="AE58" s="501"/>
      <c r="AF58" s="501"/>
      <c r="AG58" s="501"/>
      <c r="AH58" s="501"/>
      <c r="AI58" s="501"/>
      <c r="AJ58" s="501"/>
      <c r="AK58" s="501"/>
      <c r="AL58" s="501"/>
      <c r="AM58" s="501"/>
      <c r="AN58" s="501"/>
      <c r="AO58" s="501"/>
      <c r="AP58" s="501"/>
      <c r="AQ58" s="501"/>
      <c r="AR58" s="501"/>
      <c r="AS58" s="501"/>
      <c r="AT58" s="501"/>
      <c r="AU58" s="501"/>
      <c r="AV58" s="501">
        <v>287759.99999999988</v>
      </c>
      <c r="AW58" s="501"/>
      <c r="AX58" s="501"/>
      <c r="AY58" s="501"/>
      <c r="AZ58" s="501"/>
      <c r="BA58" s="501"/>
      <c r="BB58" s="483"/>
      <c r="BC58" s="483"/>
      <c r="BD58" s="483"/>
      <c r="BE58" s="483"/>
      <c r="BF58" s="483"/>
      <c r="BG58" s="483">
        <v>911240.00000000093</v>
      </c>
      <c r="BH58" s="483"/>
      <c r="BI58" s="483"/>
      <c r="BJ58" s="483"/>
      <c r="BK58" s="483"/>
      <c r="BL58" s="483"/>
      <c r="BM58" s="483"/>
      <c r="BN58" s="483"/>
      <c r="BO58" s="483"/>
      <c r="BP58" s="483"/>
      <c r="BQ58" s="483"/>
      <c r="BR58" s="483">
        <v>1199000.0000000007</v>
      </c>
      <c r="BS58" s="484">
        <f t="shared" si="2"/>
        <v>287759.99999999988</v>
      </c>
      <c r="BT58" s="485">
        <f t="shared" si="10"/>
        <v>0</v>
      </c>
      <c r="BU58" s="485">
        <f t="shared" si="10"/>
        <v>0</v>
      </c>
      <c r="BV58" s="485">
        <f t="shared" si="10"/>
        <v>0</v>
      </c>
      <c r="BW58" s="485">
        <f t="shared" si="10"/>
        <v>1</v>
      </c>
      <c r="BX58" s="485">
        <f t="shared" si="10"/>
        <v>0</v>
      </c>
      <c r="BY58" s="485">
        <f t="shared" si="10"/>
        <v>0</v>
      </c>
      <c r="BZ58" s="485">
        <f t="shared" si="10"/>
        <v>0</v>
      </c>
      <c r="CA58" s="485">
        <f t="shared" si="10"/>
        <v>0</v>
      </c>
      <c r="CB58" s="485">
        <f t="shared" si="10"/>
        <v>0</v>
      </c>
      <c r="CC58" s="485">
        <f t="shared" si="10"/>
        <v>0</v>
      </c>
      <c r="CD58" s="485">
        <f t="shared" si="11"/>
        <v>0</v>
      </c>
      <c r="CE58" s="485">
        <f t="shared" si="11"/>
        <v>0</v>
      </c>
      <c r="CF58" s="485">
        <f t="shared" si="11"/>
        <v>0</v>
      </c>
      <c r="CG58" s="485">
        <f t="shared" si="11"/>
        <v>0</v>
      </c>
      <c r="CH58" s="485">
        <f t="shared" si="11"/>
        <v>0</v>
      </c>
      <c r="CI58" s="485">
        <f t="shared" si="11"/>
        <v>0</v>
      </c>
      <c r="CJ58" s="485">
        <f t="shared" si="11"/>
        <v>0</v>
      </c>
      <c r="CK58" s="485">
        <f t="shared" si="11"/>
        <v>0</v>
      </c>
      <c r="CL58" s="485">
        <f t="shared" si="11"/>
        <v>0</v>
      </c>
      <c r="CM58" s="486">
        <f t="shared" si="3"/>
        <v>1</v>
      </c>
    </row>
    <row r="59" spans="1:91" s="487" customFormat="1" ht="25.5" x14ac:dyDescent="0.25">
      <c r="A59" s="497" t="s">
        <v>431</v>
      </c>
      <c r="B59" s="498" t="s">
        <v>2854</v>
      </c>
      <c r="C59" s="497" t="s">
        <v>2483</v>
      </c>
      <c r="D59" s="498"/>
      <c r="E59" s="497" t="s">
        <v>655</v>
      </c>
      <c r="F59" s="498"/>
      <c r="G59" s="497"/>
      <c r="H59" s="497" t="s">
        <v>654</v>
      </c>
      <c r="I59" s="497" t="s">
        <v>647</v>
      </c>
      <c r="J59" s="497" t="s">
        <v>671</v>
      </c>
      <c r="K59" s="497" t="s">
        <v>649</v>
      </c>
      <c r="L59" s="497" t="s">
        <v>55</v>
      </c>
      <c r="M59" s="497" t="s">
        <v>653</v>
      </c>
      <c r="N59" s="497" t="s">
        <v>645</v>
      </c>
      <c r="O59" s="497"/>
      <c r="P59" s="497"/>
      <c r="Q59" s="497" t="s">
        <v>656</v>
      </c>
      <c r="R59" s="497" t="s">
        <v>652</v>
      </c>
      <c r="S59" s="497" t="s">
        <v>649</v>
      </c>
      <c r="T59" s="497"/>
      <c r="U59" s="497"/>
      <c r="V59" s="497" t="s">
        <v>683</v>
      </c>
      <c r="W59" s="497" t="s">
        <v>677</v>
      </c>
      <c r="X59" s="499">
        <v>44256</v>
      </c>
      <c r="Y59" s="499">
        <v>45062</v>
      </c>
      <c r="Z59" s="500">
        <v>2023</v>
      </c>
      <c r="AA59" s="497"/>
      <c r="AB59" s="497"/>
      <c r="AC59" s="497"/>
      <c r="AD59" s="501"/>
      <c r="AE59" s="501"/>
      <c r="AF59" s="501"/>
      <c r="AG59" s="501"/>
      <c r="AH59" s="501"/>
      <c r="AI59" s="501"/>
      <c r="AJ59" s="501"/>
      <c r="AK59" s="501"/>
      <c r="AL59" s="501"/>
      <c r="AM59" s="501"/>
      <c r="AN59" s="501"/>
      <c r="AO59" s="501"/>
      <c r="AP59" s="501"/>
      <c r="AQ59" s="501"/>
      <c r="AR59" s="501"/>
      <c r="AS59" s="501"/>
      <c r="AT59" s="501"/>
      <c r="AU59" s="501"/>
      <c r="AV59" s="501">
        <v>259899.99999999994</v>
      </c>
      <c r="AW59" s="501"/>
      <c r="AX59" s="501"/>
      <c r="AY59" s="501"/>
      <c r="AZ59" s="501"/>
      <c r="BA59" s="501"/>
      <c r="BB59" s="483"/>
      <c r="BC59" s="483"/>
      <c r="BD59" s="483"/>
      <c r="BE59" s="483"/>
      <c r="BF59" s="483"/>
      <c r="BG59" s="483">
        <v>1039600.0000000005</v>
      </c>
      <c r="BH59" s="483"/>
      <c r="BI59" s="483"/>
      <c r="BJ59" s="483"/>
      <c r="BK59" s="483"/>
      <c r="BL59" s="483"/>
      <c r="BM59" s="483"/>
      <c r="BN59" s="483"/>
      <c r="BO59" s="483"/>
      <c r="BP59" s="483"/>
      <c r="BQ59" s="483"/>
      <c r="BR59" s="483">
        <v>1299500.0000000005</v>
      </c>
      <c r="BS59" s="484">
        <f t="shared" si="2"/>
        <v>259899.99999999994</v>
      </c>
      <c r="BT59" s="485">
        <f t="shared" si="10"/>
        <v>0</v>
      </c>
      <c r="BU59" s="485">
        <f t="shared" si="10"/>
        <v>0</v>
      </c>
      <c r="BV59" s="485">
        <f t="shared" si="10"/>
        <v>0</v>
      </c>
      <c r="BW59" s="485">
        <f t="shared" si="10"/>
        <v>1</v>
      </c>
      <c r="BX59" s="485">
        <f t="shared" si="10"/>
        <v>0</v>
      </c>
      <c r="BY59" s="485">
        <f t="shared" si="10"/>
        <v>0</v>
      </c>
      <c r="BZ59" s="485">
        <f t="shared" si="10"/>
        <v>0</v>
      </c>
      <c r="CA59" s="485">
        <f t="shared" si="10"/>
        <v>0</v>
      </c>
      <c r="CB59" s="485">
        <f t="shared" si="10"/>
        <v>0</v>
      </c>
      <c r="CC59" s="485">
        <f t="shared" si="10"/>
        <v>0</v>
      </c>
      <c r="CD59" s="485">
        <f t="shared" si="11"/>
        <v>0</v>
      </c>
      <c r="CE59" s="485">
        <f t="shared" si="11"/>
        <v>0</v>
      </c>
      <c r="CF59" s="485">
        <f t="shared" si="11"/>
        <v>0</v>
      </c>
      <c r="CG59" s="485">
        <f t="shared" si="11"/>
        <v>0</v>
      </c>
      <c r="CH59" s="485">
        <f t="shared" si="11"/>
        <v>0</v>
      </c>
      <c r="CI59" s="485">
        <f t="shared" si="11"/>
        <v>0</v>
      </c>
      <c r="CJ59" s="485">
        <f t="shared" si="11"/>
        <v>0</v>
      </c>
      <c r="CK59" s="485">
        <f t="shared" si="11"/>
        <v>0</v>
      </c>
      <c r="CL59" s="485">
        <f t="shared" si="11"/>
        <v>0</v>
      </c>
      <c r="CM59" s="486">
        <f t="shared" si="3"/>
        <v>1</v>
      </c>
    </row>
    <row r="60" spans="1:91" s="487" customFormat="1" ht="25.5" x14ac:dyDescent="0.25">
      <c r="A60" s="497" t="s">
        <v>432</v>
      </c>
      <c r="B60" s="498" t="s">
        <v>2242</v>
      </c>
      <c r="C60" s="497" t="s">
        <v>2679</v>
      </c>
      <c r="D60" s="498"/>
      <c r="E60" s="497" t="s">
        <v>655</v>
      </c>
      <c r="F60" s="498"/>
      <c r="G60" s="497"/>
      <c r="H60" s="497" t="s">
        <v>654</v>
      </c>
      <c r="I60" s="497" t="s">
        <v>647</v>
      </c>
      <c r="J60" s="497" t="s">
        <v>671</v>
      </c>
      <c r="K60" s="497" t="s">
        <v>649</v>
      </c>
      <c r="L60" s="497" t="s">
        <v>40</v>
      </c>
      <c r="M60" s="497" t="s">
        <v>653</v>
      </c>
      <c r="N60" s="497" t="s">
        <v>645</v>
      </c>
      <c r="O60" s="497"/>
      <c r="P60" s="497"/>
      <c r="Q60" s="497" t="s">
        <v>650</v>
      </c>
      <c r="R60" s="497" t="s">
        <v>652</v>
      </c>
      <c r="S60" s="497" t="s">
        <v>649</v>
      </c>
      <c r="T60" s="497"/>
      <c r="U60" s="497"/>
      <c r="V60" s="497" t="s">
        <v>683</v>
      </c>
      <c r="W60" s="497" t="s">
        <v>640</v>
      </c>
      <c r="X60" s="499">
        <v>43647</v>
      </c>
      <c r="Y60" s="499">
        <v>44316</v>
      </c>
      <c r="Z60" s="500">
        <v>2021</v>
      </c>
      <c r="AA60" s="497"/>
      <c r="AB60" s="497"/>
      <c r="AC60" s="497"/>
      <c r="AD60" s="501"/>
      <c r="AE60" s="501"/>
      <c r="AF60" s="501"/>
      <c r="AG60" s="501"/>
      <c r="AH60" s="501"/>
      <c r="AI60" s="501"/>
      <c r="AJ60" s="501"/>
      <c r="AK60" s="501"/>
      <c r="AL60" s="501"/>
      <c r="AM60" s="501"/>
      <c r="AN60" s="501"/>
      <c r="AO60" s="501"/>
      <c r="AP60" s="501"/>
      <c r="AQ60" s="501"/>
      <c r="AR60" s="501"/>
      <c r="AS60" s="501"/>
      <c r="AT60" s="501"/>
      <c r="AU60" s="501"/>
      <c r="AV60" s="501">
        <v>0</v>
      </c>
      <c r="AW60" s="501"/>
      <c r="AX60" s="501"/>
      <c r="AY60" s="501"/>
      <c r="AZ60" s="501"/>
      <c r="BA60" s="501"/>
      <c r="BB60" s="483"/>
      <c r="BC60" s="483"/>
      <c r="BD60" s="483"/>
      <c r="BE60" s="483"/>
      <c r="BF60" s="483"/>
      <c r="BG60" s="483">
        <v>899999.85714285751</v>
      </c>
      <c r="BH60" s="483"/>
      <c r="BI60" s="483"/>
      <c r="BJ60" s="483"/>
      <c r="BK60" s="483"/>
      <c r="BL60" s="483"/>
      <c r="BM60" s="483"/>
      <c r="BN60" s="483"/>
      <c r="BO60" s="483"/>
      <c r="BP60" s="483"/>
      <c r="BQ60" s="483"/>
      <c r="BR60" s="483">
        <v>899999.85714285751</v>
      </c>
      <c r="BS60" s="484">
        <f t="shared" si="2"/>
        <v>0</v>
      </c>
      <c r="BT60" s="485">
        <v>0</v>
      </c>
      <c r="BU60" s="485">
        <v>0</v>
      </c>
      <c r="BV60" s="485">
        <v>0</v>
      </c>
      <c r="BW60" s="485">
        <v>1</v>
      </c>
      <c r="BX60" s="485">
        <v>0</v>
      </c>
      <c r="BY60" s="485">
        <v>0</v>
      </c>
      <c r="BZ60" s="485">
        <v>0</v>
      </c>
      <c r="CA60" s="485">
        <v>0</v>
      </c>
      <c r="CB60" s="485">
        <v>0</v>
      </c>
      <c r="CC60" s="485">
        <v>0</v>
      </c>
      <c r="CD60" s="485">
        <v>0</v>
      </c>
      <c r="CE60" s="485">
        <v>0</v>
      </c>
      <c r="CF60" s="485">
        <v>0</v>
      </c>
      <c r="CG60" s="485">
        <v>0</v>
      </c>
      <c r="CH60" s="485">
        <v>0</v>
      </c>
      <c r="CI60" s="485">
        <v>0</v>
      </c>
      <c r="CJ60" s="485">
        <v>0</v>
      </c>
      <c r="CK60" s="485">
        <v>0</v>
      </c>
      <c r="CL60" s="485">
        <v>0</v>
      </c>
      <c r="CM60" s="486">
        <f t="shared" si="3"/>
        <v>1</v>
      </c>
    </row>
    <row r="61" spans="1:91" s="487" customFormat="1" ht="25.5" x14ac:dyDescent="0.25">
      <c r="A61" s="497" t="s">
        <v>434</v>
      </c>
      <c r="B61" s="498" t="s">
        <v>2855</v>
      </c>
      <c r="C61" s="497" t="s">
        <v>746</v>
      </c>
      <c r="D61" s="498"/>
      <c r="E61" s="497" t="s">
        <v>655</v>
      </c>
      <c r="F61" s="498"/>
      <c r="G61" s="497"/>
      <c r="H61" s="497" t="s">
        <v>654</v>
      </c>
      <c r="I61" s="497" t="s">
        <v>647</v>
      </c>
      <c r="J61" s="497" t="s">
        <v>641</v>
      </c>
      <c r="K61" s="497" t="s">
        <v>649</v>
      </c>
      <c r="L61" s="497" t="s">
        <v>40</v>
      </c>
      <c r="M61" s="497" t="s">
        <v>653</v>
      </c>
      <c r="N61" s="497" t="s">
        <v>645</v>
      </c>
      <c r="O61" s="497"/>
      <c r="P61" s="497"/>
      <c r="Q61" s="497" t="s">
        <v>656</v>
      </c>
      <c r="R61" s="497" t="s">
        <v>652</v>
      </c>
      <c r="S61" s="497" t="s">
        <v>649</v>
      </c>
      <c r="T61" s="497"/>
      <c r="U61" s="497"/>
      <c r="V61" s="497" t="s">
        <v>685</v>
      </c>
      <c r="W61" s="497" t="s">
        <v>677</v>
      </c>
      <c r="X61" s="499">
        <v>43160</v>
      </c>
      <c r="Y61" s="499">
        <v>44126</v>
      </c>
      <c r="Z61" s="500">
        <v>2021</v>
      </c>
      <c r="AA61" s="497"/>
      <c r="AB61" s="497"/>
      <c r="AC61" s="497"/>
      <c r="AD61" s="501"/>
      <c r="AE61" s="501"/>
      <c r="AF61" s="501"/>
      <c r="AG61" s="501"/>
      <c r="AH61" s="501"/>
      <c r="AI61" s="501"/>
      <c r="AJ61" s="501"/>
      <c r="AK61" s="501"/>
      <c r="AL61" s="501">
        <v>904639.99999999988</v>
      </c>
      <c r="AM61" s="501"/>
      <c r="AN61" s="501"/>
      <c r="AO61" s="501"/>
      <c r="AP61" s="501"/>
      <c r="AQ61" s="501">
        <v>1227999.9999999998</v>
      </c>
      <c r="AR61" s="501">
        <v>299999.92499999999</v>
      </c>
      <c r="AS61" s="501"/>
      <c r="AT61" s="501"/>
      <c r="AU61" s="501"/>
      <c r="AV61" s="501"/>
      <c r="AW61" s="501"/>
      <c r="AX61" s="501"/>
      <c r="AY61" s="501"/>
      <c r="AZ61" s="501"/>
      <c r="BA61" s="501"/>
      <c r="BB61" s="483">
        <v>358895.9887499999</v>
      </c>
      <c r="BC61" s="483"/>
      <c r="BD61" s="483">
        <v>371457.34835624992</v>
      </c>
      <c r="BE61" s="483">
        <v>8698.2314707921869</v>
      </c>
      <c r="BF61" s="483">
        <v>0</v>
      </c>
      <c r="BG61" s="483">
        <v>1340421.8065785081</v>
      </c>
      <c r="BH61" s="483"/>
      <c r="BI61" s="483"/>
      <c r="BJ61" s="483"/>
      <c r="BK61" s="483"/>
      <c r="BL61" s="483"/>
      <c r="BM61" s="483"/>
      <c r="BN61" s="483"/>
      <c r="BO61" s="483"/>
      <c r="BP61" s="483"/>
      <c r="BQ61" s="483"/>
      <c r="BR61" s="483">
        <v>4512113.3001555502</v>
      </c>
      <c r="BS61" s="484">
        <f t="shared" si="2"/>
        <v>2432639.9249999993</v>
      </c>
      <c r="BT61" s="485">
        <f t="shared" ref="BT61:CC70" si="12">SUMIFS($AD61:$BA61,$AD$11:$BA$11,BT$21)/$BS61</f>
        <v>0</v>
      </c>
      <c r="BU61" s="485">
        <f t="shared" si="12"/>
        <v>0.12332278275832378</v>
      </c>
      <c r="BV61" s="485">
        <f t="shared" si="12"/>
        <v>0.50480138362441784</v>
      </c>
      <c r="BW61" s="485">
        <f t="shared" si="12"/>
        <v>0</v>
      </c>
      <c r="BX61" s="485">
        <f t="shared" si="12"/>
        <v>0</v>
      </c>
      <c r="BY61" s="485">
        <f t="shared" si="12"/>
        <v>0</v>
      </c>
      <c r="BZ61" s="485">
        <f t="shared" si="12"/>
        <v>0</v>
      </c>
      <c r="CA61" s="485">
        <f t="shared" si="12"/>
        <v>0</v>
      </c>
      <c r="CB61" s="485">
        <f t="shared" si="12"/>
        <v>0</v>
      </c>
      <c r="CC61" s="485">
        <f t="shared" si="12"/>
        <v>0</v>
      </c>
      <c r="CD61" s="485">
        <f t="shared" ref="CD61:CL70" si="13">SUMIFS($AD61:$BA61,$AD$11:$BA$11,CD$21)/$BS61</f>
        <v>0</v>
      </c>
      <c r="CE61" s="485">
        <f t="shared" si="13"/>
        <v>0</v>
      </c>
      <c r="CF61" s="485">
        <f t="shared" si="13"/>
        <v>0</v>
      </c>
      <c r="CG61" s="485">
        <f t="shared" si="13"/>
        <v>0</v>
      </c>
      <c r="CH61" s="485">
        <f t="shared" si="13"/>
        <v>0.37187583361725846</v>
      </c>
      <c r="CI61" s="485">
        <f t="shared" si="13"/>
        <v>0</v>
      </c>
      <c r="CJ61" s="485">
        <f t="shared" si="13"/>
        <v>0</v>
      </c>
      <c r="CK61" s="485">
        <f t="shared" si="13"/>
        <v>0</v>
      </c>
      <c r="CL61" s="485">
        <f t="shared" si="13"/>
        <v>0</v>
      </c>
      <c r="CM61" s="486">
        <f t="shared" si="3"/>
        <v>1</v>
      </c>
    </row>
    <row r="62" spans="1:91" s="487" customFormat="1" ht="25.5" x14ac:dyDescent="0.25">
      <c r="A62" s="497" t="s">
        <v>436</v>
      </c>
      <c r="B62" s="498" t="s">
        <v>2856</v>
      </c>
      <c r="C62" s="497" t="s">
        <v>745</v>
      </c>
      <c r="D62" s="498"/>
      <c r="E62" s="497" t="s">
        <v>655</v>
      </c>
      <c r="F62" s="498"/>
      <c r="G62" s="497"/>
      <c r="H62" s="497" t="s">
        <v>654</v>
      </c>
      <c r="I62" s="497" t="s">
        <v>647</v>
      </c>
      <c r="J62" s="497" t="s">
        <v>671</v>
      </c>
      <c r="K62" s="497" t="s">
        <v>649</v>
      </c>
      <c r="L62" s="497" t="s">
        <v>36</v>
      </c>
      <c r="M62" s="497" t="s">
        <v>653</v>
      </c>
      <c r="N62" s="497" t="s">
        <v>680</v>
      </c>
      <c r="O62" s="497"/>
      <c r="P62" s="497"/>
      <c r="Q62" s="497" t="s">
        <v>650</v>
      </c>
      <c r="R62" s="497" t="s">
        <v>652</v>
      </c>
      <c r="S62" s="497" t="s">
        <v>649</v>
      </c>
      <c r="T62" s="497"/>
      <c r="U62" s="497"/>
      <c r="V62" s="497" t="s">
        <v>36</v>
      </c>
      <c r="W62" s="497" t="s">
        <v>677</v>
      </c>
      <c r="X62" s="499">
        <v>44743</v>
      </c>
      <c r="Y62" s="499">
        <v>45219</v>
      </c>
      <c r="Z62" s="500">
        <v>2024</v>
      </c>
      <c r="AA62" s="497" t="s">
        <v>676</v>
      </c>
      <c r="AB62" s="497" t="s">
        <v>675</v>
      </c>
      <c r="AC62" s="497" t="s">
        <v>663</v>
      </c>
      <c r="AD62" s="501"/>
      <c r="AE62" s="501"/>
      <c r="AF62" s="501"/>
      <c r="AG62" s="501"/>
      <c r="AH62" s="501"/>
      <c r="AI62" s="501"/>
      <c r="AJ62" s="501"/>
      <c r="AK62" s="501"/>
      <c r="AL62" s="501"/>
      <c r="AM62" s="501"/>
      <c r="AN62" s="501"/>
      <c r="AO62" s="501"/>
      <c r="AP62" s="501"/>
      <c r="AQ62" s="501"/>
      <c r="AR62" s="501"/>
      <c r="AS62" s="501"/>
      <c r="AT62" s="501"/>
      <c r="AU62" s="501">
        <v>192500.00000000026</v>
      </c>
      <c r="AV62" s="501"/>
      <c r="AW62" s="501"/>
      <c r="AX62" s="501">
        <v>83000.000000000116</v>
      </c>
      <c r="AY62" s="501"/>
      <c r="AZ62" s="501"/>
      <c r="BA62" s="501"/>
      <c r="BB62" s="483">
        <v>35815.000000000044</v>
      </c>
      <c r="BC62" s="483"/>
      <c r="BD62" s="483"/>
      <c r="BE62" s="483"/>
      <c r="BF62" s="483"/>
      <c r="BG62" s="483">
        <v>56139.537793504787</v>
      </c>
      <c r="BH62" s="483"/>
      <c r="BI62" s="483"/>
      <c r="BJ62" s="483"/>
      <c r="BK62" s="483"/>
      <c r="BL62" s="483"/>
      <c r="BM62" s="483"/>
      <c r="BN62" s="483"/>
      <c r="BO62" s="483"/>
      <c r="BP62" s="483"/>
      <c r="BQ62" s="483"/>
      <c r="BR62" s="483">
        <v>367454.53779350518</v>
      </c>
      <c r="BS62" s="484">
        <f t="shared" si="2"/>
        <v>275500.00000000035</v>
      </c>
      <c r="BT62" s="485">
        <f t="shared" si="12"/>
        <v>0.69872958257713258</v>
      </c>
      <c r="BU62" s="485">
        <f t="shared" si="12"/>
        <v>0</v>
      </c>
      <c r="BV62" s="485">
        <f t="shared" si="12"/>
        <v>0</v>
      </c>
      <c r="BW62" s="485">
        <f t="shared" si="12"/>
        <v>0</v>
      </c>
      <c r="BX62" s="485">
        <f t="shared" si="12"/>
        <v>0</v>
      </c>
      <c r="BY62" s="485">
        <f t="shared" si="12"/>
        <v>0</v>
      </c>
      <c r="BZ62" s="485">
        <f t="shared" si="12"/>
        <v>0</v>
      </c>
      <c r="CA62" s="485">
        <f t="shared" si="12"/>
        <v>0.30127041742286753</v>
      </c>
      <c r="CB62" s="485">
        <f t="shared" si="12"/>
        <v>0</v>
      </c>
      <c r="CC62" s="485">
        <f t="shared" si="12"/>
        <v>0</v>
      </c>
      <c r="CD62" s="485">
        <f t="shared" si="13"/>
        <v>0</v>
      </c>
      <c r="CE62" s="485">
        <f t="shared" si="13"/>
        <v>0</v>
      </c>
      <c r="CF62" s="485">
        <f t="shared" si="13"/>
        <v>0</v>
      </c>
      <c r="CG62" s="485">
        <f t="shared" si="13"/>
        <v>0</v>
      </c>
      <c r="CH62" s="485">
        <f t="shared" si="13"/>
        <v>0</v>
      </c>
      <c r="CI62" s="485">
        <f t="shared" si="13"/>
        <v>0</v>
      </c>
      <c r="CJ62" s="485">
        <f t="shared" si="13"/>
        <v>0</v>
      </c>
      <c r="CK62" s="485">
        <f t="shared" si="13"/>
        <v>0</v>
      </c>
      <c r="CL62" s="485">
        <f t="shared" si="13"/>
        <v>0</v>
      </c>
      <c r="CM62" s="486">
        <f t="shared" si="3"/>
        <v>1</v>
      </c>
    </row>
    <row r="63" spans="1:91" s="487" customFormat="1" ht="25.5" x14ac:dyDescent="0.25">
      <c r="A63" s="497" t="s">
        <v>438</v>
      </c>
      <c r="B63" s="498" t="s">
        <v>2857</v>
      </c>
      <c r="C63" s="497" t="s">
        <v>744</v>
      </c>
      <c r="D63" s="498"/>
      <c r="E63" s="497" t="s">
        <v>655</v>
      </c>
      <c r="F63" s="498"/>
      <c r="G63" s="497"/>
      <c r="H63" s="497" t="s">
        <v>654</v>
      </c>
      <c r="I63" s="497" t="s">
        <v>647</v>
      </c>
      <c r="J63" s="497" t="s">
        <v>671</v>
      </c>
      <c r="K63" s="497" t="s">
        <v>649</v>
      </c>
      <c r="L63" s="497" t="s">
        <v>36</v>
      </c>
      <c r="M63" s="497" t="s">
        <v>653</v>
      </c>
      <c r="N63" s="497" t="s">
        <v>680</v>
      </c>
      <c r="O63" s="497"/>
      <c r="P63" s="497" t="s">
        <v>643</v>
      </c>
      <c r="Q63" s="497" t="s">
        <v>650</v>
      </c>
      <c r="R63" s="497" t="s">
        <v>652</v>
      </c>
      <c r="S63" s="497" t="s">
        <v>649</v>
      </c>
      <c r="T63" s="497"/>
      <c r="U63" s="497"/>
      <c r="V63" s="497" t="s">
        <v>36</v>
      </c>
      <c r="W63" s="497" t="s">
        <v>640</v>
      </c>
      <c r="X63" s="499">
        <v>44743</v>
      </c>
      <c r="Y63" s="499">
        <v>45138</v>
      </c>
      <c r="Z63" s="500">
        <v>2024</v>
      </c>
      <c r="AA63" s="497" t="s">
        <v>676</v>
      </c>
      <c r="AB63" s="497" t="s">
        <v>675</v>
      </c>
      <c r="AC63" s="497" t="s">
        <v>663</v>
      </c>
      <c r="AD63" s="501"/>
      <c r="AE63" s="501"/>
      <c r="AF63" s="501"/>
      <c r="AG63" s="501"/>
      <c r="AH63" s="501"/>
      <c r="AI63" s="501"/>
      <c r="AJ63" s="501"/>
      <c r="AK63" s="501"/>
      <c r="AL63" s="501"/>
      <c r="AM63" s="501"/>
      <c r="AN63" s="501"/>
      <c r="AO63" s="501"/>
      <c r="AP63" s="501"/>
      <c r="AQ63" s="501"/>
      <c r="AR63" s="501"/>
      <c r="AS63" s="501"/>
      <c r="AT63" s="501"/>
      <c r="AU63" s="501"/>
      <c r="AV63" s="501"/>
      <c r="AW63" s="501"/>
      <c r="AX63" s="501"/>
      <c r="AY63" s="501"/>
      <c r="AZ63" s="501">
        <v>122000.00000000007</v>
      </c>
      <c r="BA63" s="501"/>
      <c r="BB63" s="483"/>
      <c r="BC63" s="483"/>
      <c r="BD63" s="483"/>
      <c r="BE63" s="483"/>
      <c r="BF63" s="483"/>
      <c r="BG63" s="483">
        <v>17529.369995477511</v>
      </c>
      <c r="BH63" s="483"/>
      <c r="BI63" s="483"/>
      <c r="BJ63" s="483"/>
      <c r="BK63" s="483"/>
      <c r="BL63" s="483"/>
      <c r="BM63" s="483"/>
      <c r="BN63" s="483"/>
      <c r="BO63" s="483"/>
      <c r="BP63" s="483"/>
      <c r="BQ63" s="483"/>
      <c r="BR63" s="483">
        <v>139529.36999547758</v>
      </c>
      <c r="BS63" s="484">
        <f t="shared" si="2"/>
        <v>122000.00000000007</v>
      </c>
      <c r="BT63" s="485">
        <f t="shared" si="12"/>
        <v>0</v>
      </c>
      <c r="BU63" s="485">
        <f t="shared" si="12"/>
        <v>0</v>
      </c>
      <c r="BV63" s="485">
        <f t="shared" si="12"/>
        <v>0</v>
      </c>
      <c r="BW63" s="485">
        <f t="shared" si="12"/>
        <v>0</v>
      </c>
      <c r="BX63" s="485">
        <f t="shared" si="12"/>
        <v>0</v>
      </c>
      <c r="BY63" s="485">
        <f t="shared" si="12"/>
        <v>0</v>
      </c>
      <c r="BZ63" s="485">
        <f t="shared" si="12"/>
        <v>0</v>
      </c>
      <c r="CA63" s="485">
        <f t="shared" si="12"/>
        <v>1</v>
      </c>
      <c r="CB63" s="485">
        <f t="shared" si="12"/>
        <v>0</v>
      </c>
      <c r="CC63" s="485">
        <f t="shared" si="12"/>
        <v>0</v>
      </c>
      <c r="CD63" s="485">
        <f t="shared" si="13"/>
        <v>0</v>
      </c>
      <c r="CE63" s="485">
        <f t="shared" si="13"/>
        <v>0</v>
      </c>
      <c r="CF63" s="485">
        <f t="shared" si="13"/>
        <v>0</v>
      </c>
      <c r="CG63" s="485">
        <f t="shared" si="13"/>
        <v>0</v>
      </c>
      <c r="CH63" s="485">
        <f t="shared" si="13"/>
        <v>0</v>
      </c>
      <c r="CI63" s="485">
        <f t="shared" si="13"/>
        <v>0</v>
      </c>
      <c r="CJ63" s="485">
        <f t="shared" si="13"/>
        <v>0</v>
      </c>
      <c r="CK63" s="485">
        <f t="shared" si="13"/>
        <v>0</v>
      </c>
      <c r="CL63" s="485">
        <f t="shared" si="13"/>
        <v>0</v>
      </c>
      <c r="CM63" s="486">
        <f t="shared" si="3"/>
        <v>1</v>
      </c>
    </row>
    <row r="64" spans="1:91" s="487" customFormat="1" ht="25.5" x14ac:dyDescent="0.25">
      <c r="A64" s="497" t="s">
        <v>440</v>
      </c>
      <c r="B64" s="498" t="s">
        <v>2858</v>
      </c>
      <c r="C64" s="497" t="s">
        <v>743</v>
      </c>
      <c r="D64" s="498"/>
      <c r="E64" s="497" t="s">
        <v>655</v>
      </c>
      <c r="F64" s="498"/>
      <c r="G64" s="497"/>
      <c r="H64" s="497" t="s">
        <v>654</v>
      </c>
      <c r="I64" s="497" t="s">
        <v>647</v>
      </c>
      <c r="J64" s="497" t="s">
        <v>671</v>
      </c>
      <c r="K64" s="497" t="s">
        <v>649</v>
      </c>
      <c r="L64" s="497" t="s">
        <v>36</v>
      </c>
      <c r="M64" s="497" t="s">
        <v>653</v>
      </c>
      <c r="N64" s="497" t="s">
        <v>680</v>
      </c>
      <c r="O64" s="497"/>
      <c r="P64" s="497"/>
      <c r="Q64" s="497" t="s">
        <v>650</v>
      </c>
      <c r="R64" s="497" t="s">
        <v>652</v>
      </c>
      <c r="S64" s="497" t="s">
        <v>649</v>
      </c>
      <c r="T64" s="497"/>
      <c r="U64" s="497"/>
      <c r="V64" s="497" t="s">
        <v>36</v>
      </c>
      <c r="W64" s="497" t="s">
        <v>677</v>
      </c>
      <c r="X64" s="499">
        <v>44743</v>
      </c>
      <c r="Y64" s="499">
        <v>45219</v>
      </c>
      <c r="Z64" s="500">
        <v>2024</v>
      </c>
      <c r="AA64" s="497" t="s">
        <v>676</v>
      </c>
      <c r="AB64" s="497" t="s">
        <v>675</v>
      </c>
      <c r="AC64" s="497" t="s">
        <v>663</v>
      </c>
      <c r="AD64" s="501"/>
      <c r="AE64" s="501"/>
      <c r="AF64" s="501"/>
      <c r="AG64" s="501"/>
      <c r="AH64" s="501"/>
      <c r="AI64" s="501"/>
      <c r="AJ64" s="501"/>
      <c r="AK64" s="501"/>
      <c r="AL64" s="501"/>
      <c r="AM64" s="501"/>
      <c r="AN64" s="501"/>
      <c r="AO64" s="501"/>
      <c r="AP64" s="501"/>
      <c r="AQ64" s="501"/>
      <c r="AR64" s="501"/>
      <c r="AS64" s="501"/>
      <c r="AT64" s="501"/>
      <c r="AU64" s="501"/>
      <c r="AV64" s="501"/>
      <c r="AW64" s="501"/>
      <c r="AX64" s="501">
        <v>128500.00000000017</v>
      </c>
      <c r="AY64" s="501"/>
      <c r="AZ64" s="501"/>
      <c r="BA64" s="501"/>
      <c r="BB64" s="483">
        <v>16705.000000000022</v>
      </c>
      <c r="BC64" s="483"/>
      <c r="BD64" s="483"/>
      <c r="BE64" s="483"/>
      <c r="BF64" s="483"/>
      <c r="BG64" s="483">
        <v>26184.866085173748</v>
      </c>
      <c r="BH64" s="483"/>
      <c r="BI64" s="483"/>
      <c r="BJ64" s="483"/>
      <c r="BK64" s="483"/>
      <c r="BL64" s="483"/>
      <c r="BM64" s="483"/>
      <c r="BN64" s="483"/>
      <c r="BO64" s="483"/>
      <c r="BP64" s="483"/>
      <c r="BQ64" s="483"/>
      <c r="BR64" s="483">
        <v>171389.86608517394</v>
      </c>
      <c r="BS64" s="484">
        <f t="shared" si="2"/>
        <v>128500.00000000017</v>
      </c>
      <c r="BT64" s="485">
        <f t="shared" si="12"/>
        <v>0</v>
      </c>
      <c r="BU64" s="485">
        <f t="shared" si="12"/>
        <v>0</v>
      </c>
      <c r="BV64" s="485">
        <f t="shared" si="12"/>
        <v>0</v>
      </c>
      <c r="BW64" s="485">
        <f t="shared" si="12"/>
        <v>0</v>
      </c>
      <c r="BX64" s="485">
        <f t="shared" si="12"/>
        <v>0</v>
      </c>
      <c r="BY64" s="485">
        <f t="shared" si="12"/>
        <v>0</v>
      </c>
      <c r="BZ64" s="485">
        <f t="shared" si="12"/>
        <v>0</v>
      </c>
      <c r="CA64" s="485">
        <f t="shared" si="12"/>
        <v>1</v>
      </c>
      <c r="CB64" s="485">
        <f t="shared" si="12"/>
        <v>0</v>
      </c>
      <c r="CC64" s="485">
        <f t="shared" si="12"/>
        <v>0</v>
      </c>
      <c r="CD64" s="485">
        <f t="shared" si="13"/>
        <v>0</v>
      </c>
      <c r="CE64" s="485">
        <f t="shared" si="13"/>
        <v>0</v>
      </c>
      <c r="CF64" s="485">
        <f t="shared" si="13"/>
        <v>0</v>
      </c>
      <c r="CG64" s="485">
        <f t="shared" si="13"/>
        <v>0</v>
      </c>
      <c r="CH64" s="485">
        <f t="shared" si="13"/>
        <v>0</v>
      </c>
      <c r="CI64" s="485">
        <f t="shared" si="13"/>
        <v>0</v>
      </c>
      <c r="CJ64" s="485">
        <f t="shared" si="13"/>
        <v>0</v>
      </c>
      <c r="CK64" s="485">
        <f t="shared" si="13"/>
        <v>0</v>
      </c>
      <c r="CL64" s="485">
        <f t="shared" si="13"/>
        <v>0</v>
      </c>
      <c r="CM64" s="486">
        <f t="shared" si="3"/>
        <v>1</v>
      </c>
    </row>
    <row r="65" spans="1:91" s="487" customFormat="1" ht="25.5" x14ac:dyDescent="0.25">
      <c r="A65" s="497" t="s">
        <v>442</v>
      </c>
      <c r="B65" s="498" t="s">
        <v>2861</v>
      </c>
      <c r="C65" s="497" t="s">
        <v>742</v>
      </c>
      <c r="D65" s="498"/>
      <c r="E65" s="497" t="s">
        <v>655</v>
      </c>
      <c r="F65" s="498"/>
      <c r="G65" s="497"/>
      <c r="H65" s="497" t="s">
        <v>654</v>
      </c>
      <c r="I65" s="497" t="s">
        <v>647</v>
      </c>
      <c r="J65" s="497" t="s">
        <v>671</v>
      </c>
      <c r="K65" s="497" t="s">
        <v>649</v>
      </c>
      <c r="L65" s="497" t="s">
        <v>40</v>
      </c>
      <c r="M65" s="497" t="s">
        <v>653</v>
      </c>
      <c r="N65" s="497" t="s">
        <v>645</v>
      </c>
      <c r="O65" s="497"/>
      <c r="P65" s="497"/>
      <c r="Q65" s="497" t="s">
        <v>656</v>
      </c>
      <c r="R65" s="497" t="s">
        <v>652</v>
      </c>
      <c r="S65" s="497" t="s">
        <v>649</v>
      </c>
      <c r="T65" s="497"/>
      <c r="U65" s="497"/>
      <c r="V65" s="497" t="s">
        <v>683</v>
      </c>
      <c r="W65" s="497" t="s">
        <v>677</v>
      </c>
      <c r="X65" s="499">
        <v>44682</v>
      </c>
      <c r="Y65" s="499">
        <v>45593</v>
      </c>
      <c r="Z65" s="500">
        <v>2025</v>
      </c>
      <c r="AA65" s="497"/>
      <c r="AB65" s="497"/>
      <c r="AC65" s="497"/>
      <c r="AD65" s="501"/>
      <c r="AE65" s="501"/>
      <c r="AF65" s="501"/>
      <c r="AG65" s="501"/>
      <c r="AH65" s="501"/>
      <c r="AI65" s="501"/>
      <c r="AJ65" s="501"/>
      <c r="AK65" s="501"/>
      <c r="AL65" s="501"/>
      <c r="AM65" s="501"/>
      <c r="AN65" s="501"/>
      <c r="AO65" s="501"/>
      <c r="AP65" s="501"/>
      <c r="AQ65" s="501"/>
      <c r="AR65" s="501"/>
      <c r="AS65" s="501"/>
      <c r="AT65" s="501"/>
      <c r="AU65" s="501"/>
      <c r="AV65" s="501">
        <v>179999.99999999977</v>
      </c>
      <c r="AW65" s="501"/>
      <c r="AX65" s="501"/>
      <c r="AY65" s="501"/>
      <c r="AZ65" s="501"/>
      <c r="BA65" s="501"/>
      <c r="BB65" s="483"/>
      <c r="BC65" s="483"/>
      <c r="BD65" s="483"/>
      <c r="BE65" s="483"/>
      <c r="BF65" s="483"/>
      <c r="BG65" s="483">
        <v>1619999.9999999995</v>
      </c>
      <c r="BH65" s="483"/>
      <c r="BI65" s="483"/>
      <c r="BJ65" s="483"/>
      <c r="BK65" s="483"/>
      <c r="BL65" s="483"/>
      <c r="BM65" s="483"/>
      <c r="BN65" s="483"/>
      <c r="BO65" s="483"/>
      <c r="BP65" s="483"/>
      <c r="BQ65" s="483"/>
      <c r="BR65" s="483">
        <v>1799999.9999999995</v>
      </c>
      <c r="BS65" s="484">
        <f t="shared" si="2"/>
        <v>179999.99999999977</v>
      </c>
      <c r="BT65" s="485">
        <f t="shared" si="12"/>
        <v>0</v>
      </c>
      <c r="BU65" s="485">
        <f t="shared" si="12"/>
        <v>0</v>
      </c>
      <c r="BV65" s="485">
        <f t="shared" si="12"/>
        <v>0</v>
      </c>
      <c r="BW65" s="485">
        <f t="shared" si="12"/>
        <v>1</v>
      </c>
      <c r="BX65" s="485">
        <f t="shared" si="12"/>
        <v>0</v>
      </c>
      <c r="BY65" s="485">
        <f t="shared" si="12"/>
        <v>0</v>
      </c>
      <c r="BZ65" s="485">
        <f t="shared" si="12"/>
        <v>0</v>
      </c>
      <c r="CA65" s="485">
        <f t="shared" si="12"/>
        <v>0</v>
      </c>
      <c r="CB65" s="485">
        <f t="shared" si="12"/>
        <v>0</v>
      </c>
      <c r="CC65" s="485">
        <f t="shared" si="12"/>
        <v>0</v>
      </c>
      <c r="CD65" s="485">
        <f t="shared" si="13"/>
        <v>0</v>
      </c>
      <c r="CE65" s="485">
        <f t="shared" si="13"/>
        <v>0</v>
      </c>
      <c r="CF65" s="485">
        <f t="shared" si="13"/>
        <v>0</v>
      </c>
      <c r="CG65" s="485">
        <f t="shared" si="13"/>
        <v>0</v>
      </c>
      <c r="CH65" s="485">
        <f t="shared" si="13"/>
        <v>0</v>
      </c>
      <c r="CI65" s="485">
        <f t="shared" si="13"/>
        <v>0</v>
      </c>
      <c r="CJ65" s="485">
        <f t="shared" si="13"/>
        <v>0</v>
      </c>
      <c r="CK65" s="485">
        <f t="shared" si="13"/>
        <v>0</v>
      </c>
      <c r="CL65" s="485">
        <f t="shared" si="13"/>
        <v>0</v>
      </c>
      <c r="CM65" s="486">
        <f t="shared" si="3"/>
        <v>1</v>
      </c>
    </row>
    <row r="66" spans="1:91" s="487" customFormat="1" ht="25.5" x14ac:dyDescent="0.25">
      <c r="A66" s="497" t="s">
        <v>444</v>
      </c>
      <c r="B66" s="498" t="s">
        <v>2863</v>
      </c>
      <c r="C66" s="497" t="s">
        <v>2484</v>
      </c>
      <c r="D66" s="498"/>
      <c r="E66" s="497" t="s">
        <v>655</v>
      </c>
      <c r="F66" s="498"/>
      <c r="G66" s="497"/>
      <c r="H66" s="497" t="s">
        <v>654</v>
      </c>
      <c r="I66" s="497" t="s">
        <v>647</v>
      </c>
      <c r="J66" s="497" t="s">
        <v>671</v>
      </c>
      <c r="K66" s="497" t="s">
        <v>649</v>
      </c>
      <c r="L66" s="497" t="s">
        <v>55</v>
      </c>
      <c r="M66" s="497" t="s">
        <v>653</v>
      </c>
      <c r="N66" s="497" t="s">
        <v>645</v>
      </c>
      <c r="O66" s="497"/>
      <c r="P66" s="497"/>
      <c r="Q66" s="497" t="s">
        <v>656</v>
      </c>
      <c r="R66" s="497" t="s">
        <v>652</v>
      </c>
      <c r="S66" s="497" t="s">
        <v>649</v>
      </c>
      <c r="T66" s="497"/>
      <c r="U66" s="497"/>
      <c r="V66" s="497" t="s">
        <v>683</v>
      </c>
      <c r="W66" s="497" t="s">
        <v>677</v>
      </c>
      <c r="X66" s="499">
        <v>44743</v>
      </c>
      <c r="Y66" s="499">
        <v>45505</v>
      </c>
      <c r="Z66" s="500">
        <v>2025</v>
      </c>
      <c r="AA66" s="497"/>
      <c r="AB66" s="497"/>
      <c r="AC66" s="497"/>
      <c r="AD66" s="501"/>
      <c r="AE66" s="501"/>
      <c r="AF66" s="501"/>
      <c r="AG66" s="501"/>
      <c r="AH66" s="501"/>
      <c r="AI66" s="501"/>
      <c r="AJ66" s="501"/>
      <c r="AK66" s="501"/>
      <c r="AL66" s="501"/>
      <c r="AM66" s="501"/>
      <c r="AN66" s="501"/>
      <c r="AO66" s="501"/>
      <c r="AP66" s="501"/>
      <c r="AQ66" s="501"/>
      <c r="AR66" s="501"/>
      <c r="AS66" s="501"/>
      <c r="AT66" s="501"/>
      <c r="AU66" s="501"/>
      <c r="AV66" s="501">
        <v>287760.00000000023</v>
      </c>
      <c r="AW66" s="501"/>
      <c r="AX66" s="501"/>
      <c r="AY66" s="501"/>
      <c r="AZ66" s="501"/>
      <c r="BA66" s="501"/>
      <c r="BB66" s="483"/>
      <c r="BC66" s="483"/>
      <c r="BD66" s="483"/>
      <c r="BE66" s="483"/>
      <c r="BF66" s="483"/>
      <c r="BG66" s="483">
        <v>911240.00000000163</v>
      </c>
      <c r="BH66" s="483"/>
      <c r="BI66" s="483"/>
      <c r="BJ66" s="483"/>
      <c r="BK66" s="483"/>
      <c r="BL66" s="483"/>
      <c r="BM66" s="483"/>
      <c r="BN66" s="483"/>
      <c r="BO66" s="483"/>
      <c r="BP66" s="483"/>
      <c r="BQ66" s="483"/>
      <c r="BR66" s="483">
        <v>1199000.0000000019</v>
      </c>
      <c r="BS66" s="484">
        <f t="shared" si="2"/>
        <v>287760.00000000023</v>
      </c>
      <c r="BT66" s="485">
        <f t="shared" si="12"/>
        <v>0</v>
      </c>
      <c r="BU66" s="485">
        <f t="shared" si="12"/>
        <v>0</v>
      </c>
      <c r="BV66" s="485">
        <f t="shared" si="12"/>
        <v>0</v>
      </c>
      <c r="BW66" s="485">
        <f t="shared" si="12"/>
        <v>1</v>
      </c>
      <c r="BX66" s="485">
        <f t="shared" si="12"/>
        <v>0</v>
      </c>
      <c r="BY66" s="485">
        <f t="shared" si="12"/>
        <v>0</v>
      </c>
      <c r="BZ66" s="485">
        <f t="shared" si="12"/>
        <v>0</v>
      </c>
      <c r="CA66" s="485">
        <f t="shared" si="12"/>
        <v>0</v>
      </c>
      <c r="CB66" s="485">
        <f t="shared" si="12"/>
        <v>0</v>
      </c>
      <c r="CC66" s="485">
        <f t="shared" si="12"/>
        <v>0</v>
      </c>
      <c r="CD66" s="485">
        <f t="shared" si="13"/>
        <v>0</v>
      </c>
      <c r="CE66" s="485">
        <f t="shared" si="13"/>
        <v>0</v>
      </c>
      <c r="CF66" s="485">
        <f t="shared" si="13"/>
        <v>0</v>
      </c>
      <c r="CG66" s="485">
        <f t="shared" si="13"/>
        <v>0</v>
      </c>
      <c r="CH66" s="485">
        <f t="shared" si="13"/>
        <v>0</v>
      </c>
      <c r="CI66" s="485">
        <f t="shared" si="13"/>
        <v>0</v>
      </c>
      <c r="CJ66" s="485">
        <f t="shared" si="13"/>
        <v>0</v>
      </c>
      <c r="CK66" s="485">
        <f t="shared" si="13"/>
        <v>0</v>
      </c>
      <c r="CL66" s="485">
        <f t="shared" si="13"/>
        <v>0</v>
      </c>
      <c r="CM66" s="486">
        <f t="shared" si="3"/>
        <v>1</v>
      </c>
    </row>
    <row r="67" spans="1:91" s="487" customFormat="1" ht="25.5" x14ac:dyDescent="0.25">
      <c r="A67" s="497" t="s">
        <v>445</v>
      </c>
      <c r="B67" s="498" t="s">
        <v>2864</v>
      </c>
      <c r="C67" s="497" t="s">
        <v>2787</v>
      </c>
      <c r="D67" s="498"/>
      <c r="E67" s="497" t="s">
        <v>655</v>
      </c>
      <c r="F67" s="498"/>
      <c r="G67" s="497"/>
      <c r="H67" s="497" t="s">
        <v>654</v>
      </c>
      <c r="I67" s="497" t="s">
        <v>647</v>
      </c>
      <c r="J67" s="497" t="s">
        <v>671</v>
      </c>
      <c r="K67" s="497" t="s">
        <v>649</v>
      </c>
      <c r="L67" s="497" t="s">
        <v>55</v>
      </c>
      <c r="M67" s="497" t="s">
        <v>653</v>
      </c>
      <c r="N67" s="497" t="s">
        <v>645</v>
      </c>
      <c r="O67" s="497"/>
      <c r="P67" s="497"/>
      <c r="Q67" s="497" t="s">
        <v>656</v>
      </c>
      <c r="R67" s="497" t="s">
        <v>652</v>
      </c>
      <c r="S67" s="497" t="s">
        <v>649</v>
      </c>
      <c r="T67" s="497"/>
      <c r="U67" s="497"/>
      <c r="V67" s="497" t="s">
        <v>683</v>
      </c>
      <c r="W67" s="497" t="s">
        <v>640</v>
      </c>
      <c r="X67" s="499">
        <v>43983</v>
      </c>
      <c r="Y67" s="499">
        <v>44669</v>
      </c>
      <c r="Z67" s="500">
        <v>2022</v>
      </c>
      <c r="AA67" s="497"/>
      <c r="AB67" s="497"/>
      <c r="AC67" s="497"/>
      <c r="AD67" s="501"/>
      <c r="AE67" s="501"/>
      <c r="AF67" s="501"/>
      <c r="AG67" s="501"/>
      <c r="AH67" s="501"/>
      <c r="AI67" s="501"/>
      <c r="AJ67" s="501"/>
      <c r="AK67" s="501"/>
      <c r="AL67" s="501"/>
      <c r="AM67" s="501"/>
      <c r="AN67" s="501"/>
      <c r="AO67" s="501"/>
      <c r="AP67" s="501"/>
      <c r="AQ67" s="501"/>
      <c r="AR67" s="501"/>
      <c r="AS67" s="501"/>
      <c r="AT67" s="501"/>
      <c r="AU67" s="501"/>
      <c r="AV67" s="501">
        <v>459999.99999999948</v>
      </c>
      <c r="AW67" s="501"/>
      <c r="AX67" s="501"/>
      <c r="AY67" s="501"/>
      <c r="AZ67" s="501"/>
      <c r="BA67" s="501"/>
      <c r="BB67" s="483"/>
      <c r="BC67" s="483"/>
      <c r="BD67" s="483"/>
      <c r="BE67" s="483"/>
      <c r="BF67" s="483"/>
      <c r="BG67" s="483">
        <v>1839712.8146666649</v>
      </c>
      <c r="BH67" s="483"/>
      <c r="BI67" s="483"/>
      <c r="BJ67" s="483"/>
      <c r="BK67" s="483"/>
      <c r="BL67" s="483"/>
      <c r="BM67" s="483"/>
      <c r="BN67" s="483"/>
      <c r="BO67" s="483"/>
      <c r="BP67" s="483"/>
      <c r="BQ67" s="483"/>
      <c r="BR67" s="483">
        <v>2299712.8146666647</v>
      </c>
      <c r="BS67" s="484">
        <f t="shared" si="2"/>
        <v>459999.99999999948</v>
      </c>
      <c r="BT67" s="485">
        <f t="shared" si="12"/>
        <v>0</v>
      </c>
      <c r="BU67" s="485">
        <f t="shared" si="12"/>
        <v>0</v>
      </c>
      <c r="BV67" s="485">
        <f t="shared" si="12"/>
        <v>0</v>
      </c>
      <c r="BW67" s="485">
        <f t="shared" si="12"/>
        <v>1</v>
      </c>
      <c r="BX67" s="485">
        <f t="shared" si="12"/>
        <v>0</v>
      </c>
      <c r="BY67" s="485">
        <f t="shared" si="12"/>
        <v>0</v>
      </c>
      <c r="BZ67" s="485">
        <f t="shared" si="12"/>
        <v>0</v>
      </c>
      <c r="CA67" s="485">
        <f t="shared" si="12"/>
        <v>0</v>
      </c>
      <c r="CB67" s="485">
        <f t="shared" si="12"/>
        <v>0</v>
      </c>
      <c r="CC67" s="485">
        <f t="shared" si="12"/>
        <v>0</v>
      </c>
      <c r="CD67" s="485">
        <f t="shared" si="13"/>
        <v>0</v>
      </c>
      <c r="CE67" s="485">
        <f t="shared" si="13"/>
        <v>0</v>
      </c>
      <c r="CF67" s="485">
        <f t="shared" si="13"/>
        <v>0</v>
      </c>
      <c r="CG67" s="485">
        <f t="shared" si="13"/>
        <v>0</v>
      </c>
      <c r="CH67" s="485">
        <f t="shared" si="13"/>
        <v>0</v>
      </c>
      <c r="CI67" s="485">
        <f t="shared" si="13"/>
        <v>0</v>
      </c>
      <c r="CJ67" s="485">
        <f t="shared" si="13"/>
        <v>0</v>
      </c>
      <c r="CK67" s="485">
        <f t="shared" si="13"/>
        <v>0</v>
      </c>
      <c r="CL67" s="485">
        <f t="shared" si="13"/>
        <v>0</v>
      </c>
      <c r="CM67" s="486">
        <f t="shared" si="3"/>
        <v>1</v>
      </c>
    </row>
    <row r="68" spans="1:91" s="487" customFormat="1" ht="25.5" x14ac:dyDescent="0.25">
      <c r="A68" s="497" t="s">
        <v>446</v>
      </c>
      <c r="B68" s="498" t="s">
        <v>2865</v>
      </c>
      <c r="C68" s="497" t="s">
        <v>2486</v>
      </c>
      <c r="D68" s="498"/>
      <c r="E68" s="497" t="s">
        <v>655</v>
      </c>
      <c r="F68" s="498"/>
      <c r="G68" s="497"/>
      <c r="H68" s="497" t="s">
        <v>654</v>
      </c>
      <c r="I68" s="497" t="s">
        <v>647</v>
      </c>
      <c r="J68" s="497" t="s">
        <v>671</v>
      </c>
      <c r="K68" s="497" t="s">
        <v>649</v>
      </c>
      <c r="L68" s="497" t="s">
        <v>55</v>
      </c>
      <c r="M68" s="497" t="s">
        <v>653</v>
      </c>
      <c r="N68" s="497" t="s">
        <v>645</v>
      </c>
      <c r="O68" s="497"/>
      <c r="P68" s="497"/>
      <c r="Q68" s="497" t="s">
        <v>656</v>
      </c>
      <c r="R68" s="497" t="s">
        <v>652</v>
      </c>
      <c r="S68" s="497" t="s">
        <v>649</v>
      </c>
      <c r="T68" s="497"/>
      <c r="U68" s="497"/>
      <c r="V68" s="497" t="s">
        <v>683</v>
      </c>
      <c r="W68" s="497" t="s">
        <v>640</v>
      </c>
      <c r="X68" s="499">
        <v>43952</v>
      </c>
      <c r="Y68" s="499">
        <v>45118</v>
      </c>
      <c r="Z68" s="500">
        <v>2024</v>
      </c>
      <c r="AA68" s="497"/>
      <c r="AB68" s="497"/>
      <c r="AC68" s="497"/>
      <c r="AD68" s="501"/>
      <c r="AE68" s="501"/>
      <c r="AF68" s="501"/>
      <c r="AG68" s="501"/>
      <c r="AH68" s="501"/>
      <c r="AI68" s="501"/>
      <c r="AJ68" s="501"/>
      <c r="AK68" s="501"/>
      <c r="AL68" s="501"/>
      <c r="AM68" s="501"/>
      <c r="AN68" s="501"/>
      <c r="AO68" s="501"/>
      <c r="AP68" s="501"/>
      <c r="AQ68" s="501"/>
      <c r="AR68" s="501"/>
      <c r="AS68" s="501"/>
      <c r="AT68" s="501"/>
      <c r="AU68" s="501"/>
      <c r="AV68" s="501">
        <v>432300.00000000058</v>
      </c>
      <c r="AW68" s="501"/>
      <c r="AX68" s="501"/>
      <c r="AY68" s="501"/>
      <c r="AZ68" s="501"/>
      <c r="BA68" s="501"/>
      <c r="BB68" s="483"/>
      <c r="BC68" s="483"/>
      <c r="BD68" s="483"/>
      <c r="BE68" s="483"/>
      <c r="BF68" s="483"/>
      <c r="BG68" s="483">
        <v>1730028.3030000033</v>
      </c>
      <c r="BH68" s="483"/>
      <c r="BI68" s="483"/>
      <c r="BJ68" s="483"/>
      <c r="BK68" s="483"/>
      <c r="BL68" s="483"/>
      <c r="BM68" s="483"/>
      <c r="BN68" s="483"/>
      <c r="BO68" s="483"/>
      <c r="BP68" s="483"/>
      <c r="BQ68" s="483"/>
      <c r="BR68" s="483">
        <v>2162328.3030000036</v>
      </c>
      <c r="BS68" s="484">
        <f t="shared" si="2"/>
        <v>432300.00000000058</v>
      </c>
      <c r="BT68" s="485">
        <f t="shared" si="12"/>
        <v>0</v>
      </c>
      <c r="BU68" s="485">
        <f t="shared" si="12"/>
        <v>0</v>
      </c>
      <c r="BV68" s="485">
        <f t="shared" si="12"/>
        <v>0</v>
      </c>
      <c r="BW68" s="485">
        <f t="shared" si="12"/>
        <v>1</v>
      </c>
      <c r="BX68" s="485">
        <f t="shared" si="12"/>
        <v>0</v>
      </c>
      <c r="BY68" s="485">
        <f t="shared" si="12"/>
        <v>0</v>
      </c>
      <c r="BZ68" s="485">
        <f t="shared" si="12"/>
        <v>0</v>
      </c>
      <c r="CA68" s="485">
        <f t="shared" si="12"/>
        <v>0</v>
      </c>
      <c r="CB68" s="485">
        <f t="shared" si="12"/>
        <v>0</v>
      </c>
      <c r="CC68" s="485">
        <f t="shared" si="12"/>
        <v>0</v>
      </c>
      <c r="CD68" s="485">
        <f t="shared" si="13"/>
        <v>0</v>
      </c>
      <c r="CE68" s="485">
        <f t="shared" si="13"/>
        <v>0</v>
      </c>
      <c r="CF68" s="485">
        <f t="shared" si="13"/>
        <v>0</v>
      </c>
      <c r="CG68" s="485">
        <f t="shared" si="13"/>
        <v>0</v>
      </c>
      <c r="CH68" s="485">
        <f t="shared" si="13"/>
        <v>0</v>
      </c>
      <c r="CI68" s="485">
        <f t="shared" si="13"/>
        <v>0</v>
      </c>
      <c r="CJ68" s="485">
        <f t="shared" si="13"/>
        <v>0</v>
      </c>
      <c r="CK68" s="485">
        <f t="shared" si="13"/>
        <v>0</v>
      </c>
      <c r="CL68" s="485">
        <f t="shared" si="13"/>
        <v>0</v>
      </c>
      <c r="CM68" s="486">
        <f t="shared" si="3"/>
        <v>1</v>
      </c>
    </row>
    <row r="69" spans="1:91" s="487" customFormat="1" ht="25.5" x14ac:dyDescent="0.25">
      <c r="A69" s="497" t="s">
        <v>447</v>
      </c>
      <c r="B69" s="498" t="s">
        <v>2867</v>
      </c>
      <c r="C69" s="497" t="s">
        <v>2788</v>
      </c>
      <c r="D69" s="498"/>
      <c r="E69" s="497" t="s">
        <v>655</v>
      </c>
      <c r="F69" s="498"/>
      <c r="G69" s="497"/>
      <c r="H69" s="497" t="s">
        <v>654</v>
      </c>
      <c r="I69" s="497" t="s">
        <v>647</v>
      </c>
      <c r="J69" s="497" t="s">
        <v>671</v>
      </c>
      <c r="K69" s="497" t="s">
        <v>649</v>
      </c>
      <c r="L69" s="497" t="s">
        <v>55</v>
      </c>
      <c r="M69" s="497" t="s">
        <v>653</v>
      </c>
      <c r="N69" s="497" t="s">
        <v>645</v>
      </c>
      <c r="O69" s="497"/>
      <c r="P69" s="497"/>
      <c r="Q69" s="497" t="s">
        <v>650</v>
      </c>
      <c r="R69" s="497" t="s">
        <v>652</v>
      </c>
      <c r="S69" s="497" t="s">
        <v>649</v>
      </c>
      <c r="T69" s="497"/>
      <c r="U69" s="497"/>
      <c r="V69" s="497" t="s">
        <v>683</v>
      </c>
      <c r="W69" s="497" t="s">
        <v>640</v>
      </c>
      <c r="X69" s="499">
        <v>44378</v>
      </c>
      <c r="Y69" s="499">
        <v>45107</v>
      </c>
      <c r="Z69" s="500">
        <v>2024</v>
      </c>
      <c r="AA69" s="497"/>
      <c r="AB69" s="497"/>
      <c r="AC69" s="497"/>
      <c r="AD69" s="501"/>
      <c r="AE69" s="501"/>
      <c r="AF69" s="501"/>
      <c r="AG69" s="501"/>
      <c r="AH69" s="501"/>
      <c r="AI69" s="501"/>
      <c r="AJ69" s="501"/>
      <c r="AK69" s="501"/>
      <c r="AL69" s="501"/>
      <c r="AM69" s="501"/>
      <c r="AN69" s="501"/>
      <c r="AO69" s="501"/>
      <c r="AP69" s="501"/>
      <c r="AQ69" s="501"/>
      <c r="AR69" s="501"/>
      <c r="AS69" s="501"/>
      <c r="AT69" s="501"/>
      <c r="AU69" s="501"/>
      <c r="AV69" s="501">
        <v>80000</v>
      </c>
      <c r="AW69" s="501"/>
      <c r="AX69" s="501"/>
      <c r="AY69" s="501"/>
      <c r="AZ69" s="501"/>
      <c r="BA69" s="501"/>
      <c r="BB69" s="483"/>
      <c r="BC69" s="483"/>
      <c r="BD69" s="483"/>
      <c r="BE69" s="483"/>
      <c r="BF69" s="483"/>
      <c r="BG69" s="483">
        <v>320428.84733333351</v>
      </c>
      <c r="BH69" s="483"/>
      <c r="BI69" s="483"/>
      <c r="BJ69" s="483"/>
      <c r="BK69" s="483"/>
      <c r="BL69" s="483"/>
      <c r="BM69" s="483"/>
      <c r="BN69" s="483"/>
      <c r="BO69" s="483"/>
      <c r="BP69" s="483"/>
      <c r="BQ69" s="483"/>
      <c r="BR69" s="483">
        <v>400428.84733333351</v>
      </c>
      <c r="BS69" s="484">
        <f t="shared" si="2"/>
        <v>80000</v>
      </c>
      <c r="BT69" s="485">
        <f t="shared" si="12"/>
        <v>0</v>
      </c>
      <c r="BU69" s="485">
        <f t="shared" si="12"/>
        <v>0</v>
      </c>
      <c r="BV69" s="485">
        <f t="shared" si="12"/>
        <v>0</v>
      </c>
      <c r="BW69" s="485">
        <f t="shared" si="12"/>
        <v>1</v>
      </c>
      <c r="BX69" s="485">
        <f t="shared" si="12"/>
        <v>0</v>
      </c>
      <c r="BY69" s="485">
        <f t="shared" si="12"/>
        <v>0</v>
      </c>
      <c r="BZ69" s="485">
        <f t="shared" si="12"/>
        <v>0</v>
      </c>
      <c r="CA69" s="485">
        <f t="shared" si="12"/>
        <v>0</v>
      </c>
      <c r="CB69" s="485">
        <f t="shared" si="12"/>
        <v>0</v>
      </c>
      <c r="CC69" s="485">
        <f t="shared" si="12"/>
        <v>0</v>
      </c>
      <c r="CD69" s="485">
        <f t="shared" si="13"/>
        <v>0</v>
      </c>
      <c r="CE69" s="485">
        <f t="shared" si="13"/>
        <v>0</v>
      </c>
      <c r="CF69" s="485">
        <f t="shared" si="13"/>
        <v>0</v>
      </c>
      <c r="CG69" s="485">
        <f t="shared" si="13"/>
        <v>0</v>
      </c>
      <c r="CH69" s="485">
        <f t="shared" si="13"/>
        <v>0</v>
      </c>
      <c r="CI69" s="485">
        <f t="shared" si="13"/>
        <v>0</v>
      </c>
      <c r="CJ69" s="485">
        <f t="shared" si="13"/>
        <v>0</v>
      </c>
      <c r="CK69" s="485">
        <f t="shared" si="13"/>
        <v>0</v>
      </c>
      <c r="CL69" s="485">
        <f t="shared" si="13"/>
        <v>0</v>
      </c>
      <c r="CM69" s="486">
        <f t="shared" si="3"/>
        <v>1</v>
      </c>
    </row>
    <row r="70" spans="1:91" s="487" customFormat="1" ht="25.5" x14ac:dyDescent="0.25">
      <c r="A70" s="497" t="s">
        <v>449</v>
      </c>
      <c r="B70" s="498" t="s">
        <v>2869</v>
      </c>
      <c r="C70" s="497" t="s">
        <v>741</v>
      </c>
      <c r="D70" s="498"/>
      <c r="E70" s="497" t="s">
        <v>655</v>
      </c>
      <c r="F70" s="498"/>
      <c r="G70" s="497"/>
      <c r="H70" s="497" t="s">
        <v>654</v>
      </c>
      <c r="I70" s="497" t="s">
        <v>647</v>
      </c>
      <c r="J70" s="497" t="s">
        <v>641</v>
      </c>
      <c r="K70" s="497" t="s">
        <v>649</v>
      </c>
      <c r="L70" s="497" t="s">
        <v>40</v>
      </c>
      <c r="M70" s="497" t="s">
        <v>653</v>
      </c>
      <c r="N70" s="497" t="s">
        <v>645</v>
      </c>
      <c r="O70" s="497"/>
      <c r="P70" s="497"/>
      <c r="Q70" s="497" t="s">
        <v>650</v>
      </c>
      <c r="R70" s="497" t="s">
        <v>652</v>
      </c>
      <c r="S70" s="497" t="s">
        <v>649</v>
      </c>
      <c r="T70" s="497"/>
      <c r="U70" s="497"/>
      <c r="V70" s="497" t="s">
        <v>685</v>
      </c>
      <c r="W70" s="497"/>
      <c r="X70" s="499">
        <v>43862</v>
      </c>
      <c r="Y70" s="499">
        <v>45013</v>
      </c>
      <c r="Z70" s="500">
        <v>2023</v>
      </c>
      <c r="AA70" s="497"/>
      <c r="AB70" s="497"/>
      <c r="AC70" s="497"/>
      <c r="AD70" s="501"/>
      <c r="AE70" s="501"/>
      <c r="AF70" s="501"/>
      <c r="AG70" s="501"/>
      <c r="AH70" s="501"/>
      <c r="AI70" s="501"/>
      <c r="AJ70" s="501"/>
      <c r="AK70" s="501"/>
      <c r="AL70" s="501"/>
      <c r="AM70" s="501"/>
      <c r="AN70" s="501"/>
      <c r="AO70" s="501"/>
      <c r="AP70" s="501"/>
      <c r="AQ70" s="501"/>
      <c r="AR70" s="501"/>
      <c r="AS70" s="501"/>
      <c r="AT70" s="501"/>
      <c r="AU70" s="501"/>
      <c r="AV70" s="501">
        <v>160000.00000000009</v>
      </c>
      <c r="AW70" s="501"/>
      <c r="AX70" s="501"/>
      <c r="AY70" s="501"/>
      <c r="AZ70" s="501"/>
      <c r="BA70" s="501"/>
      <c r="BB70" s="483"/>
      <c r="BC70" s="483"/>
      <c r="BD70" s="483"/>
      <c r="BE70" s="483"/>
      <c r="BF70" s="483"/>
      <c r="BG70" s="483">
        <v>640219.4221133336</v>
      </c>
      <c r="BH70" s="483"/>
      <c r="BI70" s="483"/>
      <c r="BJ70" s="483"/>
      <c r="BK70" s="483"/>
      <c r="BL70" s="483"/>
      <c r="BM70" s="483"/>
      <c r="BN70" s="483"/>
      <c r="BO70" s="483"/>
      <c r="BP70" s="483"/>
      <c r="BQ70" s="483"/>
      <c r="BR70" s="483">
        <v>800219.42211333383</v>
      </c>
      <c r="BS70" s="484">
        <f t="shared" si="2"/>
        <v>160000.00000000009</v>
      </c>
      <c r="BT70" s="485">
        <f t="shared" si="12"/>
        <v>0</v>
      </c>
      <c r="BU70" s="485">
        <f t="shared" si="12"/>
        <v>0</v>
      </c>
      <c r="BV70" s="485">
        <f t="shared" si="12"/>
        <v>0</v>
      </c>
      <c r="BW70" s="485">
        <f t="shared" si="12"/>
        <v>1</v>
      </c>
      <c r="BX70" s="485">
        <f t="shared" si="12"/>
        <v>0</v>
      </c>
      <c r="BY70" s="485">
        <f t="shared" si="12"/>
        <v>0</v>
      </c>
      <c r="BZ70" s="485">
        <f t="shared" si="12"/>
        <v>0</v>
      </c>
      <c r="CA70" s="485">
        <f t="shared" si="12"/>
        <v>0</v>
      </c>
      <c r="CB70" s="485">
        <f t="shared" si="12"/>
        <v>0</v>
      </c>
      <c r="CC70" s="485">
        <f t="shared" si="12"/>
        <v>0</v>
      </c>
      <c r="CD70" s="485">
        <f t="shared" si="13"/>
        <v>0</v>
      </c>
      <c r="CE70" s="485">
        <f t="shared" si="13"/>
        <v>0</v>
      </c>
      <c r="CF70" s="485">
        <f t="shared" si="13"/>
        <v>0</v>
      </c>
      <c r="CG70" s="485">
        <f t="shared" si="13"/>
        <v>0</v>
      </c>
      <c r="CH70" s="485">
        <f t="shared" si="13"/>
        <v>0</v>
      </c>
      <c r="CI70" s="485">
        <f t="shared" si="13"/>
        <v>0</v>
      </c>
      <c r="CJ70" s="485">
        <f t="shared" si="13"/>
        <v>0</v>
      </c>
      <c r="CK70" s="485">
        <f t="shared" si="13"/>
        <v>0</v>
      </c>
      <c r="CL70" s="485">
        <f t="shared" si="13"/>
        <v>0</v>
      </c>
      <c r="CM70" s="486">
        <f t="shared" si="3"/>
        <v>1</v>
      </c>
    </row>
    <row r="71" spans="1:91" s="487" customFormat="1" ht="25.5" x14ac:dyDescent="0.25">
      <c r="A71" s="497" t="s">
        <v>459</v>
      </c>
      <c r="B71" s="498" t="s">
        <v>2245</v>
      </c>
      <c r="C71" s="497" t="s">
        <v>739</v>
      </c>
      <c r="D71" s="498"/>
      <c r="E71" s="497" t="s">
        <v>655</v>
      </c>
      <c r="F71" s="498"/>
      <c r="G71" s="497"/>
      <c r="H71" s="497" t="s">
        <v>654</v>
      </c>
      <c r="I71" s="497" t="s">
        <v>647</v>
      </c>
      <c r="J71" s="497" t="s">
        <v>671</v>
      </c>
      <c r="K71" s="497" t="s">
        <v>649</v>
      </c>
      <c r="L71" s="497" t="s">
        <v>40</v>
      </c>
      <c r="M71" s="497" t="s">
        <v>653</v>
      </c>
      <c r="N71" s="497" t="s">
        <v>645</v>
      </c>
      <c r="O71" s="497"/>
      <c r="P71" s="497"/>
      <c r="Q71" s="497" t="s">
        <v>650</v>
      </c>
      <c r="R71" s="497" t="s">
        <v>652</v>
      </c>
      <c r="S71" s="497" t="s">
        <v>649</v>
      </c>
      <c r="T71" s="497"/>
      <c r="U71" s="497"/>
      <c r="V71" s="497" t="s">
        <v>683</v>
      </c>
      <c r="W71" s="497" t="s">
        <v>677</v>
      </c>
      <c r="X71" s="499">
        <v>43346</v>
      </c>
      <c r="Y71" s="499">
        <v>44260</v>
      </c>
      <c r="Z71" s="500">
        <v>2021</v>
      </c>
      <c r="AA71" s="497"/>
      <c r="AB71" s="497"/>
      <c r="AC71" s="497"/>
      <c r="AD71" s="501"/>
      <c r="AE71" s="501"/>
      <c r="AF71" s="501"/>
      <c r="AG71" s="501"/>
      <c r="AH71" s="501"/>
      <c r="AI71" s="501"/>
      <c r="AJ71" s="501"/>
      <c r="AK71" s="501"/>
      <c r="AL71" s="501"/>
      <c r="AM71" s="501"/>
      <c r="AN71" s="501"/>
      <c r="AO71" s="501"/>
      <c r="AP71" s="501"/>
      <c r="AQ71" s="501"/>
      <c r="AR71" s="501"/>
      <c r="AS71" s="501"/>
      <c r="AT71" s="501"/>
      <c r="AU71" s="501"/>
      <c r="AV71" s="501">
        <v>0</v>
      </c>
      <c r="AW71" s="501"/>
      <c r="AX71" s="501"/>
      <c r="AY71" s="501"/>
      <c r="AZ71" s="501"/>
      <c r="BA71" s="501"/>
      <c r="BB71" s="483"/>
      <c r="BC71" s="483"/>
      <c r="BD71" s="483"/>
      <c r="BE71" s="483"/>
      <c r="BF71" s="483"/>
      <c r="BG71" s="483">
        <v>499999.99999999953</v>
      </c>
      <c r="BH71" s="483"/>
      <c r="BI71" s="483"/>
      <c r="BJ71" s="483"/>
      <c r="BK71" s="483"/>
      <c r="BL71" s="483"/>
      <c r="BM71" s="483"/>
      <c r="BN71" s="483"/>
      <c r="BO71" s="483"/>
      <c r="BP71" s="483"/>
      <c r="BQ71" s="483"/>
      <c r="BR71" s="483">
        <v>499999.99999999953</v>
      </c>
      <c r="BS71" s="484">
        <f t="shared" si="2"/>
        <v>0</v>
      </c>
      <c r="BT71" s="485">
        <v>0</v>
      </c>
      <c r="BU71" s="485">
        <v>0</v>
      </c>
      <c r="BV71" s="485">
        <v>0</v>
      </c>
      <c r="BW71" s="485">
        <v>1</v>
      </c>
      <c r="BX71" s="485">
        <v>0</v>
      </c>
      <c r="BY71" s="485">
        <v>0</v>
      </c>
      <c r="BZ71" s="485">
        <v>0</v>
      </c>
      <c r="CA71" s="485">
        <v>0</v>
      </c>
      <c r="CB71" s="485">
        <v>0</v>
      </c>
      <c r="CC71" s="485">
        <v>0</v>
      </c>
      <c r="CD71" s="485">
        <v>0</v>
      </c>
      <c r="CE71" s="485">
        <v>0</v>
      </c>
      <c r="CF71" s="485">
        <v>0</v>
      </c>
      <c r="CG71" s="485">
        <v>0</v>
      </c>
      <c r="CH71" s="485">
        <v>0</v>
      </c>
      <c r="CI71" s="485">
        <v>0</v>
      </c>
      <c r="CJ71" s="485">
        <v>0</v>
      </c>
      <c r="CK71" s="485">
        <v>0</v>
      </c>
      <c r="CL71" s="485">
        <v>0</v>
      </c>
      <c r="CM71" s="486">
        <f t="shared" si="3"/>
        <v>1</v>
      </c>
    </row>
    <row r="72" spans="1:91" s="487" customFormat="1" ht="25.5" x14ac:dyDescent="0.25">
      <c r="A72" s="497" t="s">
        <v>463</v>
      </c>
      <c r="B72" s="498" t="s">
        <v>2246</v>
      </c>
      <c r="C72" s="497" t="s">
        <v>738</v>
      </c>
      <c r="D72" s="498"/>
      <c r="E72" s="497" t="s">
        <v>655</v>
      </c>
      <c r="F72" s="498"/>
      <c r="G72" s="497"/>
      <c r="H72" s="497" t="s">
        <v>654</v>
      </c>
      <c r="I72" s="497" t="s">
        <v>647</v>
      </c>
      <c r="J72" s="497" t="s">
        <v>671</v>
      </c>
      <c r="K72" s="497" t="s">
        <v>649</v>
      </c>
      <c r="L72" s="497" t="s">
        <v>40</v>
      </c>
      <c r="M72" s="497" t="s">
        <v>653</v>
      </c>
      <c r="N72" s="497" t="s">
        <v>645</v>
      </c>
      <c r="O72" s="497"/>
      <c r="P72" s="497"/>
      <c r="Q72" s="497" t="s">
        <v>650</v>
      </c>
      <c r="R72" s="497" t="s">
        <v>652</v>
      </c>
      <c r="S72" s="497" t="s">
        <v>649</v>
      </c>
      <c r="T72" s="497"/>
      <c r="U72" s="497"/>
      <c r="V72" s="497" t="s">
        <v>683</v>
      </c>
      <c r="W72" s="497" t="s">
        <v>677</v>
      </c>
      <c r="X72" s="499">
        <v>44410</v>
      </c>
      <c r="Y72" s="499">
        <v>45089</v>
      </c>
      <c r="Z72" s="500">
        <v>2023</v>
      </c>
      <c r="AA72" s="497"/>
      <c r="AB72" s="497"/>
      <c r="AC72" s="497"/>
      <c r="AD72" s="501"/>
      <c r="AE72" s="501"/>
      <c r="AF72" s="501"/>
      <c r="AG72" s="501"/>
      <c r="AH72" s="501"/>
      <c r="AI72" s="501"/>
      <c r="AJ72" s="501"/>
      <c r="AK72" s="501"/>
      <c r="AL72" s="501"/>
      <c r="AM72" s="501"/>
      <c r="AN72" s="501"/>
      <c r="AO72" s="501"/>
      <c r="AP72" s="501"/>
      <c r="AQ72" s="501"/>
      <c r="AR72" s="501"/>
      <c r="AS72" s="501"/>
      <c r="AT72" s="501"/>
      <c r="AU72" s="501"/>
      <c r="AV72" s="501">
        <v>0</v>
      </c>
      <c r="AW72" s="501"/>
      <c r="AX72" s="501"/>
      <c r="AY72" s="501"/>
      <c r="AZ72" s="501"/>
      <c r="BA72" s="501"/>
      <c r="BB72" s="483"/>
      <c r="BC72" s="483"/>
      <c r="BD72" s="483"/>
      <c r="BE72" s="483"/>
      <c r="BF72" s="483"/>
      <c r="BG72" s="483">
        <v>899999.99999999965</v>
      </c>
      <c r="BH72" s="483"/>
      <c r="BI72" s="483"/>
      <c r="BJ72" s="483"/>
      <c r="BK72" s="483"/>
      <c r="BL72" s="483"/>
      <c r="BM72" s="483"/>
      <c r="BN72" s="483"/>
      <c r="BO72" s="483"/>
      <c r="BP72" s="483"/>
      <c r="BQ72" s="483"/>
      <c r="BR72" s="483">
        <v>899999.99999999965</v>
      </c>
      <c r="BS72" s="484">
        <f t="shared" si="2"/>
        <v>0</v>
      </c>
      <c r="BT72" s="485">
        <v>0</v>
      </c>
      <c r="BU72" s="485">
        <v>0</v>
      </c>
      <c r="BV72" s="485">
        <v>0</v>
      </c>
      <c r="BW72" s="485">
        <v>1</v>
      </c>
      <c r="BX72" s="485">
        <v>0</v>
      </c>
      <c r="BY72" s="485">
        <v>0</v>
      </c>
      <c r="BZ72" s="485">
        <v>0</v>
      </c>
      <c r="CA72" s="485">
        <v>0</v>
      </c>
      <c r="CB72" s="485">
        <v>0</v>
      </c>
      <c r="CC72" s="485">
        <v>0</v>
      </c>
      <c r="CD72" s="485">
        <v>0</v>
      </c>
      <c r="CE72" s="485">
        <v>0</v>
      </c>
      <c r="CF72" s="485">
        <v>0</v>
      </c>
      <c r="CG72" s="485">
        <v>0</v>
      </c>
      <c r="CH72" s="485">
        <v>0</v>
      </c>
      <c r="CI72" s="485">
        <v>0</v>
      </c>
      <c r="CJ72" s="485">
        <v>0</v>
      </c>
      <c r="CK72" s="485">
        <v>0</v>
      </c>
      <c r="CL72" s="485">
        <v>0</v>
      </c>
      <c r="CM72" s="486">
        <f t="shared" si="3"/>
        <v>1</v>
      </c>
    </row>
    <row r="73" spans="1:91" s="487" customFormat="1" ht="25.5" x14ac:dyDescent="0.25">
      <c r="A73" s="497" t="s">
        <v>465</v>
      </c>
      <c r="B73" s="498" t="s">
        <v>2247</v>
      </c>
      <c r="C73" s="497" t="s">
        <v>737</v>
      </c>
      <c r="D73" s="498"/>
      <c r="E73" s="497" t="s">
        <v>655</v>
      </c>
      <c r="F73" s="498"/>
      <c r="G73" s="497"/>
      <c r="H73" s="497" t="s">
        <v>654</v>
      </c>
      <c r="I73" s="497" t="s">
        <v>647</v>
      </c>
      <c r="J73" s="497" t="s">
        <v>671</v>
      </c>
      <c r="K73" s="497" t="s">
        <v>649</v>
      </c>
      <c r="L73" s="497" t="s">
        <v>40</v>
      </c>
      <c r="M73" s="497" t="s">
        <v>653</v>
      </c>
      <c r="N73" s="497" t="s">
        <v>645</v>
      </c>
      <c r="O73" s="497"/>
      <c r="P73" s="497"/>
      <c r="Q73" s="497" t="s">
        <v>656</v>
      </c>
      <c r="R73" s="497" t="s">
        <v>652</v>
      </c>
      <c r="S73" s="497" t="s">
        <v>649</v>
      </c>
      <c r="T73" s="497"/>
      <c r="U73" s="497"/>
      <c r="V73" s="497" t="s">
        <v>683</v>
      </c>
      <c r="W73" s="497" t="s">
        <v>677</v>
      </c>
      <c r="X73" s="499">
        <v>44256</v>
      </c>
      <c r="Y73" s="499">
        <v>45099</v>
      </c>
      <c r="Z73" s="500">
        <v>2023</v>
      </c>
      <c r="AA73" s="497"/>
      <c r="AB73" s="497"/>
      <c r="AC73" s="497"/>
      <c r="AD73" s="501"/>
      <c r="AE73" s="501"/>
      <c r="AF73" s="501"/>
      <c r="AG73" s="501"/>
      <c r="AH73" s="501"/>
      <c r="AI73" s="501"/>
      <c r="AJ73" s="501"/>
      <c r="AK73" s="501"/>
      <c r="AL73" s="501"/>
      <c r="AM73" s="501"/>
      <c r="AN73" s="501"/>
      <c r="AO73" s="501"/>
      <c r="AP73" s="501"/>
      <c r="AQ73" s="501"/>
      <c r="AR73" s="501"/>
      <c r="AS73" s="501"/>
      <c r="AT73" s="501"/>
      <c r="AU73" s="501"/>
      <c r="AV73" s="501">
        <v>0</v>
      </c>
      <c r="AW73" s="501"/>
      <c r="AX73" s="501"/>
      <c r="AY73" s="501"/>
      <c r="AZ73" s="501"/>
      <c r="BA73" s="501"/>
      <c r="BB73" s="483"/>
      <c r="BC73" s="483"/>
      <c r="BD73" s="483"/>
      <c r="BE73" s="483"/>
      <c r="BF73" s="483"/>
      <c r="BG73" s="483">
        <v>1500000.0000000019</v>
      </c>
      <c r="BH73" s="483"/>
      <c r="BI73" s="483"/>
      <c r="BJ73" s="483"/>
      <c r="BK73" s="483"/>
      <c r="BL73" s="483"/>
      <c r="BM73" s="483"/>
      <c r="BN73" s="483"/>
      <c r="BO73" s="483"/>
      <c r="BP73" s="483"/>
      <c r="BQ73" s="483"/>
      <c r="BR73" s="483">
        <v>1500000.0000000019</v>
      </c>
      <c r="BS73" s="484">
        <f t="shared" si="2"/>
        <v>0</v>
      </c>
      <c r="BT73" s="485">
        <v>0</v>
      </c>
      <c r="BU73" s="485">
        <v>0</v>
      </c>
      <c r="BV73" s="485">
        <v>0</v>
      </c>
      <c r="BW73" s="485">
        <v>1</v>
      </c>
      <c r="BX73" s="485">
        <v>0</v>
      </c>
      <c r="BY73" s="485">
        <v>0</v>
      </c>
      <c r="BZ73" s="485">
        <v>0</v>
      </c>
      <c r="CA73" s="485">
        <v>0</v>
      </c>
      <c r="CB73" s="485">
        <v>0</v>
      </c>
      <c r="CC73" s="485">
        <v>0</v>
      </c>
      <c r="CD73" s="485">
        <v>0</v>
      </c>
      <c r="CE73" s="485">
        <v>0</v>
      </c>
      <c r="CF73" s="485">
        <v>0</v>
      </c>
      <c r="CG73" s="485">
        <v>0</v>
      </c>
      <c r="CH73" s="485">
        <v>0</v>
      </c>
      <c r="CI73" s="485">
        <v>0</v>
      </c>
      <c r="CJ73" s="485">
        <v>0</v>
      </c>
      <c r="CK73" s="485">
        <v>0</v>
      </c>
      <c r="CL73" s="485">
        <v>0</v>
      </c>
      <c r="CM73" s="486">
        <f t="shared" si="3"/>
        <v>1</v>
      </c>
    </row>
    <row r="74" spans="1:91" s="487" customFormat="1" ht="25.5" x14ac:dyDescent="0.25">
      <c r="A74" s="497" t="s">
        <v>470</v>
      </c>
      <c r="B74" s="498" t="s">
        <v>2249</v>
      </c>
      <c r="C74" s="497" t="s">
        <v>735</v>
      </c>
      <c r="D74" s="498"/>
      <c r="E74" s="497" t="s">
        <v>655</v>
      </c>
      <c r="F74" s="498"/>
      <c r="G74" s="497"/>
      <c r="H74" s="497" t="s">
        <v>654</v>
      </c>
      <c r="I74" s="497" t="s">
        <v>647</v>
      </c>
      <c r="J74" s="497" t="s">
        <v>671</v>
      </c>
      <c r="K74" s="497" t="s">
        <v>649</v>
      </c>
      <c r="L74" s="497" t="s">
        <v>40</v>
      </c>
      <c r="M74" s="497" t="s">
        <v>653</v>
      </c>
      <c r="N74" s="497" t="s">
        <v>645</v>
      </c>
      <c r="O74" s="497"/>
      <c r="P74" s="497"/>
      <c r="Q74" s="497" t="s">
        <v>650</v>
      </c>
      <c r="R74" s="497" t="s">
        <v>652</v>
      </c>
      <c r="S74" s="497" t="s">
        <v>649</v>
      </c>
      <c r="T74" s="497"/>
      <c r="U74" s="497"/>
      <c r="V74" s="497" t="s">
        <v>683</v>
      </c>
      <c r="W74" s="497" t="s">
        <v>677</v>
      </c>
      <c r="X74" s="499">
        <v>43325</v>
      </c>
      <c r="Y74" s="499">
        <v>43874</v>
      </c>
      <c r="Z74" s="500">
        <v>2020</v>
      </c>
      <c r="AA74" s="497"/>
      <c r="AB74" s="497"/>
      <c r="AC74" s="497"/>
      <c r="AD74" s="501"/>
      <c r="AE74" s="501"/>
      <c r="AF74" s="501"/>
      <c r="AG74" s="501"/>
      <c r="AH74" s="501"/>
      <c r="AI74" s="501"/>
      <c r="AJ74" s="501"/>
      <c r="AK74" s="501"/>
      <c r="AL74" s="501"/>
      <c r="AM74" s="501"/>
      <c r="AN74" s="501"/>
      <c r="AO74" s="501"/>
      <c r="AP74" s="501"/>
      <c r="AQ74" s="501"/>
      <c r="AR74" s="501"/>
      <c r="AS74" s="501"/>
      <c r="AT74" s="501"/>
      <c r="AU74" s="501"/>
      <c r="AV74" s="501">
        <v>0</v>
      </c>
      <c r="AW74" s="501"/>
      <c r="AX74" s="501"/>
      <c r="AY74" s="501"/>
      <c r="AZ74" s="501"/>
      <c r="BA74" s="501"/>
      <c r="BB74" s="483"/>
      <c r="BC74" s="483"/>
      <c r="BD74" s="483"/>
      <c r="BE74" s="483"/>
      <c r="BF74" s="483"/>
      <c r="BG74" s="483">
        <v>900000.00000000093</v>
      </c>
      <c r="BH74" s="483"/>
      <c r="BI74" s="483"/>
      <c r="BJ74" s="483"/>
      <c r="BK74" s="483"/>
      <c r="BL74" s="483"/>
      <c r="BM74" s="483"/>
      <c r="BN74" s="483"/>
      <c r="BO74" s="483"/>
      <c r="BP74" s="483"/>
      <c r="BQ74" s="483"/>
      <c r="BR74" s="483">
        <v>900000.00000000093</v>
      </c>
      <c r="BS74" s="484">
        <f t="shared" si="2"/>
        <v>0</v>
      </c>
      <c r="BT74" s="485">
        <v>0</v>
      </c>
      <c r="BU74" s="485">
        <v>0</v>
      </c>
      <c r="BV74" s="485">
        <v>0</v>
      </c>
      <c r="BW74" s="485">
        <v>1</v>
      </c>
      <c r="BX74" s="485">
        <v>0</v>
      </c>
      <c r="BY74" s="485">
        <v>0</v>
      </c>
      <c r="BZ74" s="485">
        <v>0</v>
      </c>
      <c r="CA74" s="485">
        <v>0</v>
      </c>
      <c r="CB74" s="485">
        <v>0</v>
      </c>
      <c r="CC74" s="485">
        <v>0</v>
      </c>
      <c r="CD74" s="485">
        <v>0</v>
      </c>
      <c r="CE74" s="485">
        <v>0</v>
      </c>
      <c r="CF74" s="485">
        <v>0</v>
      </c>
      <c r="CG74" s="485">
        <v>0</v>
      </c>
      <c r="CH74" s="485">
        <v>0</v>
      </c>
      <c r="CI74" s="485">
        <v>0</v>
      </c>
      <c r="CJ74" s="485">
        <v>0</v>
      </c>
      <c r="CK74" s="485">
        <v>0</v>
      </c>
      <c r="CL74" s="485">
        <v>0</v>
      </c>
      <c r="CM74" s="486">
        <f t="shared" si="3"/>
        <v>1</v>
      </c>
    </row>
    <row r="75" spans="1:91" s="487" customFormat="1" ht="25.5" x14ac:dyDescent="0.25">
      <c r="A75" s="497" t="s">
        <v>473</v>
      </c>
      <c r="B75" s="498" t="s">
        <v>2873</v>
      </c>
      <c r="C75" s="497" t="s">
        <v>2488</v>
      </c>
      <c r="D75" s="498"/>
      <c r="E75" s="497" t="s">
        <v>655</v>
      </c>
      <c r="F75" s="498"/>
      <c r="G75" s="497"/>
      <c r="H75" s="497" t="s">
        <v>654</v>
      </c>
      <c r="I75" s="497" t="s">
        <v>647</v>
      </c>
      <c r="J75" s="497" t="s">
        <v>671</v>
      </c>
      <c r="K75" s="497" t="s">
        <v>649</v>
      </c>
      <c r="L75" s="497" t="s">
        <v>55</v>
      </c>
      <c r="M75" s="497" t="s">
        <v>653</v>
      </c>
      <c r="N75" s="497" t="s">
        <v>645</v>
      </c>
      <c r="O75" s="497"/>
      <c r="P75" s="497"/>
      <c r="Q75" s="497" t="s">
        <v>650</v>
      </c>
      <c r="R75" s="497" t="s">
        <v>652</v>
      </c>
      <c r="S75" s="497" t="s">
        <v>649</v>
      </c>
      <c r="T75" s="497"/>
      <c r="U75" s="497"/>
      <c r="V75" s="497" t="s">
        <v>683</v>
      </c>
      <c r="W75" s="497" t="s">
        <v>677</v>
      </c>
      <c r="X75" s="499">
        <v>43374</v>
      </c>
      <c r="Y75" s="499">
        <v>43754</v>
      </c>
      <c r="Z75" s="500">
        <v>2020</v>
      </c>
      <c r="AA75" s="497"/>
      <c r="AB75" s="497"/>
      <c r="AC75" s="497"/>
      <c r="AD75" s="501"/>
      <c r="AE75" s="501"/>
      <c r="AF75" s="501"/>
      <c r="AG75" s="501"/>
      <c r="AH75" s="501"/>
      <c r="AI75" s="501"/>
      <c r="AJ75" s="501"/>
      <c r="AK75" s="501"/>
      <c r="AL75" s="501"/>
      <c r="AM75" s="501"/>
      <c r="AN75" s="501"/>
      <c r="AO75" s="501"/>
      <c r="AP75" s="501"/>
      <c r="AQ75" s="501"/>
      <c r="AR75" s="501"/>
      <c r="AS75" s="501"/>
      <c r="AT75" s="501"/>
      <c r="AU75" s="501"/>
      <c r="AV75" s="501">
        <v>25000</v>
      </c>
      <c r="AW75" s="501"/>
      <c r="AX75" s="501"/>
      <c r="AY75" s="501"/>
      <c r="AZ75" s="501"/>
      <c r="BA75" s="501"/>
      <c r="BB75" s="483"/>
      <c r="BC75" s="483"/>
      <c r="BD75" s="483"/>
      <c r="BE75" s="483"/>
      <c r="BF75" s="483"/>
      <c r="BG75" s="483">
        <v>475000.00000000006</v>
      </c>
      <c r="BH75" s="483"/>
      <c r="BI75" s="483"/>
      <c r="BJ75" s="483"/>
      <c r="BK75" s="483"/>
      <c r="BL75" s="483"/>
      <c r="BM75" s="483"/>
      <c r="BN75" s="483"/>
      <c r="BO75" s="483"/>
      <c r="BP75" s="483"/>
      <c r="BQ75" s="483"/>
      <c r="BR75" s="483">
        <v>500000.00000000006</v>
      </c>
      <c r="BS75" s="484">
        <f t="shared" si="2"/>
        <v>25000</v>
      </c>
      <c r="BT75" s="485">
        <f t="shared" ref="BT75:CC84" si="14">SUMIFS($AD75:$BA75,$AD$11:$BA$11,BT$21)/$BS75</f>
        <v>0</v>
      </c>
      <c r="BU75" s="485">
        <f t="shared" si="14"/>
        <v>0</v>
      </c>
      <c r="BV75" s="485">
        <f t="shared" si="14"/>
        <v>0</v>
      </c>
      <c r="BW75" s="485">
        <f t="shared" si="14"/>
        <v>1</v>
      </c>
      <c r="BX75" s="485">
        <f t="shared" si="14"/>
        <v>0</v>
      </c>
      <c r="BY75" s="485">
        <f t="shared" si="14"/>
        <v>0</v>
      </c>
      <c r="BZ75" s="485">
        <f t="shared" si="14"/>
        <v>0</v>
      </c>
      <c r="CA75" s="485">
        <f t="shared" si="14"/>
        <v>0</v>
      </c>
      <c r="CB75" s="485">
        <f t="shared" si="14"/>
        <v>0</v>
      </c>
      <c r="CC75" s="485">
        <f t="shared" si="14"/>
        <v>0</v>
      </c>
      <c r="CD75" s="485">
        <f t="shared" ref="CD75:CL84" si="15">SUMIFS($AD75:$BA75,$AD$11:$BA$11,CD$21)/$BS75</f>
        <v>0</v>
      </c>
      <c r="CE75" s="485">
        <f t="shared" si="15"/>
        <v>0</v>
      </c>
      <c r="CF75" s="485">
        <f t="shared" si="15"/>
        <v>0</v>
      </c>
      <c r="CG75" s="485">
        <f t="shared" si="15"/>
        <v>0</v>
      </c>
      <c r="CH75" s="485">
        <f t="shared" si="15"/>
        <v>0</v>
      </c>
      <c r="CI75" s="485">
        <f t="shared" si="15"/>
        <v>0</v>
      </c>
      <c r="CJ75" s="485">
        <f t="shared" si="15"/>
        <v>0</v>
      </c>
      <c r="CK75" s="485">
        <f t="shared" si="15"/>
        <v>0</v>
      </c>
      <c r="CL75" s="485">
        <f t="shared" si="15"/>
        <v>0</v>
      </c>
      <c r="CM75" s="486">
        <f t="shared" si="3"/>
        <v>1</v>
      </c>
    </row>
    <row r="76" spans="1:91" s="487" customFormat="1" ht="25.5" x14ac:dyDescent="0.25">
      <c r="A76" s="497" t="s">
        <v>481</v>
      </c>
      <c r="B76" s="498" t="s">
        <v>2876</v>
      </c>
      <c r="C76" s="497" t="s">
        <v>2680</v>
      </c>
      <c r="D76" s="498"/>
      <c r="E76" s="497" t="s">
        <v>655</v>
      </c>
      <c r="F76" s="498"/>
      <c r="G76" s="497" t="s">
        <v>722</v>
      </c>
      <c r="H76" s="497" t="s">
        <v>654</v>
      </c>
      <c r="I76" s="497" t="s">
        <v>647</v>
      </c>
      <c r="J76" s="497" t="s">
        <v>641</v>
      </c>
      <c r="K76" s="497" t="s">
        <v>649</v>
      </c>
      <c r="L76" s="497" t="s">
        <v>60</v>
      </c>
      <c r="M76" s="497" t="s">
        <v>653</v>
      </c>
      <c r="N76" s="497" t="s">
        <v>680</v>
      </c>
      <c r="O76" s="497"/>
      <c r="P76" s="497" t="s">
        <v>643</v>
      </c>
      <c r="Q76" s="497" t="s">
        <v>656</v>
      </c>
      <c r="R76" s="497" t="s">
        <v>652</v>
      </c>
      <c r="S76" s="497" t="s">
        <v>649</v>
      </c>
      <c r="T76" s="497"/>
      <c r="U76" s="497"/>
      <c r="V76" s="497" t="s">
        <v>641</v>
      </c>
      <c r="W76" s="497" t="s">
        <v>684</v>
      </c>
      <c r="X76" s="499">
        <v>44013</v>
      </c>
      <c r="Y76" s="499">
        <v>44377</v>
      </c>
      <c r="Z76" s="500">
        <v>2021</v>
      </c>
      <c r="AA76" s="497" t="s">
        <v>676</v>
      </c>
      <c r="AB76" s="497"/>
      <c r="AC76" s="497"/>
      <c r="AD76" s="501"/>
      <c r="AE76" s="501"/>
      <c r="AF76" s="501"/>
      <c r="AG76" s="501">
        <v>2094357.9999999995</v>
      </c>
      <c r="AH76" s="501"/>
      <c r="AI76" s="501"/>
      <c r="AJ76" s="501"/>
      <c r="AK76" s="501"/>
      <c r="AL76" s="501"/>
      <c r="AM76" s="501"/>
      <c r="AN76" s="501"/>
      <c r="AO76" s="501"/>
      <c r="AP76" s="501"/>
      <c r="AQ76" s="501"/>
      <c r="AR76" s="501"/>
      <c r="AS76" s="501"/>
      <c r="AT76" s="501"/>
      <c r="AU76" s="501"/>
      <c r="AV76" s="501"/>
      <c r="AW76" s="501"/>
      <c r="AX76" s="501"/>
      <c r="AY76" s="501"/>
      <c r="AZ76" s="501"/>
      <c r="BA76" s="501"/>
      <c r="BB76" s="483"/>
      <c r="BC76" s="483"/>
      <c r="BD76" s="483"/>
      <c r="BE76" s="483"/>
      <c r="BF76" s="483"/>
      <c r="BG76" s="483">
        <v>105641.85349198889</v>
      </c>
      <c r="BH76" s="483"/>
      <c r="BI76" s="483"/>
      <c r="BJ76" s="483"/>
      <c r="BK76" s="483"/>
      <c r="BL76" s="483"/>
      <c r="BM76" s="483"/>
      <c r="BN76" s="483"/>
      <c r="BO76" s="483"/>
      <c r="BP76" s="483"/>
      <c r="BQ76" s="483"/>
      <c r="BR76" s="483">
        <v>2199999.8534919885</v>
      </c>
      <c r="BS76" s="484">
        <f t="shared" si="2"/>
        <v>2094357.9999999995</v>
      </c>
      <c r="BT76" s="485">
        <f t="shared" si="14"/>
        <v>0</v>
      </c>
      <c r="BU76" s="485">
        <f t="shared" si="14"/>
        <v>0</v>
      </c>
      <c r="BV76" s="485">
        <f t="shared" si="14"/>
        <v>0</v>
      </c>
      <c r="BW76" s="485">
        <f t="shared" si="14"/>
        <v>0</v>
      </c>
      <c r="BX76" s="485">
        <f t="shared" si="14"/>
        <v>0</v>
      </c>
      <c r="BY76" s="485">
        <f t="shared" si="14"/>
        <v>0</v>
      </c>
      <c r="BZ76" s="485">
        <f t="shared" si="14"/>
        <v>0</v>
      </c>
      <c r="CA76" s="485">
        <f t="shared" si="14"/>
        <v>0</v>
      </c>
      <c r="CB76" s="485">
        <f t="shared" si="14"/>
        <v>0</v>
      </c>
      <c r="CC76" s="485">
        <f t="shared" si="14"/>
        <v>1</v>
      </c>
      <c r="CD76" s="485">
        <f t="shared" si="15"/>
        <v>0</v>
      </c>
      <c r="CE76" s="485">
        <f t="shared" si="15"/>
        <v>0</v>
      </c>
      <c r="CF76" s="485">
        <f t="shared" si="15"/>
        <v>0</v>
      </c>
      <c r="CG76" s="485">
        <f t="shared" si="15"/>
        <v>0</v>
      </c>
      <c r="CH76" s="485">
        <f t="shared" si="15"/>
        <v>0</v>
      </c>
      <c r="CI76" s="485">
        <f t="shared" si="15"/>
        <v>0</v>
      </c>
      <c r="CJ76" s="485">
        <f t="shared" si="15"/>
        <v>0</v>
      </c>
      <c r="CK76" s="485">
        <f t="shared" si="15"/>
        <v>0</v>
      </c>
      <c r="CL76" s="485">
        <f t="shared" si="15"/>
        <v>0</v>
      </c>
      <c r="CM76" s="486">
        <f t="shared" si="3"/>
        <v>1</v>
      </c>
    </row>
    <row r="77" spans="1:91" s="487" customFormat="1" ht="25.5" x14ac:dyDescent="0.25">
      <c r="A77" s="497" t="s">
        <v>483</v>
      </c>
      <c r="B77" s="498" t="s">
        <v>2877</v>
      </c>
      <c r="C77" s="497" t="s">
        <v>2681</v>
      </c>
      <c r="D77" s="498"/>
      <c r="E77" s="497" t="s">
        <v>655</v>
      </c>
      <c r="F77" s="498"/>
      <c r="G77" s="497" t="s">
        <v>722</v>
      </c>
      <c r="H77" s="497" t="s">
        <v>654</v>
      </c>
      <c r="I77" s="497" t="s">
        <v>647</v>
      </c>
      <c r="J77" s="497" t="s">
        <v>641</v>
      </c>
      <c r="K77" s="497" t="s">
        <v>649</v>
      </c>
      <c r="L77" s="497" t="s">
        <v>60</v>
      </c>
      <c r="M77" s="497" t="s">
        <v>653</v>
      </c>
      <c r="N77" s="497" t="s">
        <v>680</v>
      </c>
      <c r="O77" s="497"/>
      <c r="P77" s="497" t="s">
        <v>643</v>
      </c>
      <c r="Q77" s="497" t="s">
        <v>656</v>
      </c>
      <c r="R77" s="497" t="s">
        <v>652</v>
      </c>
      <c r="S77" s="497" t="s">
        <v>649</v>
      </c>
      <c r="T77" s="497"/>
      <c r="U77" s="497"/>
      <c r="V77" s="497" t="s">
        <v>641</v>
      </c>
      <c r="W77" s="497" t="s">
        <v>684</v>
      </c>
      <c r="X77" s="499">
        <v>44378</v>
      </c>
      <c r="Y77" s="499">
        <v>44739</v>
      </c>
      <c r="Z77" s="500">
        <v>2022</v>
      </c>
      <c r="AA77" s="497" t="s">
        <v>676</v>
      </c>
      <c r="AB77" s="497"/>
      <c r="AC77" s="497"/>
      <c r="AD77" s="501"/>
      <c r="AE77" s="501"/>
      <c r="AF77" s="501"/>
      <c r="AG77" s="501">
        <v>2094358.0000000005</v>
      </c>
      <c r="AH77" s="501"/>
      <c r="AI77" s="501"/>
      <c r="AJ77" s="501"/>
      <c r="AK77" s="501"/>
      <c r="AL77" s="501"/>
      <c r="AM77" s="501"/>
      <c r="AN77" s="501"/>
      <c r="AO77" s="501"/>
      <c r="AP77" s="501"/>
      <c r="AQ77" s="501"/>
      <c r="AR77" s="501"/>
      <c r="AS77" s="501"/>
      <c r="AT77" s="501"/>
      <c r="AU77" s="501"/>
      <c r="AV77" s="501"/>
      <c r="AW77" s="501"/>
      <c r="AX77" s="501"/>
      <c r="AY77" s="501"/>
      <c r="AZ77" s="501"/>
      <c r="BA77" s="501"/>
      <c r="BB77" s="483"/>
      <c r="BC77" s="483"/>
      <c r="BD77" s="483"/>
      <c r="BE77" s="483"/>
      <c r="BF77" s="483"/>
      <c r="BG77" s="483">
        <v>105641.85349198894</v>
      </c>
      <c r="BH77" s="483"/>
      <c r="BI77" s="483"/>
      <c r="BJ77" s="483"/>
      <c r="BK77" s="483"/>
      <c r="BL77" s="483"/>
      <c r="BM77" s="483"/>
      <c r="BN77" s="483"/>
      <c r="BO77" s="483"/>
      <c r="BP77" s="483"/>
      <c r="BQ77" s="483"/>
      <c r="BR77" s="483">
        <v>2199999.8534919894</v>
      </c>
      <c r="BS77" s="484">
        <f t="shared" si="2"/>
        <v>2094358.0000000005</v>
      </c>
      <c r="BT77" s="485">
        <f t="shared" si="14"/>
        <v>0</v>
      </c>
      <c r="BU77" s="485">
        <f t="shared" si="14"/>
        <v>0</v>
      </c>
      <c r="BV77" s="485">
        <f t="shared" si="14"/>
        <v>0</v>
      </c>
      <c r="BW77" s="485">
        <f t="shared" si="14"/>
        <v>0</v>
      </c>
      <c r="BX77" s="485">
        <f t="shared" si="14"/>
        <v>0</v>
      </c>
      <c r="BY77" s="485">
        <f t="shared" si="14"/>
        <v>0</v>
      </c>
      <c r="BZ77" s="485">
        <f t="shared" si="14"/>
        <v>0</v>
      </c>
      <c r="CA77" s="485">
        <f t="shared" si="14"/>
        <v>0</v>
      </c>
      <c r="CB77" s="485">
        <f t="shared" si="14"/>
        <v>0</v>
      </c>
      <c r="CC77" s="485">
        <f t="shared" si="14"/>
        <v>1</v>
      </c>
      <c r="CD77" s="485">
        <f t="shared" si="15"/>
        <v>0</v>
      </c>
      <c r="CE77" s="485">
        <f t="shared" si="15"/>
        <v>0</v>
      </c>
      <c r="CF77" s="485">
        <f t="shared" si="15"/>
        <v>0</v>
      </c>
      <c r="CG77" s="485">
        <f t="shared" si="15"/>
        <v>0</v>
      </c>
      <c r="CH77" s="485">
        <f t="shared" si="15"/>
        <v>0</v>
      </c>
      <c r="CI77" s="485">
        <f t="shared" si="15"/>
        <v>0</v>
      </c>
      <c r="CJ77" s="485">
        <f t="shared" si="15"/>
        <v>0</v>
      </c>
      <c r="CK77" s="485">
        <f t="shared" si="15"/>
        <v>0</v>
      </c>
      <c r="CL77" s="485">
        <f t="shared" si="15"/>
        <v>0</v>
      </c>
      <c r="CM77" s="486">
        <f t="shared" si="3"/>
        <v>1</v>
      </c>
    </row>
    <row r="78" spans="1:91" s="487" customFormat="1" ht="25.5" x14ac:dyDescent="0.25">
      <c r="A78" s="497" t="s">
        <v>485</v>
      </c>
      <c r="B78" s="498" t="s">
        <v>2878</v>
      </c>
      <c r="C78" s="497" t="s">
        <v>2682</v>
      </c>
      <c r="D78" s="498"/>
      <c r="E78" s="497" t="s">
        <v>655</v>
      </c>
      <c r="F78" s="498"/>
      <c r="G78" s="497" t="s">
        <v>722</v>
      </c>
      <c r="H78" s="497" t="s">
        <v>654</v>
      </c>
      <c r="I78" s="497" t="s">
        <v>647</v>
      </c>
      <c r="J78" s="497" t="s">
        <v>641</v>
      </c>
      <c r="K78" s="497" t="s">
        <v>649</v>
      </c>
      <c r="L78" s="497" t="s">
        <v>60</v>
      </c>
      <c r="M78" s="497" t="s">
        <v>653</v>
      </c>
      <c r="N78" s="497" t="s">
        <v>680</v>
      </c>
      <c r="O78" s="497"/>
      <c r="P78" s="497" t="s">
        <v>643</v>
      </c>
      <c r="Q78" s="497" t="s">
        <v>656</v>
      </c>
      <c r="R78" s="497" t="s">
        <v>652</v>
      </c>
      <c r="S78" s="497" t="s">
        <v>649</v>
      </c>
      <c r="T78" s="497"/>
      <c r="U78" s="497"/>
      <c r="V78" s="497" t="s">
        <v>641</v>
      </c>
      <c r="W78" s="497" t="s">
        <v>684</v>
      </c>
      <c r="X78" s="499">
        <v>44743</v>
      </c>
      <c r="Y78" s="499">
        <v>45107</v>
      </c>
      <c r="Z78" s="500">
        <v>2023</v>
      </c>
      <c r="AA78" s="497" t="s">
        <v>676</v>
      </c>
      <c r="AB78" s="497"/>
      <c r="AC78" s="497"/>
      <c r="AD78" s="501"/>
      <c r="AE78" s="501"/>
      <c r="AF78" s="501"/>
      <c r="AG78" s="501">
        <v>2094358</v>
      </c>
      <c r="AH78" s="501"/>
      <c r="AI78" s="501"/>
      <c r="AJ78" s="501"/>
      <c r="AK78" s="501"/>
      <c r="AL78" s="501"/>
      <c r="AM78" s="501"/>
      <c r="AN78" s="501"/>
      <c r="AO78" s="501"/>
      <c r="AP78" s="501"/>
      <c r="AQ78" s="501"/>
      <c r="AR78" s="501"/>
      <c r="AS78" s="501"/>
      <c r="AT78" s="501"/>
      <c r="AU78" s="501"/>
      <c r="AV78" s="501"/>
      <c r="AW78" s="501"/>
      <c r="AX78" s="501"/>
      <c r="AY78" s="501"/>
      <c r="AZ78" s="501"/>
      <c r="BA78" s="501"/>
      <c r="BB78" s="483"/>
      <c r="BC78" s="483"/>
      <c r="BD78" s="483"/>
      <c r="BE78" s="483"/>
      <c r="BF78" s="483"/>
      <c r="BG78" s="483">
        <v>105641.85349198891</v>
      </c>
      <c r="BH78" s="483"/>
      <c r="BI78" s="483"/>
      <c r="BJ78" s="483"/>
      <c r="BK78" s="483"/>
      <c r="BL78" s="483"/>
      <c r="BM78" s="483"/>
      <c r="BN78" s="483"/>
      <c r="BO78" s="483"/>
      <c r="BP78" s="483"/>
      <c r="BQ78" s="483"/>
      <c r="BR78" s="483">
        <v>2199999.853491989</v>
      </c>
      <c r="BS78" s="484">
        <f t="shared" si="2"/>
        <v>2094358</v>
      </c>
      <c r="BT78" s="485">
        <f t="shared" si="14"/>
        <v>0</v>
      </c>
      <c r="BU78" s="485">
        <f t="shared" si="14"/>
        <v>0</v>
      </c>
      <c r="BV78" s="485">
        <f t="shared" si="14"/>
        <v>0</v>
      </c>
      <c r="BW78" s="485">
        <f t="shared" si="14"/>
        <v>0</v>
      </c>
      <c r="BX78" s="485">
        <f t="shared" si="14"/>
        <v>0</v>
      </c>
      <c r="BY78" s="485">
        <f t="shared" si="14"/>
        <v>0</v>
      </c>
      <c r="BZ78" s="485">
        <f t="shared" si="14"/>
        <v>0</v>
      </c>
      <c r="CA78" s="485">
        <f t="shared" si="14"/>
        <v>0</v>
      </c>
      <c r="CB78" s="485">
        <f t="shared" si="14"/>
        <v>0</v>
      </c>
      <c r="CC78" s="485">
        <f t="shared" si="14"/>
        <v>1</v>
      </c>
      <c r="CD78" s="485">
        <f t="shared" si="15"/>
        <v>0</v>
      </c>
      <c r="CE78" s="485">
        <f t="shared" si="15"/>
        <v>0</v>
      </c>
      <c r="CF78" s="485">
        <f t="shared" si="15"/>
        <v>0</v>
      </c>
      <c r="CG78" s="485">
        <f t="shared" si="15"/>
        <v>0</v>
      </c>
      <c r="CH78" s="485">
        <f t="shared" si="15"/>
        <v>0</v>
      </c>
      <c r="CI78" s="485">
        <f t="shared" si="15"/>
        <v>0</v>
      </c>
      <c r="CJ78" s="485">
        <f t="shared" si="15"/>
        <v>0</v>
      </c>
      <c r="CK78" s="485">
        <f t="shared" si="15"/>
        <v>0</v>
      </c>
      <c r="CL78" s="485">
        <f t="shared" si="15"/>
        <v>0</v>
      </c>
      <c r="CM78" s="486">
        <f t="shared" si="3"/>
        <v>1</v>
      </c>
    </row>
    <row r="79" spans="1:91" s="487" customFormat="1" ht="25.5" x14ac:dyDescent="0.25">
      <c r="A79" s="497" t="s">
        <v>491</v>
      </c>
      <c r="B79" s="498" t="s">
        <v>2879</v>
      </c>
      <c r="C79" s="497" t="s">
        <v>2490</v>
      </c>
      <c r="D79" s="498"/>
      <c r="E79" s="497"/>
      <c r="F79" s="498"/>
      <c r="G79" s="497"/>
      <c r="H79" s="497" t="s">
        <v>654</v>
      </c>
      <c r="I79" s="497" t="s">
        <v>647</v>
      </c>
      <c r="J79" s="497" t="s">
        <v>641</v>
      </c>
      <c r="K79" s="497" t="s">
        <v>663</v>
      </c>
      <c r="L79" s="497" t="s">
        <v>40</v>
      </c>
      <c r="M79" s="497" t="s">
        <v>653</v>
      </c>
      <c r="N79" s="497" t="s">
        <v>680</v>
      </c>
      <c r="O79" s="497"/>
      <c r="P79" s="497" t="s">
        <v>643</v>
      </c>
      <c r="Q79" s="497" t="s">
        <v>642</v>
      </c>
      <c r="R79" s="497" t="s">
        <v>652</v>
      </c>
      <c r="S79" s="497" t="s">
        <v>649</v>
      </c>
      <c r="T79" s="497"/>
      <c r="U79" s="497" t="s">
        <v>689</v>
      </c>
      <c r="V79" s="497" t="s">
        <v>641</v>
      </c>
      <c r="W79" s="497" t="s">
        <v>694</v>
      </c>
      <c r="X79" s="499">
        <v>42919</v>
      </c>
      <c r="Y79" s="499">
        <v>45097</v>
      </c>
      <c r="Z79" s="500">
        <v>2023</v>
      </c>
      <c r="AA79" s="497" t="s">
        <v>663</v>
      </c>
      <c r="AB79" s="497"/>
      <c r="AC79" s="497" t="s">
        <v>663</v>
      </c>
      <c r="AD79" s="501"/>
      <c r="AE79" s="501"/>
      <c r="AF79" s="501"/>
      <c r="AG79" s="501"/>
      <c r="AH79" s="501"/>
      <c r="AI79" s="501"/>
      <c r="AJ79" s="501"/>
      <c r="AK79" s="501"/>
      <c r="AL79" s="501">
        <v>14944199.999999996</v>
      </c>
      <c r="AM79" s="501"/>
      <c r="AN79" s="501"/>
      <c r="AO79" s="501"/>
      <c r="AP79" s="501"/>
      <c r="AQ79" s="501">
        <v>304800</v>
      </c>
      <c r="AR79" s="501"/>
      <c r="AS79" s="501"/>
      <c r="AT79" s="501"/>
      <c r="AU79" s="501"/>
      <c r="AV79" s="501"/>
      <c r="AW79" s="501"/>
      <c r="AX79" s="501"/>
      <c r="AY79" s="501"/>
      <c r="AZ79" s="501"/>
      <c r="BA79" s="501"/>
      <c r="BB79" s="483">
        <v>2287350</v>
      </c>
      <c r="BC79" s="483"/>
      <c r="BD79" s="483">
        <v>2367407.25</v>
      </c>
      <c r="BE79" s="483">
        <v>54735.332437500008</v>
      </c>
      <c r="BF79" s="483">
        <v>1689865.9999999998</v>
      </c>
      <c r="BG79" s="483">
        <v>6556044.4117020015</v>
      </c>
      <c r="BH79" s="483"/>
      <c r="BI79" s="483"/>
      <c r="BJ79" s="483"/>
      <c r="BK79" s="483"/>
      <c r="BL79" s="483"/>
      <c r="BM79" s="483"/>
      <c r="BN79" s="483"/>
      <c r="BO79" s="483"/>
      <c r="BP79" s="483"/>
      <c r="BQ79" s="483"/>
      <c r="BR79" s="483">
        <v>28204402.9941395</v>
      </c>
      <c r="BS79" s="484">
        <f t="shared" si="2"/>
        <v>15248999.999999996</v>
      </c>
      <c r="BT79" s="485">
        <f t="shared" si="14"/>
        <v>0</v>
      </c>
      <c r="BU79" s="485">
        <f t="shared" si="14"/>
        <v>0</v>
      </c>
      <c r="BV79" s="485">
        <f t="shared" si="14"/>
        <v>1.9988195947275238E-2</v>
      </c>
      <c r="BW79" s="485">
        <f t="shared" si="14"/>
        <v>0</v>
      </c>
      <c r="BX79" s="485">
        <f t="shared" si="14"/>
        <v>0</v>
      </c>
      <c r="BY79" s="485">
        <f t="shared" si="14"/>
        <v>0</v>
      </c>
      <c r="BZ79" s="485">
        <f t="shared" si="14"/>
        <v>0</v>
      </c>
      <c r="CA79" s="485">
        <f t="shared" si="14"/>
        <v>0</v>
      </c>
      <c r="CB79" s="485">
        <f t="shared" si="14"/>
        <v>0</v>
      </c>
      <c r="CC79" s="485">
        <f t="shared" si="14"/>
        <v>0</v>
      </c>
      <c r="CD79" s="485">
        <f t="shared" si="15"/>
        <v>0</v>
      </c>
      <c r="CE79" s="485">
        <f t="shared" si="15"/>
        <v>0</v>
      </c>
      <c r="CF79" s="485">
        <f t="shared" si="15"/>
        <v>0</v>
      </c>
      <c r="CG79" s="485">
        <f t="shared" si="15"/>
        <v>0</v>
      </c>
      <c r="CH79" s="485">
        <f t="shared" si="15"/>
        <v>0.98001180405272481</v>
      </c>
      <c r="CI79" s="485">
        <f t="shared" si="15"/>
        <v>0</v>
      </c>
      <c r="CJ79" s="485">
        <f t="shared" si="15"/>
        <v>0</v>
      </c>
      <c r="CK79" s="485">
        <f t="shared" si="15"/>
        <v>0</v>
      </c>
      <c r="CL79" s="485">
        <f t="shared" si="15"/>
        <v>0</v>
      </c>
      <c r="CM79" s="486">
        <f t="shared" si="3"/>
        <v>1</v>
      </c>
    </row>
    <row r="80" spans="1:91" s="487" customFormat="1" ht="25.5" x14ac:dyDescent="0.25">
      <c r="A80" s="497" t="s">
        <v>493</v>
      </c>
      <c r="B80" s="498" t="s">
        <v>2880</v>
      </c>
      <c r="C80" s="497" t="s">
        <v>730</v>
      </c>
      <c r="D80" s="498"/>
      <c r="E80" s="497" t="s">
        <v>655</v>
      </c>
      <c r="F80" s="498"/>
      <c r="G80" s="497"/>
      <c r="H80" s="497" t="s">
        <v>654</v>
      </c>
      <c r="I80" s="497" t="s">
        <v>647</v>
      </c>
      <c r="J80" s="497" t="s">
        <v>641</v>
      </c>
      <c r="K80" s="497" t="s">
        <v>649</v>
      </c>
      <c r="L80" s="497" t="s">
        <v>40</v>
      </c>
      <c r="M80" s="497" t="s">
        <v>653</v>
      </c>
      <c r="N80" s="497" t="s">
        <v>680</v>
      </c>
      <c r="O80" s="497"/>
      <c r="P80" s="497" t="s">
        <v>643</v>
      </c>
      <c r="Q80" s="497" t="s">
        <v>642</v>
      </c>
      <c r="R80" s="497" t="s">
        <v>652</v>
      </c>
      <c r="S80" s="497" t="s">
        <v>649</v>
      </c>
      <c r="T80" s="497"/>
      <c r="U80" s="497" t="s">
        <v>689</v>
      </c>
      <c r="V80" s="497" t="s">
        <v>641</v>
      </c>
      <c r="W80" s="497" t="s">
        <v>729</v>
      </c>
      <c r="X80" s="499">
        <v>43282</v>
      </c>
      <c r="Y80" s="499">
        <v>45107</v>
      </c>
      <c r="Z80" s="500">
        <v>2023</v>
      </c>
      <c r="AA80" s="497" t="s">
        <v>663</v>
      </c>
      <c r="AB80" s="497"/>
      <c r="AC80" s="497" t="s">
        <v>663</v>
      </c>
      <c r="AD80" s="501"/>
      <c r="AE80" s="501"/>
      <c r="AF80" s="501"/>
      <c r="AG80" s="501">
        <v>1998570.2832779991</v>
      </c>
      <c r="AH80" s="501"/>
      <c r="AI80" s="501">
        <v>141224.82639989498</v>
      </c>
      <c r="AJ80" s="501"/>
      <c r="AK80" s="501"/>
      <c r="AL80" s="501">
        <v>82000</v>
      </c>
      <c r="AM80" s="501"/>
      <c r="AN80" s="501"/>
      <c r="AO80" s="501">
        <v>0</v>
      </c>
      <c r="AP80" s="501"/>
      <c r="AQ80" s="501"/>
      <c r="AR80" s="501"/>
      <c r="AS80" s="501"/>
      <c r="AT80" s="501"/>
      <c r="AU80" s="501"/>
      <c r="AV80" s="501"/>
      <c r="AW80" s="501"/>
      <c r="AX80" s="501"/>
      <c r="AY80" s="501"/>
      <c r="AZ80" s="501"/>
      <c r="BA80" s="501"/>
      <c r="BB80" s="483">
        <v>165841.77167668423</v>
      </c>
      <c r="BC80" s="483">
        <v>110561.18111778949</v>
      </c>
      <c r="BD80" s="483">
        <v>186571.9931362698</v>
      </c>
      <c r="BE80" s="483">
        <v>6811.1176529237573</v>
      </c>
      <c r="BF80" s="483">
        <v>64735.023617796993</v>
      </c>
      <c r="BG80" s="483">
        <v>771738.61002811929</v>
      </c>
      <c r="BH80" s="483"/>
      <c r="BI80" s="483"/>
      <c r="BJ80" s="483"/>
      <c r="BK80" s="483"/>
      <c r="BL80" s="483"/>
      <c r="BM80" s="483"/>
      <c r="BN80" s="483"/>
      <c r="BO80" s="483">
        <v>1000000</v>
      </c>
      <c r="BP80" s="483"/>
      <c r="BQ80" s="483"/>
      <c r="BR80" s="483">
        <v>4528054.8069074769</v>
      </c>
      <c r="BS80" s="484">
        <f t="shared" si="2"/>
        <v>2221795.109677894</v>
      </c>
      <c r="BT80" s="485">
        <f t="shared" si="14"/>
        <v>0</v>
      </c>
      <c r="BU80" s="485">
        <f t="shared" si="14"/>
        <v>0</v>
      </c>
      <c r="BV80" s="485">
        <f t="shared" si="14"/>
        <v>0</v>
      </c>
      <c r="BW80" s="485">
        <f t="shared" si="14"/>
        <v>0</v>
      </c>
      <c r="BX80" s="485">
        <f t="shared" si="14"/>
        <v>0</v>
      </c>
      <c r="BY80" s="485">
        <f t="shared" si="14"/>
        <v>0</v>
      </c>
      <c r="BZ80" s="485">
        <f t="shared" si="14"/>
        <v>0</v>
      </c>
      <c r="CA80" s="485">
        <f t="shared" si="14"/>
        <v>0</v>
      </c>
      <c r="CB80" s="485">
        <f t="shared" si="14"/>
        <v>0</v>
      </c>
      <c r="CC80" s="485">
        <f t="shared" si="14"/>
        <v>0.89952951762853728</v>
      </c>
      <c r="CD80" s="485">
        <f t="shared" si="15"/>
        <v>0</v>
      </c>
      <c r="CE80" s="485">
        <f t="shared" si="15"/>
        <v>6.3563388804275991E-2</v>
      </c>
      <c r="CF80" s="485">
        <f t="shared" si="15"/>
        <v>0</v>
      </c>
      <c r="CG80" s="485">
        <f t="shared" si="15"/>
        <v>0</v>
      </c>
      <c r="CH80" s="485">
        <f t="shared" si="15"/>
        <v>3.6907093567186758E-2</v>
      </c>
      <c r="CI80" s="485">
        <f t="shared" si="15"/>
        <v>0</v>
      </c>
      <c r="CJ80" s="485">
        <f t="shared" si="15"/>
        <v>0</v>
      </c>
      <c r="CK80" s="485">
        <f t="shared" si="15"/>
        <v>0</v>
      </c>
      <c r="CL80" s="485">
        <f t="shared" si="15"/>
        <v>0</v>
      </c>
      <c r="CM80" s="486">
        <f t="shared" si="3"/>
        <v>1</v>
      </c>
    </row>
    <row r="81" spans="1:91" s="487" customFormat="1" ht="25.5" x14ac:dyDescent="0.25">
      <c r="A81" s="497" t="s">
        <v>495</v>
      </c>
      <c r="B81" s="498" t="s">
        <v>2881</v>
      </c>
      <c r="C81" s="497" t="s">
        <v>2491</v>
      </c>
      <c r="D81" s="498"/>
      <c r="E81" s="497"/>
      <c r="F81" s="498"/>
      <c r="G81" s="497"/>
      <c r="H81" s="497" t="s">
        <v>654</v>
      </c>
      <c r="I81" s="497" t="s">
        <v>647</v>
      </c>
      <c r="J81" s="497" t="s">
        <v>641</v>
      </c>
      <c r="K81" s="497" t="s">
        <v>649</v>
      </c>
      <c r="L81" s="497" t="s">
        <v>40</v>
      </c>
      <c r="M81" s="497" t="s">
        <v>653</v>
      </c>
      <c r="N81" s="497" t="s">
        <v>680</v>
      </c>
      <c r="O81" s="497"/>
      <c r="P81" s="497" t="s">
        <v>643</v>
      </c>
      <c r="Q81" s="497" t="s">
        <v>656</v>
      </c>
      <c r="R81" s="497" t="s">
        <v>652</v>
      </c>
      <c r="S81" s="497" t="s">
        <v>649</v>
      </c>
      <c r="T81" s="497"/>
      <c r="U81" s="497" t="s">
        <v>689</v>
      </c>
      <c r="V81" s="497" t="s">
        <v>641</v>
      </c>
      <c r="W81" s="497" t="s">
        <v>694</v>
      </c>
      <c r="X81" s="499">
        <v>43282</v>
      </c>
      <c r="Y81" s="499">
        <v>45107</v>
      </c>
      <c r="Z81" s="500">
        <v>2023</v>
      </c>
      <c r="AA81" s="497" t="s">
        <v>663</v>
      </c>
      <c r="AB81" s="497"/>
      <c r="AC81" s="497" t="s">
        <v>663</v>
      </c>
      <c r="AD81" s="501"/>
      <c r="AE81" s="501"/>
      <c r="AF81" s="501"/>
      <c r="AG81" s="501">
        <v>2749405.537</v>
      </c>
      <c r="AH81" s="501"/>
      <c r="AI81" s="501">
        <v>69144.603199998994</v>
      </c>
      <c r="AJ81" s="501"/>
      <c r="AK81" s="501"/>
      <c r="AL81" s="501">
        <v>240000.00000000003</v>
      </c>
      <c r="AM81" s="501"/>
      <c r="AN81" s="501"/>
      <c r="AO81" s="501"/>
      <c r="AP81" s="501"/>
      <c r="AQ81" s="501"/>
      <c r="AR81" s="501"/>
      <c r="AS81" s="501"/>
      <c r="AT81" s="501"/>
      <c r="AU81" s="501"/>
      <c r="AV81" s="501"/>
      <c r="AW81" s="501"/>
      <c r="AX81" s="501"/>
      <c r="AY81" s="501"/>
      <c r="AZ81" s="501"/>
      <c r="BA81" s="501"/>
      <c r="BB81" s="483">
        <v>156914.26052999985</v>
      </c>
      <c r="BC81" s="483">
        <v>104609.50701999992</v>
      </c>
      <c r="BD81" s="483">
        <v>176528.54309624986</v>
      </c>
      <c r="BE81" s="483">
        <v>9615.6567398271854</v>
      </c>
      <c r="BF81" s="483">
        <v>13250.014289999999</v>
      </c>
      <c r="BG81" s="483">
        <v>1065844.7486779841</v>
      </c>
      <c r="BH81" s="483"/>
      <c r="BI81" s="483"/>
      <c r="BJ81" s="483"/>
      <c r="BK81" s="483"/>
      <c r="BL81" s="483"/>
      <c r="BM81" s="483"/>
      <c r="BN81" s="483"/>
      <c r="BO81" s="483"/>
      <c r="BP81" s="483"/>
      <c r="BQ81" s="483"/>
      <c r="BR81" s="483">
        <v>4585312.8705540607</v>
      </c>
      <c r="BS81" s="484">
        <f t="shared" si="2"/>
        <v>3058550.1401999989</v>
      </c>
      <c r="BT81" s="485">
        <f t="shared" si="14"/>
        <v>0</v>
      </c>
      <c r="BU81" s="485">
        <f t="shared" si="14"/>
        <v>0</v>
      </c>
      <c r="BV81" s="485">
        <f t="shared" si="14"/>
        <v>0</v>
      </c>
      <c r="BW81" s="485">
        <f t="shared" si="14"/>
        <v>0</v>
      </c>
      <c r="BX81" s="485">
        <f t="shared" si="14"/>
        <v>0</v>
      </c>
      <c r="BY81" s="485">
        <f t="shared" si="14"/>
        <v>0</v>
      </c>
      <c r="BZ81" s="485">
        <f t="shared" si="14"/>
        <v>0</v>
      </c>
      <c r="CA81" s="485">
        <f t="shared" si="14"/>
        <v>0</v>
      </c>
      <c r="CB81" s="485">
        <f t="shared" si="14"/>
        <v>0</v>
      </c>
      <c r="CC81" s="485">
        <f t="shared" si="14"/>
        <v>0.89892446125477488</v>
      </c>
      <c r="CD81" s="485">
        <f t="shared" si="15"/>
        <v>0</v>
      </c>
      <c r="CE81" s="485">
        <f t="shared" si="15"/>
        <v>2.2606986980922152E-2</v>
      </c>
      <c r="CF81" s="485">
        <f t="shared" si="15"/>
        <v>0</v>
      </c>
      <c r="CG81" s="485">
        <f t="shared" si="15"/>
        <v>0</v>
      </c>
      <c r="CH81" s="485">
        <f t="shared" si="15"/>
        <v>7.8468551764303077E-2</v>
      </c>
      <c r="CI81" s="485">
        <f t="shared" si="15"/>
        <v>0</v>
      </c>
      <c r="CJ81" s="485">
        <f t="shared" si="15"/>
        <v>0</v>
      </c>
      <c r="CK81" s="485">
        <f t="shared" si="15"/>
        <v>0</v>
      </c>
      <c r="CL81" s="485">
        <f t="shared" si="15"/>
        <v>0</v>
      </c>
      <c r="CM81" s="486">
        <f t="shared" si="3"/>
        <v>1</v>
      </c>
    </row>
    <row r="82" spans="1:91" s="487" customFormat="1" ht="25.5" x14ac:dyDescent="0.25">
      <c r="A82" s="497" t="s">
        <v>497</v>
      </c>
      <c r="B82" s="498" t="s">
        <v>2882</v>
      </c>
      <c r="C82" s="497" t="s">
        <v>2492</v>
      </c>
      <c r="D82" s="498"/>
      <c r="E82" s="497"/>
      <c r="F82" s="498"/>
      <c r="G82" s="497"/>
      <c r="H82" s="497" t="s">
        <v>654</v>
      </c>
      <c r="I82" s="497" t="s">
        <v>647</v>
      </c>
      <c r="J82" s="497" t="s">
        <v>641</v>
      </c>
      <c r="K82" s="497" t="s">
        <v>649</v>
      </c>
      <c r="L82" s="497" t="s">
        <v>40</v>
      </c>
      <c r="M82" s="497" t="s">
        <v>653</v>
      </c>
      <c r="N82" s="497" t="s">
        <v>680</v>
      </c>
      <c r="O82" s="497"/>
      <c r="P82" s="497" t="s">
        <v>643</v>
      </c>
      <c r="Q82" s="497" t="s">
        <v>642</v>
      </c>
      <c r="R82" s="497" t="s">
        <v>652</v>
      </c>
      <c r="S82" s="497" t="s">
        <v>649</v>
      </c>
      <c r="T82" s="497"/>
      <c r="U82" s="497" t="s">
        <v>689</v>
      </c>
      <c r="V82" s="497" t="s">
        <v>641</v>
      </c>
      <c r="W82" s="497" t="s">
        <v>766</v>
      </c>
      <c r="X82" s="499">
        <v>43282</v>
      </c>
      <c r="Y82" s="499">
        <v>45107</v>
      </c>
      <c r="Z82" s="500">
        <v>2023</v>
      </c>
      <c r="AA82" s="497" t="s">
        <v>663</v>
      </c>
      <c r="AB82" s="497"/>
      <c r="AC82" s="497" t="s">
        <v>663</v>
      </c>
      <c r="AD82" s="501"/>
      <c r="AE82" s="501"/>
      <c r="AF82" s="501"/>
      <c r="AG82" s="501">
        <v>6605194.6879999992</v>
      </c>
      <c r="AH82" s="501"/>
      <c r="AI82" s="501">
        <v>252446.06159999999</v>
      </c>
      <c r="AJ82" s="501"/>
      <c r="AK82" s="501"/>
      <c r="AL82" s="501">
        <v>504000.00000000012</v>
      </c>
      <c r="AM82" s="501"/>
      <c r="AN82" s="501"/>
      <c r="AO82" s="501"/>
      <c r="AP82" s="501"/>
      <c r="AQ82" s="501"/>
      <c r="AR82" s="501"/>
      <c r="AS82" s="501"/>
      <c r="AT82" s="501"/>
      <c r="AU82" s="501"/>
      <c r="AV82" s="501"/>
      <c r="AW82" s="501"/>
      <c r="AX82" s="501"/>
      <c r="AY82" s="501"/>
      <c r="AZ82" s="501"/>
      <c r="BA82" s="501"/>
      <c r="BB82" s="483">
        <v>530921.22580000013</v>
      </c>
      <c r="BC82" s="483">
        <v>352987.90664000006</v>
      </c>
      <c r="BD82" s="483">
        <v>591975.11907540017</v>
      </c>
      <c r="BE82" s="483">
        <v>23716.07425306736</v>
      </c>
      <c r="BF82" s="483">
        <v>8636.1950400000005</v>
      </c>
      <c r="BG82" s="483">
        <v>1545482.3063167033</v>
      </c>
      <c r="BH82" s="483"/>
      <c r="BI82" s="483"/>
      <c r="BJ82" s="483"/>
      <c r="BK82" s="483"/>
      <c r="BL82" s="483"/>
      <c r="BM82" s="483"/>
      <c r="BN82" s="483"/>
      <c r="BO82" s="483"/>
      <c r="BP82" s="483"/>
      <c r="BQ82" s="483"/>
      <c r="BR82" s="483">
        <v>10415359.576725168</v>
      </c>
      <c r="BS82" s="484">
        <f t="shared" si="2"/>
        <v>7361640.7495999988</v>
      </c>
      <c r="BT82" s="485">
        <f t="shared" si="14"/>
        <v>0</v>
      </c>
      <c r="BU82" s="485">
        <f t="shared" si="14"/>
        <v>0</v>
      </c>
      <c r="BV82" s="485">
        <f t="shared" si="14"/>
        <v>0</v>
      </c>
      <c r="BW82" s="485">
        <f t="shared" si="14"/>
        <v>0</v>
      </c>
      <c r="BX82" s="485">
        <f t="shared" si="14"/>
        <v>0</v>
      </c>
      <c r="BY82" s="485">
        <f t="shared" si="14"/>
        <v>0</v>
      </c>
      <c r="BZ82" s="485">
        <f t="shared" si="14"/>
        <v>0</v>
      </c>
      <c r="CA82" s="485">
        <f t="shared" si="14"/>
        <v>0</v>
      </c>
      <c r="CB82" s="485">
        <f t="shared" si="14"/>
        <v>0</v>
      </c>
      <c r="CC82" s="485">
        <f t="shared" si="14"/>
        <v>0.89724490948011804</v>
      </c>
      <c r="CD82" s="485">
        <f t="shared" si="15"/>
        <v>0</v>
      </c>
      <c r="CE82" s="485">
        <f t="shared" si="15"/>
        <v>3.4292091965193609E-2</v>
      </c>
      <c r="CF82" s="485">
        <f t="shared" si="15"/>
        <v>0</v>
      </c>
      <c r="CG82" s="485">
        <f t="shared" si="15"/>
        <v>0</v>
      </c>
      <c r="CH82" s="485">
        <f t="shared" si="15"/>
        <v>6.8462998554688417E-2</v>
      </c>
      <c r="CI82" s="485">
        <f t="shared" si="15"/>
        <v>0</v>
      </c>
      <c r="CJ82" s="485">
        <f t="shared" si="15"/>
        <v>0</v>
      </c>
      <c r="CK82" s="485">
        <f t="shared" si="15"/>
        <v>0</v>
      </c>
      <c r="CL82" s="485">
        <f t="shared" si="15"/>
        <v>0</v>
      </c>
      <c r="CM82" s="486">
        <f t="shared" si="3"/>
        <v>1</v>
      </c>
    </row>
    <row r="83" spans="1:91" s="487" customFormat="1" ht="25.5" x14ac:dyDescent="0.25">
      <c r="A83" s="497" t="s">
        <v>508</v>
      </c>
      <c r="B83" s="498" t="s">
        <v>2885</v>
      </c>
      <c r="C83" s="497" t="s">
        <v>727</v>
      </c>
      <c r="D83" s="498"/>
      <c r="E83" s="497" t="s">
        <v>726</v>
      </c>
      <c r="F83" s="498"/>
      <c r="G83" s="497"/>
      <c r="H83" s="497" t="s">
        <v>654</v>
      </c>
      <c r="I83" s="497" t="s">
        <v>647</v>
      </c>
      <c r="J83" s="497" t="s">
        <v>641</v>
      </c>
      <c r="K83" s="497" t="s">
        <v>649</v>
      </c>
      <c r="L83" s="497" t="s">
        <v>54</v>
      </c>
      <c r="M83" s="497" t="s">
        <v>653</v>
      </c>
      <c r="N83" s="497" t="s">
        <v>645</v>
      </c>
      <c r="O83" s="497"/>
      <c r="P83" s="497"/>
      <c r="Q83" s="497" t="s">
        <v>656</v>
      </c>
      <c r="R83" s="497" t="s">
        <v>652</v>
      </c>
      <c r="S83" s="497" t="s">
        <v>649</v>
      </c>
      <c r="T83" s="497"/>
      <c r="U83" s="497"/>
      <c r="V83" s="497" t="s">
        <v>641</v>
      </c>
      <c r="W83" s="497" t="s">
        <v>694</v>
      </c>
      <c r="X83" s="499">
        <v>43647</v>
      </c>
      <c r="Y83" s="499">
        <v>44400</v>
      </c>
      <c r="Z83" s="500">
        <v>2021</v>
      </c>
      <c r="AA83" s="497"/>
      <c r="AB83" s="497"/>
      <c r="AC83" s="497"/>
      <c r="AD83" s="501"/>
      <c r="AE83" s="501"/>
      <c r="AF83" s="501"/>
      <c r="AG83" s="501">
        <v>435273.24940000009</v>
      </c>
      <c r="AH83" s="501"/>
      <c r="AI83" s="501">
        <v>71774.999992790938</v>
      </c>
      <c r="AJ83" s="501"/>
      <c r="AK83" s="501"/>
      <c r="AL83" s="501">
        <v>311800.00500157085</v>
      </c>
      <c r="AM83" s="501"/>
      <c r="AN83" s="501"/>
      <c r="AO83" s="501">
        <v>50000.000000000022</v>
      </c>
      <c r="AP83" s="501"/>
      <c r="AQ83" s="501"/>
      <c r="AR83" s="501"/>
      <c r="AS83" s="501"/>
      <c r="AT83" s="501"/>
      <c r="AU83" s="501"/>
      <c r="AV83" s="501"/>
      <c r="AW83" s="501"/>
      <c r="AX83" s="501"/>
      <c r="AY83" s="501"/>
      <c r="AZ83" s="501"/>
      <c r="BA83" s="501"/>
      <c r="BB83" s="483">
        <v>86742.27974871351</v>
      </c>
      <c r="BC83" s="483">
        <v>57828.18649914235</v>
      </c>
      <c r="BD83" s="483">
        <v>97585.064717302754</v>
      </c>
      <c r="BE83" s="483">
        <v>2904.0104097386793</v>
      </c>
      <c r="BF83" s="483">
        <v>64828.186499436204</v>
      </c>
      <c r="BG83" s="483">
        <v>348915.89393441699</v>
      </c>
      <c r="BH83" s="483"/>
      <c r="BI83" s="483"/>
      <c r="BJ83" s="483"/>
      <c r="BK83" s="483"/>
      <c r="BL83" s="483"/>
      <c r="BM83" s="483"/>
      <c r="BN83" s="483"/>
      <c r="BO83" s="483"/>
      <c r="BP83" s="483"/>
      <c r="BQ83" s="483"/>
      <c r="BR83" s="483">
        <v>1527651.8762031123</v>
      </c>
      <c r="BS83" s="484">
        <f t="shared" si="2"/>
        <v>868848.25439436187</v>
      </c>
      <c r="BT83" s="485">
        <f t="shared" si="14"/>
        <v>0</v>
      </c>
      <c r="BU83" s="485">
        <f t="shared" si="14"/>
        <v>0</v>
      </c>
      <c r="BV83" s="485">
        <f t="shared" si="14"/>
        <v>0</v>
      </c>
      <c r="BW83" s="485">
        <f t="shared" si="14"/>
        <v>0</v>
      </c>
      <c r="BX83" s="485">
        <f t="shared" si="14"/>
        <v>0</v>
      </c>
      <c r="BY83" s="485">
        <f t="shared" si="14"/>
        <v>0</v>
      </c>
      <c r="BZ83" s="485">
        <f t="shared" si="14"/>
        <v>0</v>
      </c>
      <c r="CA83" s="485">
        <f t="shared" si="14"/>
        <v>0</v>
      </c>
      <c r="CB83" s="485">
        <f t="shared" si="14"/>
        <v>0</v>
      </c>
      <c r="CC83" s="485">
        <f t="shared" si="14"/>
        <v>0.50097729632133636</v>
      </c>
      <c r="CD83" s="485">
        <f t="shared" si="15"/>
        <v>0</v>
      </c>
      <c r="CE83" s="485">
        <f t="shared" si="15"/>
        <v>8.2609362025849176E-2</v>
      </c>
      <c r="CF83" s="485">
        <f t="shared" si="15"/>
        <v>0</v>
      </c>
      <c r="CG83" s="485">
        <f t="shared" si="15"/>
        <v>0</v>
      </c>
      <c r="CH83" s="485">
        <f t="shared" si="15"/>
        <v>0.35886589335316527</v>
      </c>
      <c r="CI83" s="485">
        <f t="shared" si="15"/>
        <v>5.754744829964923E-2</v>
      </c>
      <c r="CJ83" s="485">
        <f t="shared" si="15"/>
        <v>0</v>
      </c>
      <c r="CK83" s="485">
        <f t="shared" si="15"/>
        <v>0</v>
      </c>
      <c r="CL83" s="485">
        <f t="shared" si="15"/>
        <v>0</v>
      </c>
      <c r="CM83" s="486">
        <f t="shared" si="3"/>
        <v>1</v>
      </c>
    </row>
    <row r="84" spans="1:91" s="487" customFormat="1" ht="25.5" x14ac:dyDescent="0.25">
      <c r="A84" s="497" t="s">
        <v>510</v>
      </c>
      <c r="B84" s="498" t="s">
        <v>2887</v>
      </c>
      <c r="C84" s="497" t="s">
        <v>2493</v>
      </c>
      <c r="D84" s="498"/>
      <c r="E84" s="497" t="s">
        <v>655</v>
      </c>
      <c r="F84" s="498"/>
      <c r="G84" s="497"/>
      <c r="H84" s="497" t="s">
        <v>654</v>
      </c>
      <c r="I84" s="497" t="s">
        <v>647</v>
      </c>
      <c r="J84" s="497" t="s">
        <v>641</v>
      </c>
      <c r="K84" s="497" t="s">
        <v>649</v>
      </c>
      <c r="L84" s="497" t="s">
        <v>40</v>
      </c>
      <c r="M84" s="497" t="s">
        <v>653</v>
      </c>
      <c r="N84" s="497" t="s">
        <v>645</v>
      </c>
      <c r="O84" s="497"/>
      <c r="P84" s="497"/>
      <c r="Q84" s="497" t="s">
        <v>650</v>
      </c>
      <c r="R84" s="497" t="s">
        <v>652</v>
      </c>
      <c r="S84" s="497" t="s">
        <v>649</v>
      </c>
      <c r="T84" s="497"/>
      <c r="U84" s="497"/>
      <c r="V84" s="497" t="s">
        <v>641</v>
      </c>
      <c r="W84" s="497" t="s">
        <v>640</v>
      </c>
      <c r="X84" s="499">
        <v>43282</v>
      </c>
      <c r="Y84" s="499">
        <v>44736</v>
      </c>
      <c r="Z84" s="500">
        <v>2022</v>
      </c>
      <c r="AA84" s="497"/>
      <c r="AB84" s="497"/>
      <c r="AC84" s="497"/>
      <c r="AD84" s="501"/>
      <c r="AE84" s="501"/>
      <c r="AF84" s="501"/>
      <c r="AG84" s="501">
        <v>86399.999999999854</v>
      </c>
      <c r="AH84" s="501"/>
      <c r="AI84" s="501"/>
      <c r="AJ84" s="501"/>
      <c r="AK84" s="501"/>
      <c r="AL84" s="501">
        <v>456144.99999999919</v>
      </c>
      <c r="AM84" s="501"/>
      <c r="AN84" s="501"/>
      <c r="AO84" s="501"/>
      <c r="AP84" s="501"/>
      <c r="AQ84" s="501"/>
      <c r="AR84" s="501"/>
      <c r="AS84" s="501"/>
      <c r="AT84" s="501"/>
      <c r="AU84" s="501"/>
      <c r="AV84" s="501"/>
      <c r="AW84" s="501"/>
      <c r="AX84" s="501"/>
      <c r="AY84" s="501"/>
      <c r="AZ84" s="501"/>
      <c r="BA84" s="501"/>
      <c r="BB84" s="483">
        <v>87131.749999999854</v>
      </c>
      <c r="BC84" s="483">
        <v>54754.499999999913</v>
      </c>
      <c r="BD84" s="483">
        <v>92398.21874999984</v>
      </c>
      <c r="BE84" s="483">
        <v>2136.2810390624963</v>
      </c>
      <c r="BF84" s="483">
        <v>0</v>
      </c>
      <c r="BG84" s="483">
        <v>235903.98465382482</v>
      </c>
      <c r="BH84" s="483"/>
      <c r="BI84" s="483"/>
      <c r="BJ84" s="483"/>
      <c r="BK84" s="483"/>
      <c r="BL84" s="483"/>
      <c r="BM84" s="483"/>
      <c r="BN84" s="483"/>
      <c r="BO84" s="483"/>
      <c r="BP84" s="483"/>
      <c r="BQ84" s="483"/>
      <c r="BR84" s="483">
        <v>1014869.7344428857</v>
      </c>
      <c r="BS84" s="484">
        <f t="shared" si="2"/>
        <v>542544.99999999907</v>
      </c>
      <c r="BT84" s="485">
        <f t="shared" si="14"/>
        <v>0</v>
      </c>
      <c r="BU84" s="485">
        <f t="shared" si="14"/>
        <v>0</v>
      </c>
      <c r="BV84" s="485">
        <f t="shared" si="14"/>
        <v>0</v>
      </c>
      <c r="BW84" s="485">
        <f t="shared" si="14"/>
        <v>0</v>
      </c>
      <c r="BX84" s="485">
        <f t="shared" si="14"/>
        <v>0</v>
      </c>
      <c r="BY84" s="485">
        <f t="shared" si="14"/>
        <v>0</v>
      </c>
      <c r="BZ84" s="485">
        <f t="shared" si="14"/>
        <v>0</v>
      </c>
      <c r="CA84" s="485">
        <f t="shared" si="14"/>
        <v>0</v>
      </c>
      <c r="CB84" s="485">
        <f t="shared" si="14"/>
        <v>0</v>
      </c>
      <c r="CC84" s="485">
        <f t="shared" si="14"/>
        <v>0.15924946317816957</v>
      </c>
      <c r="CD84" s="485">
        <f t="shared" si="15"/>
        <v>0</v>
      </c>
      <c r="CE84" s="485">
        <f t="shared" si="15"/>
        <v>0</v>
      </c>
      <c r="CF84" s="485">
        <f t="shared" si="15"/>
        <v>0</v>
      </c>
      <c r="CG84" s="485">
        <f t="shared" si="15"/>
        <v>0</v>
      </c>
      <c r="CH84" s="485">
        <f t="shared" si="15"/>
        <v>0.84075053682183043</v>
      </c>
      <c r="CI84" s="485">
        <f t="shared" si="15"/>
        <v>0</v>
      </c>
      <c r="CJ84" s="485">
        <f t="shared" si="15"/>
        <v>0</v>
      </c>
      <c r="CK84" s="485">
        <f t="shared" si="15"/>
        <v>0</v>
      </c>
      <c r="CL84" s="485">
        <f t="shared" si="15"/>
        <v>0</v>
      </c>
      <c r="CM84" s="486">
        <f t="shared" si="3"/>
        <v>1</v>
      </c>
    </row>
    <row r="85" spans="1:91" s="487" customFormat="1" ht="25.5" x14ac:dyDescent="0.25">
      <c r="A85" s="497" t="s">
        <v>512</v>
      </c>
      <c r="B85" s="498" t="s">
        <v>2888</v>
      </c>
      <c r="C85" s="497" t="s">
        <v>2684</v>
      </c>
      <c r="D85" s="498"/>
      <c r="E85" s="497"/>
      <c r="F85" s="498"/>
      <c r="G85" s="497"/>
      <c r="H85" s="497" t="s">
        <v>654</v>
      </c>
      <c r="I85" s="497" t="s">
        <v>647</v>
      </c>
      <c r="J85" s="497" t="s">
        <v>641</v>
      </c>
      <c r="K85" s="497" t="s">
        <v>649</v>
      </c>
      <c r="L85" s="497" t="s">
        <v>40</v>
      </c>
      <c r="M85" s="497" t="s">
        <v>653</v>
      </c>
      <c r="N85" s="497" t="s">
        <v>645</v>
      </c>
      <c r="O85" s="497"/>
      <c r="P85" s="497" t="s">
        <v>643</v>
      </c>
      <c r="Q85" s="497" t="s">
        <v>656</v>
      </c>
      <c r="R85" s="497" t="s">
        <v>652</v>
      </c>
      <c r="S85" s="497" t="s">
        <v>649</v>
      </c>
      <c r="T85" s="497"/>
      <c r="U85" s="497" t="s">
        <v>689</v>
      </c>
      <c r="V85" s="497" t="s">
        <v>641</v>
      </c>
      <c r="W85" s="497" t="s">
        <v>684</v>
      </c>
      <c r="X85" s="499">
        <v>43160</v>
      </c>
      <c r="Y85" s="499">
        <v>44427</v>
      </c>
      <c r="Z85" s="500">
        <v>2022</v>
      </c>
      <c r="AA85" s="497" t="s">
        <v>663</v>
      </c>
      <c r="AB85" s="497"/>
      <c r="AC85" s="497" t="s">
        <v>663</v>
      </c>
      <c r="AD85" s="501"/>
      <c r="AE85" s="501"/>
      <c r="AF85" s="501"/>
      <c r="AG85" s="501">
        <v>1300078.9100000001</v>
      </c>
      <c r="AH85" s="501"/>
      <c r="AI85" s="501">
        <v>3453678.40798363</v>
      </c>
      <c r="AJ85" s="501">
        <v>106800.00001236008</v>
      </c>
      <c r="AK85" s="501"/>
      <c r="AL85" s="501">
        <v>165999.99999999572</v>
      </c>
      <c r="AM85" s="501"/>
      <c r="AN85" s="501"/>
      <c r="AO85" s="501"/>
      <c r="AP85" s="501"/>
      <c r="AQ85" s="501"/>
      <c r="AR85" s="501"/>
      <c r="AS85" s="501"/>
      <c r="AT85" s="501"/>
      <c r="AU85" s="501"/>
      <c r="AV85" s="501"/>
      <c r="AW85" s="501"/>
      <c r="AX85" s="501"/>
      <c r="AY85" s="501"/>
      <c r="AZ85" s="501"/>
      <c r="BA85" s="501"/>
      <c r="BB85" s="483">
        <v>690983.59769864765</v>
      </c>
      <c r="BC85" s="483">
        <v>460655.73179909855</v>
      </c>
      <c r="BD85" s="483"/>
      <c r="BE85" s="483">
        <v>16165.040780600888</v>
      </c>
      <c r="BF85" s="483">
        <v>676957.69959987968</v>
      </c>
      <c r="BG85" s="483">
        <v>2026416.3175574387</v>
      </c>
      <c r="BH85" s="483"/>
      <c r="BI85" s="483"/>
      <c r="BJ85" s="483"/>
      <c r="BK85" s="483"/>
      <c r="BL85" s="483"/>
      <c r="BM85" s="483"/>
      <c r="BN85" s="483"/>
      <c r="BO85" s="483"/>
      <c r="BP85" s="483"/>
      <c r="BQ85" s="483"/>
      <c r="BR85" s="483">
        <v>8897735.7054316513</v>
      </c>
      <c r="BS85" s="484">
        <f t="shared" si="2"/>
        <v>5026557.317995986</v>
      </c>
      <c r="BT85" s="485">
        <f t="shared" ref="BT85:CC94" si="16">SUMIFS($AD85:$BA85,$AD$11:$BA$11,BT$21)/$BS85</f>
        <v>0</v>
      </c>
      <c r="BU85" s="485">
        <f t="shared" si="16"/>
        <v>0</v>
      </c>
      <c r="BV85" s="485">
        <f t="shared" si="16"/>
        <v>0</v>
      </c>
      <c r="BW85" s="485">
        <f t="shared" si="16"/>
        <v>0</v>
      </c>
      <c r="BX85" s="485">
        <f t="shared" si="16"/>
        <v>0</v>
      </c>
      <c r="BY85" s="485">
        <f t="shared" si="16"/>
        <v>0</v>
      </c>
      <c r="BZ85" s="485">
        <f t="shared" si="16"/>
        <v>0</v>
      </c>
      <c r="CA85" s="485">
        <f t="shared" si="16"/>
        <v>0</v>
      </c>
      <c r="CB85" s="485">
        <f t="shared" si="16"/>
        <v>0</v>
      </c>
      <c r="CC85" s="485">
        <f t="shared" si="16"/>
        <v>0.25864201435552758</v>
      </c>
      <c r="CD85" s="485">
        <f t="shared" ref="CD85:CL94" si="17">SUMIFS($AD85:$BA85,$AD$11:$BA$11,CD$21)/$BS85</f>
        <v>2.1247146556947979E-2</v>
      </c>
      <c r="CE85" s="485">
        <f t="shared" si="17"/>
        <v>0.68708624800095996</v>
      </c>
      <c r="CF85" s="485">
        <f t="shared" si="17"/>
        <v>0</v>
      </c>
      <c r="CG85" s="485">
        <f t="shared" si="17"/>
        <v>0</v>
      </c>
      <c r="CH85" s="485">
        <f t="shared" si="17"/>
        <v>3.3024591086564484E-2</v>
      </c>
      <c r="CI85" s="485">
        <f t="shared" si="17"/>
        <v>0</v>
      </c>
      <c r="CJ85" s="485">
        <f t="shared" si="17"/>
        <v>0</v>
      </c>
      <c r="CK85" s="485">
        <f t="shared" si="17"/>
        <v>0</v>
      </c>
      <c r="CL85" s="485">
        <f t="shared" si="17"/>
        <v>0</v>
      </c>
      <c r="CM85" s="486">
        <f t="shared" si="3"/>
        <v>1</v>
      </c>
    </row>
    <row r="86" spans="1:91" s="487" customFormat="1" ht="25.5" x14ac:dyDescent="0.25">
      <c r="A86" s="497" t="s">
        <v>514</v>
      </c>
      <c r="B86" s="498" t="s">
        <v>2889</v>
      </c>
      <c r="C86" s="497" t="s">
        <v>2494</v>
      </c>
      <c r="D86" s="498"/>
      <c r="E86" s="497"/>
      <c r="F86" s="498"/>
      <c r="G86" s="497"/>
      <c r="H86" s="497" t="s">
        <v>654</v>
      </c>
      <c r="I86" s="497" t="s">
        <v>647</v>
      </c>
      <c r="J86" s="497" t="s">
        <v>641</v>
      </c>
      <c r="K86" s="497" t="s">
        <v>649</v>
      </c>
      <c r="L86" s="497" t="s">
        <v>40</v>
      </c>
      <c r="M86" s="497" t="s">
        <v>653</v>
      </c>
      <c r="N86" s="497" t="s">
        <v>680</v>
      </c>
      <c r="O86" s="497"/>
      <c r="P86" s="497" t="s">
        <v>643</v>
      </c>
      <c r="Q86" s="497" t="s">
        <v>656</v>
      </c>
      <c r="R86" s="497" t="s">
        <v>652</v>
      </c>
      <c r="S86" s="497" t="s">
        <v>649</v>
      </c>
      <c r="T86" s="497"/>
      <c r="U86" s="497" t="s">
        <v>689</v>
      </c>
      <c r="V86" s="497" t="s">
        <v>641</v>
      </c>
      <c r="W86" s="497" t="s">
        <v>690</v>
      </c>
      <c r="X86" s="499">
        <v>42917</v>
      </c>
      <c r="Y86" s="499">
        <v>44377</v>
      </c>
      <c r="Z86" s="500">
        <v>2022</v>
      </c>
      <c r="AA86" s="497" t="s">
        <v>676</v>
      </c>
      <c r="AB86" s="497"/>
      <c r="AC86" s="497" t="s">
        <v>663</v>
      </c>
      <c r="AD86" s="501"/>
      <c r="AE86" s="501">
        <v>2790000.0000000009</v>
      </c>
      <c r="AF86" s="501"/>
      <c r="AG86" s="501">
        <v>924483.40000000037</v>
      </c>
      <c r="AH86" s="501"/>
      <c r="AI86" s="501">
        <v>129675.00000000009</v>
      </c>
      <c r="AJ86" s="501"/>
      <c r="AK86" s="501"/>
      <c r="AL86" s="501"/>
      <c r="AM86" s="501"/>
      <c r="AN86" s="501"/>
      <c r="AO86" s="501"/>
      <c r="AP86" s="501"/>
      <c r="AQ86" s="501"/>
      <c r="AR86" s="501"/>
      <c r="AS86" s="501"/>
      <c r="AT86" s="501"/>
      <c r="AU86" s="501"/>
      <c r="AV86" s="501"/>
      <c r="AW86" s="501"/>
      <c r="AX86" s="501"/>
      <c r="AY86" s="501"/>
      <c r="AZ86" s="501"/>
      <c r="BA86" s="501"/>
      <c r="BB86" s="483">
        <v>742024.76000000024</v>
      </c>
      <c r="BC86" s="483">
        <v>156189.84000000003</v>
      </c>
      <c r="BD86" s="483">
        <v>263570.3550000001</v>
      </c>
      <c r="BE86" s="483">
        <v>13766.344226250007</v>
      </c>
      <c r="BF86" s="483">
        <v>0</v>
      </c>
      <c r="BG86" s="483">
        <v>1520181.7540419337</v>
      </c>
      <c r="BH86" s="483"/>
      <c r="BI86" s="483"/>
      <c r="BJ86" s="483"/>
      <c r="BK86" s="483"/>
      <c r="BL86" s="483"/>
      <c r="BM86" s="483"/>
      <c r="BN86" s="483"/>
      <c r="BO86" s="483"/>
      <c r="BP86" s="483"/>
      <c r="BQ86" s="483"/>
      <c r="BR86" s="483">
        <v>6539891.4532681843</v>
      </c>
      <c r="BS86" s="484">
        <f t="shared" si="2"/>
        <v>3844158.4000000013</v>
      </c>
      <c r="BT86" s="485">
        <f t="shared" si="16"/>
        <v>0</v>
      </c>
      <c r="BU86" s="485">
        <f t="shared" si="16"/>
        <v>0</v>
      </c>
      <c r="BV86" s="485">
        <f t="shared" si="16"/>
        <v>0</v>
      </c>
      <c r="BW86" s="485">
        <f t="shared" si="16"/>
        <v>0</v>
      </c>
      <c r="BX86" s="485">
        <f t="shared" si="16"/>
        <v>0</v>
      </c>
      <c r="BY86" s="485">
        <f t="shared" si="16"/>
        <v>0</v>
      </c>
      <c r="BZ86" s="485">
        <f t="shared" si="16"/>
        <v>0</v>
      </c>
      <c r="CA86" s="485">
        <f t="shared" si="16"/>
        <v>0</v>
      </c>
      <c r="CB86" s="485">
        <f t="shared" si="16"/>
        <v>0</v>
      </c>
      <c r="CC86" s="485">
        <f t="shared" si="16"/>
        <v>0.96626699877923861</v>
      </c>
      <c r="CD86" s="485">
        <f t="shared" si="17"/>
        <v>0</v>
      </c>
      <c r="CE86" s="485">
        <f t="shared" si="17"/>
        <v>3.3733001220761359E-2</v>
      </c>
      <c r="CF86" s="485">
        <f t="shared" si="17"/>
        <v>0</v>
      </c>
      <c r="CG86" s="485">
        <f t="shared" si="17"/>
        <v>0</v>
      </c>
      <c r="CH86" s="485">
        <f t="shared" si="17"/>
        <v>0</v>
      </c>
      <c r="CI86" s="485">
        <f t="shared" si="17"/>
        <v>0</v>
      </c>
      <c r="CJ86" s="485">
        <f t="shared" si="17"/>
        <v>0</v>
      </c>
      <c r="CK86" s="485">
        <f t="shared" si="17"/>
        <v>0</v>
      </c>
      <c r="CL86" s="485">
        <f t="shared" si="17"/>
        <v>0</v>
      </c>
      <c r="CM86" s="486">
        <f t="shared" si="3"/>
        <v>1</v>
      </c>
    </row>
    <row r="87" spans="1:91" s="487" customFormat="1" ht="25.5" x14ac:dyDescent="0.25">
      <c r="A87" s="497" t="s">
        <v>518</v>
      </c>
      <c r="B87" s="498" t="s">
        <v>2890</v>
      </c>
      <c r="C87" s="497" t="s">
        <v>2685</v>
      </c>
      <c r="D87" s="498"/>
      <c r="E87" s="497"/>
      <c r="F87" s="498"/>
      <c r="G87" s="497" t="s">
        <v>681</v>
      </c>
      <c r="H87" s="497" t="s">
        <v>654</v>
      </c>
      <c r="I87" s="497" t="s">
        <v>647</v>
      </c>
      <c r="J87" s="497" t="s">
        <v>641</v>
      </c>
      <c r="K87" s="497" t="s">
        <v>649</v>
      </c>
      <c r="L87" s="497" t="s">
        <v>41</v>
      </c>
      <c r="M87" s="497" t="s">
        <v>653</v>
      </c>
      <c r="N87" s="497" t="s">
        <v>668</v>
      </c>
      <c r="O87" s="497"/>
      <c r="P87" s="497"/>
      <c r="Q87" s="497" t="s">
        <v>656</v>
      </c>
      <c r="R87" s="497" t="s">
        <v>652</v>
      </c>
      <c r="S87" s="497"/>
      <c r="T87" s="497"/>
      <c r="U87" s="497"/>
      <c r="V87" s="497" t="s">
        <v>641</v>
      </c>
      <c r="W87" s="497" t="s">
        <v>2443</v>
      </c>
      <c r="X87" s="499">
        <v>42917</v>
      </c>
      <c r="Y87" s="499">
        <v>44012</v>
      </c>
      <c r="Z87" s="500">
        <v>2020</v>
      </c>
      <c r="AA87" s="497"/>
      <c r="AB87" s="497"/>
      <c r="AC87" s="497"/>
      <c r="AD87" s="501"/>
      <c r="AE87" s="501">
        <v>787000.00000038627</v>
      </c>
      <c r="AF87" s="501"/>
      <c r="AG87" s="501">
        <v>306523.18977849977</v>
      </c>
      <c r="AH87" s="501"/>
      <c r="AI87" s="501">
        <v>189602.99987580485</v>
      </c>
      <c r="AJ87" s="501"/>
      <c r="AK87" s="501"/>
      <c r="AL87" s="501">
        <v>282700.00502264901</v>
      </c>
      <c r="AM87" s="501"/>
      <c r="AN87" s="501"/>
      <c r="AO87" s="501"/>
      <c r="AP87" s="501"/>
      <c r="AQ87" s="501"/>
      <c r="AR87" s="501"/>
      <c r="AS87" s="501"/>
      <c r="AT87" s="501"/>
      <c r="AU87" s="501"/>
      <c r="AV87" s="501"/>
      <c r="AW87" s="501"/>
      <c r="AX87" s="501"/>
      <c r="AY87" s="501"/>
      <c r="AZ87" s="501"/>
      <c r="BA87" s="501"/>
      <c r="BB87" s="483">
        <v>120643.75420160108</v>
      </c>
      <c r="BC87" s="483">
        <v>80429.169467734057</v>
      </c>
      <c r="BD87" s="483">
        <v>135724.22347680127</v>
      </c>
      <c r="BE87" s="483">
        <v>5149.7141900145616</v>
      </c>
      <c r="BF87" s="483">
        <v>263787.50840320217</v>
      </c>
      <c r="BG87" s="483">
        <v>664946.68724550761</v>
      </c>
      <c r="BH87" s="483"/>
      <c r="BI87" s="483"/>
      <c r="BJ87" s="483"/>
      <c r="BK87" s="483"/>
      <c r="BL87" s="483"/>
      <c r="BM87" s="483"/>
      <c r="BN87" s="483"/>
      <c r="BO87" s="483"/>
      <c r="BP87" s="483">
        <v>19999.999999999982</v>
      </c>
      <c r="BQ87" s="483"/>
      <c r="BR87" s="483">
        <v>2856507.2516621999</v>
      </c>
      <c r="BS87" s="484">
        <f t="shared" si="2"/>
        <v>1565826.1946773399</v>
      </c>
      <c r="BT87" s="485">
        <f t="shared" si="16"/>
        <v>0</v>
      </c>
      <c r="BU87" s="485">
        <f t="shared" si="16"/>
        <v>0</v>
      </c>
      <c r="BV87" s="485">
        <f t="shared" si="16"/>
        <v>0</v>
      </c>
      <c r="BW87" s="485">
        <f t="shared" si="16"/>
        <v>0</v>
      </c>
      <c r="BX87" s="485">
        <f t="shared" si="16"/>
        <v>0</v>
      </c>
      <c r="BY87" s="485">
        <f t="shared" si="16"/>
        <v>0</v>
      </c>
      <c r="BZ87" s="485">
        <f t="shared" si="16"/>
        <v>0</v>
      </c>
      <c r="CA87" s="485">
        <f t="shared" si="16"/>
        <v>0</v>
      </c>
      <c r="CB87" s="485">
        <f t="shared" si="16"/>
        <v>0</v>
      </c>
      <c r="CC87" s="485">
        <f t="shared" si="16"/>
        <v>0.69836818000366996</v>
      </c>
      <c r="CD87" s="485">
        <f t="shared" si="17"/>
        <v>0</v>
      </c>
      <c r="CE87" s="485">
        <f t="shared" si="17"/>
        <v>0.12108815175037685</v>
      </c>
      <c r="CF87" s="485">
        <f t="shared" si="17"/>
        <v>0</v>
      </c>
      <c r="CG87" s="485">
        <f t="shared" si="17"/>
        <v>0</v>
      </c>
      <c r="CH87" s="485">
        <f t="shared" si="17"/>
        <v>0.18054366824595322</v>
      </c>
      <c r="CI87" s="485">
        <f t="shared" si="17"/>
        <v>0</v>
      </c>
      <c r="CJ87" s="485">
        <f t="shared" si="17"/>
        <v>0</v>
      </c>
      <c r="CK87" s="485">
        <f t="shared" si="17"/>
        <v>0</v>
      </c>
      <c r="CL87" s="485">
        <f t="shared" si="17"/>
        <v>0</v>
      </c>
      <c r="CM87" s="486">
        <f t="shared" si="3"/>
        <v>1</v>
      </c>
    </row>
    <row r="88" spans="1:91" s="487" customFormat="1" ht="25.5" x14ac:dyDescent="0.25">
      <c r="A88" s="497" t="s">
        <v>2776</v>
      </c>
      <c r="B88" s="498" t="e">
        <v>#N/A</v>
      </c>
      <c r="C88" s="497" t="s">
        <v>2789</v>
      </c>
      <c r="D88" s="498"/>
      <c r="E88" s="497"/>
      <c r="F88" s="498"/>
      <c r="G88" s="497" t="s">
        <v>648</v>
      </c>
      <c r="H88" s="497" t="s">
        <v>654</v>
      </c>
      <c r="I88" s="497" t="s">
        <v>647</v>
      </c>
      <c r="J88" s="497" t="s">
        <v>641</v>
      </c>
      <c r="K88" s="497" t="s">
        <v>649</v>
      </c>
      <c r="L88" s="497" t="s">
        <v>54</v>
      </c>
      <c r="M88" s="497" t="s">
        <v>653</v>
      </c>
      <c r="N88" s="497" t="s">
        <v>668</v>
      </c>
      <c r="O88" s="497"/>
      <c r="P88" s="497"/>
      <c r="Q88" s="497" t="s">
        <v>650</v>
      </c>
      <c r="R88" s="497" t="s">
        <v>652</v>
      </c>
      <c r="S88" s="497" t="s">
        <v>649</v>
      </c>
      <c r="T88" s="497"/>
      <c r="U88" s="497"/>
      <c r="V88" s="497" t="s">
        <v>641</v>
      </c>
      <c r="W88" s="497" t="s">
        <v>677</v>
      </c>
      <c r="X88" s="499">
        <v>44013</v>
      </c>
      <c r="Y88" s="499">
        <v>45107</v>
      </c>
      <c r="Z88" s="500">
        <v>2023</v>
      </c>
      <c r="AA88" s="497" t="s">
        <v>663</v>
      </c>
      <c r="AB88" s="497"/>
      <c r="AC88" s="497"/>
      <c r="AD88" s="501"/>
      <c r="AE88" s="501"/>
      <c r="AF88" s="501"/>
      <c r="AG88" s="501">
        <v>320213.41600080015</v>
      </c>
      <c r="AH88" s="501"/>
      <c r="AI88" s="501">
        <v>242249.36921473622</v>
      </c>
      <c r="AJ88" s="501"/>
      <c r="AK88" s="501">
        <v>23099.999997000006</v>
      </c>
      <c r="AL88" s="501">
        <v>124300.0049041482</v>
      </c>
      <c r="AM88" s="501"/>
      <c r="AN88" s="501">
        <v>52774.319941250011</v>
      </c>
      <c r="AO88" s="501"/>
      <c r="AP88" s="501"/>
      <c r="AQ88" s="501"/>
      <c r="AR88" s="501"/>
      <c r="AS88" s="501"/>
      <c r="AT88" s="501"/>
      <c r="AU88" s="501"/>
      <c r="AV88" s="501"/>
      <c r="AW88" s="501"/>
      <c r="AX88" s="501"/>
      <c r="AY88" s="501"/>
      <c r="AZ88" s="501"/>
      <c r="BA88" s="501"/>
      <c r="BB88" s="483">
        <v>92094.166508690221</v>
      </c>
      <c r="BC88" s="483">
        <v>61396.111005793478</v>
      </c>
      <c r="BD88" s="483">
        <v>103605.9373222765</v>
      </c>
      <c r="BE88" s="483">
        <v>2804.2666434604116</v>
      </c>
      <c r="BF88" s="483">
        <v>0</v>
      </c>
      <c r="BG88" s="483">
        <v>317494.16541133076</v>
      </c>
      <c r="BH88" s="483"/>
      <c r="BI88" s="483"/>
      <c r="BJ88" s="483"/>
      <c r="BK88" s="483"/>
      <c r="BL88" s="483"/>
      <c r="BM88" s="483"/>
      <c r="BN88" s="483"/>
      <c r="BO88" s="483"/>
      <c r="BP88" s="483"/>
      <c r="BQ88" s="483"/>
      <c r="BR88" s="483">
        <v>1340031.7569494862</v>
      </c>
      <c r="BS88" s="484">
        <f t="shared" ref="BS88:BS151" si="18">SUM(AD88:BA88)</f>
        <v>762637.11005793454</v>
      </c>
      <c r="BT88" s="485">
        <f t="shared" si="16"/>
        <v>0</v>
      </c>
      <c r="BU88" s="485">
        <f t="shared" si="16"/>
        <v>0</v>
      </c>
      <c r="BV88" s="485">
        <f t="shared" si="16"/>
        <v>0</v>
      </c>
      <c r="BW88" s="485">
        <f t="shared" si="16"/>
        <v>0</v>
      </c>
      <c r="BX88" s="485">
        <f t="shared" si="16"/>
        <v>0</v>
      </c>
      <c r="BY88" s="485">
        <f t="shared" si="16"/>
        <v>0</v>
      </c>
      <c r="BZ88" s="485">
        <f t="shared" si="16"/>
        <v>0</v>
      </c>
      <c r="CA88" s="485">
        <f t="shared" si="16"/>
        <v>0</v>
      </c>
      <c r="CB88" s="485">
        <f t="shared" si="16"/>
        <v>0</v>
      </c>
      <c r="CC88" s="485">
        <f t="shared" si="16"/>
        <v>0.41987652027118744</v>
      </c>
      <c r="CD88" s="485">
        <f t="shared" si="17"/>
        <v>0</v>
      </c>
      <c r="CE88" s="485">
        <f t="shared" si="17"/>
        <v>0.31764697261628599</v>
      </c>
      <c r="CF88" s="485">
        <f t="shared" si="17"/>
        <v>3.0289635387983141E-2</v>
      </c>
      <c r="CG88" s="485">
        <f t="shared" si="17"/>
        <v>0</v>
      </c>
      <c r="CH88" s="485">
        <f t="shared" si="17"/>
        <v>0.16298709211082793</v>
      </c>
      <c r="CI88" s="485">
        <f t="shared" si="17"/>
        <v>0</v>
      </c>
      <c r="CJ88" s="485">
        <f t="shared" si="17"/>
        <v>6.9199779613715567E-2</v>
      </c>
      <c r="CK88" s="485">
        <f t="shared" si="17"/>
        <v>0</v>
      </c>
      <c r="CL88" s="485">
        <f t="shared" si="17"/>
        <v>0</v>
      </c>
      <c r="CM88" s="486">
        <f t="shared" ref="CM88:CM151" si="19">SUM(BT88:CL88)</f>
        <v>1</v>
      </c>
    </row>
    <row r="89" spans="1:91" s="487" customFormat="1" ht="25.5" x14ac:dyDescent="0.25">
      <c r="A89" s="497" t="s">
        <v>526</v>
      </c>
      <c r="B89" s="498" t="s">
        <v>2893</v>
      </c>
      <c r="C89" s="497" t="s">
        <v>2686</v>
      </c>
      <c r="D89" s="498"/>
      <c r="E89" s="497" t="s">
        <v>717</v>
      </c>
      <c r="F89" s="498"/>
      <c r="G89" s="497" t="s">
        <v>648</v>
      </c>
      <c r="H89" s="497" t="s">
        <v>654</v>
      </c>
      <c r="I89" s="497" t="s">
        <v>647</v>
      </c>
      <c r="J89" s="497" t="s">
        <v>641</v>
      </c>
      <c r="K89" s="497" t="s">
        <v>649</v>
      </c>
      <c r="L89" s="497" t="s">
        <v>54</v>
      </c>
      <c r="M89" s="497" t="s">
        <v>653</v>
      </c>
      <c r="N89" s="497" t="s">
        <v>680</v>
      </c>
      <c r="O89" s="497"/>
      <c r="P89" s="497" t="s">
        <v>643</v>
      </c>
      <c r="Q89" s="497" t="s">
        <v>642</v>
      </c>
      <c r="R89" s="497" t="s">
        <v>652</v>
      </c>
      <c r="S89" s="497" t="s">
        <v>649</v>
      </c>
      <c r="T89" s="497"/>
      <c r="U89" s="497" t="s">
        <v>689</v>
      </c>
      <c r="V89" s="497" t="s">
        <v>641</v>
      </c>
      <c r="W89" s="497" t="s">
        <v>690</v>
      </c>
      <c r="X89" s="499">
        <v>42795</v>
      </c>
      <c r="Y89" s="499">
        <v>43521</v>
      </c>
      <c r="Z89" s="500">
        <v>2023</v>
      </c>
      <c r="AA89" s="497" t="s">
        <v>663</v>
      </c>
      <c r="AB89" s="497"/>
      <c r="AC89" s="497" t="s">
        <v>663</v>
      </c>
      <c r="AD89" s="501"/>
      <c r="AE89" s="501">
        <v>130004.99999479976</v>
      </c>
      <c r="AF89" s="501">
        <v>1499999.9999999995</v>
      </c>
      <c r="AG89" s="501">
        <v>785152.31969999988</v>
      </c>
      <c r="AH89" s="501"/>
      <c r="AI89" s="501">
        <v>403433.44693406997</v>
      </c>
      <c r="AJ89" s="501"/>
      <c r="AK89" s="501"/>
      <c r="AL89" s="501">
        <v>151800.00495264813</v>
      </c>
      <c r="AM89" s="501"/>
      <c r="AN89" s="501">
        <v>9999.9999999999964</v>
      </c>
      <c r="AO89" s="501">
        <v>19999.999999999993</v>
      </c>
      <c r="AP89" s="501"/>
      <c r="AQ89" s="501">
        <v>29999.999981699995</v>
      </c>
      <c r="AR89" s="501"/>
      <c r="AS89" s="501"/>
      <c r="AT89" s="501"/>
      <c r="AU89" s="501"/>
      <c r="AV89" s="501"/>
      <c r="AW89" s="501"/>
      <c r="AX89" s="501"/>
      <c r="AY89" s="501"/>
      <c r="AZ89" s="501"/>
      <c r="BA89" s="501"/>
      <c r="BB89" s="483">
        <v>173564.91028222782</v>
      </c>
      <c r="BC89" s="483">
        <v>115709.94018815187</v>
      </c>
      <c r="BD89" s="483">
        <v>195260.52406750631</v>
      </c>
      <c r="BE89" s="483">
        <v>9446.0469018283638</v>
      </c>
      <c r="BF89" s="483">
        <v>0</v>
      </c>
      <c r="BG89" s="483">
        <v>1078779.8012261542</v>
      </c>
      <c r="BH89" s="483"/>
      <c r="BI89" s="483"/>
      <c r="BJ89" s="483"/>
      <c r="BK89" s="483"/>
      <c r="BL89" s="483"/>
      <c r="BM89" s="483"/>
      <c r="BN89" s="483"/>
      <c r="BO89" s="483"/>
      <c r="BP89" s="483"/>
      <c r="BQ89" s="483"/>
      <c r="BR89" s="483">
        <v>4603151.9942290857</v>
      </c>
      <c r="BS89" s="484">
        <f t="shared" si="18"/>
        <v>3030390.7715632175</v>
      </c>
      <c r="BT89" s="485">
        <f t="shared" si="16"/>
        <v>0</v>
      </c>
      <c r="BU89" s="485">
        <f t="shared" si="16"/>
        <v>0</v>
      </c>
      <c r="BV89" s="485">
        <f t="shared" si="16"/>
        <v>9.8997133515637617E-3</v>
      </c>
      <c r="BW89" s="485">
        <f t="shared" si="16"/>
        <v>0</v>
      </c>
      <c r="BX89" s="485">
        <f t="shared" si="16"/>
        <v>0</v>
      </c>
      <c r="BY89" s="485">
        <f t="shared" si="16"/>
        <v>0</v>
      </c>
      <c r="BZ89" s="485">
        <f t="shared" si="16"/>
        <v>0</v>
      </c>
      <c r="CA89" s="485">
        <f t="shared" si="16"/>
        <v>0</v>
      </c>
      <c r="CB89" s="485">
        <f t="shared" si="16"/>
        <v>0</v>
      </c>
      <c r="CC89" s="485">
        <f t="shared" si="16"/>
        <v>0.79697883928314239</v>
      </c>
      <c r="CD89" s="485">
        <f t="shared" si="17"/>
        <v>0</v>
      </c>
      <c r="CE89" s="485">
        <f t="shared" si="17"/>
        <v>0.1331291827838956</v>
      </c>
      <c r="CF89" s="485">
        <f t="shared" si="17"/>
        <v>0</v>
      </c>
      <c r="CG89" s="485">
        <f t="shared" si="17"/>
        <v>0</v>
      </c>
      <c r="CH89" s="485">
        <f t="shared" si="17"/>
        <v>5.0092551223795662E-2</v>
      </c>
      <c r="CI89" s="485">
        <f t="shared" si="17"/>
        <v>6.5998089050683904E-3</v>
      </c>
      <c r="CJ89" s="485">
        <f t="shared" si="17"/>
        <v>3.2999044525341952E-3</v>
      </c>
      <c r="CK89" s="485">
        <f t="shared" si="17"/>
        <v>0</v>
      </c>
      <c r="CL89" s="485">
        <f t="shared" si="17"/>
        <v>0</v>
      </c>
      <c r="CM89" s="486">
        <f t="shared" si="19"/>
        <v>1</v>
      </c>
    </row>
    <row r="90" spans="1:91" s="487" customFormat="1" ht="25.5" x14ac:dyDescent="0.25">
      <c r="A90" s="497" t="s">
        <v>534</v>
      </c>
      <c r="B90" s="498" t="s">
        <v>2895</v>
      </c>
      <c r="C90" s="497" t="s">
        <v>714</v>
      </c>
      <c r="D90" s="498"/>
      <c r="E90" s="497"/>
      <c r="F90" s="498"/>
      <c r="G90" s="497"/>
      <c r="H90" s="497" t="s">
        <v>654</v>
      </c>
      <c r="I90" s="497" t="s">
        <v>647</v>
      </c>
      <c r="J90" s="497" t="s">
        <v>671</v>
      </c>
      <c r="K90" s="497" t="s">
        <v>649</v>
      </c>
      <c r="L90" s="497" t="s">
        <v>36</v>
      </c>
      <c r="M90" s="497" t="s">
        <v>653</v>
      </c>
      <c r="N90" s="497" t="s">
        <v>680</v>
      </c>
      <c r="O90" s="497"/>
      <c r="P90" s="497" t="s">
        <v>643</v>
      </c>
      <c r="Q90" s="497" t="s">
        <v>650</v>
      </c>
      <c r="R90" s="497" t="s">
        <v>652</v>
      </c>
      <c r="S90" s="497" t="s">
        <v>649</v>
      </c>
      <c r="T90" s="497"/>
      <c r="U90" s="497"/>
      <c r="V90" s="497" t="s">
        <v>36</v>
      </c>
      <c r="W90" s="497" t="s">
        <v>677</v>
      </c>
      <c r="X90" s="499">
        <v>43282</v>
      </c>
      <c r="Y90" s="499">
        <v>43770</v>
      </c>
      <c r="Z90" s="500">
        <v>2020</v>
      </c>
      <c r="AA90" s="497" t="s">
        <v>676</v>
      </c>
      <c r="AB90" s="497"/>
      <c r="AC90" s="497" t="s">
        <v>663</v>
      </c>
      <c r="AD90" s="501"/>
      <c r="AE90" s="501"/>
      <c r="AF90" s="501"/>
      <c r="AG90" s="501"/>
      <c r="AH90" s="501"/>
      <c r="AI90" s="501"/>
      <c r="AJ90" s="501"/>
      <c r="AK90" s="501"/>
      <c r="AL90" s="501"/>
      <c r="AM90" s="501"/>
      <c r="AN90" s="501"/>
      <c r="AO90" s="501"/>
      <c r="AP90" s="501"/>
      <c r="AQ90" s="501"/>
      <c r="AR90" s="501"/>
      <c r="AS90" s="501"/>
      <c r="AT90" s="501"/>
      <c r="AU90" s="501">
        <v>268000.00000000023</v>
      </c>
      <c r="AV90" s="501"/>
      <c r="AW90" s="501"/>
      <c r="AX90" s="501">
        <v>115000.00000000006</v>
      </c>
      <c r="AY90" s="501"/>
      <c r="AZ90" s="501"/>
      <c r="BA90" s="501"/>
      <c r="BB90" s="483">
        <v>49790.000000000036</v>
      </c>
      <c r="BC90" s="483"/>
      <c r="BD90" s="483"/>
      <c r="BE90" s="483"/>
      <c r="BF90" s="483"/>
      <c r="BG90" s="483">
        <v>78045.165063202643</v>
      </c>
      <c r="BH90" s="483"/>
      <c r="BI90" s="483"/>
      <c r="BJ90" s="483"/>
      <c r="BK90" s="483"/>
      <c r="BL90" s="483"/>
      <c r="BM90" s="483"/>
      <c r="BN90" s="483"/>
      <c r="BO90" s="483"/>
      <c r="BP90" s="483"/>
      <c r="BQ90" s="483"/>
      <c r="BR90" s="483">
        <v>510835.16506320296</v>
      </c>
      <c r="BS90" s="484">
        <f t="shared" si="18"/>
        <v>383000.00000000029</v>
      </c>
      <c r="BT90" s="485">
        <f t="shared" si="16"/>
        <v>0.69973890339425593</v>
      </c>
      <c r="BU90" s="485">
        <f t="shared" si="16"/>
        <v>0</v>
      </c>
      <c r="BV90" s="485">
        <f t="shared" si="16"/>
        <v>0</v>
      </c>
      <c r="BW90" s="485">
        <f t="shared" si="16"/>
        <v>0</v>
      </c>
      <c r="BX90" s="485">
        <f t="shared" si="16"/>
        <v>0</v>
      </c>
      <c r="BY90" s="485">
        <f t="shared" si="16"/>
        <v>0</v>
      </c>
      <c r="BZ90" s="485">
        <f t="shared" si="16"/>
        <v>0</v>
      </c>
      <c r="CA90" s="485">
        <f t="shared" si="16"/>
        <v>0.30026109660574407</v>
      </c>
      <c r="CB90" s="485">
        <f t="shared" si="16"/>
        <v>0</v>
      </c>
      <c r="CC90" s="485">
        <f t="shared" si="16"/>
        <v>0</v>
      </c>
      <c r="CD90" s="485">
        <f t="shared" si="17"/>
        <v>0</v>
      </c>
      <c r="CE90" s="485">
        <f t="shared" si="17"/>
        <v>0</v>
      </c>
      <c r="CF90" s="485">
        <f t="shared" si="17"/>
        <v>0</v>
      </c>
      <c r="CG90" s="485">
        <f t="shared" si="17"/>
        <v>0</v>
      </c>
      <c r="CH90" s="485">
        <f t="shared" si="17"/>
        <v>0</v>
      </c>
      <c r="CI90" s="485">
        <f t="shared" si="17"/>
        <v>0</v>
      </c>
      <c r="CJ90" s="485">
        <f t="shared" si="17"/>
        <v>0</v>
      </c>
      <c r="CK90" s="485">
        <f t="shared" si="17"/>
        <v>0</v>
      </c>
      <c r="CL90" s="485">
        <f t="shared" si="17"/>
        <v>0</v>
      </c>
      <c r="CM90" s="486">
        <f t="shared" si="19"/>
        <v>1</v>
      </c>
    </row>
    <row r="91" spans="1:91" s="487" customFormat="1" ht="25.5" x14ac:dyDescent="0.25">
      <c r="A91" s="497" t="s">
        <v>536</v>
      </c>
      <c r="B91" s="498" t="s">
        <v>2896</v>
      </c>
      <c r="C91" s="497" t="s">
        <v>713</v>
      </c>
      <c r="D91" s="498"/>
      <c r="E91" s="497" t="s">
        <v>655</v>
      </c>
      <c r="F91" s="498"/>
      <c r="G91" s="497"/>
      <c r="H91" s="497" t="s">
        <v>654</v>
      </c>
      <c r="I91" s="497" t="s">
        <v>647</v>
      </c>
      <c r="J91" s="497" t="s">
        <v>671</v>
      </c>
      <c r="K91" s="497" t="s">
        <v>649</v>
      </c>
      <c r="L91" s="497" t="s">
        <v>36</v>
      </c>
      <c r="M91" s="497" t="s">
        <v>653</v>
      </c>
      <c r="N91" s="497" t="s">
        <v>680</v>
      </c>
      <c r="O91" s="497"/>
      <c r="P91" s="497" t="s">
        <v>643</v>
      </c>
      <c r="Q91" s="497" t="s">
        <v>650</v>
      </c>
      <c r="R91" s="497" t="s">
        <v>652</v>
      </c>
      <c r="S91" s="497" t="s">
        <v>649</v>
      </c>
      <c r="T91" s="497"/>
      <c r="U91" s="497"/>
      <c r="V91" s="497" t="s">
        <v>36</v>
      </c>
      <c r="W91" s="497" t="s">
        <v>677</v>
      </c>
      <c r="X91" s="499">
        <v>43647</v>
      </c>
      <c r="Y91" s="499">
        <v>44095</v>
      </c>
      <c r="Z91" s="500">
        <v>2021</v>
      </c>
      <c r="AA91" s="497" t="s">
        <v>676</v>
      </c>
      <c r="AB91" s="497"/>
      <c r="AC91" s="497" t="s">
        <v>663</v>
      </c>
      <c r="AD91" s="501"/>
      <c r="AE91" s="501"/>
      <c r="AF91" s="501"/>
      <c r="AG91" s="501"/>
      <c r="AH91" s="501"/>
      <c r="AI91" s="501"/>
      <c r="AJ91" s="501"/>
      <c r="AK91" s="501"/>
      <c r="AL91" s="501"/>
      <c r="AM91" s="501"/>
      <c r="AN91" s="501"/>
      <c r="AO91" s="501"/>
      <c r="AP91" s="501"/>
      <c r="AQ91" s="501"/>
      <c r="AR91" s="501"/>
      <c r="AS91" s="501"/>
      <c r="AT91" s="501"/>
      <c r="AU91" s="501">
        <v>268000.00000000012</v>
      </c>
      <c r="AV91" s="501"/>
      <c r="AW91" s="501"/>
      <c r="AX91" s="501">
        <v>115000.00000000006</v>
      </c>
      <c r="AY91" s="501"/>
      <c r="AZ91" s="501"/>
      <c r="BA91" s="501"/>
      <c r="BB91" s="483">
        <v>49790.000000000029</v>
      </c>
      <c r="BC91" s="483"/>
      <c r="BD91" s="483"/>
      <c r="BE91" s="483"/>
      <c r="BF91" s="483"/>
      <c r="BG91" s="483">
        <v>78045.165063202629</v>
      </c>
      <c r="BH91" s="483"/>
      <c r="BI91" s="483"/>
      <c r="BJ91" s="483"/>
      <c r="BK91" s="483"/>
      <c r="BL91" s="483"/>
      <c r="BM91" s="483"/>
      <c r="BN91" s="483"/>
      <c r="BO91" s="483"/>
      <c r="BP91" s="483"/>
      <c r="BQ91" s="483"/>
      <c r="BR91" s="483">
        <v>510835.16506320285</v>
      </c>
      <c r="BS91" s="484">
        <f t="shared" si="18"/>
        <v>383000.00000000017</v>
      </c>
      <c r="BT91" s="485">
        <f t="shared" si="16"/>
        <v>0.69973890339425582</v>
      </c>
      <c r="BU91" s="485">
        <f t="shared" si="16"/>
        <v>0</v>
      </c>
      <c r="BV91" s="485">
        <f t="shared" si="16"/>
        <v>0</v>
      </c>
      <c r="BW91" s="485">
        <f t="shared" si="16"/>
        <v>0</v>
      </c>
      <c r="BX91" s="485">
        <f t="shared" si="16"/>
        <v>0</v>
      </c>
      <c r="BY91" s="485">
        <f t="shared" si="16"/>
        <v>0</v>
      </c>
      <c r="BZ91" s="485">
        <f t="shared" si="16"/>
        <v>0</v>
      </c>
      <c r="CA91" s="485">
        <f t="shared" si="16"/>
        <v>0.30026109660574413</v>
      </c>
      <c r="CB91" s="485">
        <f t="shared" si="16"/>
        <v>0</v>
      </c>
      <c r="CC91" s="485">
        <f t="shared" si="16"/>
        <v>0</v>
      </c>
      <c r="CD91" s="485">
        <f t="shared" si="17"/>
        <v>0</v>
      </c>
      <c r="CE91" s="485">
        <f t="shared" si="17"/>
        <v>0</v>
      </c>
      <c r="CF91" s="485">
        <f t="shared" si="17"/>
        <v>0</v>
      </c>
      <c r="CG91" s="485">
        <f t="shared" si="17"/>
        <v>0</v>
      </c>
      <c r="CH91" s="485">
        <f t="shared" si="17"/>
        <v>0</v>
      </c>
      <c r="CI91" s="485">
        <f t="shared" si="17"/>
        <v>0</v>
      </c>
      <c r="CJ91" s="485">
        <f t="shared" si="17"/>
        <v>0</v>
      </c>
      <c r="CK91" s="485">
        <f t="shared" si="17"/>
        <v>0</v>
      </c>
      <c r="CL91" s="485">
        <f t="shared" si="17"/>
        <v>0</v>
      </c>
      <c r="CM91" s="486">
        <f t="shared" si="19"/>
        <v>1</v>
      </c>
    </row>
    <row r="92" spans="1:91" s="487" customFormat="1" ht="25.5" x14ac:dyDescent="0.25">
      <c r="A92" s="497" t="s">
        <v>538</v>
      </c>
      <c r="B92" s="498" t="s">
        <v>2897</v>
      </c>
      <c r="C92" s="497" t="s">
        <v>712</v>
      </c>
      <c r="D92" s="498"/>
      <c r="E92" s="497" t="s">
        <v>655</v>
      </c>
      <c r="F92" s="498"/>
      <c r="G92" s="497"/>
      <c r="H92" s="497" t="s">
        <v>654</v>
      </c>
      <c r="I92" s="497" t="s">
        <v>647</v>
      </c>
      <c r="J92" s="497" t="s">
        <v>671</v>
      </c>
      <c r="K92" s="497" t="s">
        <v>649</v>
      </c>
      <c r="L92" s="497" t="s">
        <v>36</v>
      </c>
      <c r="M92" s="497" t="s">
        <v>653</v>
      </c>
      <c r="N92" s="497" t="s">
        <v>680</v>
      </c>
      <c r="O92" s="497"/>
      <c r="P92" s="497" t="s">
        <v>643</v>
      </c>
      <c r="Q92" s="497" t="s">
        <v>650</v>
      </c>
      <c r="R92" s="497" t="s">
        <v>652</v>
      </c>
      <c r="S92" s="497" t="s">
        <v>649</v>
      </c>
      <c r="T92" s="497"/>
      <c r="U92" s="497"/>
      <c r="V92" s="497" t="s">
        <v>36</v>
      </c>
      <c r="W92" s="497" t="s">
        <v>677</v>
      </c>
      <c r="X92" s="499">
        <v>44013</v>
      </c>
      <c r="Y92" s="499">
        <v>44489</v>
      </c>
      <c r="Z92" s="500">
        <v>2022</v>
      </c>
      <c r="AA92" s="497" t="s">
        <v>676</v>
      </c>
      <c r="AB92" s="497"/>
      <c r="AC92" s="497" t="s">
        <v>663</v>
      </c>
      <c r="AD92" s="501"/>
      <c r="AE92" s="501"/>
      <c r="AF92" s="501"/>
      <c r="AG92" s="501"/>
      <c r="AH92" s="501"/>
      <c r="AI92" s="501"/>
      <c r="AJ92" s="501"/>
      <c r="AK92" s="501"/>
      <c r="AL92" s="501"/>
      <c r="AM92" s="501"/>
      <c r="AN92" s="501"/>
      <c r="AO92" s="501"/>
      <c r="AP92" s="501"/>
      <c r="AQ92" s="501"/>
      <c r="AR92" s="501"/>
      <c r="AS92" s="501"/>
      <c r="AT92" s="501"/>
      <c r="AU92" s="501">
        <v>268000.00000000041</v>
      </c>
      <c r="AV92" s="501"/>
      <c r="AW92" s="501"/>
      <c r="AX92" s="501">
        <v>115000.00000000015</v>
      </c>
      <c r="AY92" s="501"/>
      <c r="AZ92" s="501"/>
      <c r="BA92" s="501"/>
      <c r="BB92" s="483">
        <v>49790.000000000058</v>
      </c>
      <c r="BC92" s="483"/>
      <c r="BD92" s="483"/>
      <c r="BE92" s="483"/>
      <c r="BF92" s="483"/>
      <c r="BG92" s="483">
        <v>78045.165063202687</v>
      </c>
      <c r="BH92" s="483"/>
      <c r="BI92" s="483"/>
      <c r="BJ92" s="483"/>
      <c r="BK92" s="483"/>
      <c r="BL92" s="483"/>
      <c r="BM92" s="483"/>
      <c r="BN92" s="483"/>
      <c r="BO92" s="483"/>
      <c r="BP92" s="483"/>
      <c r="BQ92" s="483"/>
      <c r="BR92" s="483">
        <v>510835.16506320325</v>
      </c>
      <c r="BS92" s="484">
        <f t="shared" si="18"/>
        <v>383000.00000000058</v>
      </c>
      <c r="BT92" s="485">
        <f t="shared" si="16"/>
        <v>0.69973890339425593</v>
      </c>
      <c r="BU92" s="485">
        <f t="shared" si="16"/>
        <v>0</v>
      </c>
      <c r="BV92" s="485">
        <f t="shared" si="16"/>
        <v>0</v>
      </c>
      <c r="BW92" s="485">
        <f t="shared" si="16"/>
        <v>0</v>
      </c>
      <c r="BX92" s="485">
        <f t="shared" si="16"/>
        <v>0</v>
      </c>
      <c r="BY92" s="485">
        <f t="shared" si="16"/>
        <v>0</v>
      </c>
      <c r="BZ92" s="485">
        <f t="shared" si="16"/>
        <v>0</v>
      </c>
      <c r="CA92" s="485">
        <f t="shared" si="16"/>
        <v>0.30026109660574407</v>
      </c>
      <c r="CB92" s="485">
        <f t="shared" si="16"/>
        <v>0</v>
      </c>
      <c r="CC92" s="485">
        <f t="shared" si="16"/>
        <v>0</v>
      </c>
      <c r="CD92" s="485">
        <f t="shared" si="17"/>
        <v>0</v>
      </c>
      <c r="CE92" s="485">
        <f t="shared" si="17"/>
        <v>0</v>
      </c>
      <c r="CF92" s="485">
        <f t="shared" si="17"/>
        <v>0</v>
      </c>
      <c r="CG92" s="485">
        <f t="shared" si="17"/>
        <v>0</v>
      </c>
      <c r="CH92" s="485">
        <f t="shared" si="17"/>
        <v>0</v>
      </c>
      <c r="CI92" s="485">
        <f t="shared" si="17"/>
        <v>0</v>
      </c>
      <c r="CJ92" s="485">
        <f t="shared" si="17"/>
        <v>0</v>
      </c>
      <c r="CK92" s="485">
        <f t="shared" si="17"/>
        <v>0</v>
      </c>
      <c r="CL92" s="485">
        <f t="shared" si="17"/>
        <v>0</v>
      </c>
      <c r="CM92" s="486">
        <f t="shared" si="19"/>
        <v>1</v>
      </c>
    </row>
    <row r="93" spans="1:91" s="487" customFormat="1" ht="25.5" x14ac:dyDescent="0.25">
      <c r="A93" s="497" t="s">
        <v>541</v>
      </c>
      <c r="B93" s="498" t="s">
        <v>2899</v>
      </c>
      <c r="C93" s="497" t="s">
        <v>2495</v>
      </c>
      <c r="D93" s="498"/>
      <c r="E93" s="497" t="s">
        <v>655</v>
      </c>
      <c r="F93" s="498"/>
      <c r="G93" s="497"/>
      <c r="H93" s="497" t="s">
        <v>654</v>
      </c>
      <c r="I93" s="497" t="s">
        <v>647</v>
      </c>
      <c r="J93" s="497" t="s">
        <v>641</v>
      </c>
      <c r="K93" s="497" t="s">
        <v>649</v>
      </c>
      <c r="L93" s="497" t="s">
        <v>54</v>
      </c>
      <c r="M93" s="497" t="s">
        <v>653</v>
      </c>
      <c r="N93" s="497" t="s">
        <v>645</v>
      </c>
      <c r="O93" s="497"/>
      <c r="P93" s="497"/>
      <c r="Q93" s="497" t="s">
        <v>650</v>
      </c>
      <c r="R93" s="497" t="s">
        <v>652</v>
      </c>
      <c r="S93" s="497" t="s">
        <v>649</v>
      </c>
      <c r="T93" s="497"/>
      <c r="U93" s="497"/>
      <c r="V93" s="497" t="s">
        <v>685</v>
      </c>
      <c r="W93" s="497" t="s">
        <v>677</v>
      </c>
      <c r="X93" s="499">
        <v>43282</v>
      </c>
      <c r="Y93" s="499">
        <v>44083</v>
      </c>
      <c r="Z93" s="500">
        <v>2021</v>
      </c>
      <c r="AA93" s="497"/>
      <c r="AB93" s="497"/>
      <c r="AC93" s="497"/>
      <c r="AD93" s="501"/>
      <c r="AE93" s="501"/>
      <c r="AF93" s="501"/>
      <c r="AG93" s="501"/>
      <c r="AH93" s="501"/>
      <c r="AI93" s="501"/>
      <c r="AJ93" s="501"/>
      <c r="AK93" s="501"/>
      <c r="AL93" s="501"/>
      <c r="AM93" s="501"/>
      <c r="AN93" s="501"/>
      <c r="AO93" s="501">
        <v>75000</v>
      </c>
      <c r="AP93" s="501"/>
      <c r="AQ93" s="501">
        <v>450000</v>
      </c>
      <c r="AR93" s="501">
        <v>224999.96250000005</v>
      </c>
      <c r="AS93" s="501"/>
      <c r="AT93" s="501"/>
      <c r="AU93" s="501"/>
      <c r="AV93" s="501"/>
      <c r="AW93" s="501"/>
      <c r="AX93" s="501"/>
      <c r="AY93" s="501"/>
      <c r="AZ93" s="501"/>
      <c r="BA93" s="501"/>
      <c r="BB93" s="483">
        <v>101249.99437499999</v>
      </c>
      <c r="BC93" s="483">
        <v>75000</v>
      </c>
      <c r="BD93" s="483">
        <v>104793.74417812502</v>
      </c>
      <c r="BE93" s="483">
        <v>2422.8701778960944</v>
      </c>
      <c r="BF93" s="483">
        <v>0</v>
      </c>
      <c r="BG93" s="483">
        <v>225785.31370704994</v>
      </c>
      <c r="BH93" s="483"/>
      <c r="BI93" s="483"/>
      <c r="BJ93" s="483"/>
      <c r="BK93" s="483"/>
      <c r="BL93" s="483"/>
      <c r="BM93" s="483"/>
      <c r="BN93" s="483"/>
      <c r="BO93" s="483"/>
      <c r="BP93" s="483"/>
      <c r="BQ93" s="483"/>
      <c r="BR93" s="483">
        <v>1259251.8849380708</v>
      </c>
      <c r="BS93" s="484">
        <f t="shared" si="18"/>
        <v>749999.96250000002</v>
      </c>
      <c r="BT93" s="485">
        <f t="shared" si="16"/>
        <v>0</v>
      </c>
      <c r="BU93" s="485">
        <f t="shared" si="16"/>
        <v>0.29999996499999831</v>
      </c>
      <c r="BV93" s="485">
        <f t="shared" si="16"/>
        <v>0.60000003000000146</v>
      </c>
      <c r="BW93" s="485">
        <f t="shared" si="16"/>
        <v>0</v>
      </c>
      <c r="BX93" s="485">
        <f t="shared" si="16"/>
        <v>0</v>
      </c>
      <c r="BY93" s="485">
        <f t="shared" si="16"/>
        <v>0</v>
      </c>
      <c r="BZ93" s="485">
        <f t="shared" si="16"/>
        <v>0</v>
      </c>
      <c r="CA93" s="485">
        <f t="shared" si="16"/>
        <v>0</v>
      </c>
      <c r="CB93" s="485">
        <f t="shared" si="16"/>
        <v>0</v>
      </c>
      <c r="CC93" s="485">
        <f t="shared" si="16"/>
        <v>0</v>
      </c>
      <c r="CD93" s="485">
        <f t="shared" si="17"/>
        <v>0</v>
      </c>
      <c r="CE93" s="485">
        <f t="shared" si="17"/>
        <v>0</v>
      </c>
      <c r="CF93" s="485">
        <f t="shared" si="17"/>
        <v>0</v>
      </c>
      <c r="CG93" s="485">
        <f t="shared" si="17"/>
        <v>0</v>
      </c>
      <c r="CH93" s="485">
        <f t="shared" si="17"/>
        <v>0</v>
      </c>
      <c r="CI93" s="485">
        <f t="shared" si="17"/>
        <v>0.10000000500000025</v>
      </c>
      <c r="CJ93" s="485">
        <f t="shared" si="17"/>
        <v>0</v>
      </c>
      <c r="CK93" s="485">
        <f t="shared" si="17"/>
        <v>0</v>
      </c>
      <c r="CL93" s="485">
        <f t="shared" si="17"/>
        <v>0</v>
      </c>
      <c r="CM93" s="486">
        <f t="shared" si="19"/>
        <v>1</v>
      </c>
    </row>
    <row r="94" spans="1:91" s="487" customFormat="1" ht="25.5" x14ac:dyDescent="0.25">
      <c r="A94" s="497" t="s">
        <v>543</v>
      </c>
      <c r="B94" s="498" t="s">
        <v>2900</v>
      </c>
      <c r="C94" s="497" t="s">
        <v>711</v>
      </c>
      <c r="D94" s="498"/>
      <c r="E94" s="497" t="s">
        <v>655</v>
      </c>
      <c r="F94" s="498"/>
      <c r="G94" s="497"/>
      <c r="H94" s="497" t="s">
        <v>654</v>
      </c>
      <c r="I94" s="497" t="s">
        <v>647</v>
      </c>
      <c r="J94" s="497" t="s">
        <v>671</v>
      </c>
      <c r="K94" s="497" t="s">
        <v>649</v>
      </c>
      <c r="L94" s="497" t="s">
        <v>36</v>
      </c>
      <c r="M94" s="497" t="s">
        <v>653</v>
      </c>
      <c r="N94" s="497" t="s">
        <v>680</v>
      </c>
      <c r="O94" s="497"/>
      <c r="P94" s="497" t="s">
        <v>643</v>
      </c>
      <c r="Q94" s="497" t="s">
        <v>650</v>
      </c>
      <c r="R94" s="497" t="s">
        <v>652</v>
      </c>
      <c r="S94" s="497" t="s">
        <v>649</v>
      </c>
      <c r="T94" s="497"/>
      <c r="U94" s="497"/>
      <c r="V94" s="497" t="s">
        <v>36</v>
      </c>
      <c r="W94" s="497" t="s">
        <v>677</v>
      </c>
      <c r="X94" s="499">
        <v>44743</v>
      </c>
      <c r="Y94" s="499">
        <v>45138</v>
      </c>
      <c r="Z94" s="500">
        <v>2024</v>
      </c>
      <c r="AA94" s="497" t="s">
        <v>676</v>
      </c>
      <c r="AB94" s="497"/>
      <c r="AC94" s="497" t="s">
        <v>663</v>
      </c>
      <c r="AD94" s="501"/>
      <c r="AE94" s="501"/>
      <c r="AF94" s="501"/>
      <c r="AG94" s="501"/>
      <c r="AH94" s="501"/>
      <c r="AI94" s="501"/>
      <c r="AJ94" s="501"/>
      <c r="AK94" s="501"/>
      <c r="AL94" s="501"/>
      <c r="AM94" s="501"/>
      <c r="AN94" s="501"/>
      <c r="AO94" s="501"/>
      <c r="AP94" s="501"/>
      <c r="AQ94" s="501"/>
      <c r="AR94" s="501"/>
      <c r="AS94" s="501"/>
      <c r="AT94" s="501"/>
      <c r="AU94" s="501">
        <v>84000.000000000044</v>
      </c>
      <c r="AV94" s="501"/>
      <c r="AW94" s="501"/>
      <c r="AX94" s="501"/>
      <c r="AY94" s="501"/>
      <c r="AZ94" s="501"/>
      <c r="BA94" s="501"/>
      <c r="BB94" s="483">
        <v>10920.000000000005</v>
      </c>
      <c r="BC94" s="483"/>
      <c r="BD94" s="483"/>
      <c r="BE94" s="483"/>
      <c r="BF94" s="483"/>
      <c r="BG94" s="483">
        <v>17116.955261903444</v>
      </c>
      <c r="BH94" s="483"/>
      <c r="BI94" s="483"/>
      <c r="BJ94" s="483"/>
      <c r="BK94" s="483"/>
      <c r="BL94" s="483"/>
      <c r="BM94" s="483"/>
      <c r="BN94" s="483"/>
      <c r="BO94" s="483"/>
      <c r="BP94" s="483"/>
      <c r="BQ94" s="483"/>
      <c r="BR94" s="483">
        <v>112036.95526190349</v>
      </c>
      <c r="BS94" s="484">
        <f t="shared" si="18"/>
        <v>84000.000000000044</v>
      </c>
      <c r="BT94" s="485">
        <f t="shared" si="16"/>
        <v>1</v>
      </c>
      <c r="BU94" s="485">
        <f t="shared" si="16"/>
        <v>0</v>
      </c>
      <c r="BV94" s="485">
        <f t="shared" si="16"/>
        <v>0</v>
      </c>
      <c r="BW94" s="485">
        <f t="shared" si="16"/>
        <v>0</v>
      </c>
      <c r="BX94" s="485">
        <f t="shared" si="16"/>
        <v>0</v>
      </c>
      <c r="BY94" s="485">
        <f t="shared" si="16"/>
        <v>0</v>
      </c>
      <c r="BZ94" s="485">
        <f t="shared" si="16"/>
        <v>0</v>
      </c>
      <c r="CA94" s="485">
        <f t="shared" si="16"/>
        <v>0</v>
      </c>
      <c r="CB94" s="485">
        <f t="shared" si="16"/>
        <v>0</v>
      </c>
      <c r="CC94" s="485">
        <f t="shared" si="16"/>
        <v>0</v>
      </c>
      <c r="CD94" s="485">
        <f t="shared" si="17"/>
        <v>0</v>
      </c>
      <c r="CE94" s="485">
        <f t="shared" si="17"/>
        <v>0</v>
      </c>
      <c r="CF94" s="485">
        <f t="shared" si="17"/>
        <v>0</v>
      </c>
      <c r="CG94" s="485">
        <f t="shared" si="17"/>
        <v>0</v>
      </c>
      <c r="CH94" s="485">
        <f t="shared" si="17"/>
        <v>0</v>
      </c>
      <c r="CI94" s="485">
        <f t="shared" si="17"/>
        <v>0</v>
      </c>
      <c r="CJ94" s="485">
        <f t="shared" si="17"/>
        <v>0</v>
      </c>
      <c r="CK94" s="485">
        <f t="shared" si="17"/>
        <v>0</v>
      </c>
      <c r="CL94" s="485">
        <f t="shared" si="17"/>
        <v>0</v>
      </c>
      <c r="CM94" s="486">
        <f t="shared" si="19"/>
        <v>1</v>
      </c>
    </row>
    <row r="95" spans="1:91" s="487" customFormat="1" ht="25.5" x14ac:dyDescent="0.25">
      <c r="A95" s="497" t="s">
        <v>547</v>
      </c>
      <c r="B95" s="498" t="s">
        <v>2901</v>
      </c>
      <c r="C95" s="497" t="s">
        <v>709</v>
      </c>
      <c r="D95" s="498"/>
      <c r="E95" s="497" t="s">
        <v>655</v>
      </c>
      <c r="F95" s="498"/>
      <c r="G95" s="497"/>
      <c r="H95" s="497" t="s">
        <v>654</v>
      </c>
      <c r="I95" s="497" t="s">
        <v>647</v>
      </c>
      <c r="J95" s="497" t="s">
        <v>641</v>
      </c>
      <c r="K95" s="497" t="s">
        <v>649</v>
      </c>
      <c r="L95" s="497" t="s">
        <v>28</v>
      </c>
      <c r="M95" s="497" t="s">
        <v>653</v>
      </c>
      <c r="N95" s="497" t="s">
        <v>645</v>
      </c>
      <c r="O95" s="497"/>
      <c r="P95" s="497"/>
      <c r="Q95" s="497" t="s">
        <v>656</v>
      </c>
      <c r="R95" s="497" t="s">
        <v>652</v>
      </c>
      <c r="S95" s="497" t="s">
        <v>649</v>
      </c>
      <c r="T95" s="497"/>
      <c r="U95" s="497"/>
      <c r="V95" s="497" t="s">
        <v>685</v>
      </c>
      <c r="W95" s="497" t="s">
        <v>666</v>
      </c>
      <c r="X95" s="499">
        <v>43282</v>
      </c>
      <c r="Y95" s="499">
        <v>45103</v>
      </c>
      <c r="Z95" s="500">
        <v>2023</v>
      </c>
      <c r="AA95" s="497"/>
      <c r="AB95" s="497"/>
      <c r="AC95" s="497"/>
      <c r="AD95" s="501"/>
      <c r="AE95" s="501"/>
      <c r="AF95" s="501"/>
      <c r="AG95" s="501"/>
      <c r="AH95" s="501"/>
      <c r="AI95" s="501"/>
      <c r="AJ95" s="501"/>
      <c r="AK95" s="501"/>
      <c r="AL95" s="501"/>
      <c r="AM95" s="501"/>
      <c r="AN95" s="501"/>
      <c r="AO95" s="501"/>
      <c r="AP95" s="501"/>
      <c r="AQ95" s="501">
        <v>1056032.625</v>
      </c>
      <c r="AR95" s="501">
        <v>29999.9925</v>
      </c>
      <c r="AS95" s="501"/>
      <c r="AT95" s="501"/>
      <c r="AU95" s="501"/>
      <c r="AV95" s="501"/>
      <c r="AW95" s="501"/>
      <c r="AX95" s="501"/>
      <c r="AY95" s="501"/>
      <c r="AZ95" s="501"/>
      <c r="BA95" s="501"/>
      <c r="BB95" s="483"/>
      <c r="BC95" s="483">
        <v>108603.26174999996</v>
      </c>
      <c r="BD95" s="483">
        <v>161275.84369874999</v>
      </c>
      <c r="BE95" s="483">
        <v>3728.7572381090613</v>
      </c>
      <c r="BF95" s="483">
        <v>0</v>
      </c>
      <c r="BG95" s="483">
        <v>347479.87342638092</v>
      </c>
      <c r="BH95" s="483"/>
      <c r="BI95" s="483"/>
      <c r="BJ95" s="483"/>
      <c r="BK95" s="483"/>
      <c r="BL95" s="483"/>
      <c r="BM95" s="483"/>
      <c r="BN95" s="483"/>
      <c r="BO95" s="483"/>
      <c r="BP95" s="483"/>
      <c r="BQ95" s="483"/>
      <c r="BR95" s="483">
        <v>1707120.3536132399</v>
      </c>
      <c r="BS95" s="484">
        <f t="shared" si="18"/>
        <v>1086032.6174999999</v>
      </c>
      <c r="BT95" s="485">
        <f t="shared" ref="BT95:CC104" si="20">SUMIFS($AD95:$BA95,$AD$11:$BA$11,BT$21)/$BS95</f>
        <v>0</v>
      </c>
      <c r="BU95" s="485">
        <f t="shared" si="20"/>
        <v>2.7623472828153802E-2</v>
      </c>
      <c r="BV95" s="485">
        <f t="shared" si="20"/>
        <v>0.97237652717184631</v>
      </c>
      <c r="BW95" s="485">
        <f t="shared" si="20"/>
        <v>0</v>
      </c>
      <c r="BX95" s="485">
        <f t="shared" si="20"/>
        <v>0</v>
      </c>
      <c r="BY95" s="485">
        <f t="shared" si="20"/>
        <v>0</v>
      </c>
      <c r="BZ95" s="485">
        <f t="shared" si="20"/>
        <v>0</v>
      </c>
      <c r="CA95" s="485">
        <f t="shared" si="20"/>
        <v>0</v>
      </c>
      <c r="CB95" s="485">
        <f t="shared" si="20"/>
        <v>0</v>
      </c>
      <c r="CC95" s="485">
        <f t="shared" si="20"/>
        <v>0</v>
      </c>
      <c r="CD95" s="485">
        <f t="shared" ref="CD95:CL104" si="21">SUMIFS($AD95:$BA95,$AD$11:$BA$11,CD$21)/$BS95</f>
        <v>0</v>
      </c>
      <c r="CE95" s="485">
        <f t="shared" si="21"/>
        <v>0</v>
      </c>
      <c r="CF95" s="485">
        <f t="shared" si="21"/>
        <v>0</v>
      </c>
      <c r="CG95" s="485">
        <f t="shared" si="21"/>
        <v>0</v>
      </c>
      <c r="CH95" s="485">
        <f t="shared" si="21"/>
        <v>0</v>
      </c>
      <c r="CI95" s="485">
        <f t="shared" si="21"/>
        <v>0</v>
      </c>
      <c r="CJ95" s="485">
        <f t="shared" si="21"/>
        <v>0</v>
      </c>
      <c r="CK95" s="485">
        <f t="shared" si="21"/>
        <v>0</v>
      </c>
      <c r="CL95" s="485">
        <f t="shared" si="21"/>
        <v>0</v>
      </c>
      <c r="CM95" s="486">
        <f t="shared" si="19"/>
        <v>1</v>
      </c>
    </row>
    <row r="96" spans="1:91" s="487" customFormat="1" ht="25.5" x14ac:dyDescent="0.25">
      <c r="A96" s="497" t="s">
        <v>549</v>
      </c>
      <c r="B96" s="498" t="s">
        <v>2902</v>
      </c>
      <c r="C96" s="497" t="s">
        <v>2790</v>
      </c>
      <c r="D96" s="498"/>
      <c r="E96" s="497" t="s">
        <v>655</v>
      </c>
      <c r="F96" s="498"/>
      <c r="G96" s="497"/>
      <c r="H96" s="497" t="s">
        <v>654</v>
      </c>
      <c r="I96" s="497" t="s">
        <v>647</v>
      </c>
      <c r="J96" s="497" t="s">
        <v>641</v>
      </c>
      <c r="K96" s="497" t="s">
        <v>649</v>
      </c>
      <c r="L96" s="497" t="s">
        <v>40</v>
      </c>
      <c r="M96" s="497" t="s">
        <v>653</v>
      </c>
      <c r="N96" s="497" t="s">
        <v>645</v>
      </c>
      <c r="O96" s="497"/>
      <c r="P96" s="497"/>
      <c r="Q96" s="497" t="s">
        <v>656</v>
      </c>
      <c r="R96" s="497" t="s">
        <v>652</v>
      </c>
      <c r="S96" s="497" t="s">
        <v>649</v>
      </c>
      <c r="T96" s="497"/>
      <c r="U96" s="497"/>
      <c r="V96" s="497" t="s">
        <v>685</v>
      </c>
      <c r="W96" s="497" t="s">
        <v>684</v>
      </c>
      <c r="X96" s="499">
        <v>43282</v>
      </c>
      <c r="Y96" s="499">
        <v>44377</v>
      </c>
      <c r="Z96" s="500">
        <v>2024</v>
      </c>
      <c r="AA96" s="497"/>
      <c r="AB96" s="497"/>
      <c r="AC96" s="497"/>
      <c r="AD96" s="501"/>
      <c r="AE96" s="501"/>
      <c r="AF96" s="501"/>
      <c r="AG96" s="501"/>
      <c r="AH96" s="501"/>
      <c r="AI96" s="501"/>
      <c r="AJ96" s="501"/>
      <c r="AK96" s="501"/>
      <c r="AL96" s="501">
        <v>1785000.0000000007</v>
      </c>
      <c r="AM96" s="501"/>
      <c r="AN96" s="501"/>
      <c r="AO96" s="501"/>
      <c r="AP96" s="501"/>
      <c r="AQ96" s="501"/>
      <c r="AR96" s="501"/>
      <c r="AS96" s="501"/>
      <c r="AT96" s="501"/>
      <c r="AU96" s="501"/>
      <c r="AV96" s="501"/>
      <c r="AW96" s="501"/>
      <c r="AX96" s="501"/>
      <c r="AY96" s="501"/>
      <c r="AZ96" s="501"/>
      <c r="BA96" s="501"/>
      <c r="BB96" s="483">
        <v>267750.00000000006</v>
      </c>
      <c r="BC96" s="483">
        <v>178500.00000000006</v>
      </c>
      <c r="BD96" s="483">
        <v>301218.75000000006</v>
      </c>
      <c r="BE96" s="483">
        <v>6964.2890625000027</v>
      </c>
      <c r="BF96" s="483">
        <v>0</v>
      </c>
      <c r="BG96" s="483">
        <v>654907.30864616553</v>
      </c>
      <c r="BH96" s="483"/>
      <c r="BI96" s="483"/>
      <c r="BJ96" s="483"/>
      <c r="BK96" s="483"/>
      <c r="BL96" s="483"/>
      <c r="BM96" s="483"/>
      <c r="BN96" s="483"/>
      <c r="BO96" s="483"/>
      <c r="BP96" s="483"/>
      <c r="BQ96" s="483"/>
      <c r="BR96" s="483">
        <v>3194340.3477086662</v>
      </c>
      <c r="BS96" s="484">
        <f t="shared" si="18"/>
        <v>1785000.0000000007</v>
      </c>
      <c r="BT96" s="485">
        <f t="shared" si="20"/>
        <v>0</v>
      </c>
      <c r="BU96" s="485">
        <f t="shared" si="20"/>
        <v>0</v>
      </c>
      <c r="BV96" s="485">
        <f t="shared" si="20"/>
        <v>0</v>
      </c>
      <c r="BW96" s="485">
        <f t="shared" si="20"/>
        <v>0</v>
      </c>
      <c r="BX96" s="485">
        <f t="shared" si="20"/>
        <v>0</v>
      </c>
      <c r="BY96" s="485">
        <f t="shared" si="20"/>
        <v>0</v>
      </c>
      <c r="BZ96" s="485">
        <f t="shared" si="20"/>
        <v>0</v>
      </c>
      <c r="CA96" s="485">
        <f t="shared" si="20"/>
        <v>0</v>
      </c>
      <c r="CB96" s="485">
        <f t="shared" si="20"/>
        <v>0</v>
      </c>
      <c r="CC96" s="485">
        <f t="shared" si="20"/>
        <v>0</v>
      </c>
      <c r="CD96" s="485">
        <f t="shared" si="21"/>
        <v>0</v>
      </c>
      <c r="CE96" s="485">
        <f t="shared" si="21"/>
        <v>0</v>
      </c>
      <c r="CF96" s="485">
        <f t="shared" si="21"/>
        <v>0</v>
      </c>
      <c r="CG96" s="485">
        <f t="shared" si="21"/>
        <v>0</v>
      </c>
      <c r="CH96" s="485">
        <f t="shared" si="21"/>
        <v>1</v>
      </c>
      <c r="CI96" s="485">
        <f t="shared" si="21"/>
        <v>0</v>
      </c>
      <c r="CJ96" s="485">
        <f t="shared" si="21"/>
        <v>0</v>
      </c>
      <c r="CK96" s="485">
        <f t="shared" si="21"/>
        <v>0</v>
      </c>
      <c r="CL96" s="485">
        <f t="shared" si="21"/>
        <v>0</v>
      </c>
      <c r="CM96" s="486">
        <f t="shared" si="19"/>
        <v>1</v>
      </c>
    </row>
    <row r="97" spans="1:91" s="487" customFormat="1" ht="25.5" x14ac:dyDescent="0.25">
      <c r="A97" s="497" t="s">
        <v>550</v>
      </c>
      <c r="B97" s="498" t="s">
        <v>2903</v>
      </c>
      <c r="C97" s="497" t="s">
        <v>2689</v>
      </c>
      <c r="D97" s="498"/>
      <c r="E97" s="497" t="s">
        <v>2791</v>
      </c>
      <c r="F97" s="498"/>
      <c r="G97" s="497" t="s">
        <v>686</v>
      </c>
      <c r="H97" s="497" t="s">
        <v>654</v>
      </c>
      <c r="I97" s="497" t="s">
        <v>647</v>
      </c>
      <c r="J97" s="497" t="s">
        <v>641</v>
      </c>
      <c r="K97" s="497" t="s">
        <v>649</v>
      </c>
      <c r="L97" s="497" t="s">
        <v>54</v>
      </c>
      <c r="M97" s="497" t="s">
        <v>653</v>
      </c>
      <c r="N97" s="497" t="s">
        <v>680</v>
      </c>
      <c r="O97" s="497"/>
      <c r="P97" s="497" t="s">
        <v>643</v>
      </c>
      <c r="Q97" s="497" t="s">
        <v>642</v>
      </c>
      <c r="R97" s="497" t="s">
        <v>652</v>
      </c>
      <c r="S97" s="497" t="s">
        <v>649</v>
      </c>
      <c r="T97" s="497"/>
      <c r="U97" s="497" t="s">
        <v>689</v>
      </c>
      <c r="V97" s="497" t="s">
        <v>641</v>
      </c>
      <c r="W97" s="497" t="s">
        <v>690</v>
      </c>
      <c r="X97" s="499">
        <v>42917</v>
      </c>
      <c r="Y97" s="499">
        <v>43959</v>
      </c>
      <c r="Z97" s="500">
        <v>2020</v>
      </c>
      <c r="AA97" s="497" t="s">
        <v>649</v>
      </c>
      <c r="AB97" s="497"/>
      <c r="AC97" s="497" t="s">
        <v>663</v>
      </c>
      <c r="AD97" s="501"/>
      <c r="AE97" s="501"/>
      <c r="AF97" s="501"/>
      <c r="AG97" s="501">
        <v>1586227.7616626881</v>
      </c>
      <c r="AH97" s="501"/>
      <c r="AI97" s="501">
        <v>1552173.786830157</v>
      </c>
      <c r="AJ97" s="501"/>
      <c r="AK97" s="501">
        <v>119999.99998924993</v>
      </c>
      <c r="AL97" s="501">
        <v>520400.01500794408</v>
      </c>
      <c r="AM97" s="501"/>
      <c r="AN97" s="501"/>
      <c r="AO97" s="501">
        <v>49999.999999999971</v>
      </c>
      <c r="AP97" s="501"/>
      <c r="AQ97" s="501"/>
      <c r="AR97" s="501"/>
      <c r="AS97" s="501">
        <v>59999.999999999971</v>
      </c>
      <c r="AT97" s="501"/>
      <c r="AU97" s="501"/>
      <c r="AV97" s="501"/>
      <c r="AW97" s="501"/>
      <c r="AX97" s="501"/>
      <c r="AY97" s="501"/>
      <c r="AZ97" s="501"/>
      <c r="BA97" s="501"/>
      <c r="BB97" s="483">
        <v>464273.47702350584</v>
      </c>
      <c r="BC97" s="483">
        <v>309515.65134900383</v>
      </c>
      <c r="BD97" s="483">
        <v>522307.6616514441</v>
      </c>
      <c r="BE97" s="483">
        <v>13955.970472163483</v>
      </c>
      <c r="BF97" s="483">
        <v>314515.65134900389</v>
      </c>
      <c r="BG97" s="483">
        <v>964700.4169411076</v>
      </c>
      <c r="BH97" s="483"/>
      <c r="BI97" s="483"/>
      <c r="BJ97" s="483"/>
      <c r="BK97" s="483"/>
      <c r="BL97" s="483"/>
      <c r="BM97" s="483"/>
      <c r="BN97" s="483"/>
      <c r="BO97" s="483"/>
      <c r="BP97" s="483"/>
      <c r="BQ97" s="483"/>
      <c r="BR97" s="483">
        <v>6478070.3922762675</v>
      </c>
      <c r="BS97" s="484">
        <f t="shared" si="18"/>
        <v>3888801.5634900387</v>
      </c>
      <c r="BT97" s="485">
        <f t="shared" si="20"/>
        <v>0</v>
      </c>
      <c r="BU97" s="485">
        <f t="shared" si="20"/>
        <v>0</v>
      </c>
      <c r="BV97" s="485">
        <f t="shared" si="20"/>
        <v>0</v>
      </c>
      <c r="BW97" s="485">
        <f t="shared" si="20"/>
        <v>0</v>
      </c>
      <c r="BX97" s="485">
        <f t="shared" si="20"/>
        <v>0</v>
      </c>
      <c r="BY97" s="485">
        <f t="shared" si="20"/>
        <v>1.5428917886504976E-2</v>
      </c>
      <c r="BZ97" s="485">
        <f t="shared" si="20"/>
        <v>0</v>
      </c>
      <c r="CA97" s="485">
        <f t="shared" si="20"/>
        <v>0</v>
      </c>
      <c r="CB97" s="485">
        <f t="shared" si="20"/>
        <v>0</v>
      </c>
      <c r="CC97" s="485">
        <f t="shared" si="20"/>
        <v>0.40789629806647021</v>
      </c>
      <c r="CD97" s="485">
        <f t="shared" si="21"/>
        <v>0</v>
      </c>
      <c r="CE97" s="485">
        <f t="shared" si="21"/>
        <v>0.39913936504313302</v>
      </c>
      <c r="CF97" s="485">
        <f t="shared" si="21"/>
        <v>3.08578357702456E-2</v>
      </c>
      <c r="CG97" s="485">
        <f t="shared" si="21"/>
        <v>0</v>
      </c>
      <c r="CH97" s="485">
        <f t="shared" si="21"/>
        <v>0.13382015166155883</v>
      </c>
      <c r="CI97" s="485">
        <f t="shared" si="21"/>
        <v>1.2857431572087477E-2</v>
      </c>
      <c r="CJ97" s="485">
        <f t="shared" si="21"/>
        <v>0</v>
      </c>
      <c r="CK97" s="485">
        <f t="shared" si="21"/>
        <v>0</v>
      </c>
      <c r="CL97" s="485">
        <f t="shared" si="21"/>
        <v>0</v>
      </c>
      <c r="CM97" s="486">
        <f t="shared" si="19"/>
        <v>1</v>
      </c>
    </row>
    <row r="98" spans="1:91" s="487" customFormat="1" ht="25.5" x14ac:dyDescent="0.25">
      <c r="A98" s="497" t="s">
        <v>554</v>
      </c>
      <c r="B98" s="498" t="s">
        <v>2904</v>
      </c>
      <c r="C98" s="497" t="s">
        <v>706</v>
      </c>
      <c r="D98" s="498"/>
      <c r="E98" s="497"/>
      <c r="F98" s="498"/>
      <c r="G98" s="497"/>
      <c r="H98" s="497" t="s">
        <v>654</v>
      </c>
      <c r="I98" s="497" t="s">
        <v>647</v>
      </c>
      <c r="J98" s="497" t="s">
        <v>641</v>
      </c>
      <c r="K98" s="497" t="s">
        <v>649</v>
      </c>
      <c r="L98" s="497" t="s">
        <v>54</v>
      </c>
      <c r="M98" s="497" t="s">
        <v>653</v>
      </c>
      <c r="N98" s="497" t="s">
        <v>680</v>
      </c>
      <c r="O98" s="497"/>
      <c r="P98" s="497" t="s">
        <v>643</v>
      </c>
      <c r="Q98" s="497" t="s">
        <v>650</v>
      </c>
      <c r="R98" s="497" t="s">
        <v>652</v>
      </c>
      <c r="S98" s="497" t="s">
        <v>663</v>
      </c>
      <c r="T98" s="497"/>
      <c r="U98" s="497" t="s">
        <v>689</v>
      </c>
      <c r="V98" s="497" t="s">
        <v>641</v>
      </c>
      <c r="W98" s="497" t="s">
        <v>684</v>
      </c>
      <c r="X98" s="499">
        <v>44013</v>
      </c>
      <c r="Y98" s="499">
        <v>45107</v>
      </c>
      <c r="Z98" s="500">
        <v>2023</v>
      </c>
      <c r="AA98" s="497" t="s">
        <v>663</v>
      </c>
      <c r="AB98" s="497"/>
      <c r="AC98" s="497" t="s">
        <v>663</v>
      </c>
      <c r="AD98" s="501"/>
      <c r="AE98" s="501"/>
      <c r="AF98" s="501"/>
      <c r="AG98" s="501">
        <v>89937.000000000015</v>
      </c>
      <c r="AH98" s="501"/>
      <c r="AI98" s="501">
        <v>19500</v>
      </c>
      <c r="AJ98" s="501"/>
      <c r="AK98" s="501"/>
      <c r="AL98" s="501">
        <v>7920.0000000000027</v>
      </c>
      <c r="AM98" s="501"/>
      <c r="AN98" s="501"/>
      <c r="AO98" s="501">
        <v>18136.103532500005</v>
      </c>
      <c r="AP98" s="501"/>
      <c r="AQ98" s="501"/>
      <c r="AR98" s="501"/>
      <c r="AS98" s="501"/>
      <c r="AT98" s="501"/>
      <c r="AU98" s="501"/>
      <c r="AV98" s="501"/>
      <c r="AW98" s="501"/>
      <c r="AX98" s="501"/>
      <c r="AY98" s="501"/>
      <c r="AZ98" s="501"/>
      <c r="BA98" s="501"/>
      <c r="BB98" s="483">
        <v>292298.2155298749</v>
      </c>
      <c r="BC98" s="483"/>
      <c r="BD98" s="483">
        <v>62206.828073420649</v>
      </c>
      <c r="BE98" s="483">
        <v>1468.4949046234387</v>
      </c>
      <c r="BF98" s="483">
        <v>28264.007763500009</v>
      </c>
      <c r="BG98" s="483">
        <v>222735.54180327395</v>
      </c>
      <c r="BH98" s="483">
        <v>44000</v>
      </c>
      <c r="BI98" s="483"/>
      <c r="BJ98" s="483"/>
      <c r="BK98" s="483"/>
      <c r="BL98" s="483"/>
      <c r="BM98" s="483"/>
      <c r="BN98" s="483"/>
      <c r="BO98" s="483"/>
      <c r="BP98" s="483"/>
      <c r="BQ98" s="483"/>
      <c r="BR98" s="483">
        <v>786466.19160719309</v>
      </c>
      <c r="BS98" s="484">
        <f t="shared" si="18"/>
        <v>135493.10353250001</v>
      </c>
      <c r="BT98" s="485">
        <f t="shared" si="20"/>
        <v>0</v>
      </c>
      <c r="BU98" s="485">
        <f t="shared" si="20"/>
        <v>0</v>
      </c>
      <c r="BV98" s="485">
        <f t="shared" si="20"/>
        <v>0</v>
      </c>
      <c r="BW98" s="485">
        <f t="shared" si="20"/>
        <v>0</v>
      </c>
      <c r="BX98" s="485">
        <f t="shared" si="20"/>
        <v>0</v>
      </c>
      <c r="BY98" s="485">
        <f t="shared" si="20"/>
        <v>0</v>
      </c>
      <c r="BZ98" s="485">
        <f t="shared" si="20"/>
        <v>0</v>
      </c>
      <c r="CA98" s="485">
        <f t="shared" si="20"/>
        <v>0</v>
      </c>
      <c r="CB98" s="485">
        <f t="shared" si="20"/>
        <v>0</v>
      </c>
      <c r="CC98" s="485">
        <f t="shared" si="20"/>
        <v>0.66377548122534002</v>
      </c>
      <c r="CD98" s="485">
        <f t="shared" si="21"/>
        <v>0</v>
      </c>
      <c r="CE98" s="485">
        <f t="shared" si="21"/>
        <v>0.14391876406700388</v>
      </c>
      <c r="CF98" s="485">
        <f t="shared" si="21"/>
        <v>0</v>
      </c>
      <c r="CG98" s="485">
        <f t="shared" si="21"/>
        <v>0</v>
      </c>
      <c r="CH98" s="485">
        <f t="shared" si="21"/>
        <v>5.84531595595216E-2</v>
      </c>
      <c r="CI98" s="485">
        <f t="shared" si="21"/>
        <v>0.13385259514813455</v>
      </c>
      <c r="CJ98" s="485">
        <f t="shared" si="21"/>
        <v>0</v>
      </c>
      <c r="CK98" s="485">
        <f t="shared" si="21"/>
        <v>0</v>
      </c>
      <c r="CL98" s="485">
        <f t="shared" si="21"/>
        <v>0</v>
      </c>
      <c r="CM98" s="486">
        <f t="shared" si="19"/>
        <v>1</v>
      </c>
    </row>
    <row r="99" spans="1:91" s="487" customFormat="1" ht="25.5" x14ac:dyDescent="0.25">
      <c r="A99" s="497" t="s">
        <v>556</v>
      </c>
      <c r="B99" s="498" t="s">
        <v>2905</v>
      </c>
      <c r="C99" s="497" t="s">
        <v>2496</v>
      </c>
      <c r="D99" s="498"/>
      <c r="E99" s="497"/>
      <c r="F99" s="498"/>
      <c r="G99" s="497"/>
      <c r="H99" s="497" t="s">
        <v>654</v>
      </c>
      <c r="I99" s="497" t="s">
        <v>647</v>
      </c>
      <c r="J99" s="497" t="s">
        <v>641</v>
      </c>
      <c r="K99" s="497" t="s">
        <v>649</v>
      </c>
      <c r="L99" s="497" t="s">
        <v>40</v>
      </c>
      <c r="M99" s="497" t="s">
        <v>653</v>
      </c>
      <c r="N99" s="497" t="s">
        <v>680</v>
      </c>
      <c r="O99" s="497"/>
      <c r="P99" s="497" t="s">
        <v>643</v>
      </c>
      <c r="Q99" s="497" t="s">
        <v>656</v>
      </c>
      <c r="R99" s="497" t="s">
        <v>652</v>
      </c>
      <c r="S99" s="497" t="s">
        <v>649</v>
      </c>
      <c r="T99" s="497"/>
      <c r="U99" s="497" t="s">
        <v>689</v>
      </c>
      <c r="V99" s="497" t="s">
        <v>641</v>
      </c>
      <c r="W99" s="497" t="s">
        <v>688</v>
      </c>
      <c r="X99" s="499">
        <v>43282</v>
      </c>
      <c r="Y99" s="499">
        <v>44736</v>
      </c>
      <c r="Z99" s="500">
        <v>2022</v>
      </c>
      <c r="AA99" s="497" t="s">
        <v>676</v>
      </c>
      <c r="AB99" s="497"/>
      <c r="AC99" s="497" t="s">
        <v>663</v>
      </c>
      <c r="AD99" s="501"/>
      <c r="AE99" s="501"/>
      <c r="AF99" s="501"/>
      <c r="AG99" s="501"/>
      <c r="AH99" s="501"/>
      <c r="AI99" s="501">
        <v>31057.499999999949</v>
      </c>
      <c r="AJ99" s="501">
        <v>384499.99999999924</v>
      </c>
      <c r="AK99" s="501"/>
      <c r="AL99" s="501">
        <v>213811.83999999965</v>
      </c>
      <c r="AM99" s="501"/>
      <c r="AN99" s="501"/>
      <c r="AO99" s="501"/>
      <c r="AP99" s="501"/>
      <c r="AQ99" s="501"/>
      <c r="AR99" s="501"/>
      <c r="AS99" s="501"/>
      <c r="AT99" s="501"/>
      <c r="AU99" s="501"/>
      <c r="AV99" s="501"/>
      <c r="AW99" s="501"/>
      <c r="AX99" s="501"/>
      <c r="AY99" s="501"/>
      <c r="AZ99" s="501"/>
      <c r="BA99" s="501"/>
      <c r="BB99" s="483">
        <v>169149.65099999966</v>
      </c>
      <c r="BC99" s="483">
        <v>69436.433999999863</v>
      </c>
      <c r="BD99" s="483">
        <v>117173.98237499977</v>
      </c>
      <c r="BE99" s="483">
        <v>2709.1058702812438</v>
      </c>
      <c r="BF99" s="483">
        <v>0</v>
      </c>
      <c r="BG99" s="483">
        <v>176365.53298186735</v>
      </c>
      <c r="BH99" s="483"/>
      <c r="BI99" s="483"/>
      <c r="BJ99" s="483"/>
      <c r="BK99" s="483"/>
      <c r="BL99" s="483"/>
      <c r="BM99" s="483"/>
      <c r="BN99" s="483"/>
      <c r="BO99" s="483"/>
      <c r="BP99" s="483"/>
      <c r="BQ99" s="483"/>
      <c r="BR99" s="483">
        <v>1164204.0462271469</v>
      </c>
      <c r="BS99" s="484">
        <f t="shared" si="18"/>
        <v>629369.3399999988</v>
      </c>
      <c r="BT99" s="485">
        <f t="shared" si="20"/>
        <v>0</v>
      </c>
      <c r="BU99" s="485">
        <f t="shared" si="20"/>
        <v>0</v>
      </c>
      <c r="BV99" s="485">
        <f t="shared" si="20"/>
        <v>0</v>
      </c>
      <c r="BW99" s="485">
        <f t="shared" si="20"/>
        <v>0</v>
      </c>
      <c r="BX99" s="485">
        <f t="shared" si="20"/>
        <v>0</v>
      </c>
      <c r="BY99" s="485">
        <f t="shared" si="20"/>
        <v>0</v>
      </c>
      <c r="BZ99" s="485">
        <f t="shared" si="20"/>
        <v>0</v>
      </c>
      <c r="CA99" s="485">
        <f t="shared" si="20"/>
        <v>0</v>
      </c>
      <c r="CB99" s="485">
        <f t="shared" si="20"/>
        <v>0</v>
      </c>
      <c r="CC99" s="485">
        <f t="shared" si="20"/>
        <v>0</v>
      </c>
      <c r="CD99" s="485">
        <f t="shared" si="21"/>
        <v>0.61092902936771587</v>
      </c>
      <c r="CE99" s="485">
        <f t="shared" si="21"/>
        <v>4.934701776225707E-2</v>
      </c>
      <c r="CF99" s="485">
        <f t="shared" si="21"/>
        <v>0</v>
      </c>
      <c r="CG99" s="485">
        <f t="shared" si="21"/>
        <v>0</v>
      </c>
      <c r="CH99" s="485">
        <f t="shared" si="21"/>
        <v>0.3397239528700271</v>
      </c>
      <c r="CI99" s="485">
        <f t="shared" si="21"/>
        <v>0</v>
      </c>
      <c r="CJ99" s="485">
        <f t="shared" si="21"/>
        <v>0</v>
      </c>
      <c r="CK99" s="485">
        <f t="shared" si="21"/>
        <v>0</v>
      </c>
      <c r="CL99" s="485">
        <f t="shared" si="21"/>
        <v>0</v>
      </c>
      <c r="CM99" s="486">
        <f t="shared" si="19"/>
        <v>1</v>
      </c>
    </row>
    <row r="100" spans="1:91" s="487" customFormat="1" ht="25.5" x14ac:dyDescent="0.25">
      <c r="A100" s="497" t="s">
        <v>558</v>
      </c>
      <c r="B100" s="498" t="s">
        <v>2359</v>
      </c>
      <c r="C100" s="497" t="s">
        <v>2690</v>
      </c>
      <c r="D100" s="498"/>
      <c r="E100" s="497" t="s">
        <v>655</v>
      </c>
      <c r="F100" s="498"/>
      <c r="G100" s="497"/>
      <c r="H100" s="497" t="s">
        <v>654</v>
      </c>
      <c r="I100" s="497" t="s">
        <v>647</v>
      </c>
      <c r="J100" s="497" t="s">
        <v>641</v>
      </c>
      <c r="K100" s="497" t="s">
        <v>649</v>
      </c>
      <c r="L100" s="497" t="s">
        <v>41</v>
      </c>
      <c r="M100" s="497" t="s">
        <v>653</v>
      </c>
      <c r="N100" s="497" t="s">
        <v>645</v>
      </c>
      <c r="O100" s="497"/>
      <c r="P100" s="497"/>
      <c r="Q100" s="497" t="s">
        <v>642</v>
      </c>
      <c r="R100" s="497" t="s">
        <v>652</v>
      </c>
      <c r="S100" s="497" t="s">
        <v>649</v>
      </c>
      <c r="T100" s="497"/>
      <c r="U100" s="497"/>
      <c r="V100" s="497" t="s">
        <v>641</v>
      </c>
      <c r="W100" s="497" t="s">
        <v>666</v>
      </c>
      <c r="X100" s="499">
        <v>42919</v>
      </c>
      <c r="Y100" s="499">
        <v>45097</v>
      </c>
      <c r="Z100" s="500">
        <v>2023</v>
      </c>
      <c r="AA100" s="497"/>
      <c r="AB100" s="497"/>
      <c r="AC100" s="497"/>
      <c r="AD100" s="501"/>
      <c r="AE100" s="501"/>
      <c r="AF100" s="501"/>
      <c r="AG100" s="501">
        <f>2360*0</f>
        <v>0</v>
      </c>
      <c r="AH100" s="501"/>
      <c r="AI100" s="501"/>
      <c r="AJ100" s="501"/>
      <c r="AK100" s="501"/>
      <c r="AL100" s="501"/>
      <c r="AM100" s="501"/>
      <c r="AN100" s="501"/>
      <c r="AO100" s="501">
        <f>2957574.24000034*0</f>
        <v>0</v>
      </c>
      <c r="AP100" s="501">
        <f>34560.323*0+2994494.56300034</f>
        <v>2994494.56300034</v>
      </c>
      <c r="AQ100" s="501"/>
      <c r="AR100" s="501"/>
      <c r="AS100" s="501"/>
      <c r="AT100" s="501"/>
      <c r="AU100" s="501"/>
      <c r="AV100" s="501"/>
      <c r="AW100" s="501"/>
      <c r="AX100" s="501"/>
      <c r="AY100" s="501"/>
      <c r="AZ100" s="501"/>
      <c r="BA100" s="501"/>
      <c r="BB100" s="483">
        <v>2862449.1844500508</v>
      </c>
      <c r="BC100" s="483">
        <v>509299.45630003395</v>
      </c>
      <c r="BD100" s="483">
        <v>859442.83250630728</v>
      </c>
      <c r="BE100" s="483">
        <v>19870.636599706009</v>
      </c>
      <c r="BF100" s="483">
        <v>0</v>
      </c>
      <c r="BG100" s="483">
        <v>1293598.545941039</v>
      </c>
      <c r="BH100" s="483"/>
      <c r="BI100" s="483"/>
      <c r="BJ100" s="483"/>
      <c r="BK100" s="483"/>
      <c r="BL100" s="483"/>
      <c r="BM100" s="483"/>
      <c r="BN100" s="483"/>
      <c r="BO100" s="483"/>
      <c r="BP100" s="483"/>
      <c r="BQ100" s="483"/>
      <c r="BR100" s="483">
        <v>8539155.2187974807</v>
      </c>
      <c r="BS100" s="484">
        <f t="shared" si="18"/>
        <v>2994494.56300034</v>
      </c>
      <c r="BT100" s="485">
        <f t="shared" si="20"/>
        <v>0</v>
      </c>
      <c r="BU100" s="485">
        <f t="shared" si="20"/>
        <v>0</v>
      </c>
      <c r="BV100" s="485">
        <f t="shared" si="20"/>
        <v>0</v>
      </c>
      <c r="BW100" s="485">
        <f t="shared" si="20"/>
        <v>0</v>
      </c>
      <c r="BX100" s="485">
        <f t="shared" si="20"/>
        <v>0</v>
      </c>
      <c r="BY100" s="485">
        <f t="shared" si="20"/>
        <v>0</v>
      </c>
      <c r="BZ100" s="485">
        <f t="shared" si="20"/>
        <v>0</v>
      </c>
      <c r="CA100" s="485">
        <f t="shared" si="20"/>
        <v>0</v>
      </c>
      <c r="CB100" s="485">
        <f t="shared" si="20"/>
        <v>0</v>
      </c>
      <c r="CC100" s="485">
        <f t="shared" si="20"/>
        <v>0</v>
      </c>
      <c r="CD100" s="485">
        <f t="shared" si="21"/>
        <v>0</v>
      </c>
      <c r="CE100" s="485">
        <f t="shared" si="21"/>
        <v>0</v>
      </c>
      <c r="CF100" s="485">
        <f t="shared" si="21"/>
        <v>0</v>
      </c>
      <c r="CG100" s="485">
        <f t="shared" si="21"/>
        <v>0</v>
      </c>
      <c r="CH100" s="485">
        <f t="shared" si="21"/>
        <v>0</v>
      </c>
      <c r="CI100" s="485">
        <f t="shared" si="21"/>
        <v>0</v>
      </c>
      <c r="CJ100" s="485">
        <f t="shared" si="21"/>
        <v>0</v>
      </c>
      <c r="CK100" s="485">
        <f t="shared" si="21"/>
        <v>0</v>
      </c>
      <c r="CL100" s="485">
        <f t="shared" si="21"/>
        <v>1</v>
      </c>
      <c r="CM100" s="486">
        <f t="shared" si="19"/>
        <v>1</v>
      </c>
    </row>
    <row r="101" spans="1:91" s="487" customFormat="1" ht="25.5" x14ac:dyDescent="0.25">
      <c r="A101" s="497" t="s">
        <v>560</v>
      </c>
      <c r="B101" s="498" t="s">
        <v>2906</v>
      </c>
      <c r="C101" s="497" t="s">
        <v>2691</v>
      </c>
      <c r="D101" s="498"/>
      <c r="E101" s="497"/>
      <c r="F101" s="498"/>
      <c r="G101" s="497" t="s">
        <v>705</v>
      </c>
      <c r="H101" s="497" t="s">
        <v>654</v>
      </c>
      <c r="I101" s="497" t="s">
        <v>647</v>
      </c>
      <c r="J101" s="497" t="s">
        <v>641</v>
      </c>
      <c r="K101" s="497" t="s">
        <v>649</v>
      </c>
      <c r="L101" s="497" t="s">
        <v>40</v>
      </c>
      <c r="M101" s="497" t="s">
        <v>653</v>
      </c>
      <c r="N101" s="497" t="s">
        <v>645</v>
      </c>
      <c r="O101" s="497"/>
      <c r="P101" s="497" t="s">
        <v>643</v>
      </c>
      <c r="Q101" s="497" t="s">
        <v>656</v>
      </c>
      <c r="R101" s="497" t="s">
        <v>652</v>
      </c>
      <c r="S101" s="497" t="s">
        <v>649</v>
      </c>
      <c r="T101" s="497"/>
      <c r="U101" s="497" t="s">
        <v>689</v>
      </c>
      <c r="V101" s="497" t="s">
        <v>641</v>
      </c>
      <c r="W101" s="497" t="s">
        <v>718</v>
      </c>
      <c r="X101" s="499">
        <v>43282</v>
      </c>
      <c r="Y101" s="499">
        <v>44736</v>
      </c>
      <c r="Z101" s="500">
        <v>2022</v>
      </c>
      <c r="AA101" s="497" t="s">
        <v>663</v>
      </c>
      <c r="AB101" s="497"/>
      <c r="AC101" s="497" t="s">
        <v>663</v>
      </c>
      <c r="AD101" s="501"/>
      <c r="AE101" s="501">
        <v>1668926.9999999991</v>
      </c>
      <c r="AF101" s="501"/>
      <c r="AG101" s="501">
        <v>299618.34977599978</v>
      </c>
      <c r="AH101" s="501"/>
      <c r="AI101" s="501">
        <v>136899.99999110994</v>
      </c>
      <c r="AJ101" s="501"/>
      <c r="AK101" s="501"/>
      <c r="AL101" s="501">
        <v>29999.999999999982</v>
      </c>
      <c r="AM101" s="501"/>
      <c r="AN101" s="501">
        <v>9999.9999999999945</v>
      </c>
      <c r="AO101" s="501"/>
      <c r="AP101" s="501"/>
      <c r="AQ101" s="501"/>
      <c r="AR101" s="501"/>
      <c r="AS101" s="501"/>
      <c r="AT101" s="501"/>
      <c r="AU101" s="501"/>
      <c r="AV101" s="501"/>
      <c r="AW101" s="501"/>
      <c r="AX101" s="501"/>
      <c r="AY101" s="501"/>
      <c r="AZ101" s="501"/>
      <c r="BA101" s="501"/>
      <c r="BB101" s="483">
        <v>67117.045465066432</v>
      </c>
      <c r="BC101" s="483">
        <v>44744.696976710955</v>
      </c>
      <c r="BD101" s="483">
        <v>75506.676148199753</v>
      </c>
      <c r="BE101" s="483">
        <v>5933.9878629819859</v>
      </c>
      <c r="BF101" s="483">
        <v>0</v>
      </c>
      <c r="BG101" s="483">
        <v>250226.09144198528</v>
      </c>
      <c r="BH101" s="483"/>
      <c r="BI101" s="483"/>
      <c r="BJ101" s="483"/>
      <c r="BK101" s="483"/>
      <c r="BL101" s="483"/>
      <c r="BM101" s="483"/>
      <c r="BN101" s="483"/>
      <c r="BO101" s="483"/>
      <c r="BP101" s="483"/>
      <c r="BQ101" s="483"/>
      <c r="BR101" s="483">
        <v>2588973.8476620535</v>
      </c>
      <c r="BS101" s="484">
        <f t="shared" si="18"/>
        <v>2145445.3497671089</v>
      </c>
      <c r="BT101" s="485">
        <f t="shared" si="20"/>
        <v>0</v>
      </c>
      <c r="BU101" s="485">
        <f t="shared" si="20"/>
        <v>0</v>
      </c>
      <c r="BV101" s="485">
        <f t="shared" si="20"/>
        <v>0</v>
      </c>
      <c r="BW101" s="485">
        <f t="shared" si="20"/>
        <v>0</v>
      </c>
      <c r="BX101" s="485">
        <f t="shared" si="20"/>
        <v>0</v>
      </c>
      <c r="BY101" s="485">
        <f t="shared" si="20"/>
        <v>0</v>
      </c>
      <c r="BZ101" s="485">
        <f t="shared" si="20"/>
        <v>0</v>
      </c>
      <c r="CA101" s="485">
        <f t="shared" si="20"/>
        <v>0</v>
      </c>
      <c r="CB101" s="485">
        <f t="shared" si="20"/>
        <v>0</v>
      </c>
      <c r="CC101" s="485">
        <f t="shared" si="20"/>
        <v>0.91754625676654367</v>
      </c>
      <c r="CD101" s="485">
        <f t="shared" si="21"/>
        <v>0</v>
      </c>
      <c r="CE101" s="485">
        <f t="shared" si="21"/>
        <v>6.3809595525689169E-2</v>
      </c>
      <c r="CF101" s="485">
        <f t="shared" si="21"/>
        <v>0</v>
      </c>
      <c r="CG101" s="485">
        <f t="shared" si="21"/>
        <v>0</v>
      </c>
      <c r="CH101" s="485">
        <f t="shared" si="21"/>
        <v>1.3983110780825307E-2</v>
      </c>
      <c r="CI101" s="485">
        <f t="shared" si="21"/>
        <v>0</v>
      </c>
      <c r="CJ101" s="485">
        <f t="shared" si="21"/>
        <v>4.6610369269417693E-3</v>
      </c>
      <c r="CK101" s="485">
        <f t="shared" si="21"/>
        <v>0</v>
      </c>
      <c r="CL101" s="485">
        <f t="shared" si="21"/>
        <v>0</v>
      </c>
      <c r="CM101" s="486">
        <f t="shared" si="19"/>
        <v>0.99999999999999989</v>
      </c>
    </row>
    <row r="102" spans="1:91" s="487" customFormat="1" ht="25.5" x14ac:dyDescent="0.25">
      <c r="A102" s="497" t="s">
        <v>563</v>
      </c>
      <c r="B102" s="498" t="s">
        <v>2907</v>
      </c>
      <c r="C102" s="497" t="s">
        <v>704</v>
      </c>
      <c r="D102" s="498"/>
      <c r="E102" s="497" t="s">
        <v>703</v>
      </c>
      <c r="F102" s="498"/>
      <c r="G102" s="497"/>
      <c r="H102" s="497" t="s">
        <v>654</v>
      </c>
      <c r="I102" s="497" t="s">
        <v>647</v>
      </c>
      <c r="J102" s="497" t="s">
        <v>641</v>
      </c>
      <c r="K102" s="497" t="s">
        <v>649</v>
      </c>
      <c r="L102" s="497" t="s">
        <v>40</v>
      </c>
      <c r="M102" s="497" t="s">
        <v>653</v>
      </c>
      <c r="N102" s="497" t="s">
        <v>645</v>
      </c>
      <c r="O102" s="497"/>
      <c r="P102" s="497"/>
      <c r="Q102" s="497" t="s">
        <v>656</v>
      </c>
      <c r="R102" s="497" t="s">
        <v>652</v>
      </c>
      <c r="S102" s="497" t="s">
        <v>649</v>
      </c>
      <c r="T102" s="497"/>
      <c r="U102" s="497"/>
      <c r="V102" s="497" t="s">
        <v>641</v>
      </c>
      <c r="W102" s="497" t="s">
        <v>677</v>
      </c>
      <c r="X102" s="499">
        <v>43282</v>
      </c>
      <c r="Y102" s="499">
        <v>44736</v>
      </c>
      <c r="Z102" s="500">
        <v>2022</v>
      </c>
      <c r="AA102" s="497"/>
      <c r="AB102" s="497"/>
      <c r="AC102" s="497"/>
      <c r="AD102" s="501"/>
      <c r="AE102" s="501"/>
      <c r="AF102" s="501"/>
      <c r="AG102" s="501"/>
      <c r="AH102" s="501"/>
      <c r="AI102" s="501">
        <v>11000.000000009979</v>
      </c>
      <c r="AJ102" s="501">
        <v>977009.59999999823</v>
      </c>
      <c r="AK102" s="501">
        <v>39449.999998999934</v>
      </c>
      <c r="AL102" s="501"/>
      <c r="AM102" s="501"/>
      <c r="AN102" s="501"/>
      <c r="AO102" s="501"/>
      <c r="AP102" s="501"/>
      <c r="AQ102" s="501"/>
      <c r="AR102" s="501"/>
      <c r="AS102" s="501"/>
      <c r="AT102" s="501"/>
      <c r="AU102" s="501"/>
      <c r="AV102" s="501"/>
      <c r="AW102" s="501"/>
      <c r="AX102" s="501"/>
      <c r="AY102" s="501"/>
      <c r="AZ102" s="501"/>
      <c r="BA102" s="501"/>
      <c r="BB102" s="483">
        <v>69299.999999999854</v>
      </c>
      <c r="BC102" s="483"/>
      <c r="BD102" s="483"/>
      <c r="BE102" s="483"/>
      <c r="BF102" s="483">
        <v>0</v>
      </c>
      <c r="BG102" s="483">
        <v>195811.9559150819</v>
      </c>
      <c r="BH102" s="483"/>
      <c r="BI102" s="483"/>
      <c r="BJ102" s="483"/>
      <c r="BK102" s="483"/>
      <c r="BL102" s="483"/>
      <c r="BM102" s="483"/>
      <c r="BN102" s="483"/>
      <c r="BO102" s="483"/>
      <c r="BP102" s="483"/>
      <c r="BQ102" s="483"/>
      <c r="BR102" s="483">
        <v>1292571.5559140898</v>
      </c>
      <c r="BS102" s="484">
        <f t="shared" si="18"/>
        <v>1027459.5999990082</v>
      </c>
      <c r="BT102" s="485">
        <f t="shared" si="20"/>
        <v>0</v>
      </c>
      <c r="BU102" s="485">
        <f t="shared" si="20"/>
        <v>0</v>
      </c>
      <c r="BV102" s="485">
        <f t="shared" si="20"/>
        <v>0</v>
      </c>
      <c r="BW102" s="485">
        <f t="shared" si="20"/>
        <v>0</v>
      </c>
      <c r="BX102" s="485">
        <f t="shared" si="20"/>
        <v>0</v>
      </c>
      <c r="BY102" s="485">
        <f t="shared" si="20"/>
        <v>0</v>
      </c>
      <c r="BZ102" s="485">
        <f t="shared" si="20"/>
        <v>0</v>
      </c>
      <c r="CA102" s="485">
        <f t="shared" si="20"/>
        <v>0</v>
      </c>
      <c r="CB102" s="485">
        <f t="shared" si="20"/>
        <v>0</v>
      </c>
      <c r="CC102" s="485">
        <f t="shared" si="20"/>
        <v>0</v>
      </c>
      <c r="CD102" s="485">
        <f t="shared" si="21"/>
        <v>0.9508983126936974</v>
      </c>
      <c r="CE102" s="485">
        <f t="shared" si="21"/>
        <v>1.0706017054121249E-2</v>
      </c>
      <c r="CF102" s="485">
        <f t="shared" si="21"/>
        <v>3.839567025218122E-2</v>
      </c>
      <c r="CG102" s="485">
        <f t="shared" si="21"/>
        <v>0</v>
      </c>
      <c r="CH102" s="485">
        <f t="shared" si="21"/>
        <v>0</v>
      </c>
      <c r="CI102" s="485">
        <f t="shared" si="21"/>
        <v>0</v>
      </c>
      <c r="CJ102" s="485">
        <f t="shared" si="21"/>
        <v>0</v>
      </c>
      <c r="CK102" s="485">
        <f t="shared" si="21"/>
        <v>0</v>
      </c>
      <c r="CL102" s="485">
        <f t="shared" si="21"/>
        <v>0</v>
      </c>
      <c r="CM102" s="486">
        <f t="shared" si="19"/>
        <v>0.99999999999999989</v>
      </c>
    </row>
    <row r="103" spans="1:91" s="487" customFormat="1" ht="25.5" customHeight="1" x14ac:dyDescent="0.25">
      <c r="A103" s="497" t="s">
        <v>565</v>
      </c>
      <c r="B103" s="498" t="s">
        <v>2356</v>
      </c>
      <c r="C103" s="497" t="s">
        <v>702</v>
      </c>
      <c r="D103" s="498"/>
      <c r="E103" s="497" t="s">
        <v>701</v>
      </c>
      <c r="F103" s="498"/>
      <c r="G103" s="497"/>
      <c r="H103" s="497" t="s">
        <v>654</v>
      </c>
      <c r="I103" s="497" t="s">
        <v>647</v>
      </c>
      <c r="J103" s="497" t="s">
        <v>641</v>
      </c>
      <c r="K103" s="497" t="s">
        <v>649</v>
      </c>
      <c r="L103" s="497" t="s">
        <v>40</v>
      </c>
      <c r="M103" s="497" t="s">
        <v>653</v>
      </c>
      <c r="N103" s="497" t="s">
        <v>680</v>
      </c>
      <c r="O103" s="497"/>
      <c r="P103" s="497" t="s">
        <v>643</v>
      </c>
      <c r="Q103" s="497" t="s">
        <v>642</v>
      </c>
      <c r="R103" s="497" t="s">
        <v>652</v>
      </c>
      <c r="S103" s="497" t="s">
        <v>649</v>
      </c>
      <c r="T103" s="497"/>
      <c r="U103" s="497" t="s">
        <v>689</v>
      </c>
      <c r="V103" s="497" t="s">
        <v>641</v>
      </c>
      <c r="W103" s="497" t="s">
        <v>690</v>
      </c>
      <c r="X103" s="499">
        <v>42917</v>
      </c>
      <c r="Y103" s="499">
        <v>44264</v>
      </c>
      <c r="Z103" s="500">
        <v>2021</v>
      </c>
      <c r="AA103" s="497" t="s">
        <v>663</v>
      </c>
      <c r="AB103" s="497"/>
      <c r="AC103" s="497" t="s">
        <v>663</v>
      </c>
      <c r="AD103" s="501"/>
      <c r="AE103" s="501"/>
      <c r="AF103" s="501"/>
      <c r="AG103" s="501"/>
      <c r="AH103" s="501"/>
      <c r="AI103" s="501">
        <v>583072.71424013493</v>
      </c>
      <c r="AJ103" s="501"/>
      <c r="AK103" s="501">
        <v>1548425.1999370002</v>
      </c>
      <c r="AL103" s="501"/>
      <c r="AM103" s="501"/>
      <c r="AN103" s="501"/>
      <c r="AO103" s="501"/>
      <c r="AP103" s="501"/>
      <c r="AQ103" s="501"/>
      <c r="AR103" s="501"/>
      <c r="AS103" s="501">
        <v>21250.000000000007</v>
      </c>
      <c r="AT103" s="501"/>
      <c r="AU103" s="501"/>
      <c r="AV103" s="501"/>
      <c r="AW103" s="501"/>
      <c r="AX103" s="501"/>
      <c r="AY103" s="501"/>
      <c r="AZ103" s="501"/>
      <c r="BA103" s="501"/>
      <c r="BB103" s="483">
        <v>304724.68712657038</v>
      </c>
      <c r="BC103" s="483">
        <v>203149.7914177136</v>
      </c>
      <c r="BD103" s="483">
        <v>342815.27301739168</v>
      </c>
      <c r="BE103" s="483">
        <v>7926.0160807817338</v>
      </c>
      <c r="BF103" s="483">
        <v>186909.2614088936</v>
      </c>
      <c r="BG103" s="483">
        <v>852481.61699509318</v>
      </c>
      <c r="BH103" s="483"/>
      <c r="BI103" s="483"/>
      <c r="BJ103" s="483"/>
      <c r="BK103" s="483"/>
      <c r="BL103" s="483"/>
      <c r="BM103" s="483"/>
      <c r="BN103" s="483"/>
      <c r="BO103" s="483"/>
      <c r="BP103" s="483"/>
      <c r="BQ103" s="483"/>
      <c r="BR103" s="483">
        <v>4050754.5602235799</v>
      </c>
      <c r="BS103" s="484">
        <f t="shared" si="18"/>
        <v>2152747.9141771351</v>
      </c>
      <c r="BT103" s="485">
        <f t="shared" si="20"/>
        <v>0</v>
      </c>
      <c r="BU103" s="485">
        <f t="shared" si="20"/>
        <v>0</v>
      </c>
      <c r="BV103" s="485">
        <f t="shared" si="20"/>
        <v>0</v>
      </c>
      <c r="BW103" s="485">
        <f t="shared" si="20"/>
        <v>0</v>
      </c>
      <c r="BX103" s="485">
        <f t="shared" si="20"/>
        <v>0</v>
      </c>
      <c r="BY103" s="485">
        <f t="shared" si="20"/>
        <v>9.8711046751252304E-3</v>
      </c>
      <c r="BZ103" s="485">
        <f t="shared" si="20"/>
        <v>0</v>
      </c>
      <c r="CA103" s="485">
        <f t="shared" si="20"/>
        <v>0</v>
      </c>
      <c r="CB103" s="485">
        <f t="shared" si="20"/>
        <v>0</v>
      </c>
      <c r="CC103" s="485">
        <f t="shared" si="20"/>
        <v>0</v>
      </c>
      <c r="CD103" s="485">
        <f t="shared" si="21"/>
        <v>0</v>
      </c>
      <c r="CE103" s="485">
        <f t="shared" si="21"/>
        <v>0.2708504374340589</v>
      </c>
      <c r="CF103" s="485">
        <f t="shared" si="21"/>
        <v>0.7192784578908159</v>
      </c>
      <c r="CG103" s="485">
        <f t="shared" si="21"/>
        <v>0</v>
      </c>
      <c r="CH103" s="485">
        <f t="shared" si="21"/>
        <v>0</v>
      </c>
      <c r="CI103" s="485">
        <f t="shared" si="21"/>
        <v>0</v>
      </c>
      <c r="CJ103" s="485">
        <f t="shared" si="21"/>
        <v>0</v>
      </c>
      <c r="CK103" s="485">
        <f t="shared" si="21"/>
        <v>0</v>
      </c>
      <c r="CL103" s="485">
        <f t="shared" si="21"/>
        <v>0</v>
      </c>
      <c r="CM103" s="486">
        <f t="shared" si="19"/>
        <v>1</v>
      </c>
    </row>
    <row r="104" spans="1:91" s="487" customFormat="1" ht="25.5" customHeight="1" x14ac:dyDescent="0.25">
      <c r="A104" s="497" t="s">
        <v>571</v>
      </c>
      <c r="B104" s="498" t="s">
        <v>2908</v>
      </c>
      <c r="C104" s="497" t="s">
        <v>696</v>
      </c>
      <c r="D104" s="498"/>
      <c r="E104" s="497" t="s">
        <v>695</v>
      </c>
      <c r="F104" s="498"/>
      <c r="G104" s="497" t="s">
        <v>686</v>
      </c>
      <c r="H104" s="497" t="s">
        <v>654</v>
      </c>
      <c r="I104" s="497" t="s">
        <v>647</v>
      </c>
      <c r="J104" s="497" t="s">
        <v>641</v>
      </c>
      <c r="K104" s="497" t="s">
        <v>649</v>
      </c>
      <c r="L104" s="497" t="s">
        <v>31</v>
      </c>
      <c r="M104" s="497" t="s">
        <v>653</v>
      </c>
      <c r="N104" s="497" t="s">
        <v>645</v>
      </c>
      <c r="O104" s="497"/>
      <c r="P104" s="497"/>
      <c r="Q104" s="497" t="s">
        <v>656</v>
      </c>
      <c r="R104" s="497" t="s">
        <v>652</v>
      </c>
      <c r="S104" s="497" t="s">
        <v>649</v>
      </c>
      <c r="T104" s="497"/>
      <c r="U104" s="497"/>
      <c r="V104" s="497" t="s">
        <v>641</v>
      </c>
      <c r="W104" s="497" t="s">
        <v>694</v>
      </c>
      <c r="X104" s="499">
        <v>43405</v>
      </c>
      <c r="Y104" s="499">
        <v>44468</v>
      </c>
      <c r="Z104" s="500">
        <v>2022</v>
      </c>
      <c r="AA104" s="497" t="s">
        <v>663</v>
      </c>
      <c r="AB104" s="497"/>
      <c r="AC104" s="497"/>
      <c r="AD104" s="501"/>
      <c r="AE104" s="501">
        <v>984999.99999580032</v>
      </c>
      <c r="AF104" s="501"/>
      <c r="AG104" s="501">
        <v>717930.08084137365</v>
      </c>
      <c r="AH104" s="501"/>
      <c r="AI104" s="501">
        <v>354933.8744812216</v>
      </c>
      <c r="AJ104" s="501"/>
      <c r="AK104" s="501"/>
      <c r="AL104" s="501">
        <v>741350.01491394127</v>
      </c>
      <c r="AM104" s="501"/>
      <c r="AN104" s="501">
        <v>5000.0000000000018</v>
      </c>
      <c r="AO104" s="501">
        <v>278000.00000000012</v>
      </c>
      <c r="AP104" s="501"/>
      <c r="AQ104" s="501">
        <v>613961.73193000024</v>
      </c>
      <c r="AR104" s="501">
        <v>99082.424250000011</v>
      </c>
      <c r="AS104" s="501"/>
      <c r="AT104" s="501"/>
      <c r="AU104" s="501"/>
      <c r="AV104" s="501"/>
      <c r="AW104" s="501"/>
      <c r="AX104" s="501"/>
      <c r="AY104" s="501"/>
      <c r="AZ104" s="501"/>
      <c r="BA104" s="501"/>
      <c r="BB104" s="483">
        <v>386019.56946185068</v>
      </c>
      <c r="BC104" s="483">
        <v>257346.37964123377</v>
      </c>
      <c r="BD104" s="483">
        <v>434272.01564458199</v>
      </c>
      <c r="BE104" s="483">
        <v>13290.464250690015</v>
      </c>
      <c r="BF104" s="483">
        <v>190041.96402323374</v>
      </c>
      <c r="BG104" s="483">
        <v>899152.15406053117</v>
      </c>
      <c r="BH104" s="483"/>
      <c r="BI104" s="483"/>
      <c r="BJ104" s="483"/>
      <c r="BK104" s="483"/>
      <c r="BL104" s="483"/>
      <c r="BM104" s="483"/>
      <c r="BN104" s="483"/>
      <c r="BO104" s="483"/>
      <c r="BP104" s="483"/>
      <c r="BQ104" s="483"/>
      <c r="BR104" s="483">
        <v>5975380.6734944573</v>
      </c>
      <c r="BS104" s="484">
        <f t="shared" si="18"/>
        <v>3795258.1264123372</v>
      </c>
      <c r="BT104" s="485">
        <f t="shared" si="20"/>
        <v>0</v>
      </c>
      <c r="BU104" s="485">
        <f t="shared" si="20"/>
        <v>2.6106899965632317E-2</v>
      </c>
      <c r="BV104" s="485">
        <f t="shared" si="20"/>
        <v>0.16177074430254343</v>
      </c>
      <c r="BW104" s="485">
        <f t="shared" si="20"/>
        <v>0</v>
      </c>
      <c r="BX104" s="485">
        <f t="shared" si="20"/>
        <v>0</v>
      </c>
      <c r="BY104" s="485">
        <f t="shared" si="20"/>
        <v>0</v>
      </c>
      <c r="BZ104" s="485">
        <f t="shared" si="20"/>
        <v>0</v>
      </c>
      <c r="CA104" s="485">
        <f t="shared" si="20"/>
        <v>0</v>
      </c>
      <c r="CB104" s="485">
        <f t="shared" si="20"/>
        <v>0</v>
      </c>
      <c r="CC104" s="485">
        <f t="shared" si="20"/>
        <v>0.44869940966227667</v>
      </c>
      <c r="CD104" s="485">
        <f t="shared" si="21"/>
        <v>0</v>
      </c>
      <c r="CE104" s="485">
        <f t="shared" si="21"/>
        <v>9.3520351622760664E-2</v>
      </c>
      <c r="CF104" s="485">
        <f t="shared" si="21"/>
        <v>0</v>
      </c>
      <c r="CG104" s="485">
        <f t="shared" si="21"/>
        <v>0</v>
      </c>
      <c r="CH104" s="485">
        <f t="shared" si="21"/>
        <v>0.19533586128296904</v>
      </c>
      <c r="CI104" s="485">
        <f t="shared" si="21"/>
        <v>7.3249299715693883E-2</v>
      </c>
      <c r="CJ104" s="485">
        <f t="shared" si="21"/>
        <v>1.3174334481239906E-3</v>
      </c>
      <c r="CK104" s="485">
        <f t="shared" si="21"/>
        <v>0</v>
      </c>
      <c r="CL104" s="485">
        <f t="shared" si="21"/>
        <v>0</v>
      </c>
      <c r="CM104" s="486">
        <f t="shared" si="19"/>
        <v>0.99999999999999989</v>
      </c>
    </row>
    <row r="105" spans="1:91" s="487" customFormat="1" ht="25.5" x14ac:dyDescent="0.25">
      <c r="A105" s="497" t="s">
        <v>579</v>
      </c>
      <c r="B105" s="498" t="s">
        <v>2911</v>
      </c>
      <c r="C105" s="497" t="s">
        <v>2692</v>
      </c>
      <c r="D105" s="498"/>
      <c r="E105" s="497" t="s">
        <v>655</v>
      </c>
      <c r="F105" s="498"/>
      <c r="G105" s="497" t="s">
        <v>691</v>
      </c>
      <c r="H105" s="497" t="s">
        <v>654</v>
      </c>
      <c r="I105" s="497" t="s">
        <v>647</v>
      </c>
      <c r="J105" s="497" t="s">
        <v>641</v>
      </c>
      <c r="K105" s="497" t="s">
        <v>649</v>
      </c>
      <c r="L105" s="497" t="s">
        <v>40</v>
      </c>
      <c r="M105" s="497" t="s">
        <v>653</v>
      </c>
      <c r="N105" s="497" t="s">
        <v>645</v>
      </c>
      <c r="O105" s="497"/>
      <c r="P105" s="497" t="s">
        <v>643</v>
      </c>
      <c r="Q105" s="497" t="s">
        <v>656</v>
      </c>
      <c r="R105" s="497" t="s">
        <v>652</v>
      </c>
      <c r="S105" s="497" t="s">
        <v>649</v>
      </c>
      <c r="T105" s="497"/>
      <c r="U105" s="497" t="s">
        <v>689</v>
      </c>
      <c r="V105" s="497" t="s">
        <v>641</v>
      </c>
      <c r="W105" s="497" t="s">
        <v>766</v>
      </c>
      <c r="X105" s="499">
        <v>42917</v>
      </c>
      <c r="Y105" s="499">
        <v>44377</v>
      </c>
      <c r="Z105" s="500">
        <v>2021</v>
      </c>
      <c r="AA105" s="497" t="s">
        <v>663</v>
      </c>
      <c r="AB105" s="497"/>
      <c r="AC105" s="497" t="s">
        <v>663</v>
      </c>
      <c r="AD105" s="501"/>
      <c r="AE105" s="501">
        <v>960000.00000000058</v>
      </c>
      <c r="AF105" s="501"/>
      <c r="AG105" s="501">
        <v>75219.104888500049</v>
      </c>
      <c r="AH105" s="501"/>
      <c r="AI105" s="501">
        <v>200792.99987580412</v>
      </c>
      <c r="AJ105" s="501"/>
      <c r="AK105" s="501"/>
      <c r="AL105" s="501">
        <v>162800.00502264933</v>
      </c>
      <c r="AM105" s="501"/>
      <c r="AN105" s="501"/>
      <c r="AO105" s="501">
        <v>48823.500000000029</v>
      </c>
      <c r="AP105" s="501"/>
      <c r="AQ105" s="501"/>
      <c r="AR105" s="501"/>
      <c r="AS105" s="501"/>
      <c r="AT105" s="501"/>
      <c r="AU105" s="501"/>
      <c r="AV105" s="501"/>
      <c r="AW105" s="501"/>
      <c r="AX105" s="501"/>
      <c r="AY105" s="501"/>
      <c r="AZ105" s="501"/>
      <c r="BA105" s="501"/>
      <c r="BB105" s="483">
        <v>78168.163468043102</v>
      </c>
      <c r="BC105" s="483">
        <v>52112.108978695411</v>
      </c>
      <c r="BD105" s="483">
        <v>87939.183901548531</v>
      </c>
      <c r="BE105" s="483">
        <v>2078.6014318719135</v>
      </c>
      <c r="BF105" s="483">
        <v>82668.163468043131</v>
      </c>
      <c r="BG105" s="483">
        <v>261012.70040077582</v>
      </c>
      <c r="BH105" s="483"/>
      <c r="BI105" s="483"/>
      <c r="BJ105" s="483"/>
      <c r="BK105" s="483"/>
      <c r="BL105" s="483"/>
      <c r="BM105" s="483"/>
      <c r="BN105" s="483"/>
      <c r="BO105" s="483"/>
      <c r="BP105" s="483"/>
      <c r="BQ105" s="483"/>
      <c r="BR105" s="483">
        <v>2011614.5314359323</v>
      </c>
      <c r="BS105" s="484">
        <f t="shared" si="18"/>
        <v>1447635.6097869542</v>
      </c>
      <c r="BT105" s="485">
        <f t="shared" ref="BT105:CC111" si="22">SUMIFS($AD105:$BA105,$AD$11:$BA$11,BT$21)/$BS105</f>
        <v>0</v>
      </c>
      <c r="BU105" s="485">
        <f t="shared" si="22"/>
        <v>0</v>
      </c>
      <c r="BV105" s="485">
        <f t="shared" si="22"/>
        <v>0</v>
      </c>
      <c r="BW105" s="485">
        <f t="shared" si="22"/>
        <v>0</v>
      </c>
      <c r="BX105" s="485">
        <f t="shared" si="22"/>
        <v>0</v>
      </c>
      <c r="BY105" s="485">
        <f t="shared" si="22"/>
        <v>0</v>
      </c>
      <c r="BZ105" s="485">
        <f t="shared" si="22"/>
        <v>0</v>
      </c>
      <c r="CA105" s="485">
        <f t="shared" si="22"/>
        <v>0</v>
      </c>
      <c r="CB105" s="485">
        <f t="shared" si="22"/>
        <v>0</v>
      </c>
      <c r="CC105" s="485">
        <f t="shared" si="22"/>
        <v>0.7151102790576227</v>
      </c>
      <c r="CD105" s="485">
        <f t="shared" ref="CD105:CL111" si="23">SUMIFS($AD105:$BA105,$AD$11:$BA$11,CD$21)/$BS105</f>
        <v>0</v>
      </c>
      <c r="CE105" s="485">
        <f t="shared" si="23"/>
        <v>0.13870410379401654</v>
      </c>
      <c r="CF105" s="485">
        <f t="shared" si="23"/>
        <v>0</v>
      </c>
      <c r="CG105" s="485">
        <f t="shared" si="23"/>
        <v>0</v>
      </c>
      <c r="CH105" s="485">
        <f t="shared" si="23"/>
        <v>0.11245924314241502</v>
      </c>
      <c r="CI105" s="485">
        <f t="shared" si="23"/>
        <v>3.3726374005945664E-2</v>
      </c>
      <c r="CJ105" s="485">
        <f t="shared" si="23"/>
        <v>0</v>
      </c>
      <c r="CK105" s="485">
        <f t="shared" si="23"/>
        <v>0</v>
      </c>
      <c r="CL105" s="485">
        <f t="shared" si="23"/>
        <v>0</v>
      </c>
      <c r="CM105" s="486">
        <f t="shared" si="19"/>
        <v>1</v>
      </c>
    </row>
    <row r="106" spans="1:91" s="487" customFormat="1" ht="25.5" x14ac:dyDescent="0.25">
      <c r="A106" s="497" t="s">
        <v>581</v>
      </c>
      <c r="B106" s="498" t="s">
        <v>2912</v>
      </c>
      <c r="C106" s="497" t="s">
        <v>2693</v>
      </c>
      <c r="D106" s="498"/>
      <c r="E106" s="497"/>
      <c r="F106" s="498"/>
      <c r="G106" s="497"/>
      <c r="H106" s="497" t="s">
        <v>654</v>
      </c>
      <c r="I106" s="497" t="s">
        <v>647</v>
      </c>
      <c r="J106" s="497" t="s">
        <v>641</v>
      </c>
      <c r="K106" s="497" t="s">
        <v>649</v>
      </c>
      <c r="L106" s="497" t="s">
        <v>40</v>
      </c>
      <c r="M106" s="497" t="s">
        <v>653</v>
      </c>
      <c r="N106" s="497" t="s">
        <v>645</v>
      </c>
      <c r="O106" s="497"/>
      <c r="P106" s="497" t="s">
        <v>643</v>
      </c>
      <c r="Q106" s="497" t="s">
        <v>656</v>
      </c>
      <c r="R106" s="497" t="s">
        <v>652</v>
      </c>
      <c r="S106" s="497" t="s">
        <v>649</v>
      </c>
      <c r="T106" s="497"/>
      <c r="U106" s="497" t="s">
        <v>689</v>
      </c>
      <c r="V106" s="497" t="s">
        <v>641</v>
      </c>
      <c r="W106" s="497" t="s">
        <v>2792</v>
      </c>
      <c r="X106" s="499">
        <v>42828</v>
      </c>
      <c r="Y106" s="499">
        <v>44651</v>
      </c>
      <c r="Z106" s="500">
        <v>2022</v>
      </c>
      <c r="AA106" s="497" t="s">
        <v>676</v>
      </c>
      <c r="AB106" s="497"/>
      <c r="AC106" s="497" t="s">
        <v>663</v>
      </c>
      <c r="AD106" s="501"/>
      <c r="AE106" s="501"/>
      <c r="AF106" s="501"/>
      <c r="AG106" s="501">
        <v>239320.53999999998</v>
      </c>
      <c r="AH106" s="501"/>
      <c r="AI106" s="501">
        <v>3767.9994000000006</v>
      </c>
      <c r="AJ106" s="501"/>
      <c r="AK106" s="501"/>
      <c r="AL106" s="501">
        <v>2367713.9999838709</v>
      </c>
      <c r="AM106" s="501"/>
      <c r="AN106" s="501"/>
      <c r="AO106" s="501">
        <v>0</v>
      </c>
      <c r="AP106" s="501"/>
      <c r="AQ106" s="501"/>
      <c r="AR106" s="501"/>
      <c r="AS106" s="501"/>
      <c r="AT106" s="501"/>
      <c r="AU106" s="501"/>
      <c r="AV106" s="501"/>
      <c r="AW106" s="501"/>
      <c r="AX106" s="501"/>
      <c r="AY106" s="501"/>
      <c r="AZ106" s="501"/>
      <c r="BA106" s="501"/>
      <c r="BB106" s="483">
        <v>820154.28090758121</v>
      </c>
      <c r="BC106" s="483"/>
      <c r="BD106" s="483">
        <v>491650.1307393458</v>
      </c>
      <c r="BE106" s="483">
        <v>11460.919115334691</v>
      </c>
      <c r="BF106" s="483">
        <v>0</v>
      </c>
      <c r="BG106" s="483">
        <v>740183.90777566843</v>
      </c>
      <c r="BH106" s="483">
        <v>250000</v>
      </c>
      <c r="BI106" s="483"/>
      <c r="BJ106" s="483"/>
      <c r="BK106" s="483"/>
      <c r="BL106" s="483"/>
      <c r="BM106" s="483"/>
      <c r="BN106" s="483"/>
      <c r="BO106" s="483">
        <v>200000</v>
      </c>
      <c r="BP106" s="483"/>
      <c r="BQ106" s="483"/>
      <c r="BR106" s="483">
        <v>5124251.7779218014</v>
      </c>
      <c r="BS106" s="484">
        <f t="shared" si="18"/>
        <v>2610802.539383871</v>
      </c>
      <c r="BT106" s="485">
        <f t="shared" si="22"/>
        <v>0</v>
      </c>
      <c r="BU106" s="485">
        <f t="shared" si="22"/>
        <v>0</v>
      </c>
      <c r="BV106" s="485">
        <f t="shared" si="22"/>
        <v>0</v>
      </c>
      <c r="BW106" s="485">
        <f t="shared" si="22"/>
        <v>0</v>
      </c>
      <c r="BX106" s="485">
        <f t="shared" si="22"/>
        <v>0</v>
      </c>
      <c r="BY106" s="485">
        <f t="shared" si="22"/>
        <v>0</v>
      </c>
      <c r="BZ106" s="485">
        <f t="shared" si="22"/>
        <v>0</v>
      </c>
      <c r="CA106" s="485">
        <f t="shared" si="22"/>
        <v>0</v>
      </c>
      <c r="CB106" s="485">
        <f t="shared" si="22"/>
        <v>0</v>
      </c>
      <c r="CC106" s="485">
        <f t="shared" si="22"/>
        <v>9.1665507593874859E-2</v>
      </c>
      <c r="CD106" s="485">
        <f t="shared" si="23"/>
        <v>0</v>
      </c>
      <c r="CE106" s="485">
        <f t="shared" si="23"/>
        <v>1.443234156225855E-3</v>
      </c>
      <c r="CF106" s="485">
        <f t="shared" si="23"/>
        <v>0</v>
      </c>
      <c r="CG106" s="485">
        <f t="shared" si="23"/>
        <v>0</v>
      </c>
      <c r="CH106" s="485">
        <f t="shared" si="23"/>
        <v>0.90689125824989925</v>
      </c>
      <c r="CI106" s="485">
        <f t="shared" si="23"/>
        <v>0</v>
      </c>
      <c r="CJ106" s="485">
        <f t="shared" si="23"/>
        <v>0</v>
      </c>
      <c r="CK106" s="485">
        <f t="shared" si="23"/>
        <v>0</v>
      </c>
      <c r="CL106" s="485">
        <f t="shared" si="23"/>
        <v>0</v>
      </c>
      <c r="CM106" s="486">
        <f t="shared" si="19"/>
        <v>1</v>
      </c>
    </row>
    <row r="107" spans="1:91" s="487" customFormat="1" ht="25.5" x14ac:dyDescent="0.25">
      <c r="A107" s="497" t="s">
        <v>585</v>
      </c>
      <c r="B107" s="498" t="s">
        <v>2914</v>
      </c>
      <c r="C107" s="497" t="s">
        <v>2500</v>
      </c>
      <c r="D107" s="498"/>
      <c r="E107" s="497" t="s">
        <v>655</v>
      </c>
      <c r="F107" s="498"/>
      <c r="G107" s="497"/>
      <c r="H107" s="497" t="s">
        <v>654</v>
      </c>
      <c r="I107" s="497" t="s">
        <v>647</v>
      </c>
      <c r="J107" s="497" t="s">
        <v>671</v>
      </c>
      <c r="K107" s="497" t="s">
        <v>649</v>
      </c>
      <c r="L107" s="497" t="s">
        <v>55</v>
      </c>
      <c r="M107" s="497" t="s">
        <v>653</v>
      </c>
      <c r="N107" s="497" t="s">
        <v>645</v>
      </c>
      <c r="O107" s="497"/>
      <c r="P107" s="497"/>
      <c r="Q107" s="497" t="s">
        <v>650</v>
      </c>
      <c r="R107" s="497" t="s">
        <v>652</v>
      </c>
      <c r="S107" s="497" t="s">
        <v>649</v>
      </c>
      <c r="T107" s="497"/>
      <c r="U107" s="497"/>
      <c r="V107" s="497" t="s">
        <v>683</v>
      </c>
      <c r="W107" s="497" t="s">
        <v>677</v>
      </c>
      <c r="X107" s="499">
        <v>45047</v>
      </c>
      <c r="Y107" s="499">
        <v>45419</v>
      </c>
      <c r="Z107" s="500">
        <v>2024</v>
      </c>
      <c r="AA107" s="497"/>
      <c r="AB107" s="497"/>
      <c r="AC107" s="497"/>
      <c r="AD107" s="501"/>
      <c r="AE107" s="501"/>
      <c r="AF107" s="501"/>
      <c r="AG107" s="501"/>
      <c r="AH107" s="501"/>
      <c r="AI107" s="501"/>
      <c r="AJ107" s="501"/>
      <c r="AK107" s="501"/>
      <c r="AL107" s="501"/>
      <c r="AM107" s="501"/>
      <c r="AN107" s="501"/>
      <c r="AO107" s="501"/>
      <c r="AP107" s="501"/>
      <c r="AQ107" s="501"/>
      <c r="AR107" s="501"/>
      <c r="AS107" s="501"/>
      <c r="AT107" s="501"/>
      <c r="AU107" s="501"/>
      <c r="AV107" s="501">
        <v>61999.999999999985</v>
      </c>
      <c r="AW107" s="501"/>
      <c r="AX107" s="501"/>
      <c r="AY107" s="501"/>
      <c r="AZ107" s="501"/>
      <c r="BA107" s="501"/>
      <c r="BB107" s="483"/>
      <c r="BC107" s="483"/>
      <c r="BD107" s="483"/>
      <c r="BE107" s="483"/>
      <c r="BF107" s="483"/>
      <c r="BG107" s="483">
        <v>248000.00000000003</v>
      </c>
      <c r="BH107" s="483"/>
      <c r="BI107" s="483"/>
      <c r="BJ107" s="483"/>
      <c r="BK107" s="483"/>
      <c r="BL107" s="483"/>
      <c r="BM107" s="483"/>
      <c r="BN107" s="483"/>
      <c r="BO107" s="483"/>
      <c r="BP107" s="483"/>
      <c r="BQ107" s="483"/>
      <c r="BR107" s="483">
        <v>310000</v>
      </c>
      <c r="BS107" s="484">
        <f t="shared" si="18"/>
        <v>61999.999999999985</v>
      </c>
      <c r="BT107" s="485">
        <f t="shared" si="22"/>
        <v>0</v>
      </c>
      <c r="BU107" s="485">
        <f t="shared" si="22"/>
        <v>0</v>
      </c>
      <c r="BV107" s="485">
        <f t="shared" si="22"/>
        <v>0</v>
      </c>
      <c r="BW107" s="485">
        <f t="shared" si="22"/>
        <v>1</v>
      </c>
      <c r="BX107" s="485">
        <f t="shared" si="22"/>
        <v>0</v>
      </c>
      <c r="BY107" s="485">
        <f t="shared" si="22"/>
        <v>0</v>
      </c>
      <c r="BZ107" s="485">
        <f t="shared" si="22"/>
        <v>0</v>
      </c>
      <c r="CA107" s="485">
        <f t="shared" si="22"/>
        <v>0</v>
      </c>
      <c r="CB107" s="485">
        <f t="shared" si="22"/>
        <v>0</v>
      </c>
      <c r="CC107" s="485">
        <f t="shared" si="22"/>
        <v>0</v>
      </c>
      <c r="CD107" s="485">
        <f t="shared" si="23"/>
        <v>0</v>
      </c>
      <c r="CE107" s="485">
        <f t="shared" si="23"/>
        <v>0</v>
      </c>
      <c r="CF107" s="485">
        <f t="shared" si="23"/>
        <v>0</v>
      </c>
      <c r="CG107" s="485">
        <f t="shared" si="23"/>
        <v>0</v>
      </c>
      <c r="CH107" s="485">
        <f t="shared" si="23"/>
        <v>0</v>
      </c>
      <c r="CI107" s="485">
        <f t="shared" si="23"/>
        <v>0</v>
      </c>
      <c r="CJ107" s="485">
        <f t="shared" si="23"/>
        <v>0</v>
      </c>
      <c r="CK107" s="485">
        <f t="shared" si="23"/>
        <v>0</v>
      </c>
      <c r="CL107" s="485">
        <f t="shared" si="23"/>
        <v>0</v>
      </c>
      <c r="CM107" s="486">
        <f t="shared" si="19"/>
        <v>1</v>
      </c>
    </row>
    <row r="108" spans="1:91" s="487" customFormat="1" ht="25.5" x14ac:dyDescent="0.25">
      <c r="A108" s="497" t="s">
        <v>590</v>
      </c>
      <c r="B108" s="498" t="s">
        <v>2915</v>
      </c>
      <c r="C108" s="497" t="s">
        <v>687</v>
      </c>
      <c r="D108" s="498"/>
      <c r="E108" s="497" t="s">
        <v>655</v>
      </c>
      <c r="F108" s="498"/>
      <c r="G108" s="497"/>
      <c r="H108" s="497" t="s">
        <v>654</v>
      </c>
      <c r="I108" s="497" t="s">
        <v>647</v>
      </c>
      <c r="J108" s="497" t="s">
        <v>641</v>
      </c>
      <c r="K108" s="497" t="s">
        <v>649</v>
      </c>
      <c r="L108" s="497" t="s">
        <v>40</v>
      </c>
      <c r="M108" s="497" t="s">
        <v>653</v>
      </c>
      <c r="N108" s="497" t="s">
        <v>645</v>
      </c>
      <c r="O108" s="497"/>
      <c r="P108" s="497"/>
      <c r="Q108" s="497" t="s">
        <v>650</v>
      </c>
      <c r="R108" s="497" t="s">
        <v>652</v>
      </c>
      <c r="S108" s="497" t="s">
        <v>649</v>
      </c>
      <c r="T108" s="497"/>
      <c r="U108" s="497"/>
      <c r="V108" s="497" t="s">
        <v>685</v>
      </c>
      <c r="W108" s="497"/>
      <c r="X108" s="499">
        <v>44013</v>
      </c>
      <c r="Y108" s="499">
        <v>44420</v>
      </c>
      <c r="Z108" s="500">
        <v>2022</v>
      </c>
      <c r="AA108" s="497"/>
      <c r="AB108" s="497"/>
      <c r="AC108" s="497"/>
      <c r="AD108" s="501"/>
      <c r="AE108" s="501"/>
      <c r="AF108" s="501"/>
      <c r="AG108" s="501"/>
      <c r="AH108" s="501"/>
      <c r="AI108" s="501"/>
      <c r="AJ108" s="501"/>
      <c r="AK108" s="501"/>
      <c r="AL108" s="501"/>
      <c r="AM108" s="501"/>
      <c r="AN108" s="501"/>
      <c r="AO108" s="501"/>
      <c r="AP108" s="501"/>
      <c r="AQ108" s="501"/>
      <c r="AR108" s="501"/>
      <c r="AS108" s="501"/>
      <c r="AT108" s="501"/>
      <c r="AU108" s="501"/>
      <c r="AV108" s="501">
        <v>200000.00000000003</v>
      </c>
      <c r="AW108" s="501"/>
      <c r="AX108" s="501"/>
      <c r="AY108" s="501"/>
      <c r="AZ108" s="501"/>
      <c r="BA108" s="501"/>
      <c r="BB108" s="483"/>
      <c r="BC108" s="483"/>
      <c r="BD108" s="483"/>
      <c r="BE108" s="483"/>
      <c r="BF108" s="483"/>
      <c r="BG108" s="483">
        <v>800176.22333333327</v>
      </c>
      <c r="BH108" s="483"/>
      <c r="BI108" s="483"/>
      <c r="BJ108" s="483"/>
      <c r="BK108" s="483"/>
      <c r="BL108" s="483"/>
      <c r="BM108" s="483"/>
      <c r="BN108" s="483"/>
      <c r="BO108" s="483"/>
      <c r="BP108" s="483"/>
      <c r="BQ108" s="483"/>
      <c r="BR108" s="483">
        <v>1000176.2233333333</v>
      </c>
      <c r="BS108" s="484">
        <f t="shared" si="18"/>
        <v>200000.00000000003</v>
      </c>
      <c r="BT108" s="485">
        <f t="shared" si="22"/>
        <v>0</v>
      </c>
      <c r="BU108" s="485">
        <f t="shared" si="22"/>
        <v>0</v>
      </c>
      <c r="BV108" s="485">
        <f t="shared" si="22"/>
        <v>0</v>
      </c>
      <c r="BW108" s="485">
        <f t="shared" si="22"/>
        <v>1</v>
      </c>
      <c r="BX108" s="485">
        <f t="shared" si="22"/>
        <v>0</v>
      </c>
      <c r="BY108" s="485">
        <f t="shared" si="22"/>
        <v>0</v>
      </c>
      <c r="BZ108" s="485">
        <f t="shared" si="22"/>
        <v>0</v>
      </c>
      <c r="CA108" s="485">
        <f t="shared" si="22"/>
        <v>0</v>
      </c>
      <c r="CB108" s="485">
        <f t="shared" si="22"/>
        <v>0</v>
      </c>
      <c r="CC108" s="485">
        <f t="shared" si="22"/>
        <v>0</v>
      </c>
      <c r="CD108" s="485">
        <f t="shared" si="23"/>
        <v>0</v>
      </c>
      <c r="CE108" s="485">
        <f t="shared" si="23"/>
        <v>0</v>
      </c>
      <c r="CF108" s="485">
        <f t="shared" si="23"/>
        <v>0</v>
      </c>
      <c r="CG108" s="485">
        <f t="shared" si="23"/>
        <v>0</v>
      </c>
      <c r="CH108" s="485">
        <f t="shared" si="23"/>
        <v>0</v>
      </c>
      <c r="CI108" s="485">
        <f t="shared" si="23"/>
        <v>0</v>
      </c>
      <c r="CJ108" s="485">
        <f t="shared" si="23"/>
        <v>0</v>
      </c>
      <c r="CK108" s="485">
        <f t="shared" si="23"/>
        <v>0</v>
      </c>
      <c r="CL108" s="485">
        <f t="shared" si="23"/>
        <v>0</v>
      </c>
      <c r="CM108" s="486">
        <f t="shared" si="19"/>
        <v>1</v>
      </c>
    </row>
    <row r="109" spans="1:91" s="487" customFormat="1" ht="25.5" x14ac:dyDescent="0.25">
      <c r="A109" s="497" t="s">
        <v>592</v>
      </c>
      <c r="B109" s="498" t="s">
        <v>2916</v>
      </c>
      <c r="C109" s="497" t="s">
        <v>2694</v>
      </c>
      <c r="D109" s="498"/>
      <c r="E109" s="497" t="s">
        <v>655</v>
      </c>
      <c r="F109" s="498"/>
      <c r="G109" s="497"/>
      <c r="H109" s="497" t="s">
        <v>654</v>
      </c>
      <c r="I109" s="497" t="s">
        <v>647</v>
      </c>
      <c r="J109" s="497" t="s">
        <v>641</v>
      </c>
      <c r="K109" s="497" t="s">
        <v>649</v>
      </c>
      <c r="L109" s="497" t="s">
        <v>40</v>
      </c>
      <c r="M109" s="497" t="s">
        <v>653</v>
      </c>
      <c r="N109" s="497" t="s">
        <v>645</v>
      </c>
      <c r="O109" s="497"/>
      <c r="P109" s="497"/>
      <c r="Q109" s="497" t="s">
        <v>650</v>
      </c>
      <c r="R109" s="497" t="s">
        <v>652</v>
      </c>
      <c r="S109" s="497" t="s">
        <v>649</v>
      </c>
      <c r="T109" s="497"/>
      <c r="U109" s="497"/>
      <c r="V109" s="497" t="s">
        <v>685</v>
      </c>
      <c r="W109" s="497" t="s">
        <v>677</v>
      </c>
      <c r="X109" s="499">
        <v>44378</v>
      </c>
      <c r="Y109" s="499">
        <v>45107</v>
      </c>
      <c r="Z109" s="500">
        <v>2023</v>
      </c>
      <c r="AA109" s="497"/>
      <c r="AB109" s="497"/>
      <c r="AC109" s="497"/>
      <c r="AD109" s="501"/>
      <c r="AE109" s="501"/>
      <c r="AF109" s="501"/>
      <c r="AG109" s="501"/>
      <c r="AH109" s="501"/>
      <c r="AI109" s="501"/>
      <c r="AJ109" s="501"/>
      <c r="AK109" s="501"/>
      <c r="AL109" s="501"/>
      <c r="AM109" s="501"/>
      <c r="AN109" s="501"/>
      <c r="AO109" s="501"/>
      <c r="AP109" s="501"/>
      <c r="AQ109" s="501"/>
      <c r="AR109" s="501"/>
      <c r="AS109" s="501"/>
      <c r="AT109" s="501"/>
      <c r="AU109" s="501"/>
      <c r="AV109" s="501">
        <v>200000</v>
      </c>
      <c r="AW109" s="501"/>
      <c r="AX109" s="501"/>
      <c r="AY109" s="501"/>
      <c r="AZ109" s="501"/>
      <c r="BA109" s="501"/>
      <c r="BB109" s="483"/>
      <c r="BC109" s="483"/>
      <c r="BD109" s="483"/>
      <c r="BE109" s="483"/>
      <c r="BF109" s="483"/>
      <c r="BG109" s="483">
        <v>849655.24316666718</v>
      </c>
      <c r="BH109" s="483"/>
      <c r="BI109" s="483"/>
      <c r="BJ109" s="483"/>
      <c r="BK109" s="483"/>
      <c r="BL109" s="483"/>
      <c r="BM109" s="483"/>
      <c r="BN109" s="483"/>
      <c r="BO109" s="483"/>
      <c r="BP109" s="483"/>
      <c r="BQ109" s="483"/>
      <c r="BR109" s="483">
        <v>1049655.2431666672</v>
      </c>
      <c r="BS109" s="484">
        <f t="shared" si="18"/>
        <v>200000</v>
      </c>
      <c r="BT109" s="485">
        <f t="shared" si="22"/>
        <v>0</v>
      </c>
      <c r="BU109" s="485">
        <f t="shared" si="22"/>
        <v>0</v>
      </c>
      <c r="BV109" s="485">
        <f t="shared" si="22"/>
        <v>0</v>
      </c>
      <c r="BW109" s="485">
        <f t="shared" si="22"/>
        <v>1</v>
      </c>
      <c r="BX109" s="485">
        <f t="shared" si="22"/>
        <v>0</v>
      </c>
      <c r="BY109" s="485">
        <f t="shared" si="22"/>
        <v>0</v>
      </c>
      <c r="BZ109" s="485">
        <f t="shared" si="22"/>
        <v>0</v>
      </c>
      <c r="CA109" s="485">
        <f t="shared" si="22"/>
        <v>0</v>
      </c>
      <c r="CB109" s="485">
        <f t="shared" si="22"/>
        <v>0</v>
      </c>
      <c r="CC109" s="485">
        <f t="shared" si="22"/>
        <v>0</v>
      </c>
      <c r="CD109" s="485">
        <f t="shared" si="23"/>
        <v>0</v>
      </c>
      <c r="CE109" s="485">
        <f t="shared" si="23"/>
        <v>0</v>
      </c>
      <c r="CF109" s="485">
        <f t="shared" si="23"/>
        <v>0</v>
      </c>
      <c r="CG109" s="485">
        <f t="shared" si="23"/>
        <v>0</v>
      </c>
      <c r="CH109" s="485">
        <f t="shared" si="23"/>
        <v>0</v>
      </c>
      <c r="CI109" s="485">
        <f t="shared" si="23"/>
        <v>0</v>
      </c>
      <c r="CJ109" s="485">
        <f t="shared" si="23"/>
        <v>0</v>
      </c>
      <c r="CK109" s="485">
        <f t="shared" si="23"/>
        <v>0</v>
      </c>
      <c r="CL109" s="485">
        <f t="shared" si="23"/>
        <v>0</v>
      </c>
      <c r="CM109" s="486">
        <f t="shared" si="19"/>
        <v>1</v>
      </c>
    </row>
    <row r="110" spans="1:91" s="487" customFormat="1" ht="25.5" x14ac:dyDescent="0.25">
      <c r="A110" s="497" t="s">
        <v>594</v>
      </c>
      <c r="B110" s="498" t="s">
        <v>2917</v>
      </c>
      <c r="C110" s="497" t="s">
        <v>2695</v>
      </c>
      <c r="D110" s="498"/>
      <c r="E110" s="497" t="s">
        <v>655</v>
      </c>
      <c r="F110" s="498"/>
      <c r="G110" s="497"/>
      <c r="H110" s="497" t="s">
        <v>654</v>
      </c>
      <c r="I110" s="497" t="s">
        <v>647</v>
      </c>
      <c r="J110" s="497" t="s">
        <v>641</v>
      </c>
      <c r="K110" s="497" t="s">
        <v>649</v>
      </c>
      <c r="L110" s="497" t="s">
        <v>40</v>
      </c>
      <c r="M110" s="497" t="s">
        <v>653</v>
      </c>
      <c r="N110" s="497" t="s">
        <v>645</v>
      </c>
      <c r="O110" s="497"/>
      <c r="P110" s="497"/>
      <c r="Q110" s="497" t="s">
        <v>650</v>
      </c>
      <c r="R110" s="497" t="s">
        <v>652</v>
      </c>
      <c r="S110" s="497" t="s">
        <v>649</v>
      </c>
      <c r="T110" s="497"/>
      <c r="U110" s="497"/>
      <c r="V110" s="497" t="s">
        <v>685</v>
      </c>
      <c r="W110" s="497" t="s">
        <v>677</v>
      </c>
      <c r="X110" s="499">
        <v>44013</v>
      </c>
      <c r="Y110" s="499">
        <v>44377</v>
      </c>
      <c r="Z110" s="500">
        <v>2021</v>
      </c>
      <c r="AA110" s="497"/>
      <c r="AB110" s="497"/>
      <c r="AC110" s="497"/>
      <c r="AD110" s="501"/>
      <c r="AE110" s="501"/>
      <c r="AF110" s="501"/>
      <c r="AG110" s="501"/>
      <c r="AH110" s="501"/>
      <c r="AI110" s="501"/>
      <c r="AJ110" s="501"/>
      <c r="AK110" s="501"/>
      <c r="AL110" s="501"/>
      <c r="AM110" s="501"/>
      <c r="AN110" s="501"/>
      <c r="AO110" s="501"/>
      <c r="AP110" s="501"/>
      <c r="AQ110" s="501"/>
      <c r="AR110" s="501"/>
      <c r="AS110" s="501"/>
      <c r="AT110" s="501"/>
      <c r="AU110" s="501"/>
      <c r="AV110" s="501">
        <v>80000.000000000029</v>
      </c>
      <c r="AW110" s="501"/>
      <c r="AX110" s="501"/>
      <c r="AY110" s="501"/>
      <c r="AZ110" s="501"/>
      <c r="BA110" s="501"/>
      <c r="BB110" s="483"/>
      <c r="BC110" s="483"/>
      <c r="BD110" s="483"/>
      <c r="BE110" s="483"/>
      <c r="BF110" s="483"/>
      <c r="BG110" s="483">
        <v>319747.83000000025</v>
      </c>
      <c r="BH110" s="483"/>
      <c r="BI110" s="483"/>
      <c r="BJ110" s="483"/>
      <c r="BK110" s="483"/>
      <c r="BL110" s="483"/>
      <c r="BM110" s="483"/>
      <c r="BN110" s="483"/>
      <c r="BO110" s="483"/>
      <c r="BP110" s="483"/>
      <c r="BQ110" s="483"/>
      <c r="BR110" s="483">
        <v>399747.83000000031</v>
      </c>
      <c r="BS110" s="484">
        <f t="shared" si="18"/>
        <v>80000.000000000029</v>
      </c>
      <c r="BT110" s="485">
        <f t="shared" si="22"/>
        <v>0</v>
      </c>
      <c r="BU110" s="485">
        <f t="shared" si="22"/>
        <v>0</v>
      </c>
      <c r="BV110" s="485">
        <f t="shared" si="22"/>
        <v>0</v>
      </c>
      <c r="BW110" s="485">
        <f t="shared" si="22"/>
        <v>1</v>
      </c>
      <c r="BX110" s="485">
        <f t="shared" si="22"/>
        <v>0</v>
      </c>
      <c r="BY110" s="485">
        <f t="shared" si="22"/>
        <v>0</v>
      </c>
      <c r="BZ110" s="485">
        <f t="shared" si="22"/>
        <v>0</v>
      </c>
      <c r="CA110" s="485">
        <f t="shared" si="22"/>
        <v>0</v>
      </c>
      <c r="CB110" s="485">
        <f t="shared" si="22"/>
        <v>0</v>
      </c>
      <c r="CC110" s="485">
        <f t="shared" si="22"/>
        <v>0</v>
      </c>
      <c r="CD110" s="485">
        <f t="shared" si="23"/>
        <v>0</v>
      </c>
      <c r="CE110" s="485">
        <f t="shared" si="23"/>
        <v>0</v>
      </c>
      <c r="CF110" s="485">
        <f t="shared" si="23"/>
        <v>0</v>
      </c>
      <c r="CG110" s="485">
        <f t="shared" si="23"/>
        <v>0</v>
      </c>
      <c r="CH110" s="485">
        <f t="shared" si="23"/>
        <v>0</v>
      </c>
      <c r="CI110" s="485">
        <f t="shared" si="23"/>
        <v>0</v>
      </c>
      <c r="CJ110" s="485">
        <f t="shared" si="23"/>
        <v>0</v>
      </c>
      <c r="CK110" s="485">
        <f t="shared" si="23"/>
        <v>0</v>
      </c>
      <c r="CL110" s="485">
        <f t="shared" si="23"/>
        <v>0</v>
      </c>
      <c r="CM110" s="486">
        <f t="shared" si="19"/>
        <v>1</v>
      </c>
    </row>
    <row r="111" spans="1:91" s="487" customFormat="1" ht="25.5" x14ac:dyDescent="0.25">
      <c r="A111" s="497" t="s">
        <v>596</v>
      </c>
      <c r="B111" s="498" t="s">
        <v>2357</v>
      </c>
      <c r="C111" s="497" t="s">
        <v>2696</v>
      </c>
      <c r="D111" s="498"/>
      <c r="E111" s="497" t="s">
        <v>655</v>
      </c>
      <c r="F111" s="498"/>
      <c r="G111" s="497" t="s">
        <v>686</v>
      </c>
      <c r="H111" s="497" t="s">
        <v>654</v>
      </c>
      <c r="I111" s="497" t="s">
        <v>647</v>
      </c>
      <c r="J111" s="497" t="s">
        <v>641</v>
      </c>
      <c r="K111" s="497" t="s">
        <v>649</v>
      </c>
      <c r="L111" s="497" t="s">
        <v>40</v>
      </c>
      <c r="M111" s="497" t="s">
        <v>653</v>
      </c>
      <c r="N111" s="497" t="s">
        <v>645</v>
      </c>
      <c r="O111" s="497"/>
      <c r="P111" s="497"/>
      <c r="Q111" s="497" t="s">
        <v>642</v>
      </c>
      <c r="R111" s="497" t="s">
        <v>652</v>
      </c>
      <c r="S111" s="497" t="s">
        <v>649</v>
      </c>
      <c r="T111" s="497"/>
      <c r="U111" s="497"/>
      <c r="V111" s="497" t="s">
        <v>685</v>
      </c>
      <c r="W111" s="497" t="s">
        <v>684</v>
      </c>
      <c r="X111" s="499">
        <v>43647</v>
      </c>
      <c r="Y111" s="499">
        <v>44742</v>
      </c>
      <c r="Z111" s="500">
        <v>2022</v>
      </c>
      <c r="AA111" s="497"/>
      <c r="AB111" s="497"/>
      <c r="AC111" s="497"/>
      <c r="AD111" s="501"/>
      <c r="AE111" s="501"/>
      <c r="AF111" s="501"/>
      <c r="AG111" s="501">
        <v>127532.06977800011</v>
      </c>
      <c r="AH111" s="501"/>
      <c r="AI111" s="501">
        <v>11749.99999961001</v>
      </c>
      <c r="AJ111" s="501"/>
      <c r="AK111" s="501"/>
      <c r="AL111" s="501"/>
      <c r="AM111" s="501"/>
      <c r="AN111" s="501"/>
      <c r="AO111" s="501">
        <v>7171039.5875954647</v>
      </c>
      <c r="AP111" s="501">
        <v>191825.08800000019</v>
      </c>
      <c r="AQ111" s="501">
        <v>203279.88070000018</v>
      </c>
      <c r="AR111" s="501">
        <v>550020.65100000065</v>
      </c>
      <c r="AS111" s="501"/>
      <c r="AT111" s="501"/>
      <c r="AU111" s="501"/>
      <c r="AV111" s="501"/>
      <c r="AW111" s="501"/>
      <c r="AX111" s="501"/>
      <c r="AY111" s="501"/>
      <c r="AZ111" s="501"/>
      <c r="BA111" s="501"/>
      <c r="BB111" s="483">
        <v>10341.355466641508</v>
      </c>
      <c r="BC111" s="483">
        <v>6894.2369777610047</v>
      </c>
      <c r="BD111" s="483">
        <v>11634.024899971697</v>
      </c>
      <c r="BE111" s="483">
        <v>308.41713958545677</v>
      </c>
      <c r="BF111" s="483">
        <v>0</v>
      </c>
      <c r="BG111" s="483">
        <v>2114725.0304840971</v>
      </c>
      <c r="BH111" s="483"/>
      <c r="BI111" s="483"/>
      <c r="BJ111" s="483"/>
      <c r="BK111" s="483"/>
      <c r="BL111" s="483"/>
      <c r="BM111" s="483"/>
      <c r="BN111" s="483"/>
      <c r="BO111" s="483"/>
      <c r="BP111" s="483"/>
      <c r="BQ111" s="483"/>
      <c r="BR111" s="483">
        <v>10399350.342041133</v>
      </c>
      <c r="BS111" s="484">
        <f t="shared" si="18"/>
        <v>8255447.277073076</v>
      </c>
      <c r="BT111" s="485">
        <f t="shared" si="22"/>
        <v>0</v>
      </c>
      <c r="BU111" s="485">
        <f t="shared" si="22"/>
        <v>6.6625178811027128E-2</v>
      </c>
      <c r="BV111" s="485">
        <f t="shared" si="22"/>
        <v>2.4623727083152296E-2</v>
      </c>
      <c r="BW111" s="485">
        <f t="shared" si="22"/>
        <v>0</v>
      </c>
      <c r="BX111" s="485">
        <f t="shared" si="22"/>
        <v>0</v>
      </c>
      <c r="BY111" s="485">
        <f t="shared" si="22"/>
        <v>0</v>
      </c>
      <c r="BZ111" s="485">
        <f t="shared" si="22"/>
        <v>0</v>
      </c>
      <c r="CA111" s="485">
        <f t="shared" si="22"/>
        <v>0</v>
      </c>
      <c r="CB111" s="485">
        <f t="shared" si="22"/>
        <v>0</v>
      </c>
      <c r="CC111" s="485">
        <f t="shared" si="22"/>
        <v>1.5448232602996638E-2</v>
      </c>
      <c r="CD111" s="485">
        <f t="shared" si="23"/>
        <v>0</v>
      </c>
      <c r="CE111" s="485">
        <f t="shared" si="23"/>
        <v>1.4233026516009572E-3</v>
      </c>
      <c r="CF111" s="485">
        <f t="shared" si="23"/>
        <v>0</v>
      </c>
      <c r="CG111" s="485">
        <f t="shared" si="23"/>
        <v>0</v>
      </c>
      <c r="CH111" s="485">
        <f t="shared" si="23"/>
        <v>0</v>
      </c>
      <c r="CI111" s="485">
        <f t="shared" si="23"/>
        <v>0.8686433753275592</v>
      </c>
      <c r="CJ111" s="485">
        <f t="shared" si="23"/>
        <v>0</v>
      </c>
      <c r="CK111" s="485">
        <f t="shared" si="23"/>
        <v>0</v>
      </c>
      <c r="CL111" s="485">
        <f t="shared" si="23"/>
        <v>2.3236183523663752E-2</v>
      </c>
      <c r="CM111" s="486">
        <f t="shared" si="19"/>
        <v>0.99999999999999989</v>
      </c>
    </row>
    <row r="112" spans="1:91" s="487" customFormat="1" ht="25.5" x14ac:dyDescent="0.25">
      <c r="A112" s="497" t="s">
        <v>601</v>
      </c>
      <c r="B112" s="498" t="s">
        <v>2258</v>
      </c>
      <c r="C112" s="497" t="s">
        <v>2503</v>
      </c>
      <c r="D112" s="498"/>
      <c r="E112" s="497" t="s">
        <v>655</v>
      </c>
      <c r="F112" s="498"/>
      <c r="G112" s="497"/>
      <c r="H112" s="497" t="s">
        <v>654</v>
      </c>
      <c r="I112" s="497" t="s">
        <v>647</v>
      </c>
      <c r="J112" s="497" t="s">
        <v>671</v>
      </c>
      <c r="K112" s="497" t="s">
        <v>649</v>
      </c>
      <c r="L112" s="497" t="s">
        <v>55</v>
      </c>
      <c r="M112" s="497" t="s">
        <v>653</v>
      </c>
      <c r="N112" s="497" t="s">
        <v>645</v>
      </c>
      <c r="O112" s="497"/>
      <c r="P112" s="497"/>
      <c r="Q112" s="497" t="s">
        <v>650</v>
      </c>
      <c r="R112" s="497" t="s">
        <v>652</v>
      </c>
      <c r="S112" s="497" t="s">
        <v>649</v>
      </c>
      <c r="T112" s="497"/>
      <c r="U112" s="497"/>
      <c r="V112" s="497" t="s">
        <v>683</v>
      </c>
      <c r="W112" s="497" t="s">
        <v>677</v>
      </c>
      <c r="X112" s="499">
        <v>43891</v>
      </c>
      <c r="Y112" s="499">
        <v>44470</v>
      </c>
      <c r="Z112" s="500">
        <v>2022</v>
      </c>
      <c r="AA112" s="497"/>
      <c r="AB112" s="497"/>
      <c r="AC112" s="497"/>
      <c r="AD112" s="501"/>
      <c r="AE112" s="501"/>
      <c r="AF112" s="501"/>
      <c r="AG112" s="501"/>
      <c r="AH112" s="501"/>
      <c r="AI112" s="501"/>
      <c r="AJ112" s="501"/>
      <c r="AK112" s="501"/>
      <c r="AL112" s="501"/>
      <c r="AM112" s="501"/>
      <c r="AN112" s="501"/>
      <c r="AO112" s="501"/>
      <c r="AP112" s="501"/>
      <c r="AQ112" s="501"/>
      <c r="AR112" s="501"/>
      <c r="AS112" s="501"/>
      <c r="AT112" s="501"/>
      <c r="AU112" s="501"/>
      <c r="AV112" s="501">
        <v>0</v>
      </c>
      <c r="AW112" s="501"/>
      <c r="AX112" s="501"/>
      <c r="AY112" s="501"/>
      <c r="AZ112" s="501"/>
      <c r="BA112" s="501"/>
      <c r="BB112" s="483"/>
      <c r="BC112" s="483"/>
      <c r="BD112" s="483"/>
      <c r="BE112" s="483"/>
      <c r="BF112" s="483"/>
      <c r="BG112" s="483">
        <v>674999.99999999965</v>
      </c>
      <c r="BH112" s="483"/>
      <c r="BI112" s="483"/>
      <c r="BJ112" s="483"/>
      <c r="BK112" s="483"/>
      <c r="BL112" s="483"/>
      <c r="BM112" s="483"/>
      <c r="BN112" s="483"/>
      <c r="BO112" s="483"/>
      <c r="BP112" s="483"/>
      <c r="BQ112" s="483"/>
      <c r="BR112" s="483">
        <v>674999.99999999965</v>
      </c>
      <c r="BS112" s="484">
        <f t="shared" si="18"/>
        <v>0</v>
      </c>
      <c r="BT112" s="485">
        <v>0</v>
      </c>
      <c r="BU112" s="485">
        <v>0</v>
      </c>
      <c r="BV112" s="485">
        <v>0</v>
      </c>
      <c r="BW112" s="485">
        <v>1</v>
      </c>
      <c r="BX112" s="485">
        <v>0</v>
      </c>
      <c r="BY112" s="485">
        <v>0</v>
      </c>
      <c r="BZ112" s="485">
        <v>0</v>
      </c>
      <c r="CA112" s="485">
        <v>0</v>
      </c>
      <c r="CB112" s="485">
        <v>0</v>
      </c>
      <c r="CC112" s="485">
        <v>0</v>
      </c>
      <c r="CD112" s="485">
        <v>0</v>
      </c>
      <c r="CE112" s="485">
        <v>0</v>
      </c>
      <c r="CF112" s="485">
        <v>0</v>
      </c>
      <c r="CG112" s="485">
        <v>0</v>
      </c>
      <c r="CH112" s="485">
        <v>0</v>
      </c>
      <c r="CI112" s="485">
        <v>0</v>
      </c>
      <c r="CJ112" s="485">
        <v>0</v>
      </c>
      <c r="CK112" s="485">
        <v>0</v>
      </c>
      <c r="CL112" s="485">
        <v>0</v>
      </c>
      <c r="CM112" s="486">
        <f t="shared" si="19"/>
        <v>1</v>
      </c>
    </row>
    <row r="113" spans="1:91" s="487" customFormat="1" ht="25.5" x14ac:dyDescent="0.25">
      <c r="A113" s="497" t="s">
        <v>605</v>
      </c>
      <c r="B113" s="498" t="s">
        <v>2920</v>
      </c>
      <c r="C113" s="497" t="s">
        <v>2506</v>
      </c>
      <c r="D113" s="498"/>
      <c r="E113" s="497" t="s">
        <v>655</v>
      </c>
      <c r="F113" s="498"/>
      <c r="G113" s="497"/>
      <c r="H113" s="497" t="s">
        <v>654</v>
      </c>
      <c r="I113" s="497" t="s">
        <v>647</v>
      </c>
      <c r="J113" s="497" t="s">
        <v>671</v>
      </c>
      <c r="K113" s="497" t="s">
        <v>649</v>
      </c>
      <c r="L113" s="497" t="s">
        <v>55</v>
      </c>
      <c r="M113" s="497" t="s">
        <v>653</v>
      </c>
      <c r="N113" s="497" t="s">
        <v>645</v>
      </c>
      <c r="O113" s="497"/>
      <c r="P113" s="497"/>
      <c r="Q113" s="497" t="s">
        <v>650</v>
      </c>
      <c r="R113" s="497" t="s">
        <v>652</v>
      </c>
      <c r="S113" s="497" t="s">
        <v>649</v>
      </c>
      <c r="T113" s="497"/>
      <c r="U113" s="497"/>
      <c r="V113" s="497" t="s">
        <v>683</v>
      </c>
      <c r="W113" s="497" t="s">
        <v>677</v>
      </c>
      <c r="X113" s="499">
        <v>44743</v>
      </c>
      <c r="Y113" s="499">
        <v>45131</v>
      </c>
      <c r="Z113" s="500">
        <v>2024</v>
      </c>
      <c r="AA113" s="497"/>
      <c r="AB113" s="497"/>
      <c r="AC113" s="497"/>
      <c r="AD113" s="501"/>
      <c r="AE113" s="501"/>
      <c r="AF113" s="501"/>
      <c r="AG113" s="501"/>
      <c r="AH113" s="501"/>
      <c r="AI113" s="501"/>
      <c r="AJ113" s="501"/>
      <c r="AK113" s="501"/>
      <c r="AL113" s="501"/>
      <c r="AM113" s="501"/>
      <c r="AN113" s="501"/>
      <c r="AO113" s="501"/>
      <c r="AP113" s="501"/>
      <c r="AQ113" s="501"/>
      <c r="AR113" s="501"/>
      <c r="AS113" s="501"/>
      <c r="AT113" s="501"/>
      <c r="AU113" s="501"/>
      <c r="AV113" s="501">
        <v>89999.999999999985</v>
      </c>
      <c r="AW113" s="501"/>
      <c r="AX113" s="501"/>
      <c r="AY113" s="501"/>
      <c r="AZ113" s="501"/>
      <c r="BA113" s="501"/>
      <c r="BB113" s="483"/>
      <c r="BC113" s="483"/>
      <c r="BD113" s="483"/>
      <c r="BE113" s="483"/>
      <c r="BF113" s="483"/>
      <c r="BG113" s="483">
        <v>362249.99999999988</v>
      </c>
      <c r="BH113" s="483"/>
      <c r="BI113" s="483"/>
      <c r="BJ113" s="483"/>
      <c r="BK113" s="483"/>
      <c r="BL113" s="483"/>
      <c r="BM113" s="483"/>
      <c r="BN113" s="483"/>
      <c r="BO113" s="483"/>
      <c r="BP113" s="483"/>
      <c r="BQ113" s="483"/>
      <c r="BR113" s="483">
        <v>452249.99999999988</v>
      </c>
      <c r="BS113" s="484">
        <f t="shared" si="18"/>
        <v>89999.999999999985</v>
      </c>
      <c r="BT113" s="485">
        <f t="shared" ref="BT113:CC117" si="24">SUMIFS($AD113:$BA113,$AD$11:$BA$11,BT$21)/$BS113</f>
        <v>0</v>
      </c>
      <c r="BU113" s="485">
        <f t="shared" si="24"/>
        <v>0</v>
      </c>
      <c r="BV113" s="485">
        <f t="shared" si="24"/>
        <v>0</v>
      </c>
      <c r="BW113" s="485">
        <f t="shared" si="24"/>
        <v>1</v>
      </c>
      <c r="BX113" s="485">
        <f t="shared" si="24"/>
        <v>0</v>
      </c>
      <c r="BY113" s="485">
        <f t="shared" si="24"/>
        <v>0</v>
      </c>
      <c r="BZ113" s="485">
        <f t="shared" si="24"/>
        <v>0</v>
      </c>
      <c r="CA113" s="485">
        <f t="shared" si="24"/>
        <v>0</v>
      </c>
      <c r="CB113" s="485">
        <f t="shared" si="24"/>
        <v>0</v>
      </c>
      <c r="CC113" s="485">
        <f t="shared" si="24"/>
        <v>0</v>
      </c>
      <c r="CD113" s="485">
        <f t="shared" ref="CD113:CL117" si="25">SUMIFS($AD113:$BA113,$AD$11:$BA$11,CD$21)/$BS113</f>
        <v>0</v>
      </c>
      <c r="CE113" s="485">
        <f t="shared" si="25"/>
        <v>0</v>
      </c>
      <c r="CF113" s="485">
        <f t="shared" si="25"/>
        <v>0</v>
      </c>
      <c r="CG113" s="485">
        <f t="shared" si="25"/>
        <v>0</v>
      </c>
      <c r="CH113" s="485">
        <f t="shared" si="25"/>
        <v>0</v>
      </c>
      <c r="CI113" s="485">
        <f t="shared" si="25"/>
        <v>0</v>
      </c>
      <c r="CJ113" s="485">
        <f t="shared" si="25"/>
        <v>0</v>
      </c>
      <c r="CK113" s="485">
        <f t="shared" si="25"/>
        <v>0</v>
      </c>
      <c r="CL113" s="485">
        <f t="shared" si="25"/>
        <v>0</v>
      </c>
      <c r="CM113" s="486">
        <f t="shared" si="19"/>
        <v>1</v>
      </c>
    </row>
    <row r="114" spans="1:91" s="487" customFormat="1" ht="25.5" x14ac:dyDescent="0.25">
      <c r="A114" s="497" t="s">
        <v>607</v>
      </c>
      <c r="B114" s="498" t="s">
        <v>2922</v>
      </c>
      <c r="C114" s="497" t="s">
        <v>2508</v>
      </c>
      <c r="D114" s="498"/>
      <c r="E114" s="497" t="s">
        <v>655</v>
      </c>
      <c r="F114" s="498"/>
      <c r="G114" s="497"/>
      <c r="H114" s="497" t="s">
        <v>654</v>
      </c>
      <c r="I114" s="497" t="s">
        <v>647</v>
      </c>
      <c r="J114" s="497" t="s">
        <v>671</v>
      </c>
      <c r="K114" s="497" t="s">
        <v>649</v>
      </c>
      <c r="L114" s="497" t="s">
        <v>55</v>
      </c>
      <c r="M114" s="497" t="s">
        <v>653</v>
      </c>
      <c r="N114" s="497" t="s">
        <v>645</v>
      </c>
      <c r="O114" s="497"/>
      <c r="P114" s="497"/>
      <c r="Q114" s="497" t="s">
        <v>650</v>
      </c>
      <c r="R114" s="497" t="s">
        <v>652</v>
      </c>
      <c r="S114" s="497" t="s">
        <v>649</v>
      </c>
      <c r="T114" s="497"/>
      <c r="U114" s="497"/>
      <c r="V114" s="497" t="s">
        <v>683</v>
      </c>
      <c r="W114" s="497" t="s">
        <v>640</v>
      </c>
      <c r="X114" s="499">
        <v>43282</v>
      </c>
      <c r="Y114" s="499">
        <v>44075</v>
      </c>
      <c r="Z114" s="500">
        <v>2021</v>
      </c>
      <c r="AA114" s="497"/>
      <c r="AB114" s="497"/>
      <c r="AC114" s="497"/>
      <c r="AD114" s="501"/>
      <c r="AE114" s="501"/>
      <c r="AF114" s="501"/>
      <c r="AG114" s="501"/>
      <c r="AH114" s="501"/>
      <c r="AI114" s="501"/>
      <c r="AJ114" s="501"/>
      <c r="AK114" s="501"/>
      <c r="AL114" s="501"/>
      <c r="AM114" s="501"/>
      <c r="AN114" s="501"/>
      <c r="AO114" s="501"/>
      <c r="AP114" s="501"/>
      <c r="AQ114" s="501"/>
      <c r="AR114" s="501"/>
      <c r="AS114" s="501"/>
      <c r="AT114" s="501"/>
      <c r="AU114" s="501"/>
      <c r="AV114" s="501">
        <v>52000</v>
      </c>
      <c r="AW114" s="501"/>
      <c r="AX114" s="501"/>
      <c r="AY114" s="501"/>
      <c r="AZ114" s="501"/>
      <c r="BA114" s="501"/>
      <c r="BB114" s="483"/>
      <c r="BC114" s="483"/>
      <c r="BD114" s="483"/>
      <c r="BE114" s="483"/>
      <c r="BF114" s="483"/>
      <c r="BG114" s="483">
        <v>208000.00000000009</v>
      </c>
      <c r="BH114" s="483"/>
      <c r="BI114" s="483"/>
      <c r="BJ114" s="483"/>
      <c r="BK114" s="483"/>
      <c r="BL114" s="483"/>
      <c r="BM114" s="483"/>
      <c r="BN114" s="483"/>
      <c r="BO114" s="483"/>
      <c r="BP114" s="483"/>
      <c r="BQ114" s="483"/>
      <c r="BR114" s="483">
        <v>260000.00000000009</v>
      </c>
      <c r="BS114" s="484">
        <f t="shared" si="18"/>
        <v>52000</v>
      </c>
      <c r="BT114" s="485">
        <f t="shared" si="24"/>
        <v>0</v>
      </c>
      <c r="BU114" s="485">
        <f t="shared" si="24"/>
        <v>0</v>
      </c>
      <c r="BV114" s="485">
        <f t="shared" si="24"/>
        <v>0</v>
      </c>
      <c r="BW114" s="485">
        <f t="shared" si="24"/>
        <v>1</v>
      </c>
      <c r="BX114" s="485">
        <f t="shared" si="24"/>
        <v>0</v>
      </c>
      <c r="BY114" s="485">
        <f t="shared" si="24"/>
        <v>0</v>
      </c>
      <c r="BZ114" s="485">
        <f t="shared" si="24"/>
        <v>0</v>
      </c>
      <c r="CA114" s="485">
        <f t="shared" si="24"/>
        <v>0</v>
      </c>
      <c r="CB114" s="485">
        <f t="shared" si="24"/>
        <v>0</v>
      </c>
      <c r="CC114" s="485">
        <f t="shared" si="24"/>
        <v>0</v>
      </c>
      <c r="CD114" s="485">
        <f t="shared" si="25"/>
        <v>0</v>
      </c>
      <c r="CE114" s="485">
        <f t="shared" si="25"/>
        <v>0</v>
      </c>
      <c r="CF114" s="485">
        <f t="shared" si="25"/>
        <v>0</v>
      </c>
      <c r="CG114" s="485">
        <f t="shared" si="25"/>
        <v>0</v>
      </c>
      <c r="CH114" s="485">
        <f t="shared" si="25"/>
        <v>0</v>
      </c>
      <c r="CI114" s="485">
        <f t="shared" si="25"/>
        <v>0</v>
      </c>
      <c r="CJ114" s="485">
        <f t="shared" si="25"/>
        <v>0</v>
      </c>
      <c r="CK114" s="485">
        <f t="shared" si="25"/>
        <v>0</v>
      </c>
      <c r="CL114" s="485">
        <f t="shared" si="25"/>
        <v>0</v>
      </c>
      <c r="CM114" s="486">
        <f t="shared" si="19"/>
        <v>1</v>
      </c>
    </row>
    <row r="115" spans="1:91" s="487" customFormat="1" ht="25.5" x14ac:dyDescent="0.25">
      <c r="A115" s="497" t="s">
        <v>610</v>
      </c>
      <c r="B115" s="498" t="s">
        <v>2923</v>
      </c>
      <c r="C115" s="497" t="s">
        <v>2509</v>
      </c>
      <c r="D115" s="498"/>
      <c r="E115" s="497" t="s">
        <v>655</v>
      </c>
      <c r="F115" s="498"/>
      <c r="G115" s="497"/>
      <c r="H115" s="497" t="s">
        <v>654</v>
      </c>
      <c r="I115" s="497" t="s">
        <v>647</v>
      </c>
      <c r="J115" s="497" t="s">
        <v>671</v>
      </c>
      <c r="K115" s="497" t="s">
        <v>649</v>
      </c>
      <c r="L115" s="497" t="s">
        <v>55</v>
      </c>
      <c r="M115" s="497" t="s">
        <v>653</v>
      </c>
      <c r="N115" s="497" t="s">
        <v>645</v>
      </c>
      <c r="O115" s="497"/>
      <c r="P115" s="497"/>
      <c r="Q115" s="497" t="s">
        <v>650</v>
      </c>
      <c r="R115" s="497" t="s">
        <v>652</v>
      </c>
      <c r="S115" s="497" t="s">
        <v>649</v>
      </c>
      <c r="T115" s="497"/>
      <c r="U115" s="497"/>
      <c r="V115" s="497" t="s">
        <v>683</v>
      </c>
      <c r="W115" s="497" t="s">
        <v>640</v>
      </c>
      <c r="X115" s="499">
        <v>43678</v>
      </c>
      <c r="Y115" s="499">
        <v>44223</v>
      </c>
      <c r="Z115" s="500">
        <v>2021</v>
      </c>
      <c r="AA115" s="497"/>
      <c r="AB115" s="497"/>
      <c r="AC115" s="497"/>
      <c r="AD115" s="501"/>
      <c r="AE115" s="501"/>
      <c r="AF115" s="501"/>
      <c r="AG115" s="501"/>
      <c r="AH115" s="501"/>
      <c r="AI115" s="501"/>
      <c r="AJ115" s="501"/>
      <c r="AK115" s="501"/>
      <c r="AL115" s="501"/>
      <c r="AM115" s="501"/>
      <c r="AN115" s="501"/>
      <c r="AO115" s="501"/>
      <c r="AP115" s="501"/>
      <c r="AQ115" s="501"/>
      <c r="AR115" s="501"/>
      <c r="AS115" s="501"/>
      <c r="AT115" s="501"/>
      <c r="AU115" s="501"/>
      <c r="AV115" s="501">
        <v>117800.00000000007</v>
      </c>
      <c r="AW115" s="501"/>
      <c r="AX115" s="501"/>
      <c r="AY115" s="501"/>
      <c r="AZ115" s="501"/>
      <c r="BA115" s="501"/>
      <c r="BB115" s="483"/>
      <c r="BC115" s="483"/>
      <c r="BD115" s="483"/>
      <c r="BE115" s="483"/>
      <c r="BF115" s="483"/>
      <c r="BG115" s="483">
        <v>501874.6436666674</v>
      </c>
      <c r="BH115" s="483"/>
      <c r="BI115" s="483"/>
      <c r="BJ115" s="483"/>
      <c r="BK115" s="483"/>
      <c r="BL115" s="483"/>
      <c r="BM115" s="483"/>
      <c r="BN115" s="483"/>
      <c r="BO115" s="483"/>
      <c r="BP115" s="483"/>
      <c r="BQ115" s="483"/>
      <c r="BR115" s="483">
        <v>619674.6436666674</v>
      </c>
      <c r="BS115" s="484">
        <f t="shared" si="18"/>
        <v>117800.00000000007</v>
      </c>
      <c r="BT115" s="485">
        <f t="shared" si="24"/>
        <v>0</v>
      </c>
      <c r="BU115" s="485">
        <f t="shared" si="24"/>
        <v>0</v>
      </c>
      <c r="BV115" s="485">
        <f t="shared" si="24"/>
        <v>0</v>
      </c>
      <c r="BW115" s="485">
        <f t="shared" si="24"/>
        <v>1</v>
      </c>
      <c r="BX115" s="485">
        <f t="shared" si="24"/>
        <v>0</v>
      </c>
      <c r="BY115" s="485">
        <f t="shared" si="24"/>
        <v>0</v>
      </c>
      <c r="BZ115" s="485">
        <f t="shared" si="24"/>
        <v>0</v>
      </c>
      <c r="CA115" s="485">
        <f t="shared" si="24"/>
        <v>0</v>
      </c>
      <c r="CB115" s="485">
        <f t="shared" si="24"/>
        <v>0</v>
      </c>
      <c r="CC115" s="485">
        <f t="shared" si="24"/>
        <v>0</v>
      </c>
      <c r="CD115" s="485">
        <f t="shared" si="25"/>
        <v>0</v>
      </c>
      <c r="CE115" s="485">
        <f t="shared" si="25"/>
        <v>0</v>
      </c>
      <c r="CF115" s="485">
        <f t="shared" si="25"/>
        <v>0</v>
      </c>
      <c r="CG115" s="485">
        <f t="shared" si="25"/>
        <v>0</v>
      </c>
      <c r="CH115" s="485">
        <f t="shared" si="25"/>
        <v>0</v>
      </c>
      <c r="CI115" s="485">
        <f t="shared" si="25"/>
        <v>0</v>
      </c>
      <c r="CJ115" s="485">
        <f t="shared" si="25"/>
        <v>0</v>
      </c>
      <c r="CK115" s="485">
        <f t="shared" si="25"/>
        <v>0</v>
      </c>
      <c r="CL115" s="485">
        <f t="shared" si="25"/>
        <v>0</v>
      </c>
      <c r="CM115" s="486">
        <f t="shared" si="19"/>
        <v>1</v>
      </c>
    </row>
    <row r="116" spans="1:91" s="487" customFormat="1" ht="25.5" x14ac:dyDescent="0.25">
      <c r="A116" s="497" t="s">
        <v>611</v>
      </c>
      <c r="B116" s="498" t="s">
        <v>2924</v>
      </c>
      <c r="C116" s="497" t="s">
        <v>2510</v>
      </c>
      <c r="D116" s="498"/>
      <c r="E116" s="497" t="s">
        <v>655</v>
      </c>
      <c r="F116" s="498"/>
      <c r="G116" s="497"/>
      <c r="H116" s="497" t="s">
        <v>654</v>
      </c>
      <c r="I116" s="497" t="s">
        <v>647</v>
      </c>
      <c r="J116" s="497" t="s">
        <v>671</v>
      </c>
      <c r="K116" s="497" t="s">
        <v>649</v>
      </c>
      <c r="L116" s="497" t="s">
        <v>55</v>
      </c>
      <c r="M116" s="497" t="s">
        <v>653</v>
      </c>
      <c r="N116" s="497" t="s">
        <v>645</v>
      </c>
      <c r="O116" s="497"/>
      <c r="P116" s="497"/>
      <c r="Q116" s="497" t="s">
        <v>650</v>
      </c>
      <c r="R116" s="497" t="s">
        <v>652</v>
      </c>
      <c r="S116" s="497" t="s">
        <v>649</v>
      </c>
      <c r="T116" s="497"/>
      <c r="U116" s="497"/>
      <c r="V116" s="497" t="s">
        <v>683</v>
      </c>
      <c r="W116" s="497" t="s">
        <v>640</v>
      </c>
      <c r="X116" s="499">
        <v>43593</v>
      </c>
      <c r="Y116" s="499">
        <v>44622</v>
      </c>
      <c r="Z116" s="500">
        <v>2022</v>
      </c>
      <c r="AA116" s="497"/>
      <c r="AB116" s="497"/>
      <c r="AC116" s="497"/>
      <c r="AD116" s="501"/>
      <c r="AE116" s="501"/>
      <c r="AF116" s="501"/>
      <c r="AG116" s="501"/>
      <c r="AH116" s="501"/>
      <c r="AI116" s="501"/>
      <c r="AJ116" s="501"/>
      <c r="AK116" s="501"/>
      <c r="AL116" s="501"/>
      <c r="AM116" s="501"/>
      <c r="AN116" s="501"/>
      <c r="AO116" s="501"/>
      <c r="AP116" s="501"/>
      <c r="AQ116" s="501"/>
      <c r="AR116" s="501"/>
      <c r="AS116" s="501"/>
      <c r="AT116" s="501"/>
      <c r="AU116" s="501"/>
      <c r="AV116" s="501">
        <v>151999.9999999998</v>
      </c>
      <c r="AW116" s="501"/>
      <c r="AX116" s="501"/>
      <c r="AY116" s="501"/>
      <c r="AZ116" s="501"/>
      <c r="BA116" s="501"/>
      <c r="BB116" s="483"/>
      <c r="BC116" s="483"/>
      <c r="BD116" s="483"/>
      <c r="BE116" s="483"/>
      <c r="BF116" s="483"/>
      <c r="BG116" s="483">
        <v>648368.37491666619</v>
      </c>
      <c r="BH116" s="483"/>
      <c r="BI116" s="483"/>
      <c r="BJ116" s="483"/>
      <c r="BK116" s="483"/>
      <c r="BL116" s="483"/>
      <c r="BM116" s="483"/>
      <c r="BN116" s="483"/>
      <c r="BO116" s="483"/>
      <c r="BP116" s="483"/>
      <c r="BQ116" s="483"/>
      <c r="BR116" s="483">
        <v>800368.37491666595</v>
      </c>
      <c r="BS116" s="484">
        <f t="shared" si="18"/>
        <v>151999.9999999998</v>
      </c>
      <c r="BT116" s="485">
        <f t="shared" si="24"/>
        <v>0</v>
      </c>
      <c r="BU116" s="485">
        <f t="shared" si="24"/>
        <v>0</v>
      </c>
      <c r="BV116" s="485">
        <f t="shared" si="24"/>
        <v>0</v>
      </c>
      <c r="BW116" s="485">
        <f t="shared" si="24"/>
        <v>1</v>
      </c>
      <c r="BX116" s="485">
        <f t="shared" si="24"/>
        <v>0</v>
      </c>
      <c r="BY116" s="485">
        <f t="shared" si="24"/>
        <v>0</v>
      </c>
      <c r="BZ116" s="485">
        <f t="shared" si="24"/>
        <v>0</v>
      </c>
      <c r="CA116" s="485">
        <f t="shared" si="24"/>
        <v>0</v>
      </c>
      <c r="CB116" s="485">
        <f t="shared" si="24"/>
        <v>0</v>
      </c>
      <c r="CC116" s="485">
        <f t="shared" si="24"/>
        <v>0</v>
      </c>
      <c r="CD116" s="485">
        <f t="shared" si="25"/>
        <v>0</v>
      </c>
      <c r="CE116" s="485">
        <f t="shared" si="25"/>
        <v>0</v>
      </c>
      <c r="CF116" s="485">
        <f t="shared" si="25"/>
        <v>0</v>
      </c>
      <c r="CG116" s="485">
        <f t="shared" si="25"/>
        <v>0</v>
      </c>
      <c r="CH116" s="485">
        <f t="shared" si="25"/>
        <v>0</v>
      </c>
      <c r="CI116" s="485">
        <f t="shared" si="25"/>
        <v>0</v>
      </c>
      <c r="CJ116" s="485">
        <f t="shared" si="25"/>
        <v>0</v>
      </c>
      <c r="CK116" s="485">
        <f t="shared" si="25"/>
        <v>0</v>
      </c>
      <c r="CL116" s="485">
        <f t="shared" si="25"/>
        <v>0</v>
      </c>
      <c r="CM116" s="486">
        <f t="shared" si="19"/>
        <v>1</v>
      </c>
    </row>
    <row r="117" spans="1:91" s="487" customFormat="1" ht="25.5" x14ac:dyDescent="0.25">
      <c r="A117" s="497" t="s">
        <v>614</v>
      </c>
      <c r="B117" s="498" t="s">
        <v>2926</v>
      </c>
      <c r="C117" s="497" t="s">
        <v>2793</v>
      </c>
      <c r="D117" s="498"/>
      <c r="E117" s="497" t="s">
        <v>655</v>
      </c>
      <c r="F117" s="498"/>
      <c r="G117" s="497"/>
      <c r="H117" s="497" t="s">
        <v>654</v>
      </c>
      <c r="I117" s="497" t="s">
        <v>647</v>
      </c>
      <c r="J117" s="497" t="s">
        <v>671</v>
      </c>
      <c r="K117" s="497" t="s">
        <v>649</v>
      </c>
      <c r="L117" s="497" t="s">
        <v>55</v>
      </c>
      <c r="M117" s="497" t="s">
        <v>653</v>
      </c>
      <c r="N117" s="497" t="s">
        <v>645</v>
      </c>
      <c r="O117" s="497"/>
      <c r="P117" s="497"/>
      <c r="Q117" s="497" t="s">
        <v>642</v>
      </c>
      <c r="R117" s="497" t="s">
        <v>652</v>
      </c>
      <c r="S117" s="497" t="s">
        <v>649</v>
      </c>
      <c r="T117" s="497"/>
      <c r="U117" s="497"/>
      <c r="V117" s="497" t="s">
        <v>683</v>
      </c>
      <c r="W117" s="497" t="s">
        <v>684</v>
      </c>
      <c r="X117" s="499">
        <v>43282</v>
      </c>
      <c r="Y117" s="499">
        <v>44320</v>
      </c>
      <c r="Z117" s="500">
        <v>2021</v>
      </c>
      <c r="AA117" s="497"/>
      <c r="AB117" s="497"/>
      <c r="AC117" s="497"/>
      <c r="AD117" s="501"/>
      <c r="AE117" s="501"/>
      <c r="AF117" s="501"/>
      <c r="AG117" s="501"/>
      <c r="AH117" s="501"/>
      <c r="AI117" s="501"/>
      <c r="AJ117" s="501"/>
      <c r="AK117" s="501"/>
      <c r="AL117" s="501"/>
      <c r="AM117" s="501"/>
      <c r="AN117" s="501"/>
      <c r="AO117" s="501"/>
      <c r="AP117" s="501"/>
      <c r="AQ117" s="501"/>
      <c r="AR117" s="501"/>
      <c r="AS117" s="501"/>
      <c r="AT117" s="501"/>
      <c r="AU117" s="501"/>
      <c r="AV117" s="501">
        <v>545264.99999999977</v>
      </c>
      <c r="AW117" s="501"/>
      <c r="AX117" s="501"/>
      <c r="AY117" s="501"/>
      <c r="AZ117" s="501"/>
      <c r="BA117" s="501"/>
      <c r="BB117" s="483"/>
      <c r="BC117" s="483"/>
      <c r="BD117" s="483"/>
      <c r="BE117" s="483"/>
      <c r="BF117" s="483"/>
      <c r="BG117" s="483">
        <v>2181557.5613333341</v>
      </c>
      <c r="BH117" s="483"/>
      <c r="BI117" s="483"/>
      <c r="BJ117" s="483"/>
      <c r="BK117" s="483"/>
      <c r="BL117" s="483"/>
      <c r="BM117" s="483"/>
      <c r="BN117" s="483"/>
      <c r="BO117" s="483"/>
      <c r="BP117" s="483"/>
      <c r="BQ117" s="483"/>
      <c r="BR117" s="483">
        <v>2726822.5613333341</v>
      </c>
      <c r="BS117" s="484">
        <f t="shared" si="18"/>
        <v>545264.99999999977</v>
      </c>
      <c r="BT117" s="485">
        <f t="shared" si="24"/>
        <v>0</v>
      </c>
      <c r="BU117" s="485">
        <f t="shared" si="24"/>
        <v>0</v>
      </c>
      <c r="BV117" s="485">
        <f t="shared" si="24"/>
        <v>0</v>
      </c>
      <c r="BW117" s="485">
        <f t="shared" si="24"/>
        <v>1</v>
      </c>
      <c r="BX117" s="485">
        <f t="shared" si="24"/>
        <v>0</v>
      </c>
      <c r="BY117" s="485">
        <f t="shared" si="24"/>
        <v>0</v>
      </c>
      <c r="BZ117" s="485">
        <f t="shared" si="24"/>
        <v>0</v>
      </c>
      <c r="CA117" s="485">
        <f t="shared" si="24"/>
        <v>0</v>
      </c>
      <c r="CB117" s="485">
        <f t="shared" si="24"/>
        <v>0</v>
      </c>
      <c r="CC117" s="485">
        <f t="shared" si="24"/>
        <v>0</v>
      </c>
      <c r="CD117" s="485">
        <f t="shared" si="25"/>
        <v>0</v>
      </c>
      <c r="CE117" s="485">
        <f t="shared" si="25"/>
        <v>0</v>
      </c>
      <c r="CF117" s="485">
        <f t="shared" si="25"/>
        <v>0</v>
      </c>
      <c r="CG117" s="485">
        <f t="shared" si="25"/>
        <v>0</v>
      </c>
      <c r="CH117" s="485">
        <f t="shared" si="25"/>
        <v>0</v>
      </c>
      <c r="CI117" s="485">
        <f t="shared" si="25"/>
        <v>0</v>
      </c>
      <c r="CJ117" s="485">
        <f t="shared" si="25"/>
        <v>0</v>
      </c>
      <c r="CK117" s="485">
        <f t="shared" si="25"/>
        <v>0</v>
      </c>
      <c r="CL117" s="485">
        <f t="shared" si="25"/>
        <v>0</v>
      </c>
      <c r="CM117" s="486">
        <f t="shared" si="19"/>
        <v>1</v>
      </c>
    </row>
    <row r="118" spans="1:91" s="487" customFormat="1" ht="25.5" x14ac:dyDescent="0.25">
      <c r="A118" s="497" t="s">
        <v>619</v>
      </c>
      <c r="B118" s="498" t="s">
        <v>2260</v>
      </c>
      <c r="C118" s="497" t="s">
        <v>2697</v>
      </c>
      <c r="D118" s="498"/>
      <c r="E118" s="497" t="s">
        <v>655</v>
      </c>
      <c r="F118" s="498"/>
      <c r="G118" s="497"/>
      <c r="H118" s="497" t="s">
        <v>654</v>
      </c>
      <c r="I118" s="497" t="s">
        <v>647</v>
      </c>
      <c r="J118" s="497" t="s">
        <v>671</v>
      </c>
      <c r="K118" s="497" t="s">
        <v>649</v>
      </c>
      <c r="L118" s="497"/>
      <c r="M118" s="497" t="s">
        <v>653</v>
      </c>
      <c r="N118" s="497" t="s">
        <v>645</v>
      </c>
      <c r="O118" s="497"/>
      <c r="P118" s="497"/>
      <c r="Q118" s="497" t="s">
        <v>656</v>
      </c>
      <c r="R118" s="497" t="s">
        <v>652</v>
      </c>
      <c r="S118" s="497" t="s">
        <v>649</v>
      </c>
      <c r="T118" s="497"/>
      <c r="U118" s="497"/>
      <c r="V118" s="497" t="s">
        <v>670</v>
      </c>
      <c r="W118" s="497"/>
      <c r="X118" s="499">
        <v>43586</v>
      </c>
      <c r="Y118" s="499">
        <v>44131</v>
      </c>
      <c r="Z118" s="500">
        <v>2021</v>
      </c>
      <c r="AA118" s="497"/>
      <c r="AB118" s="497"/>
      <c r="AC118" s="497"/>
      <c r="AD118" s="501"/>
      <c r="AE118" s="501"/>
      <c r="AF118" s="501"/>
      <c r="AG118" s="501"/>
      <c r="AH118" s="501"/>
      <c r="AI118" s="501"/>
      <c r="AJ118" s="501"/>
      <c r="AK118" s="501"/>
      <c r="AL118" s="501"/>
      <c r="AM118" s="501"/>
      <c r="AN118" s="501"/>
      <c r="AO118" s="501"/>
      <c r="AP118" s="501"/>
      <c r="AQ118" s="501"/>
      <c r="AR118" s="501"/>
      <c r="AS118" s="501"/>
      <c r="AT118" s="501"/>
      <c r="AU118" s="501"/>
      <c r="AV118" s="501">
        <v>0</v>
      </c>
      <c r="AW118" s="501"/>
      <c r="AX118" s="501"/>
      <c r="AY118" s="501"/>
      <c r="AZ118" s="501"/>
      <c r="BA118" s="501"/>
      <c r="BB118" s="483"/>
      <c r="BC118" s="483"/>
      <c r="BD118" s="483"/>
      <c r="BE118" s="483"/>
      <c r="BF118" s="483"/>
      <c r="BG118" s="483">
        <v>1510742.8533333335</v>
      </c>
      <c r="BH118" s="483"/>
      <c r="BI118" s="483"/>
      <c r="BJ118" s="483"/>
      <c r="BK118" s="483"/>
      <c r="BL118" s="483"/>
      <c r="BM118" s="483"/>
      <c r="BN118" s="483"/>
      <c r="BO118" s="483"/>
      <c r="BP118" s="483"/>
      <c r="BQ118" s="483"/>
      <c r="BR118" s="483">
        <v>1510742.8533333335</v>
      </c>
      <c r="BS118" s="484">
        <f t="shared" si="18"/>
        <v>0</v>
      </c>
      <c r="BT118" s="485">
        <v>0</v>
      </c>
      <c r="BU118" s="485">
        <v>0</v>
      </c>
      <c r="BV118" s="485">
        <v>0</v>
      </c>
      <c r="BW118" s="485">
        <v>0</v>
      </c>
      <c r="BX118" s="485">
        <v>0</v>
      </c>
      <c r="BY118" s="485">
        <v>0</v>
      </c>
      <c r="BZ118" s="485">
        <v>0</v>
      </c>
      <c r="CA118" s="485">
        <v>1</v>
      </c>
      <c r="CB118" s="485">
        <v>0</v>
      </c>
      <c r="CC118" s="485">
        <v>0</v>
      </c>
      <c r="CD118" s="485">
        <v>0</v>
      </c>
      <c r="CE118" s="485">
        <v>0</v>
      </c>
      <c r="CF118" s="485">
        <v>0</v>
      </c>
      <c r="CG118" s="485">
        <v>0</v>
      </c>
      <c r="CH118" s="485">
        <v>0</v>
      </c>
      <c r="CI118" s="485">
        <v>0</v>
      </c>
      <c r="CJ118" s="485">
        <v>0</v>
      </c>
      <c r="CK118" s="485">
        <v>0</v>
      </c>
      <c r="CL118" s="485">
        <v>0</v>
      </c>
      <c r="CM118" s="486">
        <f t="shared" si="19"/>
        <v>1</v>
      </c>
    </row>
    <row r="119" spans="1:91" s="487" customFormat="1" ht="25.5" x14ac:dyDescent="0.25">
      <c r="A119" s="497" t="s">
        <v>2397</v>
      </c>
      <c r="B119" s="498" t="s">
        <v>2339</v>
      </c>
      <c r="C119" s="497" t="s">
        <v>2513</v>
      </c>
      <c r="D119" s="498"/>
      <c r="E119" s="497" t="s">
        <v>655</v>
      </c>
      <c r="F119" s="498"/>
      <c r="G119" s="497"/>
      <c r="H119" s="497" t="s">
        <v>654</v>
      </c>
      <c r="I119" s="497" t="s">
        <v>647</v>
      </c>
      <c r="J119" s="497" t="s">
        <v>641</v>
      </c>
      <c r="K119" s="497" t="s">
        <v>649</v>
      </c>
      <c r="L119" s="497" t="s">
        <v>41</v>
      </c>
      <c r="M119" s="497" t="s">
        <v>653</v>
      </c>
      <c r="N119" s="497" t="s">
        <v>645</v>
      </c>
      <c r="O119" s="497"/>
      <c r="P119" s="497"/>
      <c r="Q119" s="497" t="s">
        <v>642</v>
      </c>
      <c r="R119" s="497" t="s">
        <v>652</v>
      </c>
      <c r="S119" s="497" t="s">
        <v>649</v>
      </c>
      <c r="T119" s="497"/>
      <c r="U119" s="497"/>
      <c r="V119" s="497" t="s">
        <v>641</v>
      </c>
      <c r="W119" s="497"/>
      <c r="X119" s="499">
        <v>43101</v>
      </c>
      <c r="Y119" s="499">
        <v>44651</v>
      </c>
      <c r="Z119" s="500">
        <v>2022</v>
      </c>
      <c r="AA119" s="497"/>
      <c r="AB119" s="497"/>
      <c r="AC119" s="497"/>
      <c r="AD119" s="501"/>
      <c r="AE119" s="501"/>
      <c r="AF119" s="501"/>
      <c r="AG119" s="501"/>
      <c r="AH119" s="501"/>
      <c r="AI119" s="501">
        <f>4732200*0</f>
        <v>0</v>
      </c>
      <c r="AJ119" s="501"/>
      <c r="AK119" s="501"/>
      <c r="AL119" s="501"/>
      <c r="AM119" s="501"/>
      <c r="AN119" s="501"/>
      <c r="AO119" s="501">
        <f>20787475.27351*0</f>
        <v>0</v>
      </c>
      <c r="AP119" s="501">
        <f>1582553.128*0+27344228.40151</f>
        <v>27344228.40151</v>
      </c>
      <c r="AQ119" s="501"/>
      <c r="AR119" s="501">
        <f>242000*0</f>
        <v>0</v>
      </c>
      <c r="AS119" s="501"/>
      <c r="AT119" s="501"/>
      <c r="AU119" s="501"/>
      <c r="AV119" s="501"/>
      <c r="AW119" s="501"/>
      <c r="AX119" s="501"/>
      <c r="AY119" s="501"/>
      <c r="AZ119" s="501"/>
      <c r="BA119" s="501"/>
      <c r="BB119" s="483"/>
      <c r="BC119" s="483"/>
      <c r="BD119" s="483">
        <v>2509105.5857038535</v>
      </c>
      <c r="BE119" s="483">
        <v>58011.450439838169</v>
      </c>
      <c r="BF119" s="483">
        <v>0</v>
      </c>
      <c r="BG119" s="483">
        <v>3762960.4261332601</v>
      </c>
      <c r="BH119" s="483"/>
      <c r="BI119" s="483"/>
      <c r="BJ119" s="483"/>
      <c r="BK119" s="483"/>
      <c r="BL119" s="483"/>
      <c r="BM119" s="483"/>
      <c r="BN119" s="483"/>
      <c r="BO119" s="483"/>
      <c r="BP119" s="483"/>
      <c r="BQ119" s="483"/>
      <c r="BR119" s="483">
        <v>33674305.863786966</v>
      </c>
      <c r="BS119" s="484">
        <f t="shared" si="18"/>
        <v>27344228.40151</v>
      </c>
      <c r="BT119" s="485">
        <f t="shared" ref="BT119:CC128" si="26">SUMIFS($AD119:$BA119,$AD$11:$BA$11,BT$21)/$BS119</f>
        <v>0</v>
      </c>
      <c r="BU119" s="485">
        <f t="shared" si="26"/>
        <v>0</v>
      </c>
      <c r="BV119" s="485">
        <f t="shared" si="26"/>
        <v>0</v>
      </c>
      <c r="BW119" s="485">
        <f t="shared" si="26"/>
        <v>0</v>
      </c>
      <c r="BX119" s="485">
        <f t="shared" si="26"/>
        <v>0</v>
      </c>
      <c r="BY119" s="485">
        <f t="shared" si="26"/>
        <v>0</v>
      </c>
      <c r="BZ119" s="485">
        <f t="shared" si="26"/>
        <v>0</v>
      </c>
      <c r="CA119" s="485">
        <f t="shared" si="26"/>
        <v>0</v>
      </c>
      <c r="CB119" s="485">
        <f t="shared" si="26"/>
        <v>0</v>
      </c>
      <c r="CC119" s="485">
        <f t="shared" si="26"/>
        <v>0</v>
      </c>
      <c r="CD119" s="485">
        <f t="shared" ref="CD119:CL128" si="27">SUMIFS($AD119:$BA119,$AD$11:$BA$11,CD$21)/$BS119</f>
        <v>0</v>
      </c>
      <c r="CE119" s="485">
        <f t="shared" si="27"/>
        <v>0</v>
      </c>
      <c r="CF119" s="485">
        <f t="shared" si="27"/>
        <v>0</v>
      </c>
      <c r="CG119" s="485">
        <f t="shared" si="27"/>
        <v>0</v>
      </c>
      <c r="CH119" s="485">
        <f t="shared" si="27"/>
        <v>0</v>
      </c>
      <c r="CI119" s="485">
        <f t="shared" si="27"/>
        <v>0</v>
      </c>
      <c r="CJ119" s="485">
        <f t="shared" si="27"/>
        <v>0</v>
      </c>
      <c r="CK119" s="485">
        <f t="shared" si="27"/>
        <v>0</v>
      </c>
      <c r="CL119" s="485">
        <f t="shared" si="27"/>
        <v>1</v>
      </c>
      <c r="CM119" s="486">
        <f t="shared" si="19"/>
        <v>1</v>
      </c>
    </row>
    <row r="120" spans="1:91" s="487" customFormat="1" ht="25.5" x14ac:dyDescent="0.25">
      <c r="A120" s="497" t="s">
        <v>2514</v>
      </c>
      <c r="B120" s="498" t="e">
        <v>#N/A</v>
      </c>
      <c r="C120" s="497" t="s">
        <v>665</v>
      </c>
      <c r="D120" s="498"/>
      <c r="E120" s="497" t="s">
        <v>664</v>
      </c>
      <c r="F120" s="498"/>
      <c r="G120" s="497"/>
      <c r="H120" s="497" t="s">
        <v>654</v>
      </c>
      <c r="I120" s="497" t="s">
        <v>647</v>
      </c>
      <c r="J120" s="497" t="s">
        <v>641</v>
      </c>
      <c r="K120" s="497" t="s">
        <v>649</v>
      </c>
      <c r="L120" s="497" t="s">
        <v>41</v>
      </c>
      <c r="M120" s="497" t="s">
        <v>653</v>
      </c>
      <c r="N120" s="497" t="s">
        <v>645</v>
      </c>
      <c r="O120" s="497"/>
      <c r="P120" s="497"/>
      <c r="Q120" s="497" t="s">
        <v>642</v>
      </c>
      <c r="R120" s="497" t="s">
        <v>652</v>
      </c>
      <c r="S120" s="497" t="s">
        <v>663</v>
      </c>
      <c r="T120" s="497"/>
      <c r="U120" s="497"/>
      <c r="V120" s="497"/>
      <c r="W120" s="497"/>
      <c r="X120" s="499">
        <v>43101</v>
      </c>
      <c r="Y120" s="499">
        <v>44285</v>
      </c>
      <c r="Z120" s="500">
        <v>2021</v>
      </c>
      <c r="AA120" s="497"/>
      <c r="AB120" s="497"/>
      <c r="AC120" s="497"/>
      <c r="AD120" s="501"/>
      <c r="AE120" s="501"/>
      <c r="AF120" s="501"/>
      <c r="AG120" s="501"/>
      <c r="AH120" s="501"/>
      <c r="AI120" s="501"/>
      <c r="AJ120" s="501"/>
      <c r="AK120" s="501"/>
      <c r="AL120" s="501"/>
      <c r="AM120" s="501"/>
      <c r="AN120" s="501"/>
      <c r="AO120" s="501">
        <v>1277963.4978549986</v>
      </c>
      <c r="AP120" s="501">
        <v>10984.319999999992</v>
      </c>
      <c r="AQ120" s="501"/>
      <c r="AR120" s="501"/>
      <c r="AS120" s="501"/>
      <c r="AT120" s="501"/>
      <c r="AU120" s="501"/>
      <c r="AV120" s="501"/>
      <c r="AW120" s="501"/>
      <c r="AX120" s="501"/>
      <c r="AY120" s="501"/>
      <c r="AZ120" s="501"/>
      <c r="BA120" s="501"/>
      <c r="BB120" s="483"/>
      <c r="BC120" s="483"/>
      <c r="BD120" s="483"/>
      <c r="BE120" s="483"/>
      <c r="BF120" s="483">
        <v>0</v>
      </c>
      <c r="BG120" s="483">
        <v>230124.62647866714</v>
      </c>
      <c r="BH120" s="483"/>
      <c r="BI120" s="483"/>
      <c r="BJ120" s="483"/>
      <c r="BK120" s="483"/>
      <c r="BL120" s="483"/>
      <c r="BM120" s="483"/>
      <c r="BN120" s="483"/>
      <c r="BO120" s="483"/>
      <c r="BP120" s="483"/>
      <c r="BQ120" s="483"/>
      <c r="BR120" s="483">
        <v>1519072.4443336655</v>
      </c>
      <c r="BS120" s="484">
        <f t="shared" si="18"/>
        <v>1288947.8178549986</v>
      </c>
      <c r="BT120" s="485">
        <f t="shared" si="26"/>
        <v>0</v>
      </c>
      <c r="BU120" s="485">
        <f t="shared" si="26"/>
        <v>0</v>
      </c>
      <c r="BV120" s="485">
        <f t="shared" si="26"/>
        <v>0</v>
      </c>
      <c r="BW120" s="485">
        <f t="shared" si="26"/>
        <v>0</v>
      </c>
      <c r="BX120" s="485">
        <f t="shared" si="26"/>
        <v>0</v>
      </c>
      <c r="BY120" s="485">
        <f t="shared" si="26"/>
        <v>0</v>
      </c>
      <c r="BZ120" s="485">
        <f t="shared" si="26"/>
        <v>0</v>
      </c>
      <c r="CA120" s="485">
        <f t="shared" si="26"/>
        <v>0</v>
      </c>
      <c r="CB120" s="485">
        <f t="shared" si="26"/>
        <v>0</v>
      </c>
      <c r="CC120" s="485">
        <f t="shared" si="26"/>
        <v>0</v>
      </c>
      <c r="CD120" s="485">
        <f t="shared" si="27"/>
        <v>0</v>
      </c>
      <c r="CE120" s="485">
        <f t="shared" si="27"/>
        <v>0</v>
      </c>
      <c r="CF120" s="485">
        <f t="shared" si="27"/>
        <v>0</v>
      </c>
      <c r="CG120" s="485">
        <f t="shared" si="27"/>
        <v>0</v>
      </c>
      <c r="CH120" s="485">
        <f t="shared" si="27"/>
        <v>0</v>
      </c>
      <c r="CI120" s="485">
        <f t="shared" si="27"/>
        <v>0.99147807238753882</v>
      </c>
      <c r="CJ120" s="485">
        <f t="shared" si="27"/>
        <v>0</v>
      </c>
      <c r="CK120" s="485">
        <f t="shared" si="27"/>
        <v>0</v>
      </c>
      <c r="CL120" s="485">
        <f t="shared" si="27"/>
        <v>8.5219276124610995E-3</v>
      </c>
      <c r="CM120" s="486">
        <f t="shared" si="19"/>
        <v>0.99999999999999989</v>
      </c>
    </row>
    <row r="121" spans="1:91" s="487" customFormat="1" ht="25.5" x14ac:dyDescent="0.25">
      <c r="A121" s="497" t="s">
        <v>2515</v>
      </c>
      <c r="B121" s="498" t="e">
        <v>#N/A</v>
      </c>
      <c r="C121" s="497" t="s">
        <v>662</v>
      </c>
      <c r="D121" s="498"/>
      <c r="E121" s="497" t="s">
        <v>655</v>
      </c>
      <c r="F121" s="498"/>
      <c r="G121" s="497"/>
      <c r="H121" s="497" t="s">
        <v>654</v>
      </c>
      <c r="I121" s="497" t="s">
        <v>647</v>
      </c>
      <c r="J121" s="497" t="s">
        <v>641</v>
      </c>
      <c r="K121" s="497" t="s">
        <v>649</v>
      </c>
      <c r="L121" s="497" t="s">
        <v>41</v>
      </c>
      <c r="M121" s="497" t="s">
        <v>653</v>
      </c>
      <c r="N121" s="497" t="s">
        <v>645</v>
      </c>
      <c r="O121" s="497"/>
      <c r="P121" s="497"/>
      <c r="Q121" s="497" t="s">
        <v>656</v>
      </c>
      <c r="R121" s="497" t="s">
        <v>652</v>
      </c>
      <c r="S121" s="497" t="s">
        <v>649</v>
      </c>
      <c r="T121" s="497"/>
      <c r="U121" s="497"/>
      <c r="V121" s="497" t="s">
        <v>641</v>
      </c>
      <c r="W121" s="497"/>
      <c r="X121" s="499">
        <v>43101</v>
      </c>
      <c r="Y121" s="499">
        <v>44285</v>
      </c>
      <c r="Z121" s="500">
        <v>2021</v>
      </c>
      <c r="AA121" s="497"/>
      <c r="AB121" s="497"/>
      <c r="AC121" s="497"/>
      <c r="AD121" s="501"/>
      <c r="AE121" s="501"/>
      <c r="AF121" s="501"/>
      <c r="AG121" s="501"/>
      <c r="AH121" s="501"/>
      <c r="AI121" s="501"/>
      <c r="AJ121" s="501"/>
      <c r="AK121" s="501"/>
      <c r="AL121" s="501"/>
      <c r="AM121" s="501"/>
      <c r="AN121" s="501"/>
      <c r="AO121" s="501">
        <v>3288995.9337699967</v>
      </c>
      <c r="AP121" s="501">
        <v>18942.59999999998</v>
      </c>
      <c r="AQ121" s="501"/>
      <c r="AR121" s="501"/>
      <c r="AS121" s="501"/>
      <c r="AT121" s="501"/>
      <c r="AU121" s="501"/>
      <c r="AV121" s="501"/>
      <c r="AW121" s="501"/>
      <c r="AX121" s="501"/>
      <c r="AY121" s="501"/>
      <c r="AZ121" s="501"/>
      <c r="BA121" s="501"/>
      <c r="BB121" s="483"/>
      <c r="BC121" s="483"/>
      <c r="BD121" s="483"/>
      <c r="BE121" s="483"/>
      <c r="BF121" s="483">
        <v>0</v>
      </c>
      <c r="BG121" s="483">
        <v>590588.78020758356</v>
      </c>
      <c r="BH121" s="483"/>
      <c r="BI121" s="483"/>
      <c r="BJ121" s="483"/>
      <c r="BK121" s="483"/>
      <c r="BL121" s="483"/>
      <c r="BM121" s="483"/>
      <c r="BN121" s="483"/>
      <c r="BO121" s="483"/>
      <c r="BP121" s="483"/>
      <c r="BQ121" s="483"/>
      <c r="BR121" s="483">
        <v>3898527.3139775801</v>
      </c>
      <c r="BS121" s="484">
        <f t="shared" si="18"/>
        <v>3307938.5337699968</v>
      </c>
      <c r="BT121" s="485">
        <f t="shared" si="26"/>
        <v>0</v>
      </c>
      <c r="BU121" s="485">
        <f t="shared" si="26"/>
        <v>0</v>
      </c>
      <c r="BV121" s="485">
        <f t="shared" si="26"/>
        <v>0</v>
      </c>
      <c r="BW121" s="485">
        <f t="shared" si="26"/>
        <v>0</v>
      </c>
      <c r="BX121" s="485">
        <f t="shared" si="26"/>
        <v>0</v>
      </c>
      <c r="BY121" s="485">
        <f t="shared" si="26"/>
        <v>0</v>
      </c>
      <c r="BZ121" s="485">
        <f t="shared" si="26"/>
        <v>0</v>
      </c>
      <c r="CA121" s="485">
        <f t="shared" si="26"/>
        <v>0</v>
      </c>
      <c r="CB121" s="485">
        <f t="shared" si="26"/>
        <v>0</v>
      </c>
      <c r="CC121" s="485">
        <f t="shared" si="26"/>
        <v>0</v>
      </c>
      <c r="CD121" s="485">
        <f t="shared" si="27"/>
        <v>0</v>
      </c>
      <c r="CE121" s="485">
        <f t="shared" si="27"/>
        <v>0</v>
      </c>
      <c r="CF121" s="485">
        <f t="shared" si="27"/>
        <v>0</v>
      </c>
      <c r="CG121" s="485">
        <f t="shared" si="27"/>
        <v>0</v>
      </c>
      <c r="CH121" s="485">
        <f t="shared" si="27"/>
        <v>0</v>
      </c>
      <c r="CI121" s="485">
        <f t="shared" si="27"/>
        <v>0.99427359371807567</v>
      </c>
      <c r="CJ121" s="485">
        <f t="shared" si="27"/>
        <v>0</v>
      </c>
      <c r="CK121" s="485">
        <f t="shared" si="27"/>
        <v>0</v>
      </c>
      <c r="CL121" s="485">
        <f t="shared" si="27"/>
        <v>5.7264062819243041E-3</v>
      </c>
      <c r="CM121" s="486">
        <f t="shared" si="19"/>
        <v>1</v>
      </c>
    </row>
    <row r="122" spans="1:91" s="487" customFormat="1" ht="25.5" x14ac:dyDescent="0.25">
      <c r="A122" s="497" t="s">
        <v>2516</v>
      </c>
      <c r="B122" s="498" t="e">
        <v>#N/A</v>
      </c>
      <c r="C122" s="497" t="s">
        <v>661</v>
      </c>
      <c r="D122" s="498"/>
      <c r="E122" s="497" t="s">
        <v>655</v>
      </c>
      <c r="F122" s="498"/>
      <c r="G122" s="497"/>
      <c r="H122" s="497" t="s">
        <v>654</v>
      </c>
      <c r="I122" s="497" t="s">
        <v>647</v>
      </c>
      <c r="J122" s="497" t="s">
        <v>641</v>
      </c>
      <c r="K122" s="497" t="s">
        <v>649</v>
      </c>
      <c r="L122" s="497" t="s">
        <v>41</v>
      </c>
      <c r="M122" s="497" t="s">
        <v>653</v>
      </c>
      <c r="N122" s="497" t="s">
        <v>645</v>
      </c>
      <c r="O122" s="497"/>
      <c r="P122" s="497"/>
      <c r="Q122" s="497" t="s">
        <v>656</v>
      </c>
      <c r="R122" s="497" t="s">
        <v>652</v>
      </c>
      <c r="S122" s="497" t="s">
        <v>649</v>
      </c>
      <c r="T122" s="497"/>
      <c r="U122" s="497"/>
      <c r="V122" s="497" t="s">
        <v>641</v>
      </c>
      <c r="W122" s="497"/>
      <c r="X122" s="499">
        <v>43101</v>
      </c>
      <c r="Y122" s="499">
        <v>43920</v>
      </c>
      <c r="Z122" s="500">
        <v>2020</v>
      </c>
      <c r="AA122" s="497"/>
      <c r="AB122" s="497"/>
      <c r="AC122" s="497"/>
      <c r="AD122" s="501"/>
      <c r="AE122" s="501"/>
      <c r="AF122" s="501"/>
      <c r="AG122" s="501"/>
      <c r="AH122" s="501"/>
      <c r="AI122" s="501"/>
      <c r="AJ122" s="501"/>
      <c r="AK122" s="501"/>
      <c r="AL122" s="501"/>
      <c r="AM122" s="501"/>
      <c r="AN122" s="501"/>
      <c r="AO122" s="501">
        <v>1320154.7933549995</v>
      </c>
      <c r="AP122" s="501">
        <v>12154.319999999994</v>
      </c>
      <c r="AQ122" s="501"/>
      <c r="AR122" s="501"/>
      <c r="AS122" s="501"/>
      <c r="AT122" s="501"/>
      <c r="AU122" s="501"/>
      <c r="AV122" s="501"/>
      <c r="AW122" s="501"/>
      <c r="AX122" s="501"/>
      <c r="AY122" s="501"/>
      <c r="AZ122" s="501"/>
      <c r="BA122" s="501"/>
      <c r="BB122" s="483"/>
      <c r="BC122" s="483"/>
      <c r="BD122" s="483"/>
      <c r="BE122" s="483"/>
      <c r="BF122" s="483">
        <v>0</v>
      </c>
      <c r="BG122" s="483">
        <v>237866.21368052487</v>
      </c>
      <c r="BH122" s="483"/>
      <c r="BI122" s="483"/>
      <c r="BJ122" s="483"/>
      <c r="BK122" s="483"/>
      <c r="BL122" s="483"/>
      <c r="BM122" s="483"/>
      <c r="BN122" s="483"/>
      <c r="BO122" s="483"/>
      <c r="BP122" s="483"/>
      <c r="BQ122" s="483"/>
      <c r="BR122" s="483">
        <v>1570175.3270355244</v>
      </c>
      <c r="BS122" s="484">
        <f t="shared" si="18"/>
        <v>1332309.1133549996</v>
      </c>
      <c r="BT122" s="485">
        <f t="shared" si="26"/>
        <v>0</v>
      </c>
      <c r="BU122" s="485">
        <f t="shared" si="26"/>
        <v>0</v>
      </c>
      <c r="BV122" s="485">
        <f t="shared" si="26"/>
        <v>0</v>
      </c>
      <c r="BW122" s="485">
        <f t="shared" si="26"/>
        <v>0</v>
      </c>
      <c r="BX122" s="485">
        <f t="shared" si="26"/>
        <v>0</v>
      </c>
      <c r="BY122" s="485">
        <f t="shared" si="26"/>
        <v>0</v>
      </c>
      <c r="BZ122" s="485">
        <f t="shared" si="26"/>
        <v>0</v>
      </c>
      <c r="CA122" s="485">
        <f t="shared" si="26"/>
        <v>0</v>
      </c>
      <c r="CB122" s="485">
        <f t="shared" si="26"/>
        <v>0</v>
      </c>
      <c r="CC122" s="485">
        <f t="shared" si="26"/>
        <v>0</v>
      </c>
      <c r="CD122" s="485">
        <f t="shared" si="27"/>
        <v>0</v>
      </c>
      <c r="CE122" s="485">
        <f t="shared" si="27"/>
        <v>0</v>
      </c>
      <c r="CF122" s="485">
        <f t="shared" si="27"/>
        <v>0</v>
      </c>
      <c r="CG122" s="485">
        <f t="shared" si="27"/>
        <v>0</v>
      </c>
      <c r="CH122" s="485">
        <f t="shared" si="27"/>
        <v>0</v>
      </c>
      <c r="CI122" s="485">
        <f t="shared" si="27"/>
        <v>0.99087725222460332</v>
      </c>
      <c r="CJ122" s="485">
        <f t="shared" si="27"/>
        <v>0</v>
      </c>
      <c r="CK122" s="485">
        <f t="shared" si="27"/>
        <v>0</v>
      </c>
      <c r="CL122" s="485">
        <f t="shared" si="27"/>
        <v>9.1227477753966415E-3</v>
      </c>
      <c r="CM122" s="486">
        <f t="shared" si="19"/>
        <v>1</v>
      </c>
    </row>
    <row r="123" spans="1:91" s="487" customFormat="1" ht="25.5" x14ac:dyDescent="0.25">
      <c r="A123" s="497" t="s">
        <v>2517</v>
      </c>
      <c r="B123" s="498" t="e">
        <v>#N/A</v>
      </c>
      <c r="C123" s="497" t="s">
        <v>660</v>
      </c>
      <c r="D123" s="498"/>
      <c r="E123" s="497" t="s">
        <v>655</v>
      </c>
      <c r="F123" s="498"/>
      <c r="G123" s="497"/>
      <c r="H123" s="497" t="s">
        <v>654</v>
      </c>
      <c r="I123" s="497" t="s">
        <v>647</v>
      </c>
      <c r="J123" s="497" t="s">
        <v>641</v>
      </c>
      <c r="K123" s="497" t="s">
        <v>649</v>
      </c>
      <c r="L123" s="497" t="s">
        <v>41</v>
      </c>
      <c r="M123" s="497" t="s">
        <v>653</v>
      </c>
      <c r="N123" s="497" t="s">
        <v>645</v>
      </c>
      <c r="O123" s="497"/>
      <c r="P123" s="497"/>
      <c r="Q123" s="497" t="s">
        <v>656</v>
      </c>
      <c r="R123" s="497" t="s">
        <v>652</v>
      </c>
      <c r="S123" s="497" t="s">
        <v>649</v>
      </c>
      <c r="T123" s="497"/>
      <c r="U123" s="497"/>
      <c r="V123" s="497" t="s">
        <v>641</v>
      </c>
      <c r="W123" s="497"/>
      <c r="X123" s="499">
        <v>43101</v>
      </c>
      <c r="Y123" s="499">
        <v>44285</v>
      </c>
      <c r="Z123" s="500">
        <v>2021</v>
      </c>
      <c r="AA123" s="497"/>
      <c r="AB123" s="497"/>
      <c r="AC123" s="497"/>
      <c r="AD123" s="501"/>
      <c r="AE123" s="501"/>
      <c r="AF123" s="501"/>
      <c r="AG123" s="501"/>
      <c r="AH123" s="501"/>
      <c r="AI123" s="501"/>
      <c r="AJ123" s="501"/>
      <c r="AK123" s="501"/>
      <c r="AL123" s="501"/>
      <c r="AM123" s="501"/>
      <c r="AN123" s="501"/>
      <c r="AO123" s="501">
        <v>3294297.0137299974</v>
      </c>
      <c r="AP123" s="501">
        <v>21982.319999999982</v>
      </c>
      <c r="AQ123" s="501"/>
      <c r="AR123" s="501"/>
      <c r="AS123" s="501"/>
      <c r="AT123" s="501"/>
      <c r="AU123" s="501"/>
      <c r="AV123" s="501"/>
      <c r="AW123" s="501"/>
      <c r="AX123" s="501"/>
      <c r="AY123" s="501"/>
      <c r="AZ123" s="501"/>
      <c r="BA123" s="501"/>
      <c r="BB123" s="483"/>
      <c r="BC123" s="483"/>
      <c r="BD123" s="483"/>
      <c r="BE123" s="483"/>
      <c r="BF123" s="483">
        <v>0</v>
      </c>
      <c r="BG123" s="483">
        <v>592077.91999178566</v>
      </c>
      <c r="BH123" s="483"/>
      <c r="BI123" s="483"/>
      <c r="BJ123" s="483"/>
      <c r="BK123" s="483"/>
      <c r="BL123" s="483"/>
      <c r="BM123" s="483"/>
      <c r="BN123" s="483"/>
      <c r="BO123" s="483"/>
      <c r="BP123" s="483"/>
      <c r="BQ123" s="483"/>
      <c r="BR123" s="483">
        <v>3908357.2537217825</v>
      </c>
      <c r="BS123" s="484">
        <f t="shared" si="18"/>
        <v>3316279.3337299973</v>
      </c>
      <c r="BT123" s="485">
        <f t="shared" si="26"/>
        <v>0</v>
      </c>
      <c r="BU123" s="485">
        <f t="shared" si="26"/>
        <v>0</v>
      </c>
      <c r="BV123" s="485">
        <f t="shared" si="26"/>
        <v>0</v>
      </c>
      <c r="BW123" s="485">
        <f t="shared" si="26"/>
        <v>0</v>
      </c>
      <c r="BX123" s="485">
        <f t="shared" si="26"/>
        <v>0</v>
      </c>
      <c r="BY123" s="485">
        <f t="shared" si="26"/>
        <v>0</v>
      </c>
      <c r="BZ123" s="485">
        <f t="shared" si="26"/>
        <v>0</v>
      </c>
      <c r="CA123" s="485">
        <f t="shared" si="26"/>
        <v>0</v>
      </c>
      <c r="CB123" s="485">
        <f t="shared" si="26"/>
        <v>0</v>
      </c>
      <c r="CC123" s="485">
        <f t="shared" si="26"/>
        <v>0</v>
      </c>
      <c r="CD123" s="485">
        <f t="shared" si="27"/>
        <v>0</v>
      </c>
      <c r="CE123" s="485">
        <f t="shared" si="27"/>
        <v>0</v>
      </c>
      <c r="CF123" s="485">
        <f t="shared" si="27"/>
        <v>0</v>
      </c>
      <c r="CG123" s="485">
        <f t="shared" si="27"/>
        <v>0</v>
      </c>
      <c r="CH123" s="485">
        <f t="shared" si="27"/>
        <v>0</v>
      </c>
      <c r="CI123" s="485">
        <f t="shared" si="27"/>
        <v>0.99337139070993907</v>
      </c>
      <c r="CJ123" s="485">
        <f t="shared" si="27"/>
        <v>0</v>
      </c>
      <c r="CK123" s="485">
        <f t="shared" si="27"/>
        <v>0</v>
      </c>
      <c r="CL123" s="485">
        <f t="shared" si="27"/>
        <v>6.6286092900610053E-3</v>
      </c>
      <c r="CM123" s="486">
        <f t="shared" si="19"/>
        <v>1</v>
      </c>
    </row>
    <row r="124" spans="1:91" s="487" customFormat="1" ht="25.5" x14ac:dyDescent="0.25">
      <c r="A124" s="497" t="s">
        <v>2518</v>
      </c>
      <c r="B124" s="498" t="e">
        <v>#N/A</v>
      </c>
      <c r="C124" s="497" t="s">
        <v>659</v>
      </c>
      <c r="D124" s="498"/>
      <c r="E124" s="497" t="s">
        <v>655</v>
      </c>
      <c r="F124" s="498"/>
      <c r="G124" s="497"/>
      <c r="H124" s="497" t="s">
        <v>654</v>
      </c>
      <c r="I124" s="497" t="s">
        <v>647</v>
      </c>
      <c r="J124" s="497" t="s">
        <v>641</v>
      </c>
      <c r="K124" s="497" t="s">
        <v>649</v>
      </c>
      <c r="L124" s="497" t="s">
        <v>41</v>
      </c>
      <c r="M124" s="497" t="s">
        <v>653</v>
      </c>
      <c r="N124" s="497" t="s">
        <v>645</v>
      </c>
      <c r="O124" s="497"/>
      <c r="P124" s="497"/>
      <c r="Q124" s="497" t="s">
        <v>656</v>
      </c>
      <c r="R124" s="497" t="s">
        <v>652</v>
      </c>
      <c r="S124" s="497" t="s">
        <v>649</v>
      </c>
      <c r="T124" s="497"/>
      <c r="U124" s="497"/>
      <c r="V124" s="497" t="s">
        <v>641</v>
      </c>
      <c r="W124" s="497"/>
      <c r="X124" s="499">
        <v>43101</v>
      </c>
      <c r="Y124" s="499">
        <v>44285</v>
      </c>
      <c r="Z124" s="500">
        <v>2021</v>
      </c>
      <c r="AA124" s="497"/>
      <c r="AB124" s="497"/>
      <c r="AC124" s="497"/>
      <c r="AD124" s="501"/>
      <c r="AE124" s="501"/>
      <c r="AF124" s="501"/>
      <c r="AG124" s="501"/>
      <c r="AH124" s="501"/>
      <c r="AI124" s="501"/>
      <c r="AJ124" s="501"/>
      <c r="AK124" s="501"/>
      <c r="AL124" s="501"/>
      <c r="AM124" s="501"/>
      <c r="AN124" s="501"/>
      <c r="AO124" s="501">
        <v>1301220.0933549984</v>
      </c>
      <c r="AP124" s="501">
        <v>11530.319999999992</v>
      </c>
      <c r="AQ124" s="501"/>
      <c r="AR124" s="501"/>
      <c r="AS124" s="501"/>
      <c r="AT124" s="501"/>
      <c r="AU124" s="501"/>
      <c r="AV124" s="501"/>
      <c r="AW124" s="501"/>
      <c r="AX124" s="501"/>
      <c r="AY124" s="501"/>
      <c r="AZ124" s="501"/>
      <c r="BA124" s="501"/>
      <c r="BB124" s="483"/>
      <c r="BC124" s="483"/>
      <c r="BD124" s="483"/>
      <c r="BE124" s="483"/>
      <c r="BF124" s="483">
        <v>0</v>
      </c>
      <c r="BG124" s="483">
        <v>234374.26585334388</v>
      </c>
      <c r="BH124" s="483"/>
      <c r="BI124" s="483"/>
      <c r="BJ124" s="483"/>
      <c r="BK124" s="483"/>
      <c r="BL124" s="483"/>
      <c r="BM124" s="483"/>
      <c r="BN124" s="483"/>
      <c r="BO124" s="483"/>
      <c r="BP124" s="483"/>
      <c r="BQ124" s="483"/>
      <c r="BR124" s="483">
        <v>1547124.6792083422</v>
      </c>
      <c r="BS124" s="484">
        <f t="shared" si="18"/>
        <v>1312750.4133549985</v>
      </c>
      <c r="BT124" s="485">
        <f t="shared" si="26"/>
        <v>0</v>
      </c>
      <c r="BU124" s="485">
        <f t="shared" si="26"/>
        <v>0</v>
      </c>
      <c r="BV124" s="485">
        <f t="shared" si="26"/>
        <v>0</v>
      </c>
      <c r="BW124" s="485">
        <f t="shared" si="26"/>
        <v>0</v>
      </c>
      <c r="BX124" s="485">
        <f t="shared" si="26"/>
        <v>0</v>
      </c>
      <c r="BY124" s="485">
        <f t="shared" si="26"/>
        <v>0</v>
      </c>
      <c r="BZ124" s="485">
        <f t="shared" si="26"/>
        <v>0</v>
      </c>
      <c r="CA124" s="485">
        <f t="shared" si="26"/>
        <v>0</v>
      </c>
      <c r="CB124" s="485">
        <f t="shared" si="26"/>
        <v>0</v>
      </c>
      <c r="CC124" s="485">
        <f t="shared" si="26"/>
        <v>0</v>
      </c>
      <c r="CD124" s="485">
        <f t="shared" si="27"/>
        <v>0</v>
      </c>
      <c r="CE124" s="485">
        <f t="shared" si="27"/>
        <v>0</v>
      </c>
      <c r="CF124" s="485">
        <f t="shared" si="27"/>
        <v>0</v>
      </c>
      <c r="CG124" s="485">
        <f t="shared" si="27"/>
        <v>0</v>
      </c>
      <c r="CH124" s="485">
        <f t="shared" si="27"/>
        <v>0</v>
      </c>
      <c r="CI124" s="485">
        <f t="shared" si="27"/>
        <v>0.99121667006713632</v>
      </c>
      <c r="CJ124" s="485">
        <f t="shared" si="27"/>
        <v>0</v>
      </c>
      <c r="CK124" s="485">
        <f t="shared" si="27"/>
        <v>0</v>
      </c>
      <c r="CL124" s="485">
        <f t="shared" si="27"/>
        <v>8.7833299328635775E-3</v>
      </c>
      <c r="CM124" s="486">
        <f t="shared" si="19"/>
        <v>0.99999999999999989</v>
      </c>
    </row>
    <row r="125" spans="1:91" s="487" customFormat="1" ht="25.5" x14ac:dyDescent="0.25">
      <c r="A125" s="497" t="s">
        <v>2519</v>
      </c>
      <c r="B125" s="498" t="e">
        <v>#N/A</v>
      </c>
      <c r="C125" s="497" t="s">
        <v>658</v>
      </c>
      <c r="D125" s="498"/>
      <c r="E125" s="497" t="s">
        <v>655</v>
      </c>
      <c r="F125" s="498"/>
      <c r="G125" s="497"/>
      <c r="H125" s="497" t="s">
        <v>654</v>
      </c>
      <c r="I125" s="497" t="s">
        <v>647</v>
      </c>
      <c r="J125" s="497" t="s">
        <v>641</v>
      </c>
      <c r="K125" s="497" t="s">
        <v>649</v>
      </c>
      <c r="L125" s="497" t="s">
        <v>41</v>
      </c>
      <c r="M125" s="497" t="s">
        <v>653</v>
      </c>
      <c r="N125" s="497" t="s">
        <v>645</v>
      </c>
      <c r="O125" s="497"/>
      <c r="P125" s="497"/>
      <c r="Q125" s="497" t="s">
        <v>656</v>
      </c>
      <c r="R125" s="497" t="s">
        <v>652</v>
      </c>
      <c r="S125" s="497" t="s">
        <v>649</v>
      </c>
      <c r="T125" s="497"/>
      <c r="U125" s="497"/>
      <c r="V125" s="497" t="s">
        <v>641</v>
      </c>
      <c r="W125" s="497"/>
      <c r="X125" s="499">
        <v>44197</v>
      </c>
      <c r="Y125" s="499">
        <v>45015</v>
      </c>
      <c r="Z125" s="500">
        <v>2023</v>
      </c>
      <c r="AA125" s="497"/>
      <c r="AB125" s="497"/>
      <c r="AC125" s="497"/>
      <c r="AD125" s="501"/>
      <c r="AE125" s="501"/>
      <c r="AF125" s="501"/>
      <c r="AG125" s="501"/>
      <c r="AH125" s="501"/>
      <c r="AI125" s="501"/>
      <c r="AJ125" s="501"/>
      <c r="AK125" s="501"/>
      <c r="AL125" s="501"/>
      <c r="AM125" s="501"/>
      <c r="AN125" s="501"/>
      <c r="AO125" s="501">
        <v>1329863.2433550027</v>
      </c>
      <c r="AP125" s="501">
        <v>11452.320000000025</v>
      </c>
      <c r="AQ125" s="501"/>
      <c r="AR125" s="501"/>
      <c r="AS125" s="501"/>
      <c r="AT125" s="501"/>
      <c r="AU125" s="501"/>
      <c r="AV125" s="501"/>
      <c r="AW125" s="501"/>
      <c r="AX125" s="501"/>
      <c r="AY125" s="501"/>
      <c r="AZ125" s="501"/>
      <c r="BA125" s="501"/>
      <c r="BB125" s="483"/>
      <c r="BC125" s="483"/>
      <c r="BD125" s="483"/>
      <c r="BE125" s="483"/>
      <c r="BF125" s="483">
        <v>0</v>
      </c>
      <c r="BG125" s="483">
        <v>239474.19649677162</v>
      </c>
      <c r="BH125" s="483"/>
      <c r="BI125" s="483"/>
      <c r="BJ125" s="483"/>
      <c r="BK125" s="483"/>
      <c r="BL125" s="483"/>
      <c r="BM125" s="483"/>
      <c r="BN125" s="483"/>
      <c r="BO125" s="483"/>
      <c r="BP125" s="483"/>
      <c r="BQ125" s="483"/>
      <c r="BR125" s="483">
        <v>1580789.7598517744</v>
      </c>
      <c r="BS125" s="484">
        <f t="shared" si="18"/>
        <v>1341315.5633550028</v>
      </c>
      <c r="BT125" s="485">
        <f t="shared" si="26"/>
        <v>0</v>
      </c>
      <c r="BU125" s="485">
        <f t="shared" si="26"/>
        <v>0</v>
      </c>
      <c r="BV125" s="485">
        <f t="shared" si="26"/>
        <v>0</v>
      </c>
      <c r="BW125" s="485">
        <f t="shared" si="26"/>
        <v>0</v>
      </c>
      <c r="BX125" s="485">
        <f t="shared" si="26"/>
        <v>0</v>
      </c>
      <c r="BY125" s="485">
        <f t="shared" si="26"/>
        <v>0</v>
      </c>
      <c r="BZ125" s="485">
        <f t="shared" si="26"/>
        <v>0</v>
      </c>
      <c r="CA125" s="485">
        <f t="shared" si="26"/>
        <v>0</v>
      </c>
      <c r="CB125" s="485">
        <f t="shared" si="26"/>
        <v>0</v>
      </c>
      <c r="CC125" s="485">
        <f t="shared" si="26"/>
        <v>0</v>
      </c>
      <c r="CD125" s="485">
        <f t="shared" si="27"/>
        <v>0</v>
      </c>
      <c r="CE125" s="485">
        <f t="shared" si="27"/>
        <v>0</v>
      </c>
      <c r="CF125" s="485">
        <f t="shared" si="27"/>
        <v>0</v>
      </c>
      <c r="CG125" s="485">
        <f t="shared" si="27"/>
        <v>0</v>
      </c>
      <c r="CH125" s="485">
        <f t="shared" si="27"/>
        <v>0</v>
      </c>
      <c r="CI125" s="485">
        <f t="shared" si="27"/>
        <v>0.99146187495852611</v>
      </c>
      <c r="CJ125" s="485">
        <f t="shared" si="27"/>
        <v>0</v>
      </c>
      <c r="CK125" s="485">
        <f t="shared" si="27"/>
        <v>0</v>
      </c>
      <c r="CL125" s="485">
        <f t="shared" si="27"/>
        <v>8.538125041473903E-3</v>
      </c>
      <c r="CM125" s="486">
        <f t="shared" si="19"/>
        <v>1</v>
      </c>
    </row>
    <row r="126" spans="1:91" s="487" customFormat="1" ht="25.5" x14ac:dyDescent="0.25">
      <c r="A126" s="497" t="s">
        <v>2520</v>
      </c>
      <c r="B126" s="498" t="e">
        <v>#N/A</v>
      </c>
      <c r="C126" s="497" t="s">
        <v>657</v>
      </c>
      <c r="D126" s="498"/>
      <c r="E126" s="497" t="s">
        <v>655</v>
      </c>
      <c r="F126" s="498"/>
      <c r="G126" s="497"/>
      <c r="H126" s="497" t="s">
        <v>654</v>
      </c>
      <c r="I126" s="497" t="s">
        <v>647</v>
      </c>
      <c r="J126" s="497" t="s">
        <v>641</v>
      </c>
      <c r="K126" s="497" t="s">
        <v>649</v>
      </c>
      <c r="L126" s="497" t="s">
        <v>41</v>
      </c>
      <c r="M126" s="497" t="s">
        <v>653</v>
      </c>
      <c r="N126" s="497" t="s">
        <v>645</v>
      </c>
      <c r="O126" s="497"/>
      <c r="P126" s="497"/>
      <c r="Q126" s="497" t="s">
        <v>656</v>
      </c>
      <c r="R126" s="497" t="s">
        <v>652</v>
      </c>
      <c r="S126" s="497" t="s">
        <v>649</v>
      </c>
      <c r="T126" s="497"/>
      <c r="U126" s="497"/>
      <c r="V126" s="497" t="s">
        <v>641</v>
      </c>
      <c r="W126" s="497"/>
      <c r="X126" s="499">
        <v>43101</v>
      </c>
      <c r="Y126" s="499">
        <v>43920</v>
      </c>
      <c r="Z126" s="500">
        <v>2020</v>
      </c>
      <c r="AA126" s="497"/>
      <c r="AB126" s="497"/>
      <c r="AC126" s="497"/>
      <c r="AD126" s="501"/>
      <c r="AE126" s="501"/>
      <c r="AF126" s="501"/>
      <c r="AG126" s="501"/>
      <c r="AH126" s="501"/>
      <c r="AI126" s="501"/>
      <c r="AJ126" s="501"/>
      <c r="AK126" s="501"/>
      <c r="AL126" s="501"/>
      <c r="AM126" s="501"/>
      <c r="AN126" s="501"/>
      <c r="AO126" s="501">
        <v>2147001.4298849991</v>
      </c>
      <c r="AP126" s="501">
        <v>13324.319999999992</v>
      </c>
      <c r="AQ126" s="501"/>
      <c r="AR126" s="501"/>
      <c r="AS126" s="501"/>
      <c r="AT126" s="501"/>
      <c r="AU126" s="501"/>
      <c r="AV126" s="501"/>
      <c r="AW126" s="501"/>
      <c r="AX126" s="501"/>
      <c r="AY126" s="501"/>
      <c r="AZ126" s="501"/>
      <c r="BA126" s="501"/>
      <c r="BB126" s="483"/>
      <c r="BC126" s="483"/>
      <c r="BD126" s="483"/>
      <c r="BE126" s="483"/>
      <c r="BF126" s="483">
        <v>0</v>
      </c>
      <c r="BG126" s="483">
        <v>385697.65926742775</v>
      </c>
      <c r="BH126" s="483"/>
      <c r="BI126" s="483"/>
      <c r="BJ126" s="483"/>
      <c r="BK126" s="483"/>
      <c r="BL126" s="483"/>
      <c r="BM126" s="483"/>
      <c r="BN126" s="483"/>
      <c r="BO126" s="483"/>
      <c r="BP126" s="483"/>
      <c r="BQ126" s="483"/>
      <c r="BR126" s="483">
        <v>2546023.4091524268</v>
      </c>
      <c r="BS126" s="484">
        <f t="shared" si="18"/>
        <v>2160325.7498849989</v>
      </c>
      <c r="BT126" s="485">
        <f t="shared" si="26"/>
        <v>0</v>
      </c>
      <c r="BU126" s="485">
        <f t="shared" si="26"/>
        <v>0</v>
      </c>
      <c r="BV126" s="485">
        <f t="shared" si="26"/>
        <v>0</v>
      </c>
      <c r="BW126" s="485">
        <f t="shared" si="26"/>
        <v>0</v>
      </c>
      <c r="BX126" s="485">
        <f t="shared" si="26"/>
        <v>0</v>
      </c>
      <c r="BY126" s="485">
        <f t="shared" si="26"/>
        <v>0</v>
      </c>
      <c r="BZ126" s="485">
        <f t="shared" si="26"/>
        <v>0</v>
      </c>
      <c r="CA126" s="485">
        <f t="shared" si="26"/>
        <v>0</v>
      </c>
      <c r="CB126" s="485">
        <f t="shared" si="26"/>
        <v>0</v>
      </c>
      <c r="CC126" s="485">
        <f t="shared" si="26"/>
        <v>0</v>
      </c>
      <c r="CD126" s="485">
        <f t="shared" si="27"/>
        <v>0</v>
      </c>
      <c r="CE126" s="485">
        <f t="shared" si="27"/>
        <v>0</v>
      </c>
      <c r="CF126" s="485">
        <f t="shared" si="27"/>
        <v>0</v>
      </c>
      <c r="CG126" s="485">
        <f t="shared" si="27"/>
        <v>0</v>
      </c>
      <c r="CH126" s="485">
        <f t="shared" si="27"/>
        <v>0</v>
      </c>
      <c r="CI126" s="485">
        <f t="shared" si="27"/>
        <v>0.99383226349049025</v>
      </c>
      <c r="CJ126" s="485">
        <f t="shared" si="27"/>
        <v>0</v>
      </c>
      <c r="CK126" s="485">
        <f t="shared" si="27"/>
        <v>0</v>
      </c>
      <c r="CL126" s="485">
        <f t="shared" si="27"/>
        <v>6.1677365095098684E-3</v>
      </c>
      <c r="CM126" s="486">
        <f t="shared" si="19"/>
        <v>1.0000000000000002</v>
      </c>
    </row>
    <row r="127" spans="1:91" s="487" customFormat="1" ht="25.5" x14ac:dyDescent="0.25">
      <c r="A127" s="497" t="s">
        <v>2399</v>
      </c>
      <c r="B127" s="498" t="s">
        <v>2347</v>
      </c>
      <c r="C127" s="497" t="s">
        <v>2521</v>
      </c>
      <c r="D127" s="498"/>
      <c r="E127" s="497" t="s">
        <v>655</v>
      </c>
      <c r="F127" s="498"/>
      <c r="G127" s="497"/>
      <c r="H127" s="497" t="s">
        <v>654</v>
      </c>
      <c r="I127" s="497" t="s">
        <v>647</v>
      </c>
      <c r="J127" s="497" t="s">
        <v>641</v>
      </c>
      <c r="K127" s="497" t="s">
        <v>649</v>
      </c>
      <c r="L127" s="497" t="s">
        <v>41</v>
      </c>
      <c r="M127" s="497" t="s">
        <v>653</v>
      </c>
      <c r="N127" s="497" t="s">
        <v>645</v>
      </c>
      <c r="O127" s="497"/>
      <c r="P127" s="497"/>
      <c r="Q127" s="497" t="s">
        <v>642</v>
      </c>
      <c r="R127" s="497" t="s">
        <v>652</v>
      </c>
      <c r="S127" s="497" t="s">
        <v>649</v>
      </c>
      <c r="T127" s="497"/>
      <c r="U127" s="497"/>
      <c r="V127" s="497" t="s">
        <v>641</v>
      </c>
      <c r="W127" s="497" t="s">
        <v>677</v>
      </c>
      <c r="X127" s="499">
        <v>43101</v>
      </c>
      <c r="Y127" s="499">
        <v>45015</v>
      </c>
      <c r="Z127" s="500">
        <v>2023</v>
      </c>
      <c r="AA127" s="497"/>
      <c r="AB127" s="497"/>
      <c r="AC127" s="497"/>
      <c r="AD127" s="501"/>
      <c r="AE127" s="501"/>
      <c r="AF127" s="501"/>
      <c r="AG127" s="501"/>
      <c r="AH127" s="501"/>
      <c r="AI127" s="501">
        <f>5807700*0</f>
        <v>0</v>
      </c>
      <c r="AJ127" s="501"/>
      <c r="AK127" s="501"/>
      <c r="AL127" s="501"/>
      <c r="AM127" s="501"/>
      <c r="AN127" s="501"/>
      <c r="AO127" s="501">
        <f>23205045.25951*0</f>
        <v>0</v>
      </c>
      <c r="AP127" s="501">
        <f>615787.208*0+29930532.46751</f>
        <v>29930532.46751</v>
      </c>
      <c r="AQ127" s="501"/>
      <c r="AR127" s="501">
        <f>302000*0</f>
        <v>0</v>
      </c>
      <c r="AS127" s="501"/>
      <c r="AT127" s="501"/>
      <c r="AU127" s="501"/>
      <c r="AV127" s="501"/>
      <c r="AW127" s="501"/>
      <c r="AX127" s="501"/>
      <c r="AY127" s="501"/>
      <c r="AZ127" s="501"/>
      <c r="BA127" s="501"/>
      <c r="BB127" s="483"/>
      <c r="BC127" s="483"/>
      <c r="BD127" s="483">
        <v>2963735.390003853</v>
      </c>
      <c r="BE127" s="483">
        <v>68522.659896663172</v>
      </c>
      <c r="BF127" s="483">
        <v>0</v>
      </c>
      <c r="BG127" s="483">
        <v>3181509.8458240577</v>
      </c>
      <c r="BH127" s="483"/>
      <c r="BI127" s="483"/>
      <c r="BJ127" s="483"/>
      <c r="BK127" s="483"/>
      <c r="BL127" s="483"/>
      <c r="BM127" s="483"/>
      <c r="BN127" s="483"/>
      <c r="BO127" s="483"/>
      <c r="BP127" s="483"/>
      <c r="BQ127" s="483"/>
      <c r="BR127" s="483">
        <v>36144300.36323458</v>
      </c>
      <c r="BS127" s="484">
        <f t="shared" si="18"/>
        <v>29930532.46751</v>
      </c>
      <c r="BT127" s="485">
        <f t="shared" si="26"/>
        <v>0</v>
      </c>
      <c r="BU127" s="485">
        <f t="shared" si="26"/>
        <v>0</v>
      </c>
      <c r="BV127" s="485">
        <f t="shared" si="26"/>
        <v>0</v>
      </c>
      <c r="BW127" s="485">
        <f t="shared" si="26"/>
        <v>0</v>
      </c>
      <c r="BX127" s="485">
        <f t="shared" si="26"/>
        <v>0</v>
      </c>
      <c r="BY127" s="485">
        <f t="shared" si="26"/>
        <v>0</v>
      </c>
      <c r="BZ127" s="485">
        <f t="shared" si="26"/>
        <v>0</v>
      </c>
      <c r="CA127" s="485">
        <f t="shared" si="26"/>
        <v>0</v>
      </c>
      <c r="CB127" s="485">
        <f t="shared" si="26"/>
        <v>0</v>
      </c>
      <c r="CC127" s="485">
        <f t="shared" si="26"/>
        <v>0</v>
      </c>
      <c r="CD127" s="485">
        <f t="shared" si="27"/>
        <v>0</v>
      </c>
      <c r="CE127" s="485">
        <f t="shared" si="27"/>
        <v>0</v>
      </c>
      <c r="CF127" s="485">
        <f t="shared" si="27"/>
        <v>0</v>
      </c>
      <c r="CG127" s="485">
        <f t="shared" si="27"/>
        <v>0</v>
      </c>
      <c r="CH127" s="485">
        <f t="shared" si="27"/>
        <v>0</v>
      </c>
      <c r="CI127" s="485">
        <f t="shared" si="27"/>
        <v>0</v>
      </c>
      <c r="CJ127" s="485">
        <f t="shared" si="27"/>
        <v>0</v>
      </c>
      <c r="CK127" s="485">
        <f t="shared" si="27"/>
        <v>0</v>
      </c>
      <c r="CL127" s="485">
        <f t="shared" si="27"/>
        <v>1</v>
      </c>
      <c r="CM127" s="486">
        <f t="shared" si="19"/>
        <v>1</v>
      </c>
    </row>
    <row r="128" spans="1:91" s="487" customFormat="1" ht="25.5" customHeight="1" x14ac:dyDescent="0.25">
      <c r="A128" s="497" t="s">
        <v>2522</v>
      </c>
      <c r="B128" s="498" t="e">
        <v>#N/A</v>
      </c>
      <c r="C128" s="497" t="s">
        <v>2523</v>
      </c>
      <c r="D128" s="498"/>
      <c r="E128" s="497" t="s">
        <v>700</v>
      </c>
      <c r="F128" s="498"/>
      <c r="G128" s="497" t="s">
        <v>648</v>
      </c>
      <c r="H128" s="497" t="s">
        <v>654</v>
      </c>
      <c r="I128" s="497" t="s">
        <v>647</v>
      </c>
      <c r="J128" s="497" t="s">
        <v>641</v>
      </c>
      <c r="K128" s="497" t="s">
        <v>649</v>
      </c>
      <c r="L128" s="497" t="s">
        <v>41</v>
      </c>
      <c r="M128" s="497" t="s">
        <v>653</v>
      </c>
      <c r="N128" s="497" t="s">
        <v>699</v>
      </c>
      <c r="O128" s="497"/>
      <c r="P128" s="497"/>
      <c r="Q128" s="497" t="s">
        <v>656</v>
      </c>
      <c r="R128" s="497" t="s">
        <v>652</v>
      </c>
      <c r="S128" s="497" t="s">
        <v>649</v>
      </c>
      <c r="T128" s="497"/>
      <c r="U128" s="497"/>
      <c r="V128" s="497" t="s">
        <v>641</v>
      </c>
      <c r="W128" s="497" t="s">
        <v>2452</v>
      </c>
      <c r="X128" s="499">
        <v>42919</v>
      </c>
      <c r="Y128" s="499">
        <v>43644</v>
      </c>
      <c r="Z128" s="500">
        <v>2019</v>
      </c>
      <c r="AA128" s="497" t="s">
        <v>663</v>
      </c>
      <c r="AB128" s="497" t="s">
        <v>697</v>
      </c>
      <c r="AC128" s="497" t="s">
        <v>663</v>
      </c>
      <c r="AD128" s="501"/>
      <c r="AE128" s="501"/>
      <c r="AF128" s="501"/>
      <c r="AG128" s="501"/>
      <c r="AH128" s="501"/>
      <c r="AI128" s="501"/>
      <c r="AJ128" s="501"/>
      <c r="AK128" s="501"/>
      <c r="AL128" s="501"/>
      <c r="AM128" s="501"/>
      <c r="AN128" s="501"/>
      <c r="AO128" s="501"/>
      <c r="AP128" s="501">
        <v>851198.72000000067</v>
      </c>
      <c r="AQ128" s="501"/>
      <c r="AR128" s="501"/>
      <c r="AS128" s="501"/>
      <c r="AT128" s="501"/>
      <c r="AU128" s="501"/>
      <c r="AV128" s="501"/>
      <c r="AW128" s="501"/>
      <c r="AX128" s="501"/>
      <c r="AY128" s="501"/>
      <c r="AZ128" s="501"/>
      <c r="BA128" s="501"/>
      <c r="BB128" s="483">
        <v>68350.308000000048</v>
      </c>
      <c r="BC128" s="483">
        <v>45566.872000000047</v>
      </c>
      <c r="BD128" s="483">
        <v>76894.096500000072</v>
      </c>
      <c r="BE128" s="483">
        <v>1777.8199903750012</v>
      </c>
      <c r="BF128" s="483">
        <v>0</v>
      </c>
      <c r="BG128" s="483">
        <v>186354.54288022459</v>
      </c>
      <c r="BH128" s="483"/>
      <c r="BI128" s="483"/>
      <c r="BJ128" s="483"/>
      <c r="BK128" s="483"/>
      <c r="BL128" s="483"/>
      <c r="BM128" s="483"/>
      <c r="BN128" s="483"/>
      <c r="BO128" s="483"/>
      <c r="BP128" s="483"/>
      <c r="BQ128" s="483"/>
      <c r="BR128" s="483">
        <v>1230142.3593706004</v>
      </c>
      <c r="BS128" s="484">
        <f t="shared" si="18"/>
        <v>851198.72000000067</v>
      </c>
      <c r="BT128" s="485">
        <f t="shared" si="26"/>
        <v>0</v>
      </c>
      <c r="BU128" s="485">
        <f t="shared" si="26"/>
        <v>0</v>
      </c>
      <c r="BV128" s="485">
        <f t="shared" si="26"/>
        <v>0</v>
      </c>
      <c r="BW128" s="485">
        <f t="shared" si="26"/>
        <v>0</v>
      </c>
      <c r="BX128" s="485">
        <f t="shared" si="26"/>
        <v>0</v>
      </c>
      <c r="BY128" s="485">
        <f t="shared" si="26"/>
        <v>0</v>
      </c>
      <c r="BZ128" s="485">
        <f t="shared" si="26"/>
        <v>0</v>
      </c>
      <c r="CA128" s="485">
        <f t="shared" si="26"/>
        <v>0</v>
      </c>
      <c r="CB128" s="485">
        <f t="shared" si="26"/>
        <v>0</v>
      </c>
      <c r="CC128" s="485">
        <f t="shared" si="26"/>
        <v>0</v>
      </c>
      <c r="CD128" s="485">
        <f t="shared" si="27"/>
        <v>0</v>
      </c>
      <c r="CE128" s="485">
        <f t="shared" si="27"/>
        <v>0</v>
      </c>
      <c r="CF128" s="485">
        <f t="shared" si="27"/>
        <v>0</v>
      </c>
      <c r="CG128" s="485">
        <f t="shared" si="27"/>
        <v>0</v>
      </c>
      <c r="CH128" s="485">
        <f t="shared" si="27"/>
        <v>0</v>
      </c>
      <c r="CI128" s="485">
        <f t="shared" si="27"/>
        <v>0</v>
      </c>
      <c r="CJ128" s="485">
        <f t="shared" si="27"/>
        <v>0</v>
      </c>
      <c r="CK128" s="485">
        <f t="shared" si="27"/>
        <v>0</v>
      </c>
      <c r="CL128" s="485">
        <f t="shared" si="27"/>
        <v>1</v>
      </c>
      <c r="CM128" s="486">
        <f t="shared" si="19"/>
        <v>1</v>
      </c>
    </row>
    <row r="129" spans="1:91" s="487" customFormat="1" ht="25.5" customHeight="1" x14ac:dyDescent="0.25">
      <c r="A129" s="497" t="s">
        <v>2524</v>
      </c>
      <c r="B129" s="498" t="e">
        <v>#N/A</v>
      </c>
      <c r="C129" s="497" t="s">
        <v>2525</v>
      </c>
      <c r="D129" s="498"/>
      <c r="E129" s="497" t="s">
        <v>700</v>
      </c>
      <c r="F129" s="498"/>
      <c r="G129" s="497" t="s">
        <v>648</v>
      </c>
      <c r="H129" s="497" t="s">
        <v>654</v>
      </c>
      <c r="I129" s="497" t="s">
        <v>647</v>
      </c>
      <c r="J129" s="497" t="s">
        <v>641</v>
      </c>
      <c r="K129" s="497" t="s">
        <v>649</v>
      </c>
      <c r="L129" s="497" t="s">
        <v>41</v>
      </c>
      <c r="M129" s="497" t="s">
        <v>653</v>
      </c>
      <c r="N129" s="497" t="s">
        <v>699</v>
      </c>
      <c r="O129" s="497"/>
      <c r="P129" s="497"/>
      <c r="Q129" s="497" t="s">
        <v>650</v>
      </c>
      <c r="R129" s="497" t="s">
        <v>652</v>
      </c>
      <c r="S129" s="497" t="s">
        <v>649</v>
      </c>
      <c r="T129" s="497"/>
      <c r="U129" s="497"/>
      <c r="V129" s="497" t="s">
        <v>641</v>
      </c>
      <c r="W129" s="497" t="s">
        <v>2452</v>
      </c>
      <c r="X129" s="499">
        <v>42919</v>
      </c>
      <c r="Y129" s="499">
        <v>43748</v>
      </c>
      <c r="Z129" s="500">
        <v>2020</v>
      </c>
      <c r="AA129" s="497" t="s">
        <v>663</v>
      </c>
      <c r="AB129" s="497" t="s">
        <v>697</v>
      </c>
      <c r="AC129" s="497" t="s">
        <v>663</v>
      </c>
      <c r="AD129" s="501"/>
      <c r="AE129" s="501"/>
      <c r="AF129" s="501"/>
      <c r="AG129" s="501"/>
      <c r="AH129" s="501"/>
      <c r="AI129" s="501"/>
      <c r="AJ129" s="501"/>
      <c r="AK129" s="501"/>
      <c r="AL129" s="501"/>
      <c r="AM129" s="501"/>
      <c r="AN129" s="501"/>
      <c r="AO129" s="501"/>
      <c r="AP129" s="501">
        <v>509023.52</v>
      </c>
      <c r="AQ129" s="501"/>
      <c r="AR129" s="501"/>
      <c r="AS129" s="501"/>
      <c r="AT129" s="501"/>
      <c r="AU129" s="501"/>
      <c r="AV129" s="501"/>
      <c r="AW129" s="501"/>
      <c r="AX129" s="501"/>
      <c r="AY129" s="501"/>
      <c r="AZ129" s="501"/>
      <c r="BA129" s="501"/>
      <c r="BB129" s="483">
        <v>28895.178000000007</v>
      </c>
      <c r="BC129" s="483">
        <v>19263.452000000005</v>
      </c>
      <c r="BD129" s="483">
        <v>32507.075250000009</v>
      </c>
      <c r="BE129" s="483">
        <v>751.57561943750034</v>
      </c>
      <c r="BF129" s="483">
        <v>0</v>
      </c>
      <c r="BG129" s="483">
        <v>105415.41470930965</v>
      </c>
      <c r="BH129" s="483"/>
      <c r="BI129" s="483"/>
      <c r="BJ129" s="483"/>
      <c r="BK129" s="483"/>
      <c r="BL129" s="483"/>
      <c r="BM129" s="483"/>
      <c r="BN129" s="483"/>
      <c r="BO129" s="483"/>
      <c r="BP129" s="483"/>
      <c r="BQ129" s="483"/>
      <c r="BR129" s="483">
        <v>695856.21557874721</v>
      </c>
      <c r="BS129" s="484">
        <f t="shared" si="18"/>
        <v>509023.52</v>
      </c>
      <c r="BT129" s="485">
        <f t="shared" ref="BT129:CC138" si="28">SUMIFS($AD129:$BA129,$AD$11:$BA$11,BT$21)/$BS129</f>
        <v>0</v>
      </c>
      <c r="BU129" s="485">
        <f t="shared" si="28"/>
        <v>0</v>
      </c>
      <c r="BV129" s="485">
        <f t="shared" si="28"/>
        <v>0</v>
      </c>
      <c r="BW129" s="485">
        <f t="shared" si="28"/>
        <v>0</v>
      </c>
      <c r="BX129" s="485">
        <f t="shared" si="28"/>
        <v>0</v>
      </c>
      <c r="BY129" s="485">
        <f t="shared" si="28"/>
        <v>0</v>
      </c>
      <c r="BZ129" s="485">
        <f t="shared" si="28"/>
        <v>0</v>
      </c>
      <c r="CA129" s="485">
        <f t="shared" si="28"/>
        <v>0</v>
      </c>
      <c r="CB129" s="485">
        <f t="shared" si="28"/>
        <v>0</v>
      </c>
      <c r="CC129" s="485">
        <f t="shared" si="28"/>
        <v>0</v>
      </c>
      <c r="CD129" s="485">
        <f t="shared" ref="CD129:CL138" si="29">SUMIFS($AD129:$BA129,$AD$11:$BA$11,CD$21)/$BS129</f>
        <v>0</v>
      </c>
      <c r="CE129" s="485">
        <f t="shared" si="29"/>
        <v>0</v>
      </c>
      <c r="CF129" s="485">
        <f t="shared" si="29"/>
        <v>0</v>
      </c>
      <c r="CG129" s="485">
        <f t="shared" si="29"/>
        <v>0</v>
      </c>
      <c r="CH129" s="485">
        <f t="shared" si="29"/>
        <v>0</v>
      </c>
      <c r="CI129" s="485">
        <f t="shared" si="29"/>
        <v>0</v>
      </c>
      <c r="CJ129" s="485">
        <f t="shared" si="29"/>
        <v>0</v>
      </c>
      <c r="CK129" s="485">
        <f t="shared" si="29"/>
        <v>0</v>
      </c>
      <c r="CL129" s="485">
        <f t="shared" si="29"/>
        <v>1</v>
      </c>
      <c r="CM129" s="486">
        <f t="shared" si="19"/>
        <v>1</v>
      </c>
    </row>
    <row r="130" spans="1:91" s="487" customFormat="1" ht="25.5" customHeight="1" x14ac:dyDescent="0.25">
      <c r="A130" s="497" t="s">
        <v>2526</v>
      </c>
      <c r="B130" s="498" t="e">
        <v>#N/A</v>
      </c>
      <c r="C130" s="497" t="s">
        <v>2527</v>
      </c>
      <c r="D130" s="498"/>
      <c r="E130" s="497" t="s">
        <v>700</v>
      </c>
      <c r="F130" s="498"/>
      <c r="G130" s="497" t="s">
        <v>648</v>
      </c>
      <c r="H130" s="497" t="s">
        <v>654</v>
      </c>
      <c r="I130" s="497" t="s">
        <v>647</v>
      </c>
      <c r="J130" s="497" t="s">
        <v>641</v>
      </c>
      <c r="K130" s="497" t="s">
        <v>649</v>
      </c>
      <c r="L130" s="497" t="s">
        <v>41</v>
      </c>
      <c r="M130" s="497" t="s">
        <v>653</v>
      </c>
      <c r="N130" s="497" t="s">
        <v>699</v>
      </c>
      <c r="O130" s="497"/>
      <c r="P130" s="497"/>
      <c r="Q130" s="497" t="s">
        <v>650</v>
      </c>
      <c r="R130" s="497" t="s">
        <v>652</v>
      </c>
      <c r="S130" s="497" t="s">
        <v>649</v>
      </c>
      <c r="T130" s="497"/>
      <c r="U130" s="497"/>
      <c r="V130" s="497" t="s">
        <v>641</v>
      </c>
      <c r="W130" s="497" t="s">
        <v>2452</v>
      </c>
      <c r="X130" s="499">
        <v>42919</v>
      </c>
      <c r="Y130" s="499">
        <v>43748</v>
      </c>
      <c r="Z130" s="500">
        <v>2020</v>
      </c>
      <c r="AA130" s="497" t="s">
        <v>663</v>
      </c>
      <c r="AB130" s="497" t="s">
        <v>697</v>
      </c>
      <c r="AC130" s="497" t="s">
        <v>649</v>
      </c>
      <c r="AD130" s="501"/>
      <c r="AE130" s="501"/>
      <c r="AF130" s="501"/>
      <c r="AG130" s="501"/>
      <c r="AH130" s="501"/>
      <c r="AI130" s="501"/>
      <c r="AJ130" s="501"/>
      <c r="AK130" s="501"/>
      <c r="AL130" s="501"/>
      <c r="AM130" s="501"/>
      <c r="AN130" s="501"/>
      <c r="AO130" s="501"/>
      <c r="AP130" s="501">
        <v>509023.51999999996</v>
      </c>
      <c r="AQ130" s="501"/>
      <c r="AR130" s="501"/>
      <c r="AS130" s="501"/>
      <c r="AT130" s="501"/>
      <c r="AU130" s="501"/>
      <c r="AV130" s="501"/>
      <c r="AW130" s="501"/>
      <c r="AX130" s="501"/>
      <c r="AY130" s="501"/>
      <c r="AZ130" s="501"/>
      <c r="BA130" s="501"/>
      <c r="BB130" s="483">
        <v>28895.178000000007</v>
      </c>
      <c r="BC130" s="483">
        <v>19263.452000000005</v>
      </c>
      <c r="BD130" s="483">
        <v>32507.075250000009</v>
      </c>
      <c r="BE130" s="483">
        <v>751.57561943750022</v>
      </c>
      <c r="BF130" s="483">
        <v>0</v>
      </c>
      <c r="BG130" s="483">
        <v>105415.41470930964</v>
      </c>
      <c r="BH130" s="483"/>
      <c r="BI130" s="483"/>
      <c r="BJ130" s="483"/>
      <c r="BK130" s="483"/>
      <c r="BL130" s="483"/>
      <c r="BM130" s="483"/>
      <c r="BN130" s="483"/>
      <c r="BO130" s="483"/>
      <c r="BP130" s="483"/>
      <c r="BQ130" s="483"/>
      <c r="BR130" s="483">
        <v>695856.21557874698</v>
      </c>
      <c r="BS130" s="484">
        <f t="shared" si="18"/>
        <v>509023.51999999996</v>
      </c>
      <c r="BT130" s="485">
        <f t="shared" si="28"/>
        <v>0</v>
      </c>
      <c r="BU130" s="485">
        <f t="shared" si="28"/>
        <v>0</v>
      </c>
      <c r="BV130" s="485">
        <f t="shared" si="28"/>
        <v>0</v>
      </c>
      <c r="BW130" s="485">
        <f t="shared" si="28"/>
        <v>0</v>
      </c>
      <c r="BX130" s="485">
        <f t="shared" si="28"/>
        <v>0</v>
      </c>
      <c r="BY130" s="485">
        <f t="shared" si="28"/>
        <v>0</v>
      </c>
      <c r="BZ130" s="485">
        <f t="shared" si="28"/>
        <v>0</v>
      </c>
      <c r="CA130" s="485">
        <f t="shared" si="28"/>
        <v>0</v>
      </c>
      <c r="CB130" s="485">
        <f t="shared" si="28"/>
        <v>0</v>
      </c>
      <c r="CC130" s="485">
        <f t="shared" si="28"/>
        <v>0</v>
      </c>
      <c r="CD130" s="485">
        <f t="shared" si="29"/>
        <v>0</v>
      </c>
      <c r="CE130" s="485">
        <f t="shared" si="29"/>
        <v>0</v>
      </c>
      <c r="CF130" s="485">
        <f t="shared" si="29"/>
        <v>0</v>
      </c>
      <c r="CG130" s="485">
        <f t="shared" si="29"/>
        <v>0</v>
      </c>
      <c r="CH130" s="485">
        <f t="shared" si="29"/>
        <v>0</v>
      </c>
      <c r="CI130" s="485">
        <f t="shared" si="29"/>
        <v>0</v>
      </c>
      <c r="CJ130" s="485">
        <f t="shared" si="29"/>
        <v>0</v>
      </c>
      <c r="CK130" s="485">
        <f t="shared" si="29"/>
        <v>0</v>
      </c>
      <c r="CL130" s="485">
        <f t="shared" si="29"/>
        <v>1</v>
      </c>
      <c r="CM130" s="486">
        <f t="shared" si="19"/>
        <v>1</v>
      </c>
    </row>
    <row r="131" spans="1:91" s="487" customFormat="1" ht="25.5" customHeight="1" x14ac:dyDescent="0.25">
      <c r="A131" s="497" t="s">
        <v>2528</v>
      </c>
      <c r="B131" s="498" t="e">
        <v>#N/A</v>
      </c>
      <c r="C131" s="497" t="s">
        <v>2529</v>
      </c>
      <c r="D131" s="498"/>
      <c r="E131" s="497" t="s">
        <v>700</v>
      </c>
      <c r="F131" s="498"/>
      <c r="G131" s="497" t="s">
        <v>686</v>
      </c>
      <c r="H131" s="497" t="s">
        <v>654</v>
      </c>
      <c r="I131" s="497" t="s">
        <v>647</v>
      </c>
      <c r="J131" s="497" t="s">
        <v>641</v>
      </c>
      <c r="K131" s="497" t="s">
        <v>649</v>
      </c>
      <c r="L131" s="497" t="s">
        <v>41</v>
      </c>
      <c r="M131" s="497" t="s">
        <v>653</v>
      </c>
      <c r="N131" s="497" t="s">
        <v>699</v>
      </c>
      <c r="O131" s="497"/>
      <c r="P131" s="497"/>
      <c r="Q131" s="497" t="s">
        <v>656</v>
      </c>
      <c r="R131" s="497" t="s">
        <v>652</v>
      </c>
      <c r="S131" s="497" t="s">
        <v>649</v>
      </c>
      <c r="T131" s="497"/>
      <c r="U131" s="497"/>
      <c r="V131" s="497" t="s">
        <v>641</v>
      </c>
      <c r="W131" s="497" t="s">
        <v>2452</v>
      </c>
      <c r="X131" s="499">
        <v>42919</v>
      </c>
      <c r="Y131" s="499">
        <v>44844</v>
      </c>
      <c r="Z131" s="500">
        <v>2023</v>
      </c>
      <c r="AA131" s="497" t="s">
        <v>663</v>
      </c>
      <c r="AB131" s="497" t="s">
        <v>697</v>
      </c>
      <c r="AC131" s="497" t="s">
        <v>663</v>
      </c>
      <c r="AD131" s="501"/>
      <c r="AE131" s="501"/>
      <c r="AF131" s="501"/>
      <c r="AG131" s="501"/>
      <c r="AH131" s="501"/>
      <c r="AI131" s="501"/>
      <c r="AJ131" s="501"/>
      <c r="AK131" s="501"/>
      <c r="AL131" s="501"/>
      <c r="AM131" s="501"/>
      <c r="AN131" s="501"/>
      <c r="AO131" s="501"/>
      <c r="AP131" s="501">
        <v>1730121.2799999998</v>
      </c>
      <c r="AQ131" s="501"/>
      <c r="AR131" s="501"/>
      <c r="AS131" s="501"/>
      <c r="AT131" s="501"/>
      <c r="AU131" s="501"/>
      <c r="AV131" s="501"/>
      <c r="AW131" s="501"/>
      <c r="AX131" s="501"/>
      <c r="AY131" s="501"/>
      <c r="AZ131" s="501"/>
      <c r="BA131" s="501"/>
      <c r="BB131" s="483">
        <v>117642.19199999998</v>
      </c>
      <c r="BC131" s="483">
        <v>78428.127999999997</v>
      </c>
      <c r="BD131" s="483">
        <v>132347.46599999999</v>
      </c>
      <c r="BE131" s="483">
        <v>3059.9224315000006</v>
      </c>
      <c r="BF131" s="483">
        <v>0</v>
      </c>
      <c r="BG131" s="483">
        <v>368071.29861246847</v>
      </c>
      <c r="BH131" s="483"/>
      <c r="BI131" s="483"/>
      <c r="BJ131" s="483"/>
      <c r="BK131" s="483"/>
      <c r="BL131" s="483"/>
      <c r="BM131" s="483"/>
      <c r="BN131" s="483"/>
      <c r="BO131" s="483"/>
      <c r="BP131" s="483"/>
      <c r="BQ131" s="483"/>
      <c r="BR131" s="483">
        <v>2429670.2870439687</v>
      </c>
      <c r="BS131" s="484">
        <f t="shared" si="18"/>
        <v>1730121.2799999998</v>
      </c>
      <c r="BT131" s="485">
        <f t="shared" si="28"/>
        <v>0</v>
      </c>
      <c r="BU131" s="485">
        <f t="shared" si="28"/>
        <v>0</v>
      </c>
      <c r="BV131" s="485">
        <f t="shared" si="28"/>
        <v>0</v>
      </c>
      <c r="BW131" s="485">
        <f t="shared" si="28"/>
        <v>0</v>
      </c>
      <c r="BX131" s="485">
        <f t="shared" si="28"/>
        <v>0</v>
      </c>
      <c r="BY131" s="485">
        <f t="shared" si="28"/>
        <v>0</v>
      </c>
      <c r="BZ131" s="485">
        <f t="shared" si="28"/>
        <v>0</v>
      </c>
      <c r="CA131" s="485">
        <f t="shared" si="28"/>
        <v>0</v>
      </c>
      <c r="CB131" s="485">
        <f t="shared" si="28"/>
        <v>0</v>
      </c>
      <c r="CC131" s="485">
        <f t="shared" si="28"/>
        <v>0</v>
      </c>
      <c r="CD131" s="485">
        <f t="shared" si="29"/>
        <v>0</v>
      </c>
      <c r="CE131" s="485">
        <f t="shared" si="29"/>
        <v>0</v>
      </c>
      <c r="CF131" s="485">
        <f t="shared" si="29"/>
        <v>0</v>
      </c>
      <c r="CG131" s="485">
        <f t="shared" si="29"/>
        <v>0</v>
      </c>
      <c r="CH131" s="485">
        <f t="shared" si="29"/>
        <v>0</v>
      </c>
      <c r="CI131" s="485">
        <f t="shared" si="29"/>
        <v>0</v>
      </c>
      <c r="CJ131" s="485">
        <f t="shared" si="29"/>
        <v>0</v>
      </c>
      <c r="CK131" s="485">
        <f t="shared" si="29"/>
        <v>0</v>
      </c>
      <c r="CL131" s="485">
        <f t="shared" si="29"/>
        <v>1</v>
      </c>
      <c r="CM131" s="486">
        <f t="shared" si="19"/>
        <v>1</v>
      </c>
    </row>
    <row r="132" spans="1:91" s="487" customFormat="1" ht="25.5" customHeight="1" x14ac:dyDescent="0.25">
      <c r="A132" s="497" t="s">
        <v>2530</v>
      </c>
      <c r="B132" s="498" t="e">
        <v>#N/A</v>
      </c>
      <c r="C132" s="497" t="s">
        <v>2531</v>
      </c>
      <c r="D132" s="498"/>
      <c r="E132" s="497" t="s">
        <v>700</v>
      </c>
      <c r="F132" s="498"/>
      <c r="G132" s="497" t="s">
        <v>2446</v>
      </c>
      <c r="H132" s="497" t="s">
        <v>654</v>
      </c>
      <c r="I132" s="497" t="s">
        <v>647</v>
      </c>
      <c r="J132" s="497" t="s">
        <v>641</v>
      </c>
      <c r="K132" s="497" t="s">
        <v>649</v>
      </c>
      <c r="L132" s="497" t="s">
        <v>41</v>
      </c>
      <c r="M132" s="497" t="s">
        <v>653</v>
      </c>
      <c r="N132" s="497" t="s">
        <v>699</v>
      </c>
      <c r="O132" s="497"/>
      <c r="P132" s="497"/>
      <c r="Q132" s="497" t="s">
        <v>656</v>
      </c>
      <c r="R132" s="497" t="s">
        <v>652</v>
      </c>
      <c r="S132" s="497" t="s">
        <v>649</v>
      </c>
      <c r="T132" s="497"/>
      <c r="U132" s="497"/>
      <c r="V132" s="497" t="s">
        <v>641</v>
      </c>
      <c r="W132" s="497" t="s">
        <v>2452</v>
      </c>
      <c r="X132" s="499">
        <v>42919</v>
      </c>
      <c r="Y132" s="499">
        <v>44844</v>
      </c>
      <c r="Z132" s="500">
        <v>2023</v>
      </c>
      <c r="AA132" s="497" t="s">
        <v>663</v>
      </c>
      <c r="AB132" s="497" t="s">
        <v>697</v>
      </c>
      <c r="AC132" s="497" t="s">
        <v>663</v>
      </c>
      <c r="AD132" s="501"/>
      <c r="AE132" s="501"/>
      <c r="AF132" s="501"/>
      <c r="AG132" s="501"/>
      <c r="AH132" s="501"/>
      <c r="AI132" s="501"/>
      <c r="AJ132" s="501"/>
      <c r="AK132" s="501"/>
      <c r="AL132" s="501"/>
      <c r="AM132" s="501"/>
      <c r="AN132" s="501"/>
      <c r="AO132" s="501"/>
      <c r="AP132" s="501">
        <v>1010041.9999999998</v>
      </c>
      <c r="AQ132" s="501"/>
      <c r="AR132" s="501"/>
      <c r="AS132" s="501"/>
      <c r="AT132" s="501"/>
      <c r="AU132" s="501"/>
      <c r="AV132" s="501"/>
      <c r="AW132" s="501"/>
      <c r="AX132" s="501"/>
      <c r="AY132" s="501"/>
      <c r="AZ132" s="501"/>
      <c r="BA132" s="501"/>
      <c r="BB132" s="483">
        <v>75463.05</v>
      </c>
      <c r="BC132" s="483">
        <v>50308.7</v>
      </c>
      <c r="BD132" s="483">
        <v>84895.931249999994</v>
      </c>
      <c r="BE132" s="483">
        <v>1962.8253734375</v>
      </c>
      <c r="BF132" s="483">
        <v>0</v>
      </c>
      <c r="BG132" s="483">
        <v>218292.04409585093</v>
      </c>
      <c r="BH132" s="483"/>
      <c r="BI132" s="483"/>
      <c r="BJ132" s="483"/>
      <c r="BK132" s="483"/>
      <c r="BL132" s="483"/>
      <c r="BM132" s="483"/>
      <c r="BN132" s="483"/>
      <c r="BO132" s="483"/>
      <c r="BP132" s="483"/>
      <c r="BQ132" s="483"/>
      <c r="BR132" s="483">
        <v>1440964.5507192882</v>
      </c>
      <c r="BS132" s="484">
        <f t="shared" si="18"/>
        <v>1010041.9999999998</v>
      </c>
      <c r="BT132" s="485">
        <f t="shared" si="28"/>
        <v>0</v>
      </c>
      <c r="BU132" s="485">
        <f t="shared" si="28"/>
        <v>0</v>
      </c>
      <c r="BV132" s="485">
        <f t="shared" si="28"/>
        <v>0</v>
      </c>
      <c r="BW132" s="485">
        <f t="shared" si="28"/>
        <v>0</v>
      </c>
      <c r="BX132" s="485">
        <f t="shared" si="28"/>
        <v>0</v>
      </c>
      <c r="BY132" s="485">
        <f t="shared" si="28"/>
        <v>0</v>
      </c>
      <c r="BZ132" s="485">
        <f t="shared" si="28"/>
        <v>0</v>
      </c>
      <c r="CA132" s="485">
        <f t="shared" si="28"/>
        <v>0</v>
      </c>
      <c r="CB132" s="485">
        <f t="shared" si="28"/>
        <v>0</v>
      </c>
      <c r="CC132" s="485">
        <f t="shared" si="28"/>
        <v>0</v>
      </c>
      <c r="CD132" s="485">
        <f t="shared" si="29"/>
        <v>0</v>
      </c>
      <c r="CE132" s="485">
        <f t="shared" si="29"/>
        <v>0</v>
      </c>
      <c r="CF132" s="485">
        <f t="shared" si="29"/>
        <v>0</v>
      </c>
      <c r="CG132" s="485">
        <f t="shared" si="29"/>
        <v>0</v>
      </c>
      <c r="CH132" s="485">
        <f t="shared" si="29"/>
        <v>0</v>
      </c>
      <c r="CI132" s="485">
        <f t="shared" si="29"/>
        <v>0</v>
      </c>
      <c r="CJ132" s="485">
        <f t="shared" si="29"/>
        <v>0</v>
      </c>
      <c r="CK132" s="485">
        <f t="shared" si="29"/>
        <v>0</v>
      </c>
      <c r="CL132" s="485">
        <f t="shared" si="29"/>
        <v>1</v>
      </c>
      <c r="CM132" s="486">
        <f t="shared" si="19"/>
        <v>1</v>
      </c>
    </row>
    <row r="133" spans="1:91" s="487" customFormat="1" ht="25.5" customHeight="1" x14ac:dyDescent="0.25">
      <c r="A133" s="497" t="s">
        <v>2532</v>
      </c>
      <c r="B133" s="498" t="e">
        <v>#N/A</v>
      </c>
      <c r="C133" s="497" t="s">
        <v>2533</v>
      </c>
      <c r="D133" s="498"/>
      <c r="E133" s="497" t="s">
        <v>700</v>
      </c>
      <c r="F133" s="498"/>
      <c r="G133" s="497" t="s">
        <v>804</v>
      </c>
      <c r="H133" s="497" t="s">
        <v>654</v>
      </c>
      <c r="I133" s="497" t="s">
        <v>647</v>
      </c>
      <c r="J133" s="497" t="s">
        <v>641</v>
      </c>
      <c r="K133" s="497" t="s">
        <v>649</v>
      </c>
      <c r="L133" s="497" t="s">
        <v>41</v>
      </c>
      <c r="M133" s="497" t="s">
        <v>653</v>
      </c>
      <c r="N133" s="497" t="s">
        <v>699</v>
      </c>
      <c r="O133" s="497"/>
      <c r="P133" s="497"/>
      <c r="Q133" s="497" t="s">
        <v>642</v>
      </c>
      <c r="R133" s="497" t="s">
        <v>652</v>
      </c>
      <c r="S133" s="497" t="s">
        <v>649</v>
      </c>
      <c r="T133" s="497"/>
      <c r="U133" s="497"/>
      <c r="V133" s="497" t="s">
        <v>641</v>
      </c>
      <c r="W133" s="497" t="s">
        <v>2452</v>
      </c>
      <c r="X133" s="499">
        <v>42919</v>
      </c>
      <c r="Y133" s="499">
        <v>44844</v>
      </c>
      <c r="Z133" s="500">
        <v>2023</v>
      </c>
      <c r="AA133" s="497" t="s">
        <v>663</v>
      </c>
      <c r="AB133" s="497" t="s">
        <v>697</v>
      </c>
      <c r="AC133" s="497" t="s">
        <v>663</v>
      </c>
      <c r="AD133" s="501"/>
      <c r="AE133" s="501"/>
      <c r="AF133" s="501"/>
      <c r="AG133" s="501"/>
      <c r="AH133" s="501"/>
      <c r="AI133" s="501"/>
      <c r="AJ133" s="501"/>
      <c r="AK133" s="501"/>
      <c r="AL133" s="501"/>
      <c r="AM133" s="501"/>
      <c r="AN133" s="501"/>
      <c r="AO133" s="501"/>
      <c r="AP133" s="501">
        <v>7649820.9200000009</v>
      </c>
      <c r="AQ133" s="501"/>
      <c r="AR133" s="501"/>
      <c r="AS133" s="501"/>
      <c r="AT133" s="501"/>
      <c r="AU133" s="501"/>
      <c r="AV133" s="501"/>
      <c r="AW133" s="501"/>
      <c r="AX133" s="501"/>
      <c r="AY133" s="501"/>
      <c r="AZ133" s="501"/>
      <c r="BA133" s="501"/>
      <c r="BB133" s="483">
        <v>500664.88800000004</v>
      </c>
      <c r="BC133" s="483">
        <v>333776.59199999995</v>
      </c>
      <c r="BD133" s="483">
        <v>563247.99899999995</v>
      </c>
      <c r="BE133" s="483">
        <v>13022.50234725</v>
      </c>
      <c r="BF133" s="483">
        <v>0</v>
      </c>
      <c r="BG133" s="483">
        <v>1617638.6047109698</v>
      </c>
      <c r="BH133" s="483"/>
      <c r="BI133" s="483"/>
      <c r="BJ133" s="483"/>
      <c r="BK133" s="483"/>
      <c r="BL133" s="483"/>
      <c r="BM133" s="483"/>
      <c r="BN133" s="483"/>
      <c r="BO133" s="483"/>
      <c r="BP133" s="483"/>
      <c r="BQ133" s="483"/>
      <c r="BR133" s="483">
        <v>10678171.50605822</v>
      </c>
      <c r="BS133" s="484">
        <f t="shared" si="18"/>
        <v>7649820.9200000009</v>
      </c>
      <c r="BT133" s="485">
        <f t="shared" si="28"/>
        <v>0</v>
      </c>
      <c r="BU133" s="485">
        <f t="shared" si="28"/>
        <v>0</v>
      </c>
      <c r="BV133" s="485">
        <f t="shared" si="28"/>
        <v>0</v>
      </c>
      <c r="BW133" s="485">
        <f t="shared" si="28"/>
        <v>0</v>
      </c>
      <c r="BX133" s="485">
        <f t="shared" si="28"/>
        <v>0</v>
      </c>
      <c r="BY133" s="485">
        <f t="shared" si="28"/>
        <v>0</v>
      </c>
      <c r="BZ133" s="485">
        <f t="shared" si="28"/>
        <v>0</v>
      </c>
      <c r="CA133" s="485">
        <f t="shared" si="28"/>
        <v>0</v>
      </c>
      <c r="CB133" s="485">
        <f t="shared" si="28"/>
        <v>0</v>
      </c>
      <c r="CC133" s="485">
        <f t="shared" si="28"/>
        <v>0</v>
      </c>
      <c r="CD133" s="485">
        <f t="shared" si="29"/>
        <v>0</v>
      </c>
      <c r="CE133" s="485">
        <f t="shared" si="29"/>
        <v>0</v>
      </c>
      <c r="CF133" s="485">
        <f t="shared" si="29"/>
        <v>0</v>
      </c>
      <c r="CG133" s="485">
        <f t="shared" si="29"/>
        <v>0</v>
      </c>
      <c r="CH133" s="485">
        <f t="shared" si="29"/>
        <v>0</v>
      </c>
      <c r="CI133" s="485">
        <f t="shared" si="29"/>
        <v>0</v>
      </c>
      <c r="CJ133" s="485">
        <f t="shared" si="29"/>
        <v>0</v>
      </c>
      <c r="CK133" s="485">
        <f t="shared" si="29"/>
        <v>0</v>
      </c>
      <c r="CL133" s="485">
        <f t="shared" si="29"/>
        <v>1</v>
      </c>
      <c r="CM133" s="486">
        <f t="shared" si="19"/>
        <v>1</v>
      </c>
    </row>
    <row r="134" spans="1:91" s="487" customFormat="1" ht="25.5" customHeight="1" x14ac:dyDescent="0.25">
      <c r="A134" s="497" t="s">
        <v>2534</v>
      </c>
      <c r="B134" s="498" t="e">
        <v>#N/A</v>
      </c>
      <c r="C134" s="497" t="s">
        <v>2535</v>
      </c>
      <c r="D134" s="498"/>
      <c r="E134" s="497" t="s">
        <v>700</v>
      </c>
      <c r="F134" s="498"/>
      <c r="G134" s="497" t="s">
        <v>691</v>
      </c>
      <c r="H134" s="497" t="s">
        <v>654</v>
      </c>
      <c r="I134" s="497" t="s">
        <v>647</v>
      </c>
      <c r="J134" s="497" t="s">
        <v>641</v>
      </c>
      <c r="K134" s="497" t="s">
        <v>649</v>
      </c>
      <c r="L134" s="497" t="s">
        <v>41</v>
      </c>
      <c r="M134" s="497" t="s">
        <v>653</v>
      </c>
      <c r="N134" s="497" t="s">
        <v>699</v>
      </c>
      <c r="O134" s="497"/>
      <c r="P134" s="497"/>
      <c r="Q134" s="497" t="s">
        <v>642</v>
      </c>
      <c r="R134" s="497" t="s">
        <v>652</v>
      </c>
      <c r="S134" s="497" t="s">
        <v>649</v>
      </c>
      <c r="T134" s="497"/>
      <c r="U134" s="497"/>
      <c r="V134" s="497" t="s">
        <v>641</v>
      </c>
      <c r="W134" s="497" t="s">
        <v>2452</v>
      </c>
      <c r="X134" s="499">
        <v>42919</v>
      </c>
      <c r="Y134" s="499">
        <v>44477</v>
      </c>
      <c r="Z134" s="500">
        <v>2022</v>
      </c>
      <c r="AA134" s="497" t="s">
        <v>663</v>
      </c>
      <c r="AB134" s="497" t="s">
        <v>697</v>
      </c>
      <c r="AC134" s="497" t="s">
        <v>663</v>
      </c>
      <c r="AD134" s="501"/>
      <c r="AE134" s="501"/>
      <c r="AF134" s="501"/>
      <c r="AG134" s="501"/>
      <c r="AH134" s="501"/>
      <c r="AI134" s="501"/>
      <c r="AJ134" s="501"/>
      <c r="AK134" s="501"/>
      <c r="AL134" s="501"/>
      <c r="AM134" s="501"/>
      <c r="AN134" s="501"/>
      <c r="AO134" s="501"/>
      <c r="AP134" s="501">
        <v>6351868.3600000003</v>
      </c>
      <c r="AQ134" s="501"/>
      <c r="AR134" s="501"/>
      <c r="AS134" s="501"/>
      <c r="AT134" s="501"/>
      <c r="AU134" s="501"/>
      <c r="AV134" s="501"/>
      <c r="AW134" s="501"/>
      <c r="AX134" s="501"/>
      <c r="AY134" s="501"/>
      <c r="AZ134" s="501"/>
      <c r="BA134" s="501"/>
      <c r="BB134" s="483">
        <v>423934.25399999996</v>
      </c>
      <c r="BC134" s="483">
        <v>282622.83600000007</v>
      </c>
      <c r="BD134" s="483">
        <v>476926.03575000004</v>
      </c>
      <c r="BE134" s="483">
        <v>11026.706585812504</v>
      </c>
      <c r="BF134" s="483">
        <v>0</v>
      </c>
      <c r="BG134" s="483">
        <v>1347306.2591998579</v>
      </c>
      <c r="BH134" s="483"/>
      <c r="BI134" s="483"/>
      <c r="BJ134" s="483"/>
      <c r="BK134" s="483"/>
      <c r="BL134" s="483"/>
      <c r="BM134" s="483"/>
      <c r="BN134" s="483"/>
      <c r="BO134" s="483"/>
      <c r="BP134" s="483"/>
      <c r="BQ134" s="483"/>
      <c r="BR134" s="483">
        <v>8893684.4515356719</v>
      </c>
      <c r="BS134" s="484">
        <f t="shared" si="18"/>
        <v>6351868.3600000003</v>
      </c>
      <c r="BT134" s="485">
        <f t="shared" si="28"/>
        <v>0</v>
      </c>
      <c r="BU134" s="485">
        <f t="shared" si="28"/>
        <v>0</v>
      </c>
      <c r="BV134" s="485">
        <f t="shared" si="28"/>
        <v>0</v>
      </c>
      <c r="BW134" s="485">
        <f t="shared" si="28"/>
        <v>0</v>
      </c>
      <c r="BX134" s="485">
        <f t="shared" si="28"/>
        <v>0</v>
      </c>
      <c r="BY134" s="485">
        <f t="shared" si="28"/>
        <v>0</v>
      </c>
      <c r="BZ134" s="485">
        <f t="shared" si="28"/>
        <v>0</v>
      </c>
      <c r="CA134" s="485">
        <f t="shared" si="28"/>
        <v>0</v>
      </c>
      <c r="CB134" s="485">
        <f t="shared" si="28"/>
        <v>0</v>
      </c>
      <c r="CC134" s="485">
        <f t="shared" si="28"/>
        <v>0</v>
      </c>
      <c r="CD134" s="485">
        <f t="shared" si="29"/>
        <v>0</v>
      </c>
      <c r="CE134" s="485">
        <f t="shared" si="29"/>
        <v>0</v>
      </c>
      <c r="CF134" s="485">
        <f t="shared" si="29"/>
        <v>0</v>
      </c>
      <c r="CG134" s="485">
        <f t="shared" si="29"/>
        <v>0</v>
      </c>
      <c r="CH134" s="485">
        <f t="shared" si="29"/>
        <v>0</v>
      </c>
      <c r="CI134" s="485">
        <f t="shared" si="29"/>
        <v>0</v>
      </c>
      <c r="CJ134" s="485">
        <f t="shared" si="29"/>
        <v>0</v>
      </c>
      <c r="CK134" s="485">
        <f t="shared" si="29"/>
        <v>0</v>
      </c>
      <c r="CL134" s="485">
        <f t="shared" si="29"/>
        <v>1</v>
      </c>
      <c r="CM134" s="486">
        <f t="shared" si="19"/>
        <v>1</v>
      </c>
    </row>
    <row r="135" spans="1:91" s="487" customFormat="1" ht="25.5" customHeight="1" x14ac:dyDescent="0.25">
      <c r="A135" s="497" t="s">
        <v>2536</v>
      </c>
      <c r="B135" s="498" t="e">
        <v>#N/A</v>
      </c>
      <c r="C135" s="497" t="s">
        <v>2537</v>
      </c>
      <c r="D135" s="498"/>
      <c r="E135" s="497" t="s">
        <v>700</v>
      </c>
      <c r="F135" s="498"/>
      <c r="G135" s="497" t="s">
        <v>691</v>
      </c>
      <c r="H135" s="497" t="s">
        <v>654</v>
      </c>
      <c r="I135" s="497" t="s">
        <v>647</v>
      </c>
      <c r="J135" s="497" t="s">
        <v>641</v>
      </c>
      <c r="K135" s="497" t="s">
        <v>649</v>
      </c>
      <c r="L135" s="497" t="s">
        <v>41</v>
      </c>
      <c r="M135" s="497" t="s">
        <v>653</v>
      </c>
      <c r="N135" s="497" t="s">
        <v>699</v>
      </c>
      <c r="O135" s="497"/>
      <c r="P135" s="497"/>
      <c r="Q135" s="497" t="s">
        <v>656</v>
      </c>
      <c r="R135" s="497" t="s">
        <v>652</v>
      </c>
      <c r="S135" s="497" t="s">
        <v>649</v>
      </c>
      <c r="T135" s="497"/>
      <c r="U135" s="497"/>
      <c r="V135" s="497" t="s">
        <v>641</v>
      </c>
      <c r="W135" s="497" t="s">
        <v>2452</v>
      </c>
      <c r="X135" s="499">
        <v>42919</v>
      </c>
      <c r="Y135" s="499">
        <v>44477</v>
      </c>
      <c r="Z135" s="500">
        <v>2022</v>
      </c>
      <c r="AA135" s="497" t="s">
        <v>663</v>
      </c>
      <c r="AB135" s="497" t="s">
        <v>697</v>
      </c>
      <c r="AC135" s="497" t="s">
        <v>663</v>
      </c>
      <c r="AD135" s="501"/>
      <c r="AE135" s="501"/>
      <c r="AF135" s="501"/>
      <c r="AG135" s="501"/>
      <c r="AH135" s="501"/>
      <c r="AI135" s="501"/>
      <c r="AJ135" s="501"/>
      <c r="AK135" s="501"/>
      <c r="AL135" s="501"/>
      <c r="AM135" s="501"/>
      <c r="AN135" s="501"/>
      <c r="AO135" s="501"/>
      <c r="AP135" s="501">
        <v>1229836.7599999998</v>
      </c>
      <c r="AQ135" s="501"/>
      <c r="AR135" s="501"/>
      <c r="AS135" s="501"/>
      <c r="AT135" s="501"/>
      <c r="AU135" s="501"/>
      <c r="AV135" s="501"/>
      <c r="AW135" s="501"/>
      <c r="AX135" s="501"/>
      <c r="AY135" s="501"/>
      <c r="AZ135" s="501"/>
      <c r="BA135" s="501"/>
      <c r="BB135" s="483">
        <v>87716.51400000001</v>
      </c>
      <c r="BC135" s="483">
        <v>58477.676000000007</v>
      </c>
      <c r="BD135" s="483">
        <v>98681.07825000002</v>
      </c>
      <c r="BE135" s="483">
        <v>2281.5430776875</v>
      </c>
      <c r="BF135" s="483">
        <v>0</v>
      </c>
      <c r="BG135" s="483">
        <v>263697.71468235896</v>
      </c>
      <c r="BH135" s="483"/>
      <c r="BI135" s="483"/>
      <c r="BJ135" s="483"/>
      <c r="BK135" s="483"/>
      <c r="BL135" s="483"/>
      <c r="BM135" s="483"/>
      <c r="BN135" s="483"/>
      <c r="BO135" s="483"/>
      <c r="BP135" s="483"/>
      <c r="BQ135" s="483"/>
      <c r="BR135" s="483">
        <v>1740691.2860100465</v>
      </c>
      <c r="BS135" s="484">
        <f t="shared" si="18"/>
        <v>1229836.7599999998</v>
      </c>
      <c r="BT135" s="485">
        <f t="shared" si="28"/>
        <v>0</v>
      </c>
      <c r="BU135" s="485">
        <f t="shared" si="28"/>
        <v>0</v>
      </c>
      <c r="BV135" s="485">
        <f t="shared" si="28"/>
        <v>0</v>
      </c>
      <c r="BW135" s="485">
        <f t="shared" si="28"/>
        <v>0</v>
      </c>
      <c r="BX135" s="485">
        <f t="shared" si="28"/>
        <v>0</v>
      </c>
      <c r="BY135" s="485">
        <f t="shared" si="28"/>
        <v>0</v>
      </c>
      <c r="BZ135" s="485">
        <f t="shared" si="28"/>
        <v>0</v>
      </c>
      <c r="CA135" s="485">
        <f t="shared" si="28"/>
        <v>0</v>
      </c>
      <c r="CB135" s="485">
        <f t="shared" si="28"/>
        <v>0</v>
      </c>
      <c r="CC135" s="485">
        <f t="shared" si="28"/>
        <v>0</v>
      </c>
      <c r="CD135" s="485">
        <f t="shared" si="29"/>
        <v>0</v>
      </c>
      <c r="CE135" s="485">
        <f t="shared" si="29"/>
        <v>0</v>
      </c>
      <c r="CF135" s="485">
        <f t="shared" si="29"/>
        <v>0</v>
      </c>
      <c r="CG135" s="485">
        <f t="shared" si="29"/>
        <v>0</v>
      </c>
      <c r="CH135" s="485">
        <f t="shared" si="29"/>
        <v>0</v>
      </c>
      <c r="CI135" s="485">
        <f t="shared" si="29"/>
        <v>0</v>
      </c>
      <c r="CJ135" s="485">
        <f t="shared" si="29"/>
        <v>0</v>
      </c>
      <c r="CK135" s="485">
        <f t="shared" si="29"/>
        <v>0</v>
      </c>
      <c r="CL135" s="485">
        <f t="shared" si="29"/>
        <v>1</v>
      </c>
      <c r="CM135" s="486">
        <f t="shared" si="19"/>
        <v>1</v>
      </c>
    </row>
    <row r="136" spans="1:91" s="487" customFormat="1" ht="25.5" customHeight="1" x14ac:dyDescent="0.25">
      <c r="A136" s="497" t="s">
        <v>2538</v>
      </c>
      <c r="B136" s="498" t="e">
        <v>#N/A</v>
      </c>
      <c r="C136" s="497" t="s">
        <v>2539</v>
      </c>
      <c r="D136" s="498"/>
      <c r="E136" s="497" t="s">
        <v>700</v>
      </c>
      <c r="F136" s="498"/>
      <c r="G136" s="497" t="s">
        <v>691</v>
      </c>
      <c r="H136" s="497" t="s">
        <v>654</v>
      </c>
      <c r="I136" s="497" t="s">
        <v>647</v>
      </c>
      <c r="J136" s="497" t="s">
        <v>641</v>
      </c>
      <c r="K136" s="497" t="s">
        <v>649</v>
      </c>
      <c r="L136" s="497" t="s">
        <v>41</v>
      </c>
      <c r="M136" s="497" t="s">
        <v>653</v>
      </c>
      <c r="N136" s="497" t="s">
        <v>699</v>
      </c>
      <c r="O136" s="497"/>
      <c r="P136" s="497"/>
      <c r="Q136" s="497" t="s">
        <v>642</v>
      </c>
      <c r="R136" s="497" t="s">
        <v>652</v>
      </c>
      <c r="S136" s="497" t="s">
        <v>649</v>
      </c>
      <c r="T136" s="497"/>
      <c r="U136" s="497"/>
      <c r="V136" s="497" t="s">
        <v>641</v>
      </c>
      <c r="W136" s="497" t="s">
        <v>2452</v>
      </c>
      <c r="X136" s="499">
        <v>42919</v>
      </c>
      <c r="Y136" s="499">
        <v>44477</v>
      </c>
      <c r="Z136" s="500">
        <v>2022</v>
      </c>
      <c r="AA136" s="497" t="s">
        <v>663</v>
      </c>
      <c r="AB136" s="497" t="s">
        <v>697</v>
      </c>
      <c r="AC136" s="497" t="s">
        <v>663</v>
      </c>
      <c r="AD136" s="501"/>
      <c r="AE136" s="501"/>
      <c r="AF136" s="501"/>
      <c r="AG136" s="501"/>
      <c r="AH136" s="501"/>
      <c r="AI136" s="501"/>
      <c r="AJ136" s="501"/>
      <c r="AK136" s="501"/>
      <c r="AL136" s="501"/>
      <c r="AM136" s="501"/>
      <c r="AN136" s="501"/>
      <c r="AO136" s="501"/>
      <c r="AP136" s="501">
        <v>3747418.24</v>
      </c>
      <c r="AQ136" s="501"/>
      <c r="AR136" s="501"/>
      <c r="AS136" s="501"/>
      <c r="AT136" s="501"/>
      <c r="AU136" s="501"/>
      <c r="AV136" s="501"/>
      <c r="AW136" s="501"/>
      <c r="AX136" s="501"/>
      <c r="AY136" s="501"/>
      <c r="AZ136" s="501"/>
      <c r="BA136" s="501"/>
      <c r="BB136" s="483">
        <v>259045.23600000003</v>
      </c>
      <c r="BC136" s="483">
        <v>172696.82400000005</v>
      </c>
      <c r="BD136" s="483">
        <v>291425.89050000004</v>
      </c>
      <c r="BE136" s="483">
        <v>6737.8745238750016</v>
      </c>
      <c r="BF136" s="483">
        <v>0</v>
      </c>
      <c r="BG136" s="483">
        <v>799367.13792045531</v>
      </c>
      <c r="BH136" s="483"/>
      <c r="BI136" s="483"/>
      <c r="BJ136" s="483"/>
      <c r="BK136" s="483"/>
      <c r="BL136" s="483"/>
      <c r="BM136" s="483"/>
      <c r="BN136" s="483"/>
      <c r="BO136" s="483"/>
      <c r="BP136" s="483"/>
      <c r="BQ136" s="483"/>
      <c r="BR136" s="483">
        <v>5276691.2029443309</v>
      </c>
      <c r="BS136" s="484">
        <f t="shared" si="18"/>
        <v>3747418.24</v>
      </c>
      <c r="BT136" s="485">
        <f t="shared" si="28"/>
        <v>0</v>
      </c>
      <c r="BU136" s="485">
        <f t="shared" si="28"/>
        <v>0</v>
      </c>
      <c r="BV136" s="485">
        <f t="shared" si="28"/>
        <v>0</v>
      </c>
      <c r="BW136" s="485">
        <f t="shared" si="28"/>
        <v>0</v>
      </c>
      <c r="BX136" s="485">
        <f t="shared" si="28"/>
        <v>0</v>
      </c>
      <c r="BY136" s="485">
        <f t="shared" si="28"/>
        <v>0</v>
      </c>
      <c r="BZ136" s="485">
        <f t="shared" si="28"/>
        <v>0</v>
      </c>
      <c r="CA136" s="485">
        <f t="shared" si="28"/>
        <v>0</v>
      </c>
      <c r="CB136" s="485">
        <f t="shared" si="28"/>
        <v>0</v>
      </c>
      <c r="CC136" s="485">
        <f t="shared" si="28"/>
        <v>0</v>
      </c>
      <c r="CD136" s="485">
        <f t="shared" si="29"/>
        <v>0</v>
      </c>
      <c r="CE136" s="485">
        <f t="shared" si="29"/>
        <v>0</v>
      </c>
      <c r="CF136" s="485">
        <f t="shared" si="29"/>
        <v>0</v>
      </c>
      <c r="CG136" s="485">
        <f t="shared" si="29"/>
        <v>0</v>
      </c>
      <c r="CH136" s="485">
        <f t="shared" si="29"/>
        <v>0</v>
      </c>
      <c r="CI136" s="485">
        <f t="shared" si="29"/>
        <v>0</v>
      </c>
      <c r="CJ136" s="485">
        <f t="shared" si="29"/>
        <v>0</v>
      </c>
      <c r="CK136" s="485">
        <f t="shared" si="29"/>
        <v>0</v>
      </c>
      <c r="CL136" s="485">
        <f t="shared" si="29"/>
        <v>1</v>
      </c>
      <c r="CM136" s="486">
        <f t="shared" si="19"/>
        <v>1</v>
      </c>
    </row>
    <row r="137" spans="1:91" s="487" customFormat="1" ht="25.5" customHeight="1" x14ac:dyDescent="0.25">
      <c r="A137" s="497" t="s">
        <v>2401</v>
      </c>
      <c r="B137" s="498" t="s">
        <v>2927</v>
      </c>
      <c r="C137" s="497" t="s">
        <v>2540</v>
      </c>
      <c r="D137" s="498"/>
      <c r="E137" s="497" t="s">
        <v>700</v>
      </c>
      <c r="F137" s="498"/>
      <c r="G137" s="497" t="s">
        <v>705</v>
      </c>
      <c r="H137" s="497" t="s">
        <v>654</v>
      </c>
      <c r="I137" s="497" t="s">
        <v>647</v>
      </c>
      <c r="J137" s="497" t="s">
        <v>641</v>
      </c>
      <c r="K137" s="497" t="s">
        <v>649</v>
      </c>
      <c r="L137" s="497" t="s">
        <v>41</v>
      </c>
      <c r="M137" s="497" t="s">
        <v>653</v>
      </c>
      <c r="N137" s="497" t="s">
        <v>699</v>
      </c>
      <c r="O137" s="497"/>
      <c r="P137" s="497"/>
      <c r="Q137" s="497" t="s">
        <v>656</v>
      </c>
      <c r="R137" s="497" t="s">
        <v>652</v>
      </c>
      <c r="S137" s="497" t="s">
        <v>649</v>
      </c>
      <c r="T137" s="497"/>
      <c r="U137" s="497"/>
      <c r="V137" s="497" t="s">
        <v>641</v>
      </c>
      <c r="W137" s="497" t="s">
        <v>2451</v>
      </c>
      <c r="X137" s="499">
        <v>42919</v>
      </c>
      <c r="Y137" s="499">
        <v>43644</v>
      </c>
      <c r="Z137" s="500">
        <v>2019</v>
      </c>
      <c r="AA137" s="497" t="s">
        <v>663</v>
      </c>
      <c r="AB137" s="497" t="s">
        <v>697</v>
      </c>
      <c r="AC137" s="497" t="s">
        <v>663</v>
      </c>
      <c r="AD137" s="501"/>
      <c r="AE137" s="501"/>
      <c r="AF137" s="501"/>
      <c r="AG137" s="501"/>
      <c r="AH137" s="501"/>
      <c r="AI137" s="501"/>
      <c r="AJ137" s="501"/>
      <c r="AK137" s="501"/>
      <c r="AL137" s="501"/>
      <c r="AM137" s="501"/>
      <c r="AN137" s="501"/>
      <c r="AO137" s="501"/>
      <c r="AP137" s="501">
        <v>565388.0400000005</v>
      </c>
      <c r="AQ137" s="501"/>
      <c r="AR137" s="501"/>
      <c r="AS137" s="501"/>
      <c r="AT137" s="501"/>
      <c r="AU137" s="501"/>
      <c r="AV137" s="501"/>
      <c r="AW137" s="501"/>
      <c r="AX137" s="501"/>
      <c r="AY137" s="501"/>
      <c r="AZ137" s="501"/>
      <c r="BA137" s="501"/>
      <c r="BB137" s="483">
        <v>43666.206000000042</v>
      </c>
      <c r="BC137" s="483">
        <v>29110.804000000026</v>
      </c>
      <c r="BD137" s="483">
        <v>49124.48175000005</v>
      </c>
      <c r="BE137" s="483">
        <v>1135.7762123125015</v>
      </c>
      <c r="BF137" s="483">
        <v>0</v>
      </c>
      <c r="BG137" s="483">
        <v>122909.25564149617</v>
      </c>
      <c r="BH137" s="483"/>
      <c r="BI137" s="483"/>
      <c r="BJ137" s="483"/>
      <c r="BK137" s="483"/>
      <c r="BL137" s="483"/>
      <c r="BM137" s="483"/>
      <c r="BN137" s="483"/>
      <c r="BO137" s="483"/>
      <c r="BP137" s="483"/>
      <c r="BQ137" s="483"/>
      <c r="BR137" s="483">
        <v>811334.56360380934</v>
      </c>
      <c r="BS137" s="484">
        <f t="shared" si="18"/>
        <v>565388.0400000005</v>
      </c>
      <c r="BT137" s="485">
        <f t="shared" si="28"/>
        <v>0</v>
      </c>
      <c r="BU137" s="485">
        <f t="shared" si="28"/>
        <v>0</v>
      </c>
      <c r="BV137" s="485">
        <f t="shared" si="28"/>
        <v>0</v>
      </c>
      <c r="BW137" s="485">
        <f t="shared" si="28"/>
        <v>0</v>
      </c>
      <c r="BX137" s="485">
        <f t="shared" si="28"/>
        <v>0</v>
      </c>
      <c r="BY137" s="485">
        <f t="shared" si="28"/>
        <v>0</v>
      </c>
      <c r="BZ137" s="485">
        <f t="shared" si="28"/>
        <v>0</v>
      </c>
      <c r="CA137" s="485">
        <f t="shared" si="28"/>
        <v>0</v>
      </c>
      <c r="CB137" s="485">
        <f t="shared" si="28"/>
        <v>0</v>
      </c>
      <c r="CC137" s="485">
        <f t="shared" si="28"/>
        <v>0</v>
      </c>
      <c r="CD137" s="485">
        <f t="shared" si="29"/>
        <v>0</v>
      </c>
      <c r="CE137" s="485">
        <f t="shared" si="29"/>
        <v>0</v>
      </c>
      <c r="CF137" s="485">
        <f t="shared" si="29"/>
        <v>0</v>
      </c>
      <c r="CG137" s="485">
        <f t="shared" si="29"/>
        <v>0</v>
      </c>
      <c r="CH137" s="485">
        <f t="shared" si="29"/>
        <v>0</v>
      </c>
      <c r="CI137" s="485">
        <f t="shared" si="29"/>
        <v>0</v>
      </c>
      <c r="CJ137" s="485">
        <f t="shared" si="29"/>
        <v>0</v>
      </c>
      <c r="CK137" s="485">
        <f t="shared" si="29"/>
        <v>0</v>
      </c>
      <c r="CL137" s="485">
        <f t="shared" si="29"/>
        <v>1</v>
      </c>
      <c r="CM137" s="486">
        <f t="shared" si="19"/>
        <v>1</v>
      </c>
    </row>
    <row r="138" spans="1:91" s="487" customFormat="1" ht="25.5" customHeight="1" x14ac:dyDescent="0.25">
      <c r="A138" s="497" t="s">
        <v>2541</v>
      </c>
      <c r="B138" s="498" t="e">
        <v>#N/A</v>
      </c>
      <c r="C138" s="497" t="s">
        <v>2542</v>
      </c>
      <c r="D138" s="498"/>
      <c r="E138" s="497" t="s">
        <v>700</v>
      </c>
      <c r="F138" s="498"/>
      <c r="G138" s="497" t="s">
        <v>648</v>
      </c>
      <c r="H138" s="497" t="s">
        <v>654</v>
      </c>
      <c r="I138" s="497" t="s">
        <v>647</v>
      </c>
      <c r="J138" s="497" t="s">
        <v>641</v>
      </c>
      <c r="K138" s="497" t="s">
        <v>649</v>
      </c>
      <c r="L138" s="497" t="s">
        <v>41</v>
      </c>
      <c r="M138" s="497" t="s">
        <v>653</v>
      </c>
      <c r="N138" s="497" t="s">
        <v>699</v>
      </c>
      <c r="O138" s="497"/>
      <c r="P138" s="497"/>
      <c r="Q138" s="497" t="s">
        <v>656</v>
      </c>
      <c r="R138" s="497" t="s">
        <v>652</v>
      </c>
      <c r="S138" s="497" t="s">
        <v>649</v>
      </c>
      <c r="T138" s="497"/>
      <c r="U138" s="497"/>
      <c r="V138" s="497" t="s">
        <v>641</v>
      </c>
      <c r="W138" s="497" t="s">
        <v>2452</v>
      </c>
      <c r="X138" s="499">
        <v>42919</v>
      </c>
      <c r="Y138" s="499">
        <v>44113</v>
      </c>
      <c r="Z138" s="500">
        <v>2021</v>
      </c>
      <c r="AA138" s="497" t="s">
        <v>663</v>
      </c>
      <c r="AB138" s="497" t="s">
        <v>697</v>
      </c>
      <c r="AC138" s="497" t="s">
        <v>663</v>
      </c>
      <c r="AD138" s="501"/>
      <c r="AE138" s="501"/>
      <c r="AF138" s="501"/>
      <c r="AG138" s="501"/>
      <c r="AH138" s="501"/>
      <c r="AI138" s="501"/>
      <c r="AJ138" s="501"/>
      <c r="AK138" s="501"/>
      <c r="AL138" s="501"/>
      <c r="AM138" s="501"/>
      <c r="AN138" s="501"/>
      <c r="AO138" s="501"/>
      <c r="AP138" s="501">
        <v>875299.92000000039</v>
      </c>
      <c r="AQ138" s="501"/>
      <c r="AR138" s="501"/>
      <c r="AS138" s="501"/>
      <c r="AT138" s="501"/>
      <c r="AU138" s="501"/>
      <c r="AV138" s="501"/>
      <c r="AW138" s="501"/>
      <c r="AX138" s="501"/>
      <c r="AY138" s="501"/>
      <c r="AZ138" s="501"/>
      <c r="BA138" s="501"/>
      <c r="BB138" s="483">
        <v>70122.738000000041</v>
      </c>
      <c r="BC138" s="483">
        <v>46748.492000000027</v>
      </c>
      <c r="BD138" s="483">
        <v>78888.080250000043</v>
      </c>
      <c r="BE138" s="483">
        <v>1823.9216331875011</v>
      </c>
      <c r="BF138" s="483">
        <v>0</v>
      </c>
      <c r="BG138" s="483">
        <v>191549.13113026318</v>
      </c>
      <c r="BH138" s="483"/>
      <c r="BI138" s="483"/>
      <c r="BJ138" s="483"/>
      <c r="BK138" s="483"/>
      <c r="BL138" s="483"/>
      <c r="BM138" s="483"/>
      <c r="BN138" s="483"/>
      <c r="BO138" s="483"/>
      <c r="BP138" s="483"/>
      <c r="BQ138" s="483"/>
      <c r="BR138" s="483">
        <v>1264432.2830134514</v>
      </c>
      <c r="BS138" s="484">
        <f t="shared" si="18"/>
        <v>875299.92000000039</v>
      </c>
      <c r="BT138" s="485">
        <f t="shared" si="28"/>
        <v>0</v>
      </c>
      <c r="BU138" s="485">
        <f t="shared" si="28"/>
        <v>0</v>
      </c>
      <c r="BV138" s="485">
        <f t="shared" si="28"/>
        <v>0</v>
      </c>
      <c r="BW138" s="485">
        <f t="shared" si="28"/>
        <v>0</v>
      </c>
      <c r="BX138" s="485">
        <f t="shared" si="28"/>
        <v>0</v>
      </c>
      <c r="BY138" s="485">
        <f t="shared" si="28"/>
        <v>0</v>
      </c>
      <c r="BZ138" s="485">
        <f t="shared" si="28"/>
        <v>0</v>
      </c>
      <c r="CA138" s="485">
        <f t="shared" si="28"/>
        <v>0</v>
      </c>
      <c r="CB138" s="485">
        <f t="shared" si="28"/>
        <v>0</v>
      </c>
      <c r="CC138" s="485">
        <f t="shared" si="28"/>
        <v>0</v>
      </c>
      <c r="CD138" s="485">
        <f t="shared" si="29"/>
        <v>0</v>
      </c>
      <c r="CE138" s="485">
        <f t="shared" si="29"/>
        <v>0</v>
      </c>
      <c r="CF138" s="485">
        <f t="shared" si="29"/>
        <v>0</v>
      </c>
      <c r="CG138" s="485">
        <f t="shared" si="29"/>
        <v>0</v>
      </c>
      <c r="CH138" s="485">
        <f t="shared" si="29"/>
        <v>0</v>
      </c>
      <c r="CI138" s="485">
        <f t="shared" si="29"/>
        <v>0</v>
      </c>
      <c r="CJ138" s="485">
        <f t="shared" si="29"/>
        <v>0</v>
      </c>
      <c r="CK138" s="485">
        <f t="shared" si="29"/>
        <v>0</v>
      </c>
      <c r="CL138" s="485">
        <f t="shared" si="29"/>
        <v>1</v>
      </c>
      <c r="CM138" s="486">
        <f t="shared" si="19"/>
        <v>1</v>
      </c>
    </row>
    <row r="139" spans="1:91" s="487" customFormat="1" ht="25.5" customHeight="1" x14ac:dyDescent="0.25">
      <c r="A139" s="497" t="s">
        <v>2543</v>
      </c>
      <c r="B139" s="498" t="e">
        <v>#N/A</v>
      </c>
      <c r="C139" s="497" t="s">
        <v>2544</v>
      </c>
      <c r="D139" s="498"/>
      <c r="E139" s="497" t="s">
        <v>700</v>
      </c>
      <c r="F139" s="498"/>
      <c r="G139" s="497" t="s">
        <v>648</v>
      </c>
      <c r="H139" s="497" t="s">
        <v>654</v>
      </c>
      <c r="I139" s="497" t="s">
        <v>647</v>
      </c>
      <c r="J139" s="497" t="s">
        <v>641</v>
      </c>
      <c r="K139" s="497" t="s">
        <v>649</v>
      </c>
      <c r="L139" s="497" t="s">
        <v>41</v>
      </c>
      <c r="M139" s="497" t="s">
        <v>653</v>
      </c>
      <c r="N139" s="497" t="s">
        <v>699</v>
      </c>
      <c r="O139" s="497"/>
      <c r="P139" s="497"/>
      <c r="Q139" s="497" t="s">
        <v>656</v>
      </c>
      <c r="R139" s="497" t="s">
        <v>652</v>
      </c>
      <c r="S139" s="497" t="s">
        <v>649</v>
      </c>
      <c r="T139" s="497"/>
      <c r="U139" s="497"/>
      <c r="V139" s="497" t="s">
        <v>641</v>
      </c>
      <c r="W139" s="497" t="s">
        <v>2452</v>
      </c>
      <c r="X139" s="499">
        <v>42919</v>
      </c>
      <c r="Y139" s="499">
        <v>43644</v>
      </c>
      <c r="Z139" s="500">
        <v>2019</v>
      </c>
      <c r="AA139" s="497" t="s">
        <v>663</v>
      </c>
      <c r="AB139" s="497" t="s">
        <v>697</v>
      </c>
      <c r="AC139" s="497" t="s">
        <v>663</v>
      </c>
      <c r="AD139" s="501"/>
      <c r="AE139" s="501"/>
      <c r="AF139" s="501"/>
      <c r="AG139" s="501"/>
      <c r="AH139" s="501"/>
      <c r="AI139" s="501"/>
      <c r="AJ139" s="501"/>
      <c r="AK139" s="501"/>
      <c r="AL139" s="501"/>
      <c r="AM139" s="501"/>
      <c r="AN139" s="501"/>
      <c r="AO139" s="501"/>
      <c r="AP139" s="501">
        <v>2062521.1400000015</v>
      </c>
      <c r="AQ139" s="501"/>
      <c r="AR139" s="501"/>
      <c r="AS139" s="501"/>
      <c r="AT139" s="501"/>
      <c r="AU139" s="501"/>
      <c r="AV139" s="501"/>
      <c r="AW139" s="501"/>
      <c r="AX139" s="501"/>
      <c r="AY139" s="501"/>
      <c r="AZ139" s="501"/>
      <c r="BA139" s="501"/>
      <c r="BB139" s="483">
        <v>145166.42100000009</v>
      </c>
      <c r="BC139" s="483">
        <v>96777.614000000089</v>
      </c>
      <c r="BD139" s="483">
        <v>163312.2236250001</v>
      </c>
      <c r="BE139" s="483">
        <v>3775.8390962187532</v>
      </c>
      <c r="BF139" s="483">
        <v>0</v>
      </c>
      <c r="BG139" s="483">
        <v>441263.22087983863</v>
      </c>
      <c r="BH139" s="483"/>
      <c r="BI139" s="483"/>
      <c r="BJ139" s="483"/>
      <c r="BK139" s="483"/>
      <c r="BL139" s="483"/>
      <c r="BM139" s="483"/>
      <c r="BN139" s="483"/>
      <c r="BO139" s="483"/>
      <c r="BP139" s="483"/>
      <c r="BQ139" s="483"/>
      <c r="BR139" s="483">
        <v>2912816.4586010589</v>
      </c>
      <c r="BS139" s="484">
        <f t="shared" si="18"/>
        <v>2062521.1400000015</v>
      </c>
      <c r="BT139" s="485">
        <f t="shared" ref="BT139:CC148" si="30">SUMIFS($AD139:$BA139,$AD$11:$BA$11,BT$21)/$BS139</f>
        <v>0</v>
      </c>
      <c r="BU139" s="485">
        <f t="shared" si="30"/>
        <v>0</v>
      </c>
      <c r="BV139" s="485">
        <f t="shared" si="30"/>
        <v>0</v>
      </c>
      <c r="BW139" s="485">
        <f t="shared" si="30"/>
        <v>0</v>
      </c>
      <c r="BX139" s="485">
        <f t="shared" si="30"/>
        <v>0</v>
      </c>
      <c r="BY139" s="485">
        <f t="shared" si="30"/>
        <v>0</v>
      </c>
      <c r="BZ139" s="485">
        <f t="shared" si="30"/>
        <v>0</v>
      </c>
      <c r="CA139" s="485">
        <f t="shared" si="30"/>
        <v>0</v>
      </c>
      <c r="CB139" s="485">
        <f t="shared" si="30"/>
        <v>0</v>
      </c>
      <c r="CC139" s="485">
        <f t="shared" si="30"/>
        <v>0</v>
      </c>
      <c r="CD139" s="485">
        <f t="shared" ref="CD139:CL148" si="31">SUMIFS($AD139:$BA139,$AD$11:$BA$11,CD$21)/$BS139</f>
        <v>0</v>
      </c>
      <c r="CE139" s="485">
        <f t="shared" si="31"/>
        <v>0</v>
      </c>
      <c r="CF139" s="485">
        <f t="shared" si="31"/>
        <v>0</v>
      </c>
      <c r="CG139" s="485">
        <f t="shared" si="31"/>
        <v>0</v>
      </c>
      <c r="CH139" s="485">
        <f t="shared" si="31"/>
        <v>0</v>
      </c>
      <c r="CI139" s="485">
        <f t="shared" si="31"/>
        <v>0</v>
      </c>
      <c r="CJ139" s="485">
        <f t="shared" si="31"/>
        <v>0</v>
      </c>
      <c r="CK139" s="485">
        <f t="shared" si="31"/>
        <v>0</v>
      </c>
      <c r="CL139" s="485">
        <f t="shared" si="31"/>
        <v>1</v>
      </c>
      <c r="CM139" s="486">
        <f t="shared" si="19"/>
        <v>1</v>
      </c>
    </row>
    <row r="140" spans="1:91" s="487" customFormat="1" ht="25.5" customHeight="1" x14ac:dyDescent="0.25">
      <c r="A140" s="497" t="s">
        <v>2545</v>
      </c>
      <c r="B140" s="498" t="e">
        <v>#N/A</v>
      </c>
      <c r="C140" s="497" t="s">
        <v>2546</v>
      </c>
      <c r="D140" s="498"/>
      <c r="E140" s="497" t="s">
        <v>700</v>
      </c>
      <c r="F140" s="498"/>
      <c r="G140" s="497" t="s">
        <v>648</v>
      </c>
      <c r="H140" s="497" t="s">
        <v>654</v>
      </c>
      <c r="I140" s="497" t="s">
        <v>647</v>
      </c>
      <c r="J140" s="497" t="s">
        <v>641</v>
      </c>
      <c r="K140" s="497" t="s">
        <v>649</v>
      </c>
      <c r="L140" s="497" t="s">
        <v>41</v>
      </c>
      <c r="M140" s="497" t="s">
        <v>653</v>
      </c>
      <c r="N140" s="497" t="s">
        <v>699</v>
      </c>
      <c r="O140" s="497"/>
      <c r="P140" s="497"/>
      <c r="Q140" s="497" t="s">
        <v>642</v>
      </c>
      <c r="R140" s="497" t="s">
        <v>652</v>
      </c>
      <c r="S140" s="497" t="s">
        <v>649</v>
      </c>
      <c r="T140" s="497"/>
      <c r="U140" s="497"/>
      <c r="V140" s="497" t="s">
        <v>641</v>
      </c>
      <c r="W140" s="497" t="s">
        <v>2451</v>
      </c>
      <c r="X140" s="499">
        <v>42919</v>
      </c>
      <c r="Y140" s="499">
        <v>44012</v>
      </c>
      <c r="Z140" s="500">
        <v>2020</v>
      </c>
      <c r="AA140" s="497" t="s">
        <v>663</v>
      </c>
      <c r="AB140" s="497" t="s">
        <v>697</v>
      </c>
      <c r="AC140" s="497" t="s">
        <v>663</v>
      </c>
      <c r="AD140" s="501"/>
      <c r="AE140" s="501"/>
      <c r="AF140" s="501"/>
      <c r="AG140" s="501"/>
      <c r="AH140" s="501"/>
      <c r="AI140" s="501"/>
      <c r="AJ140" s="501"/>
      <c r="AK140" s="501"/>
      <c r="AL140" s="501"/>
      <c r="AM140" s="501"/>
      <c r="AN140" s="501"/>
      <c r="AO140" s="501"/>
      <c r="AP140" s="501">
        <v>4243851.2799999993</v>
      </c>
      <c r="AQ140" s="501"/>
      <c r="AR140" s="501"/>
      <c r="AS140" s="501"/>
      <c r="AT140" s="501"/>
      <c r="AU140" s="501"/>
      <c r="AV140" s="501"/>
      <c r="AW140" s="501"/>
      <c r="AX140" s="501"/>
      <c r="AY140" s="501"/>
      <c r="AZ140" s="501"/>
      <c r="BA140" s="501"/>
      <c r="BB140" s="483">
        <v>288899.44199999992</v>
      </c>
      <c r="BC140" s="483">
        <v>192599.62799999997</v>
      </c>
      <c r="BD140" s="483">
        <v>325011.87225000001</v>
      </c>
      <c r="BE140" s="483">
        <v>7514.3948611875003</v>
      </c>
      <c r="BF140" s="483">
        <v>0</v>
      </c>
      <c r="BG140" s="483">
        <v>903017.13627543836</v>
      </c>
      <c r="BH140" s="483"/>
      <c r="BI140" s="483"/>
      <c r="BJ140" s="483"/>
      <c r="BK140" s="483"/>
      <c r="BL140" s="483"/>
      <c r="BM140" s="483"/>
      <c r="BN140" s="483"/>
      <c r="BO140" s="483"/>
      <c r="BP140" s="483"/>
      <c r="BQ140" s="483"/>
      <c r="BR140" s="483">
        <v>5960893.753386626</v>
      </c>
      <c r="BS140" s="484">
        <f t="shared" si="18"/>
        <v>4243851.2799999993</v>
      </c>
      <c r="BT140" s="485">
        <f t="shared" si="30"/>
        <v>0</v>
      </c>
      <c r="BU140" s="485">
        <f t="shared" si="30"/>
        <v>0</v>
      </c>
      <c r="BV140" s="485">
        <f t="shared" si="30"/>
        <v>0</v>
      </c>
      <c r="BW140" s="485">
        <f t="shared" si="30"/>
        <v>0</v>
      </c>
      <c r="BX140" s="485">
        <f t="shared" si="30"/>
        <v>0</v>
      </c>
      <c r="BY140" s="485">
        <f t="shared" si="30"/>
        <v>0</v>
      </c>
      <c r="BZ140" s="485">
        <f t="shared" si="30"/>
        <v>0</v>
      </c>
      <c r="CA140" s="485">
        <f t="shared" si="30"/>
        <v>0</v>
      </c>
      <c r="CB140" s="485">
        <f t="shared" si="30"/>
        <v>0</v>
      </c>
      <c r="CC140" s="485">
        <f t="shared" si="30"/>
        <v>0</v>
      </c>
      <c r="CD140" s="485">
        <f t="shared" si="31"/>
        <v>0</v>
      </c>
      <c r="CE140" s="485">
        <f t="shared" si="31"/>
        <v>0</v>
      </c>
      <c r="CF140" s="485">
        <f t="shared" si="31"/>
        <v>0</v>
      </c>
      <c r="CG140" s="485">
        <f t="shared" si="31"/>
        <v>0</v>
      </c>
      <c r="CH140" s="485">
        <f t="shared" si="31"/>
        <v>0</v>
      </c>
      <c r="CI140" s="485">
        <f t="shared" si="31"/>
        <v>0</v>
      </c>
      <c r="CJ140" s="485">
        <f t="shared" si="31"/>
        <v>0</v>
      </c>
      <c r="CK140" s="485">
        <f t="shared" si="31"/>
        <v>0</v>
      </c>
      <c r="CL140" s="485">
        <f t="shared" si="31"/>
        <v>1</v>
      </c>
      <c r="CM140" s="486">
        <f t="shared" si="19"/>
        <v>1</v>
      </c>
    </row>
    <row r="141" spans="1:91" s="487" customFormat="1" ht="25.5" customHeight="1" x14ac:dyDescent="0.25">
      <c r="A141" s="497" t="s">
        <v>2547</v>
      </c>
      <c r="B141" s="498" t="e">
        <v>#N/A</v>
      </c>
      <c r="C141" s="497" t="s">
        <v>2548</v>
      </c>
      <c r="D141" s="498"/>
      <c r="E141" s="497" t="s">
        <v>700</v>
      </c>
      <c r="F141" s="498"/>
      <c r="G141" s="497" t="s">
        <v>648</v>
      </c>
      <c r="H141" s="497" t="s">
        <v>654</v>
      </c>
      <c r="I141" s="497" t="s">
        <v>647</v>
      </c>
      <c r="J141" s="497" t="s">
        <v>641</v>
      </c>
      <c r="K141" s="497" t="s">
        <v>649</v>
      </c>
      <c r="L141" s="497" t="s">
        <v>41</v>
      </c>
      <c r="M141" s="497" t="s">
        <v>653</v>
      </c>
      <c r="N141" s="497" t="s">
        <v>699</v>
      </c>
      <c r="O141" s="497"/>
      <c r="P141" s="497"/>
      <c r="Q141" s="497" t="s">
        <v>656</v>
      </c>
      <c r="R141" s="497" t="s">
        <v>652</v>
      </c>
      <c r="S141" s="497" t="s">
        <v>649</v>
      </c>
      <c r="T141" s="497"/>
      <c r="U141" s="497"/>
      <c r="V141" s="497" t="s">
        <v>641</v>
      </c>
      <c r="W141" s="497" t="s">
        <v>2452</v>
      </c>
      <c r="X141" s="499">
        <v>42919</v>
      </c>
      <c r="Y141" s="499">
        <v>44377</v>
      </c>
      <c r="Z141" s="500">
        <v>2021</v>
      </c>
      <c r="AA141" s="497" t="s">
        <v>663</v>
      </c>
      <c r="AB141" s="497" t="s">
        <v>697</v>
      </c>
      <c r="AC141" s="497" t="s">
        <v>663</v>
      </c>
      <c r="AD141" s="501"/>
      <c r="AE141" s="501"/>
      <c r="AF141" s="501"/>
      <c r="AG141" s="501"/>
      <c r="AH141" s="501"/>
      <c r="AI141" s="501"/>
      <c r="AJ141" s="501"/>
      <c r="AK141" s="501"/>
      <c r="AL141" s="501"/>
      <c r="AM141" s="501"/>
      <c r="AN141" s="501"/>
      <c r="AO141" s="501"/>
      <c r="AP141" s="501">
        <v>3453360.6400000062</v>
      </c>
      <c r="AQ141" s="501"/>
      <c r="AR141" s="501"/>
      <c r="AS141" s="501"/>
      <c r="AT141" s="501"/>
      <c r="AU141" s="501"/>
      <c r="AV141" s="501"/>
      <c r="AW141" s="501"/>
      <c r="AX141" s="501"/>
      <c r="AY141" s="501"/>
      <c r="AZ141" s="501"/>
      <c r="BA141" s="501"/>
      <c r="BB141" s="483">
        <v>237279.09600000034</v>
      </c>
      <c r="BC141" s="483">
        <v>158186.06400000027</v>
      </c>
      <c r="BD141" s="483">
        <v>266938.98300000047</v>
      </c>
      <c r="BE141" s="483">
        <v>6171.7281532500101</v>
      </c>
      <c r="BF141" s="483">
        <v>0</v>
      </c>
      <c r="BG141" s="483">
        <v>735917.37916626234</v>
      </c>
      <c r="BH141" s="483"/>
      <c r="BI141" s="483"/>
      <c r="BJ141" s="483"/>
      <c r="BK141" s="483"/>
      <c r="BL141" s="483"/>
      <c r="BM141" s="483"/>
      <c r="BN141" s="483"/>
      <c r="BO141" s="483"/>
      <c r="BP141" s="483"/>
      <c r="BQ141" s="483"/>
      <c r="BR141" s="483">
        <v>4857853.8903195206</v>
      </c>
      <c r="BS141" s="484">
        <f t="shared" si="18"/>
        <v>3453360.6400000062</v>
      </c>
      <c r="BT141" s="485">
        <f t="shared" si="30"/>
        <v>0</v>
      </c>
      <c r="BU141" s="485">
        <f t="shared" si="30"/>
        <v>0</v>
      </c>
      <c r="BV141" s="485">
        <f t="shared" si="30"/>
        <v>0</v>
      </c>
      <c r="BW141" s="485">
        <f t="shared" si="30"/>
        <v>0</v>
      </c>
      <c r="BX141" s="485">
        <f t="shared" si="30"/>
        <v>0</v>
      </c>
      <c r="BY141" s="485">
        <f t="shared" si="30"/>
        <v>0</v>
      </c>
      <c r="BZ141" s="485">
        <f t="shared" si="30"/>
        <v>0</v>
      </c>
      <c r="CA141" s="485">
        <f t="shared" si="30"/>
        <v>0</v>
      </c>
      <c r="CB141" s="485">
        <f t="shared" si="30"/>
        <v>0</v>
      </c>
      <c r="CC141" s="485">
        <f t="shared" si="30"/>
        <v>0</v>
      </c>
      <c r="CD141" s="485">
        <f t="shared" si="31"/>
        <v>0</v>
      </c>
      <c r="CE141" s="485">
        <f t="shared" si="31"/>
        <v>0</v>
      </c>
      <c r="CF141" s="485">
        <f t="shared" si="31"/>
        <v>0</v>
      </c>
      <c r="CG141" s="485">
        <f t="shared" si="31"/>
        <v>0</v>
      </c>
      <c r="CH141" s="485">
        <f t="shared" si="31"/>
        <v>0</v>
      </c>
      <c r="CI141" s="485">
        <f t="shared" si="31"/>
        <v>0</v>
      </c>
      <c r="CJ141" s="485">
        <f t="shared" si="31"/>
        <v>0</v>
      </c>
      <c r="CK141" s="485">
        <f t="shared" si="31"/>
        <v>0</v>
      </c>
      <c r="CL141" s="485">
        <f t="shared" si="31"/>
        <v>1</v>
      </c>
      <c r="CM141" s="486">
        <f t="shared" si="19"/>
        <v>1</v>
      </c>
    </row>
    <row r="142" spans="1:91" s="487" customFormat="1" ht="25.5" customHeight="1" x14ac:dyDescent="0.25">
      <c r="A142" s="497" t="s">
        <v>2549</v>
      </c>
      <c r="B142" s="498" t="e">
        <v>#N/A</v>
      </c>
      <c r="C142" s="497" t="s">
        <v>2550</v>
      </c>
      <c r="D142" s="498"/>
      <c r="E142" s="497" t="s">
        <v>700</v>
      </c>
      <c r="F142" s="498"/>
      <c r="G142" s="497" t="s">
        <v>648</v>
      </c>
      <c r="H142" s="497" t="s">
        <v>654</v>
      </c>
      <c r="I142" s="497" t="s">
        <v>647</v>
      </c>
      <c r="J142" s="497" t="s">
        <v>641</v>
      </c>
      <c r="K142" s="497" t="s">
        <v>649</v>
      </c>
      <c r="L142" s="497" t="s">
        <v>41</v>
      </c>
      <c r="M142" s="497" t="s">
        <v>653</v>
      </c>
      <c r="N142" s="497" t="s">
        <v>699</v>
      </c>
      <c r="O142" s="497"/>
      <c r="P142" s="497"/>
      <c r="Q142" s="497" t="s">
        <v>656</v>
      </c>
      <c r="R142" s="497" t="s">
        <v>652</v>
      </c>
      <c r="S142" s="497" t="s">
        <v>649</v>
      </c>
      <c r="T142" s="497"/>
      <c r="U142" s="497"/>
      <c r="V142" s="497" t="s">
        <v>641</v>
      </c>
      <c r="W142" s="497" t="s">
        <v>2452</v>
      </c>
      <c r="X142" s="499">
        <v>42919</v>
      </c>
      <c r="Y142" s="499">
        <v>44377</v>
      </c>
      <c r="Z142" s="500">
        <v>2021</v>
      </c>
      <c r="AA142" s="497" t="s">
        <v>663</v>
      </c>
      <c r="AB142" s="497" t="s">
        <v>697</v>
      </c>
      <c r="AC142" s="497" t="s">
        <v>663</v>
      </c>
      <c r="AD142" s="501"/>
      <c r="AE142" s="501"/>
      <c r="AF142" s="501"/>
      <c r="AG142" s="501"/>
      <c r="AH142" s="501"/>
      <c r="AI142" s="501"/>
      <c r="AJ142" s="501"/>
      <c r="AK142" s="501"/>
      <c r="AL142" s="501"/>
      <c r="AM142" s="501"/>
      <c r="AN142" s="501"/>
      <c r="AO142" s="501"/>
      <c r="AP142" s="501">
        <v>2671621.6000000047</v>
      </c>
      <c r="AQ142" s="501"/>
      <c r="AR142" s="501"/>
      <c r="AS142" s="501"/>
      <c r="AT142" s="501"/>
      <c r="AU142" s="501"/>
      <c r="AV142" s="501"/>
      <c r="AW142" s="501"/>
      <c r="AX142" s="501"/>
      <c r="AY142" s="501"/>
      <c r="AZ142" s="501"/>
      <c r="BA142" s="501"/>
      <c r="BB142" s="483">
        <v>185850.99000000034</v>
      </c>
      <c r="BC142" s="483">
        <v>123900.66000000022</v>
      </c>
      <c r="BD142" s="483">
        <v>209082.36375000037</v>
      </c>
      <c r="BE142" s="483">
        <v>4834.0616878125102</v>
      </c>
      <c r="BF142" s="483">
        <v>0</v>
      </c>
      <c r="BG142" s="483">
        <v>570476.81284331821</v>
      </c>
      <c r="BH142" s="483"/>
      <c r="BI142" s="483"/>
      <c r="BJ142" s="483"/>
      <c r="BK142" s="483"/>
      <c r="BL142" s="483"/>
      <c r="BM142" s="483"/>
      <c r="BN142" s="483"/>
      <c r="BO142" s="483"/>
      <c r="BP142" s="483"/>
      <c r="BQ142" s="483"/>
      <c r="BR142" s="483">
        <v>3765766.4882811359</v>
      </c>
      <c r="BS142" s="484">
        <f t="shared" si="18"/>
        <v>2671621.6000000047</v>
      </c>
      <c r="BT142" s="485">
        <f t="shared" si="30"/>
        <v>0</v>
      </c>
      <c r="BU142" s="485">
        <f t="shared" si="30"/>
        <v>0</v>
      </c>
      <c r="BV142" s="485">
        <f t="shared" si="30"/>
        <v>0</v>
      </c>
      <c r="BW142" s="485">
        <f t="shared" si="30"/>
        <v>0</v>
      </c>
      <c r="BX142" s="485">
        <f t="shared" si="30"/>
        <v>0</v>
      </c>
      <c r="BY142" s="485">
        <f t="shared" si="30"/>
        <v>0</v>
      </c>
      <c r="BZ142" s="485">
        <f t="shared" si="30"/>
        <v>0</v>
      </c>
      <c r="CA142" s="485">
        <f t="shared" si="30"/>
        <v>0</v>
      </c>
      <c r="CB142" s="485">
        <f t="shared" si="30"/>
        <v>0</v>
      </c>
      <c r="CC142" s="485">
        <f t="shared" si="30"/>
        <v>0</v>
      </c>
      <c r="CD142" s="485">
        <f t="shared" si="31"/>
        <v>0</v>
      </c>
      <c r="CE142" s="485">
        <f t="shared" si="31"/>
        <v>0</v>
      </c>
      <c r="CF142" s="485">
        <f t="shared" si="31"/>
        <v>0</v>
      </c>
      <c r="CG142" s="485">
        <f t="shared" si="31"/>
        <v>0</v>
      </c>
      <c r="CH142" s="485">
        <f t="shared" si="31"/>
        <v>0</v>
      </c>
      <c r="CI142" s="485">
        <f t="shared" si="31"/>
        <v>0</v>
      </c>
      <c r="CJ142" s="485">
        <f t="shared" si="31"/>
        <v>0</v>
      </c>
      <c r="CK142" s="485">
        <f t="shared" si="31"/>
        <v>0</v>
      </c>
      <c r="CL142" s="485">
        <f t="shared" si="31"/>
        <v>1</v>
      </c>
      <c r="CM142" s="486">
        <f t="shared" si="19"/>
        <v>1</v>
      </c>
    </row>
    <row r="143" spans="1:91" s="487" customFormat="1" ht="25.5" customHeight="1" x14ac:dyDescent="0.25">
      <c r="A143" s="497" t="s">
        <v>2551</v>
      </c>
      <c r="B143" s="498" t="e">
        <v>#N/A</v>
      </c>
      <c r="C143" s="497" t="s">
        <v>2552</v>
      </c>
      <c r="D143" s="498"/>
      <c r="E143" s="497" t="s">
        <v>700</v>
      </c>
      <c r="F143" s="498"/>
      <c r="G143" s="497" t="s">
        <v>648</v>
      </c>
      <c r="H143" s="497" t="s">
        <v>654</v>
      </c>
      <c r="I143" s="497" t="s">
        <v>647</v>
      </c>
      <c r="J143" s="497" t="s">
        <v>641</v>
      </c>
      <c r="K143" s="497" t="s">
        <v>649</v>
      </c>
      <c r="L143" s="497" t="s">
        <v>41</v>
      </c>
      <c r="M143" s="497" t="s">
        <v>653</v>
      </c>
      <c r="N143" s="497" t="s">
        <v>699</v>
      </c>
      <c r="O143" s="497"/>
      <c r="P143" s="497"/>
      <c r="Q143" s="497" t="s">
        <v>656</v>
      </c>
      <c r="R143" s="497" t="s">
        <v>652</v>
      </c>
      <c r="S143" s="497" t="s">
        <v>649</v>
      </c>
      <c r="T143" s="497"/>
      <c r="U143" s="497"/>
      <c r="V143" s="497" t="s">
        <v>641</v>
      </c>
      <c r="W143" s="497" t="s">
        <v>2452</v>
      </c>
      <c r="X143" s="499">
        <v>42919</v>
      </c>
      <c r="Y143" s="499">
        <v>44012</v>
      </c>
      <c r="Z143" s="500">
        <v>2020</v>
      </c>
      <c r="AA143" s="497" t="s">
        <v>663</v>
      </c>
      <c r="AB143" s="497" t="s">
        <v>697</v>
      </c>
      <c r="AC143" s="497" t="s">
        <v>663</v>
      </c>
      <c r="AD143" s="501"/>
      <c r="AE143" s="501"/>
      <c r="AF143" s="501"/>
      <c r="AG143" s="501"/>
      <c r="AH143" s="501"/>
      <c r="AI143" s="501"/>
      <c r="AJ143" s="501"/>
      <c r="AK143" s="501"/>
      <c r="AL143" s="501"/>
      <c r="AM143" s="501"/>
      <c r="AN143" s="501"/>
      <c r="AO143" s="501"/>
      <c r="AP143" s="501">
        <v>1552770.9200000002</v>
      </c>
      <c r="AQ143" s="501"/>
      <c r="AR143" s="501"/>
      <c r="AS143" s="501"/>
      <c r="AT143" s="501"/>
      <c r="AU143" s="501"/>
      <c r="AV143" s="501"/>
      <c r="AW143" s="501"/>
      <c r="AX143" s="501"/>
      <c r="AY143" s="501"/>
      <c r="AZ143" s="501"/>
      <c r="BA143" s="501"/>
      <c r="BB143" s="483">
        <v>109912.63800000001</v>
      </c>
      <c r="BC143" s="483">
        <v>73275.09199999999</v>
      </c>
      <c r="BD143" s="483">
        <v>123651.71775000001</v>
      </c>
      <c r="BE143" s="483">
        <v>2858.8735113125003</v>
      </c>
      <c r="BF143" s="483">
        <v>0</v>
      </c>
      <c r="BG143" s="483">
        <v>332519.3095764888</v>
      </c>
      <c r="BH143" s="483"/>
      <c r="BI143" s="483"/>
      <c r="BJ143" s="483"/>
      <c r="BK143" s="483"/>
      <c r="BL143" s="483"/>
      <c r="BM143" s="483"/>
      <c r="BN143" s="483"/>
      <c r="BO143" s="483"/>
      <c r="BP143" s="483"/>
      <c r="BQ143" s="483"/>
      <c r="BR143" s="483">
        <v>2194988.5508378013</v>
      </c>
      <c r="BS143" s="484">
        <f t="shared" si="18"/>
        <v>1552770.9200000002</v>
      </c>
      <c r="BT143" s="485">
        <f t="shared" si="30"/>
        <v>0</v>
      </c>
      <c r="BU143" s="485">
        <f t="shared" si="30"/>
        <v>0</v>
      </c>
      <c r="BV143" s="485">
        <f t="shared" si="30"/>
        <v>0</v>
      </c>
      <c r="BW143" s="485">
        <f t="shared" si="30"/>
        <v>0</v>
      </c>
      <c r="BX143" s="485">
        <f t="shared" si="30"/>
        <v>0</v>
      </c>
      <c r="BY143" s="485">
        <f t="shared" si="30"/>
        <v>0</v>
      </c>
      <c r="BZ143" s="485">
        <f t="shared" si="30"/>
        <v>0</v>
      </c>
      <c r="CA143" s="485">
        <f t="shared" si="30"/>
        <v>0</v>
      </c>
      <c r="CB143" s="485">
        <f t="shared" si="30"/>
        <v>0</v>
      </c>
      <c r="CC143" s="485">
        <f t="shared" si="30"/>
        <v>0</v>
      </c>
      <c r="CD143" s="485">
        <f t="shared" si="31"/>
        <v>0</v>
      </c>
      <c r="CE143" s="485">
        <f t="shared" si="31"/>
        <v>0</v>
      </c>
      <c r="CF143" s="485">
        <f t="shared" si="31"/>
        <v>0</v>
      </c>
      <c r="CG143" s="485">
        <f t="shared" si="31"/>
        <v>0</v>
      </c>
      <c r="CH143" s="485">
        <f t="shared" si="31"/>
        <v>0</v>
      </c>
      <c r="CI143" s="485">
        <f t="shared" si="31"/>
        <v>0</v>
      </c>
      <c r="CJ143" s="485">
        <f t="shared" si="31"/>
        <v>0</v>
      </c>
      <c r="CK143" s="485">
        <f t="shared" si="31"/>
        <v>0</v>
      </c>
      <c r="CL143" s="485">
        <f t="shared" si="31"/>
        <v>1</v>
      </c>
      <c r="CM143" s="486">
        <f t="shared" si="19"/>
        <v>1</v>
      </c>
    </row>
    <row r="144" spans="1:91" s="487" customFormat="1" ht="25.5" customHeight="1" x14ac:dyDescent="0.25">
      <c r="A144" s="497" t="s">
        <v>2553</v>
      </c>
      <c r="B144" s="498" t="e">
        <v>#N/A</v>
      </c>
      <c r="C144" s="497" t="s">
        <v>2554</v>
      </c>
      <c r="D144" s="498"/>
      <c r="E144" s="497" t="s">
        <v>700</v>
      </c>
      <c r="F144" s="498"/>
      <c r="G144" s="497" t="s">
        <v>648</v>
      </c>
      <c r="H144" s="497" t="s">
        <v>654</v>
      </c>
      <c r="I144" s="497" t="s">
        <v>647</v>
      </c>
      <c r="J144" s="497" t="s">
        <v>641</v>
      </c>
      <c r="K144" s="497" t="s">
        <v>649</v>
      </c>
      <c r="L144" s="497" t="s">
        <v>41</v>
      </c>
      <c r="M144" s="497" t="s">
        <v>653</v>
      </c>
      <c r="N144" s="497" t="s">
        <v>699</v>
      </c>
      <c r="O144" s="497"/>
      <c r="P144" s="497"/>
      <c r="Q144" s="497" t="s">
        <v>650</v>
      </c>
      <c r="R144" s="497" t="s">
        <v>652</v>
      </c>
      <c r="S144" s="497" t="s">
        <v>649</v>
      </c>
      <c r="T144" s="497"/>
      <c r="U144" s="497"/>
      <c r="V144" s="497" t="s">
        <v>641</v>
      </c>
      <c r="W144" s="497" t="s">
        <v>2451</v>
      </c>
      <c r="X144" s="499">
        <v>42919</v>
      </c>
      <c r="Y144" s="499">
        <v>44113</v>
      </c>
      <c r="Z144" s="500">
        <v>2021</v>
      </c>
      <c r="AA144" s="497" t="s">
        <v>663</v>
      </c>
      <c r="AB144" s="497" t="s">
        <v>697</v>
      </c>
      <c r="AC144" s="497" t="s">
        <v>663</v>
      </c>
      <c r="AD144" s="501"/>
      <c r="AE144" s="501"/>
      <c r="AF144" s="501"/>
      <c r="AG144" s="501"/>
      <c r="AH144" s="501"/>
      <c r="AI144" s="501"/>
      <c r="AJ144" s="501"/>
      <c r="AK144" s="501"/>
      <c r="AL144" s="501"/>
      <c r="AM144" s="501"/>
      <c r="AN144" s="501"/>
      <c r="AO144" s="501"/>
      <c r="AP144" s="501">
        <v>514832.80000000028</v>
      </c>
      <c r="AQ144" s="501"/>
      <c r="AR144" s="501"/>
      <c r="AS144" s="501"/>
      <c r="AT144" s="501"/>
      <c r="AU144" s="501"/>
      <c r="AV144" s="501"/>
      <c r="AW144" s="501"/>
      <c r="AX144" s="501"/>
      <c r="AY144" s="501"/>
      <c r="AZ144" s="501"/>
      <c r="BA144" s="501"/>
      <c r="BB144" s="483">
        <v>53764.170000000027</v>
      </c>
      <c r="BC144" s="483">
        <v>35842.780000000021</v>
      </c>
      <c r="BD144" s="483">
        <v>60484.691250000033</v>
      </c>
      <c r="BE144" s="483">
        <v>1398.4284634375008</v>
      </c>
      <c r="BF144" s="483">
        <v>0</v>
      </c>
      <c r="BG144" s="483">
        <v>118963.15691210415</v>
      </c>
      <c r="BH144" s="483"/>
      <c r="BI144" s="483"/>
      <c r="BJ144" s="483"/>
      <c r="BK144" s="483"/>
      <c r="BL144" s="483"/>
      <c r="BM144" s="483"/>
      <c r="BN144" s="483"/>
      <c r="BO144" s="483"/>
      <c r="BP144" s="483"/>
      <c r="BQ144" s="483"/>
      <c r="BR144" s="483">
        <v>785286.0266255422</v>
      </c>
      <c r="BS144" s="484">
        <f t="shared" si="18"/>
        <v>514832.80000000028</v>
      </c>
      <c r="BT144" s="485">
        <f t="shared" si="30"/>
        <v>0</v>
      </c>
      <c r="BU144" s="485">
        <f t="shared" si="30"/>
        <v>0</v>
      </c>
      <c r="BV144" s="485">
        <f t="shared" si="30"/>
        <v>0</v>
      </c>
      <c r="BW144" s="485">
        <f t="shared" si="30"/>
        <v>0</v>
      </c>
      <c r="BX144" s="485">
        <f t="shared" si="30"/>
        <v>0</v>
      </c>
      <c r="BY144" s="485">
        <f t="shared" si="30"/>
        <v>0</v>
      </c>
      <c r="BZ144" s="485">
        <f t="shared" si="30"/>
        <v>0</v>
      </c>
      <c r="CA144" s="485">
        <f t="shared" si="30"/>
        <v>0</v>
      </c>
      <c r="CB144" s="485">
        <f t="shared" si="30"/>
        <v>0</v>
      </c>
      <c r="CC144" s="485">
        <f t="shared" si="30"/>
        <v>0</v>
      </c>
      <c r="CD144" s="485">
        <f t="shared" si="31"/>
        <v>0</v>
      </c>
      <c r="CE144" s="485">
        <f t="shared" si="31"/>
        <v>0</v>
      </c>
      <c r="CF144" s="485">
        <f t="shared" si="31"/>
        <v>0</v>
      </c>
      <c r="CG144" s="485">
        <f t="shared" si="31"/>
        <v>0</v>
      </c>
      <c r="CH144" s="485">
        <f t="shared" si="31"/>
        <v>0</v>
      </c>
      <c r="CI144" s="485">
        <f t="shared" si="31"/>
        <v>0</v>
      </c>
      <c r="CJ144" s="485">
        <f t="shared" si="31"/>
        <v>0</v>
      </c>
      <c r="CK144" s="485">
        <f t="shared" si="31"/>
        <v>0</v>
      </c>
      <c r="CL144" s="485">
        <f t="shared" si="31"/>
        <v>1</v>
      </c>
      <c r="CM144" s="486">
        <f t="shared" si="19"/>
        <v>1</v>
      </c>
    </row>
    <row r="145" spans="1:91" s="487" customFormat="1" ht="25.5" customHeight="1" x14ac:dyDescent="0.25">
      <c r="A145" s="497" t="s">
        <v>2555</v>
      </c>
      <c r="B145" s="498" t="e">
        <v>#N/A</v>
      </c>
      <c r="C145" s="497" t="s">
        <v>2556</v>
      </c>
      <c r="D145" s="498"/>
      <c r="E145" s="497" t="s">
        <v>700</v>
      </c>
      <c r="F145" s="498"/>
      <c r="G145" s="497" t="s">
        <v>648</v>
      </c>
      <c r="H145" s="497" t="s">
        <v>654</v>
      </c>
      <c r="I145" s="497" t="s">
        <v>647</v>
      </c>
      <c r="J145" s="497" t="s">
        <v>641</v>
      </c>
      <c r="K145" s="497" t="s">
        <v>649</v>
      </c>
      <c r="L145" s="497" t="s">
        <v>41</v>
      </c>
      <c r="M145" s="497" t="s">
        <v>653</v>
      </c>
      <c r="N145" s="497" t="s">
        <v>699</v>
      </c>
      <c r="O145" s="497"/>
      <c r="P145" s="497"/>
      <c r="Q145" s="497" t="s">
        <v>650</v>
      </c>
      <c r="R145" s="497" t="s">
        <v>652</v>
      </c>
      <c r="S145" s="497" t="s">
        <v>649</v>
      </c>
      <c r="T145" s="497"/>
      <c r="U145" s="497"/>
      <c r="V145" s="497" t="s">
        <v>641</v>
      </c>
      <c r="W145" s="497" t="s">
        <v>2451</v>
      </c>
      <c r="X145" s="499">
        <v>42919</v>
      </c>
      <c r="Y145" s="499">
        <v>44113</v>
      </c>
      <c r="Z145" s="500">
        <v>2021</v>
      </c>
      <c r="AA145" s="497"/>
      <c r="AB145" s="497" t="s">
        <v>697</v>
      </c>
      <c r="AC145" s="497" t="s">
        <v>663</v>
      </c>
      <c r="AD145" s="501"/>
      <c r="AE145" s="501"/>
      <c r="AF145" s="501"/>
      <c r="AG145" s="501"/>
      <c r="AH145" s="501"/>
      <c r="AI145" s="501"/>
      <c r="AJ145" s="501"/>
      <c r="AK145" s="501"/>
      <c r="AL145" s="501"/>
      <c r="AM145" s="501"/>
      <c r="AN145" s="501"/>
      <c r="AO145" s="501"/>
      <c r="AP145" s="501">
        <v>397094.90000000014</v>
      </c>
      <c r="AQ145" s="501"/>
      <c r="AR145" s="501"/>
      <c r="AS145" s="501"/>
      <c r="AT145" s="501"/>
      <c r="AU145" s="501"/>
      <c r="AV145" s="501"/>
      <c r="AW145" s="501"/>
      <c r="AX145" s="501"/>
      <c r="AY145" s="501"/>
      <c r="AZ145" s="501"/>
      <c r="BA145" s="501"/>
      <c r="BB145" s="483">
        <v>36326.235000000022</v>
      </c>
      <c r="BC145" s="483">
        <v>24217.49000000002</v>
      </c>
      <c r="BD145" s="483">
        <v>40867.014375000028</v>
      </c>
      <c r="BE145" s="483">
        <v>944.86050828125076</v>
      </c>
      <c r="BF145" s="483">
        <v>0</v>
      </c>
      <c r="BG145" s="483">
        <v>89170.296995804005</v>
      </c>
      <c r="BH145" s="483"/>
      <c r="BI145" s="483"/>
      <c r="BJ145" s="483"/>
      <c r="BK145" s="483"/>
      <c r="BL145" s="483"/>
      <c r="BM145" s="483"/>
      <c r="BN145" s="483"/>
      <c r="BO145" s="483"/>
      <c r="BP145" s="483"/>
      <c r="BQ145" s="483"/>
      <c r="BR145" s="483">
        <v>588620.79687908548</v>
      </c>
      <c r="BS145" s="484">
        <f t="shared" si="18"/>
        <v>397094.90000000014</v>
      </c>
      <c r="BT145" s="485">
        <f t="shared" si="30"/>
        <v>0</v>
      </c>
      <c r="BU145" s="485">
        <f t="shared" si="30"/>
        <v>0</v>
      </c>
      <c r="BV145" s="485">
        <f t="shared" si="30"/>
        <v>0</v>
      </c>
      <c r="BW145" s="485">
        <f t="shared" si="30"/>
        <v>0</v>
      </c>
      <c r="BX145" s="485">
        <f t="shared" si="30"/>
        <v>0</v>
      </c>
      <c r="BY145" s="485">
        <f t="shared" si="30"/>
        <v>0</v>
      </c>
      <c r="BZ145" s="485">
        <f t="shared" si="30"/>
        <v>0</v>
      </c>
      <c r="CA145" s="485">
        <f t="shared" si="30"/>
        <v>0</v>
      </c>
      <c r="CB145" s="485">
        <f t="shared" si="30"/>
        <v>0</v>
      </c>
      <c r="CC145" s="485">
        <f t="shared" si="30"/>
        <v>0</v>
      </c>
      <c r="CD145" s="485">
        <f t="shared" si="31"/>
        <v>0</v>
      </c>
      <c r="CE145" s="485">
        <f t="shared" si="31"/>
        <v>0</v>
      </c>
      <c r="CF145" s="485">
        <f t="shared" si="31"/>
        <v>0</v>
      </c>
      <c r="CG145" s="485">
        <f t="shared" si="31"/>
        <v>0</v>
      </c>
      <c r="CH145" s="485">
        <f t="shared" si="31"/>
        <v>0</v>
      </c>
      <c r="CI145" s="485">
        <f t="shared" si="31"/>
        <v>0</v>
      </c>
      <c r="CJ145" s="485">
        <f t="shared" si="31"/>
        <v>0</v>
      </c>
      <c r="CK145" s="485">
        <f t="shared" si="31"/>
        <v>0</v>
      </c>
      <c r="CL145" s="485">
        <f t="shared" si="31"/>
        <v>1</v>
      </c>
      <c r="CM145" s="486">
        <f t="shared" si="19"/>
        <v>1</v>
      </c>
    </row>
    <row r="146" spans="1:91" s="487" customFormat="1" ht="25.5" x14ac:dyDescent="0.25">
      <c r="A146" s="497" t="s">
        <v>2413</v>
      </c>
      <c r="B146" s="498" t="s">
        <v>2581</v>
      </c>
      <c r="C146" s="497" t="s">
        <v>2557</v>
      </c>
      <c r="D146" s="498"/>
      <c r="E146" s="497" t="s">
        <v>655</v>
      </c>
      <c r="F146" s="498"/>
      <c r="G146" s="497" t="s">
        <v>722</v>
      </c>
      <c r="H146" s="497" t="s">
        <v>654</v>
      </c>
      <c r="I146" s="497" t="s">
        <v>647</v>
      </c>
      <c r="J146" s="497" t="s">
        <v>641</v>
      </c>
      <c r="K146" s="497" t="s">
        <v>649</v>
      </c>
      <c r="L146" s="497" t="s">
        <v>54</v>
      </c>
      <c r="M146" s="497" t="s">
        <v>653</v>
      </c>
      <c r="N146" s="497" t="s">
        <v>645</v>
      </c>
      <c r="O146" s="497"/>
      <c r="P146" s="497" t="s">
        <v>643</v>
      </c>
      <c r="Q146" s="497" t="s">
        <v>650</v>
      </c>
      <c r="R146" s="497" t="s">
        <v>652</v>
      </c>
      <c r="S146" s="497" t="s">
        <v>649</v>
      </c>
      <c r="T146" s="497"/>
      <c r="U146" s="497"/>
      <c r="V146" s="497" t="s">
        <v>641</v>
      </c>
      <c r="W146" s="497"/>
      <c r="X146" s="499">
        <v>43283</v>
      </c>
      <c r="Y146" s="499">
        <v>43644</v>
      </c>
      <c r="Z146" s="500">
        <v>2019</v>
      </c>
      <c r="AA146" s="497"/>
      <c r="AB146" s="497"/>
      <c r="AC146" s="497"/>
      <c r="AD146" s="501"/>
      <c r="AE146" s="501"/>
      <c r="AF146" s="501"/>
      <c r="AG146" s="501"/>
      <c r="AH146" s="501"/>
      <c r="AI146" s="501"/>
      <c r="AJ146" s="501"/>
      <c r="AK146" s="501"/>
      <c r="AL146" s="501"/>
      <c r="AM146" s="501"/>
      <c r="AN146" s="501"/>
      <c r="AO146" s="501">
        <v>24999.999999999996</v>
      </c>
      <c r="AP146" s="501"/>
      <c r="AQ146" s="501"/>
      <c r="AR146" s="501"/>
      <c r="AS146" s="501"/>
      <c r="AT146" s="501"/>
      <c r="AU146" s="501"/>
      <c r="AV146" s="501"/>
      <c r="AW146" s="501"/>
      <c r="AX146" s="501"/>
      <c r="AY146" s="501"/>
      <c r="AZ146" s="501"/>
      <c r="BA146" s="501"/>
      <c r="BB146" s="483"/>
      <c r="BC146" s="483"/>
      <c r="BD146" s="483"/>
      <c r="BE146" s="483"/>
      <c r="BF146" s="483"/>
      <c r="BG146" s="483">
        <v>101907.55214285718</v>
      </c>
      <c r="BH146" s="483"/>
      <c r="BI146" s="483"/>
      <c r="BJ146" s="483"/>
      <c r="BK146" s="483"/>
      <c r="BL146" s="483"/>
      <c r="BM146" s="483"/>
      <c r="BN146" s="483"/>
      <c r="BO146" s="483"/>
      <c r="BP146" s="483"/>
      <c r="BQ146" s="483"/>
      <c r="BR146" s="483">
        <v>126907.55214285718</v>
      </c>
      <c r="BS146" s="484">
        <f t="shared" si="18"/>
        <v>24999.999999999996</v>
      </c>
      <c r="BT146" s="485">
        <f t="shared" si="30"/>
        <v>0</v>
      </c>
      <c r="BU146" s="485">
        <f t="shared" si="30"/>
        <v>0</v>
      </c>
      <c r="BV146" s="485">
        <f t="shared" si="30"/>
        <v>0</v>
      </c>
      <c r="BW146" s="485">
        <f t="shared" si="30"/>
        <v>0</v>
      </c>
      <c r="BX146" s="485">
        <f t="shared" si="30"/>
        <v>0</v>
      </c>
      <c r="BY146" s="485">
        <f t="shared" si="30"/>
        <v>0</v>
      </c>
      <c r="BZ146" s="485">
        <f t="shared" si="30"/>
        <v>0</v>
      </c>
      <c r="CA146" s="485">
        <f t="shared" si="30"/>
        <v>0</v>
      </c>
      <c r="CB146" s="485">
        <f t="shared" si="30"/>
        <v>0</v>
      </c>
      <c r="CC146" s="485">
        <f t="shared" si="30"/>
        <v>0</v>
      </c>
      <c r="CD146" s="485">
        <f t="shared" si="31"/>
        <v>0</v>
      </c>
      <c r="CE146" s="485">
        <f t="shared" si="31"/>
        <v>0</v>
      </c>
      <c r="CF146" s="485">
        <f t="shared" si="31"/>
        <v>0</v>
      </c>
      <c r="CG146" s="485">
        <f t="shared" si="31"/>
        <v>0</v>
      </c>
      <c r="CH146" s="485">
        <f t="shared" si="31"/>
        <v>0</v>
      </c>
      <c r="CI146" s="485">
        <f t="shared" si="31"/>
        <v>1</v>
      </c>
      <c r="CJ146" s="485">
        <f t="shared" si="31"/>
        <v>0</v>
      </c>
      <c r="CK146" s="485">
        <f t="shared" si="31"/>
        <v>0</v>
      </c>
      <c r="CL146" s="485">
        <f t="shared" si="31"/>
        <v>0</v>
      </c>
      <c r="CM146" s="486">
        <f t="shared" si="19"/>
        <v>1</v>
      </c>
    </row>
    <row r="147" spans="1:91" s="487" customFormat="1" ht="25.5" x14ac:dyDescent="0.25">
      <c r="A147" s="497" t="s">
        <v>2421</v>
      </c>
      <c r="B147" s="498" t="s">
        <v>2930</v>
      </c>
      <c r="C147" s="497" t="s">
        <v>2558</v>
      </c>
      <c r="D147" s="498"/>
      <c r="E147" s="497" t="s">
        <v>655</v>
      </c>
      <c r="F147" s="498"/>
      <c r="G147" s="497"/>
      <c r="H147" s="497" t="s">
        <v>654</v>
      </c>
      <c r="I147" s="497" t="s">
        <v>647</v>
      </c>
      <c r="J147" s="497" t="s">
        <v>641</v>
      </c>
      <c r="K147" s="497" t="s">
        <v>649</v>
      </c>
      <c r="L147" s="497" t="s">
        <v>40</v>
      </c>
      <c r="M147" s="497" t="s">
        <v>653</v>
      </c>
      <c r="N147" s="497" t="s">
        <v>668</v>
      </c>
      <c r="O147" s="497"/>
      <c r="P147" s="497" t="s">
        <v>643</v>
      </c>
      <c r="Q147" s="497" t="s">
        <v>656</v>
      </c>
      <c r="R147" s="497" t="s">
        <v>652</v>
      </c>
      <c r="S147" s="497"/>
      <c r="T147" s="497"/>
      <c r="U147" s="497"/>
      <c r="V147" s="497" t="s">
        <v>641</v>
      </c>
      <c r="W147" s="497" t="s">
        <v>640</v>
      </c>
      <c r="X147" s="499">
        <v>43286</v>
      </c>
      <c r="Y147" s="499">
        <v>45104</v>
      </c>
      <c r="Z147" s="500">
        <v>2023</v>
      </c>
      <c r="AA147" s="497"/>
      <c r="AB147" s="497"/>
      <c r="AC147" s="497"/>
      <c r="AD147" s="501"/>
      <c r="AE147" s="501"/>
      <c r="AF147" s="501"/>
      <c r="AG147" s="501">
        <v>1459312.3068159986</v>
      </c>
      <c r="AH147" s="501"/>
      <c r="AI147" s="501"/>
      <c r="AJ147" s="501"/>
      <c r="AK147" s="501"/>
      <c r="AL147" s="501"/>
      <c r="AM147" s="501"/>
      <c r="AN147" s="501"/>
      <c r="AO147" s="501"/>
      <c r="AP147" s="501"/>
      <c r="AQ147" s="501"/>
      <c r="AR147" s="501"/>
      <c r="AS147" s="501"/>
      <c r="AT147" s="501"/>
      <c r="AU147" s="501"/>
      <c r="AV147" s="501"/>
      <c r="AW147" s="501"/>
      <c r="AX147" s="501"/>
      <c r="AY147" s="501"/>
      <c r="AZ147" s="501"/>
      <c r="BA147" s="501"/>
      <c r="BB147" s="483">
        <v>129194.63797739999</v>
      </c>
      <c r="BC147" s="483">
        <v>86129.758651600001</v>
      </c>
      <c r="BD147" s="483">
        <v>145343.96772457499</v>
      </c>
      <c r="BE147" s="483">
        <v>5004.9468457163312</v>
      </c>
      <c r="BF147" s="483">
        <v>82112.199584999995</v>
      </c>
      <c r="BG147" s="483">
        <v>475672.37946597242</v>
      </c>
      <c r="BH147" s="483"/>
      <c r="BI147" s="483"/>
      <c r="BJ147" s="483"/>
      <c r="BK147" s="483"/>
      <c r="BL147" s="483"/>
      <c r="BM147" s="483"/>
      <c r="BN147" s="483"/>
      <c r="BO147" s="483"/>
      <c r="BP147" s="483"/>
      <c r="BQ147" s="483"/>
      <c r="BR147" s="483">
        <v>2382770.1970662628</v>
      </c>
      <c r="BS147" s="484">
        <f t="shared" si="18"/>
        <v>1459312.3068159986</v>
      </c>
      <c r="BT147" s="485">
        <f t="shared" si="30"/>
        <v>0</v>
      </c>
      <c r="BU147" s="485">
        <f t="shared" si="30"/>
        <v>0</v>
      </c>
      <c r="BV147" s="485">
        <f t="shared" si="30"/>
        <v>0</v>
      </c>
      <c r="BW147" s="485">
        <f t="shared" si="30"/>
        <v>0</v>
      </c>
      <c r="BX147" s="485">
        <f t="shared" si="30"/>
        <v>0</v>
      </c>
      <c r="BY147" s="485">
        <f t="shared" si="30"/>
        <v>0</v>
      </c>
      <c r="BZ147" s="485">
        <f t="shared" si="30"/>
        <v>0</v>
      </c>
      <c r="CA147" s="485">
        <f t="shared" si="30"/>
        <v>0</v>
      </c>
      <c r="CB147" s="485">
        <f t="shared" si="30"/>
        <v>0</v>
      </c>
      <c r="CC147" s="485">
        <f t="shared" si="30"/>
        <v>1</v>
      </c>
      <c r="CD147" s="485">
        <f t="shared" si="31"/>
        <v>0</v>
      </c>
      <c r="CE147" s="485">
        <f t="shared" si="31"/>
        <v>0</v>
      </c>
      <c r="CF147" s="485">
        <f t="shared" si="31"/>
        <v>0</v>
      </c>
      <c r="CG147" s="485">
        <f t="shared" si="31"/>
        <v>0</v>
      </c>
      <c r="CH147" s="485">
        <f t="shared" si="31"/>
        <v>0</v>
      </c>
      <c r="CI147" s="485">
        <f t="shared" si="31"/>
        <v>0</v>
      </c>
      <c r="CJ147" s="485">
        <f t="shared" si="31"/>
        <v>0</v>
      </c>
      <c r="CK147" s="485">
        <f t="shared" si="31"/>
        <v>0</v>
      </c>
      <c r="CL147" s="485">
        <f t="shared" si="31"/>
        <v>0</v>
      </c>
      <c r="CM147" s="486">
        <f t="shared" si="19"/>
        <v>1</v>
      </c>
    </row>
    <row r="148" spans="1:91" s="487" customFormat="1" ht="25.5" x14ac:dyDescent="0.25">
      <c r="A148" s="497" t="s">
        <v>2427</v>
      </c>
      <c r="B148" s="498" t="s">
        <v>2931</v>
      </c>
      <c r="C148" s="497" t="s">
        <v>2702</v>
      </c>
      <c r="D148" s="498"/>
      <c r="E148" s="497"/>
      <c r="F148" s="498"/>
      <c r="G148" s="497"/>
      <c r="H148" s="497" t="s">
        <v>654</v>
      </c>
      <c r="I148" s="497" t="s">
        <v>647</v>
      </c>
      <c r="J148" s="497" t="s">
        <v>641</v>
      </c>
      <c r="K148" s="497"/>
      <c r="L148" s="497" t="s">
        <v>28</v>
      </c>
      <c r="M148" s="497" t="s">
        <v>653</v>
      </c>
      <c r="N148" s="497" t="s">
        <v>645</v>
      </c>
      <c r="O148" s="497"/>
      <c r="P148" s="497"/>
      <c r="Q148" s="497" t="s">
        <v>656</v>
      </c>
      <c r="R148" s="497" t="s">
        <v>652</v>
      </c>
      <c r="S148" s="497"/>
      <c r="T148" s="497"/>
      <c r="U148" s="497"/>
      <c r="V148" s="497" t="s">
        <v>685</v>
      </c>
      <c r="W148" s="497" t="s">
        <v>677</v>
      </c>
      <c r="X148" s="499">
        <v>43801</v>
      </c>
      <c r="Y148" s="499">
        <v>44812</v>
      </c>
      <c r="Z148" s="500">
        <v>2020</v>
      </c>
      <c r="AA148" s="497"/>
      <c r="AB148" s="497"/>
      <c r="AC148" s="497"/>
      <c r="AD148" s="501"/>
      <c r="AE148" s="501"/>
      <c r="AF148" s="501"/>
      <c r="AG148" s="501"/>
      <c r="AH148" s="501"/>
      <c r="AI148" s="501"/>
      <c r="AJ148" s="501"/>
      <c r="AK148" s="501">
        <v>57749.999992500008</v>
      </c>
      <c r="AL148" s="501"/>
      <c r="AM148" s="501"/>
      <c r="AN148" s="501"/>
      <c r="AO148" s="501"/>
      <c r="AP148" s="501"/>
      <c r="AQ148" s="501">
        <v>813417.13170000026</v>
      </c>
      <c r="AR148" s="501">
        <v>1127857.0494199998</v>
      </c>
      <c r="AS148" s="501"/>
      <c r="AT148" s="501"/>
      <c r="AU148" s="501"/>
      <c r="AV148" s="501"/>
      <c r="AW148" s="501"/>
      <c r="AX148" s="501"/>
      <c r="AY148" s="501"/>
      <c r="AZ148" s="501"/>
      <c r="BA148" s="501"/>
      <c r="BB148" s="483">
        <v>299853.62716687482</v>
      </c>
      <c r="BC148" s="483">
        <v>199902.41811124992</v>
      </c>
      <c r="BD148" s="483">
        <v>337335.33056273428</v>
      </c>
      <c r="BE148" s="483">
        <v>7799.3177816217376</v>
      </c>
      <c r="BF148" s="483">
        <v>0</v>
      </c>
      <c r="BG148" s="483">
        <v>726812.12063684769</v>
      </c>
      <c r="BH148" s="483"/>
      <c r="BI148" s="483"/>
      <c r="BJ148" s="483"/>
      <c r="BK148" s="483"/>
      <c r="BL148" s="483"/>
      <c r="BM148" s="483"/>
      <c r="BN148" s="483"/>
      <c r="BO148" s="483"/>
      <c r="BP148" s="483"/>
      <c r="BQ148" s="483"/>
      <c r="BR148" s="483">
        <v>3570726.9953718279</v>
      </c>
      <c r="BS148" s="484">
        <f t="shared" si="18"/>
        <v>1999024.1811125001</v>
      </c>
      <c r="BT148" s="485">
        <f t="shared" si="30"/>
        <v>0</v>
      </c>
      <c r="BU148" s="485">
        <f t="shared" si="30"/>
        <v>0.56420380507469547</v>
      </c>
      <c r="BV148" s="485">
        <f t="shared" si="30"/>
        <v>0.40690709966665639</v>
      </c>
      <c r="BW148" s="485">
        <f t="shared" si="30"/>
        <v>0</v>
      </c>
      <c r="BX148" s="485">
        <f t="shared" si="30"/>
        <v>0</v>
      </c>
      <c r="BY148" s="485">
        <f t="shared" si="30"/>
        <v>0</v>
      </c>
      <c r="BZ148" s="485">
        <f t="shared" si="30"/>
        <v>0</v>
      </c>
      <c r="CA148" s="485">
        <f t="shared" si="30"/>
        <v>0</v>
      </c>
      <c r="CB148" s="485">
        <f t="shared" si="30"/>
        <v>0</v>
      </c>
      <c r="CC148" s="485">
        <f t="shared" si="30"/>
        <v>0</v>
      </c>
      <c r="CD148" s="485">
        <f t="shared" si="31"/>
        <v>0</v>
      </c>
      <c r="CE148" s="485">
        <f t="shared" si="31"/>
        <v>0</v>
      </c>
      <c r="CF148" s="485">
        <f t="shared" si="31"/>
        <v>2.8889095258648089E-2</v>
      </c>
      <c r="CG148" s="485">
        <f t="shared" si="31"/>
        <v>0</v>
      </c>
      <c r="CH148" s="485">
        <f t="shared" si="31"/>
        <v>0</v>
      </c>
      <c r="CI148" s="485">
        <f t="shared" si="31"/>
        <v>0</v>
      </c>
      <c r="CJ148" s="485">
        <f t="shared" si="31"/>
        <v>0</v>
      </c>
      <c r="CK148" s="485">
        <f t="shared" si="31"/>
        <v>0</v>
      </c>
      <c r="CL148" s="485">
        <f t="shared" si="31"/>
        <v>0</v>
      </c>
      <c r="CM148" s="486">
        <f t="shared" si="19"/>
        <v>1</v>
      </c>
    </row>
    <row r="149" spans="1:91" s="487" customFormat="1" ht="25.5" x14ac:dyDescent="0.25">
      <c r="A149" s="497" t="s">
        <v>2431</v>
      </c>
      <c r="B149" s="498" t="s">
        <v>2932</v>
      </c>
      <c r="C149" s="497" t="s">
        <v>2559</v>
      </c>
      <c r="D149" s="498"/>
      <c r="E149" s="497"/>
      <c r="F149" s="498"/>
      <c r="G149" s="497"/>
      <c r="H149" s="497" t="s">
        <v>654</v>
      </c>
      <c r="I149" s="497" t="s">
        <v>647</v>
      </c>
      <c r="J149" s="497" t="s">
        <v>641</v>
      </c>
      <c r="K149" s="497" t="s">
        <v>649</v>
      </c>
      <c r="L149" s="497" t="s">
        <v>41</v>
      </c>
      <c r="M149" s="497" t="s">
        <v>653</v>
      </c>
      <c r="N149" s="497" t="s">
        <v>668</v>
      </c>
      <c r="O149" s="497"/>
      <c r="P149" s="497"/>
      <c r="Q149" s="497" t="s">
        <v>656</v>
      </c>
      <c r="R149" s="497" t="s">
        <v>652</v>
      </c>
      <c r="S149" s="497"/>
      <c r="T149" s="497"/>
      <c r="U149" s="497"/>
      <c r="V149" s="497" t="s">
        <v>641</v>
      </c>
      <c r="W149" s="497" t="s">
        <v>640</v>
      </c>
      <c r="X149" s="499">
        <v>44013</v>
      </c>
      <c r="Y149" s="499">
        <v>44742</v>
      </c>
      <c r="Z149" s="500">
        <v>2022</v>
      </c>
      <c r="AA149" s="497" t="s">
        <v>663</v>
      </c>
      <c r="AB149" s="497"/>
      <c r="AC149" s="497"/>
      <c r="AD149" s="501"/>
      <c r="AE149" s="501"/>
      <c r="AF149" s="501"/>
      <c r="AG149" s="501">
        <v>14160</v>
      </c>
      <c r="AH149" s="501"/>
      <c r="AI149" s="501">
        <v>60000</v>
      </c>
      <c r="AJ149" s="501"/>
      <c r="AK149" s="501"/>
      <c r="AL149" s="501">
        <v>3131051.0000000005</v>
      </c>
      <c r="AM149" s="501"/>
      <c r="AN149" s="501"/>
      <c r="AO149" s="501"/>
      <c r="AP149" s="501"/>
      <c r="AQ149" s="501"/>
      <c r="AR149" s="501"/>
      <c r="AS149" s="501"/>
      <c r="AT149" s="501"/>
      <c r="AU149" s="501"/>
      <c r="AV149" s="501"/>
      <c r="AW149" s="501"/>
      <c r="AX149" s="501"/>
      <c r="AY149" s="501"/>
      <c r="AZ149" s="501"/>
      <c r="BA149" s="501"/>
      <c r="BB149" s="483">
        <v>37181.649999999994</v>
      </c>
      <c r="BC149" s="483"/>
      <c r="BD149" s="483">
        <v>21923.00774999999</v>
      </c>
      <c r="BE149" s="483">
        <v>8976.8680588124989</v>
      </c>
      <c r="BF149" s="483">
        <v>0</v>
      </c>
      <c r="BG149" s="483">
        <v>991292.30005938467</v>
      </c>
      <c r="BH149" s="483"/>
      <c r="BI149" s="483"/>
      <c r="BJ149" s="483"/>
      <c r="BK149" s="483"/>
      <c r="BL149" s="483"/>
      <c r="BM149" s="483"/>
      <c r="BN149" s="483"/>
      <c r="BO149" s="483"/>
      <c r="BP149" s="483"/>
      <c r="BQ149" s="483"/>
      <c r="BR149" s="483">
        <v>4264584.8258681977</v>
      </c>
      <c r="BS149" s="484">
        <f t="shared" si="18"/>
        <v>3205211.0000000005</v>
      </c>
      <c r="BT149" s="485">
        <f t="shared" ref="BT149:CC154" si="32">SUMIFS($AD149:$BA149,$AD$11:$BA$11,BT$21)/$BS149</f>
        <v>0</v>
      </c>
      <c r="BU149" s="485">
        <f t="shared" si="32"/>
        <v>0</v>
      </c>
      <c r="BV149" s="485">
        <f t="shared" si="32"/>
        <v>0</v>
      </c>
      <c r="BW149" s="485">
        <f t="shared" si="32"/>
        <v>0</v>
      </c>
      <c r="BX149" s="485">
        <f t="shared" si="32"/>
        <v>0</v>
      </c>
      <c r="BY149" s="485">
        <f t="shared" si="32"/>
        <v>0</v>
      </c>
      <c r="BZ149" s="485">
        <f t="shared" si="32"/>
        <v>0</v>
      </c>
      <c r="CA149" s="485">
        <f t="shared" si="32"/>
        <v>0</v>
      </c>
      <c r="CB149" s="485">
        <f t="shared" si="32"/>
        <v>0</v>
      </c>
      <c r="CC149" s="485">
        <f t="shared" si="32"/>
        <v>4.4178058792385269E-3</v>
      </c>
      <c r="CD149" s="485">
        <f t="shared" ref="CD149:CL154" si="33">SUMIFS($AD149:$BA149,$AD$11:$BA$11,CD$21)/$BS149</f>
        <v>0</v>
      </c>
      <c r="CE149" s="485">
        <f t="shared" si="33"/>
        <v>1.8719516437451386E-2</v>
      </c>
      <c r="CF149" s="485">
        <f t="shared" si="33"/>
        <v>0</v>
      </c>
      <c r="CG149" s="485">
        <f t="shared" si="33"/>
        <v>0</v>
      </c>
      <c r="CH149" s="485">
        <f t="shared" si="33"/>
        <v>0.97686267768331014</v>
      </c>
      <c r="CI149" s="485">
        <f t="shared" si="33"/>
        <v>0</v>
      </c>
      <c r="CJ149" s="485">
        <f t="shared" si="33"/>
        <v>0</v>
      </c>
      <c r="CK149" s="485">
        <f t="shared" si="33"/>
        <v>0</v>
      </c>
      <c r="CL149" s="485">
        <f t="shared" si="33"/>
        <v>0</v>
      </c>
      <c r="CM149" s="486">
        <f t="shared" si="19"/>
        <v>1</v>
      </c>
    </row>
    <row r="150" spans="1:91" s="487" customFormat="1" ht="25.5" x14ac:dyDescent="0.25">
      <c r="A150" s="497" t="s">
        <v>2611</v>
      </c>
      <c r="B150" s="498" t="e">
        <v>#N/A</v>
      </c>
      <c r="C150" s="497" t="s">
        <v>2661</v>
      </c>
      <c r="D150" s="498"/>
      <c r="E150" s="497" t="s">
        <v>655</v>
      </c>
      <c r="F150" s="498"/>
      <c r="G150" s="497"/>
      <c r="H150" s="497" t="s">
        <v>654</v>
      </c>
      <c r="I150" s="497" t="s">
        <v>647</v>
      </c>
      <c r="J150" s="497" t="s">
        <v>641</v>
      </c>
      <c r="K150" s="497" t="s">
        <v>649</v>
      </c>
      <c r="L150" s="497" t="s">
        <v>54</v>
      </c>
      <c r="M150" s="497" t="s">
        <v>653</v>
      </c>
      <c r="N150" s="497" t="s">
        <v>645</v>
      </c>
      <c r="O150" s="497"/>
      <c r="P150" s="497"/>
      <c r="Q150" s="497" t="s">
        <v>650</v>
      </c>
      <c r="R150" s="497" t="s">
        <v>652</v>
      </c>
      <c r="S150" s="497" t="s">
        <v>649</v>
      </c>
      <c r="T150" s="497"/>
      <c r="U150" s="497"/>
      <c r="V150" s="497" t="s">
        <v>641</v>
      </c>
      <c r="W150" s="497"/>
      <c r="X150" s="499">
        <v>43132</v>
      </c>
      <c r="Y150" s="499">
        <v>43641</v>
      </c>
      <c r="Z150" s="500">
        <v>2019</v>
      </c>
      <c r="AA150" s="497"/>
      <c r="AB150" s="497"/>
      <c r="AC150" s="497"/>
      <c r="AD150" s="501"/>
      <c r="AE150" s="501"/>
      <c r="AF150" s="501"/>
      <c r="AG150" s="501">
        <v>14159.999999999989</v>
      </c>
      <c r="AH150" s="501"/>
      <c r="AI150" s="501"/>
      <c r="AJ150" s="501"/>
      <c r="AK150" s="501"/>
      <c r="AL150" s="501">
        <v>185999.99999999988</v>
      </c>
      <c r="AM150" s="501"/>
      <c r="AN150" s="501">
        <v>14999.999999999989</v>
      </c>
      <c r="AO150" s="501"/>
      <c r="AP150" s="501"/>
      <c r="AQ150" s="501"/>
      <c r="AR150" s="501"/>
      <c r="AS150" s="501"/>
      <c r="AT150" s="501"/>
      <c r="AU150" s="501"/>
      <c r="AV150" s="501"/>
      <c r="AW150" s="501"/>
      <c r="AX150" s="501"/>
      <c r="AY150" s="501"/>
      <c r="AZ150" s="501"/>
      <c r="BA150" s="501"/>
      <c r="BB150" s="483">
        <v>32273.999999999975</v>
      </c>
      <c r="BC150" s="483">
        <v>21515.999999999985</v>
      </c>
      <c r="BD150" s="483">
        <v>36308.249999999978</v>
      </c>
      <c r="BE150" s="483">
        <v>839.46018749999939</v>
      </c>
      <c r="BF150" s="483">
        <v>0</v>
      </c>
      <c r="BG150" s="483">
        <v>92699.415277496839</v>
      </c>
      <c r="BH150" s="483"/>
      <c r="BI150" s="483"/>
      <c r="BJ150" s="483"/>
      <c r="BK150" s="483"/>
      <c r="BL150" s="483"/>
      <c r="BM150" s="483"/>
      <c r="BN150" s="483"/>
      <c r="BO150" s="483"/>
      <c r="BP150" s="483"/>
      <c r="BQ150" s="483"/>
      <c r="BR150" s="483">
        <v>398797.12546499661</v>
      </c>
      <c r="BS150" s="484">
        <f t="shared" si="18"/>
        <v>215159.99999999988</v>
      </c>
      <c r="BT150" s="485">
        <f t="shared" si="32"/>
        <v>0</v>
      </c>
      <c r="BU150" s="485">
        <f t="shared" si="32"/>
        <v>0</v>
      </c>
      <c r="BV150" s="485">
        <f t="shared" si="32"/>
        <v>0</v>
      </c>
      <c r="BW150" s="485">
        <f t="shared" si="32"/>
        <v>0</v>
      </c>
      <c r="BX150" s="485">
        <f t="shared" si="32"/>
        <v>0</v>
      </c>
      <c r="BY150" s="485">
        <f t="shared" si="32"/>
        <v>0</v>
      </c>
      <c r="BZ150" s="485">
        <f t="shared" si="32"/>
        <v>0</v>
      </c>
      <c r="CA150" s="485">
        <f t="shared" si="32"/>
        <v>0</v>
      </c>
      <c r="CB150" s="485">
        <f t="shared" si="32"/>
        <v>0</v>
      </c>
      <c r="CC150" s="485">
        <f t="shared" si="32"/>
        <v>6.5811489124372541E-2</v>
      </c>
      <c r="CD150" s="485">
        <f t="shared" si="33"/>
        <v>0</v>
      </c>
      <c r="CE150" s="485">
        <f t="shared" si="33"/>
        <v>0</v>
      </c>
      <c r="CF150" s="485">
        <f t="shared" si="33"/>
        <v>0</v>
      </c>
      <c r="CG150" s="485">
        <f t="shared" si="33"/>
        <v>0</v>
      </c>
      <c r="CH150" s="485">
        <f t="shared" si="33"/>
        <v>0.86447295036252081</v>
      </c>
      <c r="CI150" s="485">
        <f t="shared" si="33"/>
        <v>0</v>
      </c>
      <c r="CJ150" s="485">
        <f t="shared" si="33"/>
        <v>6.9715560513106511E-2</v>
      </c>
      <c r="CK150" s="485">
        <f t="shared" si="33"/>
        <v>0</v>
      </c>
      <c r="CL150" s="485">
        <f t="shared" si="33"/>
        <v>0</v>
      </c>
      <c r="CM150" s="486">
        <f t="shared" si="19"/>
        <v>0.99999999999999978</v>
      </c>
    </row>
    <row r="151" spans="1:91" s="487" customFormat="1" ht="25.5" x14ac:dyDescent="0.25">
      <c r="A151" s="497" t="s">
        <v>2638</v>
      </c>
      <c r="B151" s="498" t="e">
        <v>#N/A</v>
      </c>
      <c r="C151" s="497" t="s">
        <v>2663</v>
      </c>
      <c r="D151" s="498"/>
      <c r="E151" s="497" t="s">
        <v>655</v>
      </c>
      <c r="F151" s="498"/>
      <c r="G151" s="497"/>
      <c r="H151" s="497" t="s">
        <v>654</v>
      </c>
      <c r="I151" s="497" t="s">
        <v>647</v>
      </c>
      <c r="J151" s="497" t="s">
        <v>641</v>
      </c>
      <c r="K151" s="497" t="s">
        <v>649</v>
      </c>
      <c r="L151" s="497" t="s">
        <v>41</v>
      </c>
      <c r="M151" s="497" t="s">
        <v>653</v>
      </c>
      <c r="N151" s="497" t="s">
        <v>668</v>
      </c>
      <c r="O151" s="497"/>
      <c r="P151" s="497" t="s">
        <v>643</v>
      </c>
      <c r="Q151" s="497" t="s">
        <v>656</v>
      </c>
      <c r="R151" s="497" t="s">
        <v>652</v>
      </c>
      <c r="S151" s="497"/>
      <c r="T151" s="497"/>
      <c r="U151" s="497"/>
      <c r="V151" s="497" t="s">
        <v>641</v>
      </c>
      <c r="W151" s="497"/>
      <c r="X151" s="499">
        <v>44013</v>
      </c>
      <c r="Y151" s="499">
        <v>44964</v>
      </c>
      <c r="Z151" s="500">
        <v>2023</v>
      </c>
      <c r="AA151" s="497" t="s">
        <v>663</v>
      </c>
      <c r="AB151" s="497"/>
      <c r="AC151" s="497"/>
      <c r="AD151" s="501"/>
      <c r="AE151" s="501"/>
      <c r="AF151" s="501"/>
      <c r="AG151" s="501"/>
      <c r="AH151" s="501"/>
      <c r="AI151" s="501"/>
      <c r="AJ151" s="501"/>
      <c r="AK151" s="501"/>
      <c r="AL151" s="501">
        <v>443549.63996349915</v>
      </c>
      <c r="AM151" s="501"/>
      <c r="AN151" s="501"/>
      <c r="AO151" s="501"/>
      <c r="AP151" s="501"/>
      <c r="AQ151" s="501">
        <v>143999.99927999976</v>
      </c>
      <c r="AR151" s="501"/>
      <c r="AS151" s="501"/>
      <c r="AT151" s="501"/>
      <c r="AU151" s="501"/>
      <c r="AV151" s="501"/>
      <c r="AW151" s="501"/>
      <c r="AX151" s="501"/>
      <c r="AY151" s="501"/>
      <c r="AZ151" s="501"/>
      <c r="BA151" s="501"/>
      <c r="BB151" s="483">
        <v>88132.44588652486</v>
      </c>
      <c r="BC151" s="483">
        <v>58754.963924349919</v>
      </c>
      <c r="BD151" s="483">
        <v>99149.001622340467</v>
      </c>
      <c r="BE151" s="483">
        <v>2292.3616393609645</v>
      </c>
      <c r="BF151" s="483">
        <v>60965.009922149904</v>
      </c>
      <c r="BG151" s="483">
        <v>271602.36117423815</v>
      </c>
      <c r="BH151" s="483"/>
      <c r="BI151" s="483"/>
      <c r="BJ151" s="483"/>
      <c r="BK151" s="483"/>
      <c r="BL151" s="483"/>
      <c r="BM151" s="483"/>
      <c r="BN151" s="483"/>
      <c r="BO151" s="483"/>
      <c r="BP151" s="483"/>
      <c r="BQ151" s="483"/>
      <c r="BR151" s="483">
        <v>1168445.7834124633</v>
      </c>
      <c r="BS151" s="484">
        <f t="shared" si="18"/>
        <v>587549.63924349891</v>
      </c>
      <c r="BT151" s="485">
        <f t="shared" si="32"/>
        <v>0</v>
      </c>
      <c r="BU151" s="485">
        <f t="shared" si="32"/>
        <v>0</v>
      </c>
      <c r="BV151" s="485">
        <f t="shared" si="32"/>
        <v>0.24508567389371105</v>
      </c>
      <c r="BW151" s="485">
        <f t="shared" si="32"/>
        <v>0</v>
      </c>
      <c r="BX151" s="485">
        <f t="shared" si="32"/>
        <v>0</v>
      </c>
      <c r="BY151" s="485">
        <f t="shared" si="32"/>
        <v>0</v>
      </c>
      <c r="BZ151" s="485">
        <f t="shared" si="32"/>
        <v>0</v>
      </c>
      <c r="CA151" s="485">
        <f t="shared" si="32"/>
        <v>0</v>
      </c>
      <c r="CB151" s="485">
        <f t="shared" si="32"/>
        <v>0</v>
      </c>
      <c r="CC151" s="485">
        <f t="shared" si="32"/>
        <v>0</v>
      </c>
      <c r="CD151" s="485">
        <f t="shared" si="33"/>
        <v>0</v>
      </c>
      <c r="CE151" s="485">
        <f t="shared" si="33"/>
        <v>0</v>
      </c>
      <c r="CF151" s="485">
        <f t="shared" si="33"/>
        <v>0</v>
      </c>
      <c r="CG151" s="485">
        <f t="shared" si="33"/>
        <v>0</v>
      </c>
      <c r="CH151" s="485">
        <f t="shared" si="33"/>
        <v>0.75491432610628895</v>
      </c>
      <c r="CI151" s="485">
        <f t="shared" si="33"/>
        <v>0</v>
      </c>
      <c r="CJ151" s="485">
        <f t="shared" si="33"/>
        <v>0</v>
      </c>
      <c r="CK151" s="485">
        <f t="shared" si="33"/>
        <v>0</v>
      </c>
      <c r="CL151" s="485">
        <f t="shared" si="33"/>
        <v>0</v>
      </c>
      <c r="CM151" s="486">
        <f t="shared" si="19"/>
        <v>1</v>
      </c>
    </row>
    <row r="152" spans="1:91" s="487" customFormat="1" ht="25.5" x14ac:dyDescent="0.25">
      <c r="A152" s="497" t="s">
        <v>2642</v>
      </c>
      <c r="B152" s="498" t="e">
        <v>#N/A</v>
      </c>
      <c r="C152" s="497" t="s">
        <v>2665</v>
      </c>
      <c r="D152" s="498"/>
      <c r="E152" s="497" t="s">
        <v>655</v>
      </c>
      <c r="F152" s="498"/>
      <c r="G152" s="497"/>
      <c r="H152" s="497" t="s">
        <v>654</v>
      </c>
      <c r="I152" s="497" t="s">
        <v>647</v>
      </c>
      <c r="J152" s="497" t="s">
        <v>671</v>
      </c>
      <c r="K152" s="497" t="s">
        <v>649</v>
      </c>
      <c r="L152" s="497" t="s">
        <v>40</v>
      </c>
      <c r="M152" s="497" t="s">
        <v>653</v>
      </c>
      <c r="N152" s="497" t="s">
        <v>645</v>
      </c>
      <c r="O152" s="497"/>
      <c r="P152" s="497" t="s">
        <v>643</v>
      </c>
      <c r="Q152" s="497" t="s">
        <v>656</v>
      </c>
      <c r="R152" s="497" t="s">
        <v>652</v>
      </c>
      <c r="S152" s="497" t="s">
        <v>649</v>
      </c>
      <c r="T152" s="497"/>
      <c r="U152" s="497"/>
      <c r="V152" s="497" t="s">
        <v>641</v>
      </c>
      <c r="W152" s="497"/>
      <c r="X152" s="499">
        <v>43283</v>
      </c>
      <c r="Y152" s="499">
        <v>45085</v>
      </c>
      <c r="Z152" s="500">
        <v>2023</v>
      </c>
      <c r="AA152" s="497" t="s">
        <v>663</v>
      </c>
      <c r="AB152" s="497"/>
      <c r="AC152" s="497"/>
      <c r="AD152" s="501"/>
      <c r="AE152" s="501"/>
      <c r="AF152" s="501"/>
      <c r="AG152" s="501"/>
      <c r="AH152" s="501"/>
      <c r="AI152" s="501"/>
      <c r="AJ152" s="501"/>
      <c r="AK152" s="501"/>
      <c r="AL152" s="501">
        <v>340000</v>
      </c>
      <c r="AM152" s="501"/>
      <c r="AN152" s="501"/>
      <c r="AO152" s="501"/>
      <c r="AP152" s="501"/>
      <c r="AQ152" s="501"/>
      <c r="AR152" s="501"/>
      <c r="AS152" s="501"/>
      <c r="AT152" s="501"/>
      <c r="AU152" s="501"/>
      <c r="AV152" s="501">
        <f>340000*0</f>
        <v>0</v>
      </c>
      <c r="AW152" s="501"/>
      <c r="AX152" s="501"/>
      <c r="AY152" s="501"/>
      <c r="AZ152" s="501"/>
      <c r="BA152" s="501"/>
      <c r="BB152" s="483"/>
      <c r="BC152" s="483"/>
      <c r="BD152" s="483"/>
      <c r="BE152" s="483"/>
      <c r="BF152" s="483"/>
      <c r="BG152" s="483">
        <v>1551163.0217142873</v>
      </c>
      <c r="BH152" s="483"/>
      <c r="BI152" s="483"/>
      <c r="BJ152" s="483"/>
      <c r="BK152" s="483"/>
      <c r="BL152" s="483"/>
      <c r="BM152" s="483"/>
      <c r="BN152" s="483"/>
      <c r="BO152" s="483"/>
      <c r="BP152" s="483"/>
      <c r="BQ152" s="483"/>
      <c r="BR152" s="483">
        <v>1891163.0217142873</v>
      </c>
      <c r="BS152" s="484">
        <f t="shared" ref="BS152:BS215" si="34">SUM(AD152:BA152)</f>
        <v>340000</v>
      </c>
      <c r="BT152" s="485">
        <f t="shared" si="32"/>
        <v>0</v>
      </c>
      <c r="BU152" s="485">
        <f t="shared" si="32"/>
        <v>0</v>
      </c>
      <c r="BV152" s="485">
        <f t="shared" si="32"/>
        <v>0</v>
      </c>
      <c r="BW152" s="485">
        <f t="shared" si="32"/>
        <v>0</v>
      </c>
      <c r="BX152" s="485">
        <f t="shared" si="32"/>
        <v>0</v>
      </c>
      <c r="BY152" s="485">
        <f t="shared" si="32"/>
        <v>0</v>
      </c>
      <c r="BZ152" s="485">
        <f t="shared" si="32"/>
        <v>0</v>
      </c>
      <c r="CA152" s="485">
        <f t="shared" si="32"/>
        <v>0</v>
      </c>
      <c r="CB152" s="485">
        <f t="shared" si="32"/>
        <v>0</v>
      </c>
      <c r="CC152" s="485">
        <f t="shared" si="32"/>
        <v>0</v>
      </c>
      <c r="CD152" s="485">
        <f t="shared" si="33"/>
        <v>0</v>
      </c>
      <c r="CE152" s="485">
        <f t="shared" si="33"/>
        <v>0</v>
      </c>
      <c r="CF152" s="485">
        <f t="shared" si="33"/>
        <v>0</v>
      </c>
      <c r="CG152" s="485">
        <f t="shared" si="33"/>
        <v>0</v>
      </c>
      <c r="CH152" s="485">
        <f t="shared" si="33"/>
        <v>1</v>
      </c>
      <c r="CI152" s="485">
        <f t="shared" si="33"/>
        <v>0</v>
      </c>
      <c r="CJ152" s="485">
        <f t="shared" si="33"/>
        <v>0</v>
      </c>
      <c r="CK152" s="485">
        <f t="shared" si="33"/>
        <v>0</v>
      </c>
      <c r="CL152" s="485">
        <f t="shared" si="33"/>
        <v>0</v>
      </c>
      <c r="CM152" s="486">
        <f t="shared" ref="CM152:CM215" si="35">SUM(BT152:CL152)</f>
        <v>1</v>
      </c>
    </row>
    <row r="153" spans="1:91" s="487" customFormat="1" ht="25.5" x14ac:dyDescent="0.25">
      <c r="A153" s="497" t="s">
        <v>2648</v>
      </c>
      <c r="B153" s="498" t="e">
        <v>#N/A</v>
      </c>
      <c r="C153" s="497" t="s">
        <v>2794</v>
      </c>
      <c r="D153" s="498"/>
      <c r="E153" s="497" t="s">
        <v>655</v>
      </c>
      <c r="F153" s="498"/>
      <c r="G153" s="497"/>
      <c r="H153" s="497" t="s">
        <v>654</v>
      </c>
      <c r="I153" s="497" t="s">
        <v>647</v>
      </c>
      <c r="J153" s="497" t="s">
        <v>641</v>
      </c>
      <c r="K153" s="497" t="s">
        <v>649</v>
      </c>
      <c r="L153" s="497" t="s">
        <v>54</v>
      </c>
      <c r="M153" s="497" t="s">
        <v>653</v>
      </c>
      <c r="N153" s="497" t="s">
        <v>668</v>
      </c>
      <c r="O153" s="497"/>
      <c r="P153" s="497" t="s">
        <v>643</v>
      </c>
      <c r="Q153" s="497" t="s">
        <v>642</v>
      </c>
      <c r="R153" s="497" t="s">
        <v>652</v>
      </c>
      <c r="S153" s="497"/>
      <c r="T153" s="497"/>
      <c r="U153" s="497"/>
      <c r="V153" s="497" t="s">
        <v>641</v>
      </c>
      <c r="W153" s="497" t="s">
        <v>640</v>
      </c>
      <c r="X153" s="499">
        <v>43283</v>
      </c>
      <c r="Y153" s="499">
        <v>43769</v>
      </c>
      <c r="Z153" s="500">
        <v>2020</v>
      </c>
      <c r="AA153" s="497" t="s">
        <v>663</v>
      </c>
      <c r="AB153" s="497"/>
      <c r="AC153" s="497"/>
      <c r="AD153" s="501"/>
      <c r="AE153" s="501"/>
      <c r="AF153" s="501"/>
      <c r="AG153" s="501"/>
      <c r="AH153" s="501"/>
      <c r="AI153" s="501">
        <v>1910000.0000315001</v>
      </c>
      <c r="AJ153" s="501">
        <v>39000.000000000015</v>
      </c>
      <c r="AK153" s="501"/>
      <c r="AL153" s="501"/>
      <c r="AM153" s="501"/>
      <c r="AN153" s="501"/>
      <c r="AO153" s="501"/>
      <c r="AP153" s="501"/>
      <c r="AQ153" s="501"/>
      <c r="AR153" s="501"/>
      <c r="AS153" s="501"/>
      <c r="AT153" s="501"/>
      <c r="AU153" s="501"/>
      <c r="AV153" s="501"/>
      <c r="AW153" s="501"/>
      <c r="AX153" s="501"/>
      <c r="AY153" s="501"/>
      <c r="AZ153" s="501"/>
      <c r="BA153" s="501"/>
      <c r="BB153" s="483">
        <v>197999.99999735007</v>
      </c>
      <c r="BC153" s="483">
        <v>92000.000000900007</v>
      </c>
      <c r="BD153" s="483">
        <v>155250.00000151875</v>
      </c>
      <c r="BE153" s="483">
        <v>3589.4375000351147</v>
      </c>
      <c r="BF153" s="483">
        <v>178600.00000157504</v>
      </c>
      <c r="BG153" s="483">
        <v>1401151.1220774928</v>
      </c>
      <c r="BH153" s="483"/>
      <c r="BI153" s="483"/>
      <c r="BJ153" s="483"/>
      <c r="BK153" s="483"/>
      <c r="BL153" s="483"/>
      <c r="BM153" s="483"/>
      <c r="BN153" s="483"/>
      <c r="BO153" s="483"/>
      <c r="BP153" s="483">
        <v>3140000.0000000014</v>
      </c>
      <c r="BQ153" s="483"/>
      <c r="BR153" s="483">
        <v>7117590.5596103724</v>
      </c>
      <c r="BS153" s="484">
        <f t="shared" si="34"/>
        <v>1949000.0000315001</v>
      </c>
      <c r="BT153" s="485">
        <f t="shared" si="32"/>
        <v>0</v>
      </c>
      <c r="BU153" s="485">
        <f t="shared" si="32"/>
        <v>0</v>
      </c>
      <c r="BV153" s="485">
        <f t="shared" si="32"/>
        <v>0</v>
      </c>
      <c r="BW153" s="485">
        <f t="shared" si="32"/>
        <v>0</v>
      </c>
      <c r="BX153" s="485">
        <f t="shared" si="32"/>
        <v>0</v>
      </c>
      <c r="BY153" s="485">
        <f t="shared" si="32"/>
        <v>0</v>
      </c>
      <c r="BZ153" s="485">
        <f t="shared" si="32"/>
        <v>0</v>
      </c>
      <c r="CA153" s="485">
        <f t="shared" si="32"/>
        <v>0</v>
      </c>
      <c r="CB153" s="485">
        <f t="shared" si="32"/>
        <v>0</v>
      </c>
      <c r="CC153" s="485">
        <f t="shared" si="32"/>
        <v>0</v>
      </c>
      <c r="CD153" s="485">
        <f t="shared" si="33"/>
        <v>2.0010261672329239E-2</v>
      </c>
      <c r="CE153" s="485">
        <f t="shared" si="33"/>
        <v>0.97998973832767078</v>
      </c>
      <c r="CF153" s="485">
        <f t="shared" si="33"/>
        <v>0</v>
      </c>
      <c r="CG153" s="485">
        <f t="shared" si="33"/>
        <v>0</v>
      </c>
      <c r="CH153" s="485">
        <f t="shared" si="33"/>
        <v>0</v>
      </c>
      <c r="CI153" s="485">
        <f t="shared" si="33"/>
        <v>0</v>
      </c>
      <c r="CJ153" s="485">
        <f t="shared" si="33"/>
        <v>0</v>
      </c>
      <c r="CK153" s="485">
        <f t="shared" si="33"/>
        <v>0</v>
      </c>
      <c r="CL153" s="485">
        <f t="shared" si="33"/>
        <v>0</v>
      </c>
      <c r="CM153" s="486">
        <f t="shared" si="35"/>
        <v>1</v>
      </c>
    </row>
    <row r="154" spans="1:91" s="487" customFormat="1" ht="25.5" x14ac:dyDescent="0.25">
      <c r="A154" s="497" t="s">
        <v>2653</v>
      </c>
      <c r="B154" s="498" t="e">
        <v>#N/A</v>
      </c>
      <c r="C154" s="497" t="s">
        <v>2795</v>
      </c>
      <c r="D154" s="498"/>
      <c r="E154" s="497" t="s">
        <v>655</v>
      </c>
      <c r="F154" s="498"/>
      <c r="G154" s="497"/>
      <c r="H154" s="497" t="s">
        <v>654</v>
      </c>
      <c r="I154" s="497" t="s">
        <v>647</v>
      </c>
      <c r="J154" s="497" t="s">
        <v>641</v>
      </c>
      <c r="K154" s="497" t="s">
        <v>649</v>
      </c>
      <c r="L154" s="497" t="s">
        <v>54</v>
      </c>
      <c r="M154" s="497" t="s">
        <v>653</v>
      </c>
      <c r="N154" s="497" t="s">
        <v>668</v>
      </c>
      <c r="O154" s="497"/>
      <c r="P154" s="497" t="s">
        <v>643</v>
      </c>
      <c r="Q154" s="497" t="s">
        <v>656</v>
      </c>
      <c r="R154" s="497" t="s">
        <v>652</v>
      </c>
      <c r="S154" s="497"/>
      <c r="T154" s="497"/>
      <c r="U154" s="497"/>
      <c r="V154" s="497" t="s">
        <v>641</v>
      </c>
      <c r="W154" s="497" t="s">
        <v>640</v>
      </c>
      <c r="X154" s="499">
        <v>43283</v>
      </c>
      <c r="Y154" s="499">
        <v>43831</v>
      </c>
      <c r="Z154" s="500">
        <v>2020</v>
      </c>
      <c r="AA154" s="497" t="s">
        <v>663</v>
      </c>
      <c r="AB154" s="497"/>
      <c r="AC154" s="497"/>
      <c r="AD154" s="501"/>
      <c r="AE154" s="501"/>
      <c r="AF154" s="501"/>
      <c r="AG154" s="501"/>
      <c r="AH154" s="501"/>
      <c r="AI154" s="501">
        <v>2166899.9999999991</v>
      </c>
      <c r="AJ154" s="501"/>
      <c r="AK154" s="501"/>
      <c r="AL154" s="501"/>
      <c r="AM154" s="501"/>
      <c r="AN154" s="501"/>
      <c r="AO154" s="501"/>
      <c r="AP154" s="501"/>
      <c r="AQ154" s="501"/>
      <c r="AR154" s="501"/>
      <c r="AS154" s="501"/>
      <c r="AT154" s="501"/>
      <c r="AU154" s="501"/>
      <c r="AV154" s="501"/>
      <c r="AW154" s="501"/>
      <c r="AX154" s="501"/>
      <c r="AY154" s="501"/>
      <c r="AZ154" s="501"/>
      <c r="BA154" s="501"/>
      <c r="BB154" s="483">
        <v>325034.99999999988</v>
      </c>
      <c r="BC154" s="483"/>
      <c r="BD154" s="483">
        <v>336411.22499999992</v>
      </c>
      <c r="BE154" s="483">
        <v>7777.9521187499977</v>
      </c>
      <c r="BF154" s="483">
        <v>216689.99999999994</v>
      </c>
      <c r="BG154" s="483">
        <v>316442.66705409903</v>
      </c>
      <c r="BH154" s="483"/>
      <c r="BI154" s="483"/>
      <c r="BJ154" s="483"/>
      <c r="BK154" s="483"/>
      <c r="BL154" s="483"/>
      <c r="BM154" s="483"/>
      <c r="BN154" s="483"/>
      <c r="BO154" s="483"/>
      <c r="BP154" s="483"/>
      <c r="BQ154" s="483"/>
      <c r="BR154" s="483">
        <v>3369256.8441728475</v>
      </c>
      <c r="BS154" s="484">
        <f t="shared" si="34"/>
        <v>2166899.9999999991</v>
      </c>
      <c r="BT154" s="485">
        <f t="shared" si="32"/>
        <v>0</v>
      </c>
      <c r="BU154" s="485">
        <f t="shared" si="32"/>
        <v>0</v>
      </c>
      <c r="BV154" s="485">
        <f t="shared" si="32"/>
        <v>0</v>
      </c>
      <c r="BW154" s="485">
        <f t="shared" si="32"/>
        <v>0</v>
      </c>
      <c r="BX154" s="485">
        <f t="shared" si="32"/>
        <v>0</v>
      </c>
      <c r="BY154" s="485">
        <f t="shared" si="32"/>
        <v>0</v>
      </c>
      <c r="BZ154" s="485">
        <f t="shared" si="32"/>
        <v>0</v>
      </c>
      <c r="CA154" s="485">
        <f t="shared" si="32"/>
        <v>0</v>
      </c>
      <c r="CB154" s="485">
        <f t="shared" si="32"/>
        <v>0</v>
      </c>
      <c r="CC154" s="485">
        <f t="shared" si="32"/>
        <v>0</v>
      </c>
      <c r="CD154" s="485">
        <f t="shared" si="33"/>
        <v>0</v>
      </c>
      <c r="CE154" s="485">
        <f t="shared" si="33"/>
        <v>1</v>
      </c>
      <c r="CF154" s="485">
        <f t="shared" si="33"/>
        <v>0</v>
      </c>
      <c r="CG154" s="485">
        <f t="shared" si="33"/>
        <v>0</v>
      </c>
      <c r="CH154" s="485">
        <f t="shared" si="33"/>
        <v>0</v>
      </c>
      <c r="CI154" s="485">
        <f t="shared" si="33"/>
        <v>0</v>
      </c>
      <c r="CJ154" s="485">
        <f t="shared" si="33"/>
        <v>0</v>
      </c>
      <c r="CK154" s="485">
        <f t="shared" si="33"/>
        <v>0</v>
      </c>
      <c r="CL154" s="485">
        <f t="shared" si="33"/>
        <v>0</v>
      </c>
      <c r="CM154" s="486">
        <f t="shared" si="35"/>
        <v>1</v>
      </c>
    </row>
    <row r="155" spans="1:91" s="487" customFormat="1" ht="25.5" x14ac:dyDescent="0.25">
      <c r="A155" s="497" t="s">
        <v>2655</v>
      </c>
      <c r="B155" s="498" t="e">
        <v>#N/A</v>
      </c>
      <c r="C155" s="497" t="s">
        <v>2796</v>
      </c>
      <c r="D155" s="498"/>
      <c r="E155" s="497" t="s">
        <v>2666</v>
      </c>
      <c r="F155" s="498"/>
      <c r="G155" s="497"/>
      <c r="H155" s="497" t="s">
        <v>654</v>
      </c>
      <c r="I155" s="497" t="s">
        <v>647</v>
      </c>
      <c r="J155" s="497" t="s">
        <v>641</v>
      </c>
      <c r="K155" s="497" t="s">
        <v>649</v>
      </c>
      <c r="L155" s="497" t="s">
        <v>54</v>
      </c>
      <c r="M155" s="497" t="s">
        <v>653</v>
      </c>
      <c r="N155" s="497" t="s">
        <v>645</v>
      </c>
      <c r="O155" s="497"/>
      <c r="P155" s="497"/>
      <c r="Q155" s="497" t="s">
        <v>656</v>
      </c>
      <c r="R155" s="497" t="s">
        <v>652</v>
      </c>
      <c r="S155" s="497" t="s">
        <v>649</v>
      </c>
      <c r="T155" s="497"/>
      <c r="U155" s="497"/>
      <c r="V155" s="497" t="s">
        <v>641</v>
      </c>
      <c r="W155" s="497"/>
      <c r="X155" s="499">
        <v>44013</v>
      </c>
      <c r="Y155" s="499">
        <v>44964</v>
      </c>
      <c r="Z155" s="500">
        <v>2023</v>
      </c>
      <c r="AA155" s="497"/>
      <c r="AB155" s="497"/>
      <c r="AC155" s="497"/>
      <c r="AD155" s="501"/>
      <c r="AE155" s="501"/>
      <c r="AF155" s="501"/>
      <c r="AG155" s="501"/>
      <c r="AH155" s="501"/>
      <c r="AI155" s="501"/>
      <c r="AJ155" s="501"/>
      <c r="AK155" s="501"/>
      <c r="AL155" s="501"/>
      <c r="AM155" s="501"/>
      <c r="AN155" s="501"/>
      <c r="AO155" s="501"/>
      <c r="AP155" s="501"/>
      <c r="AQ155" s="501"/>
      <c r="AR155" s="501"/>
      <c r="AS155" s="501"/>
      <c r="AT155" s="501"/>
      <c r="AU155" s="501"/>
      <c r="AV155" s="501"/>
      <c r="AW155" s="501"/>
      <c r="AX155" s="501"/>
      <c r="AY155" s="501"/>
      <c r="AZ155" s="501"/>
      <c r="BA155" s="501"/>
      <c r="BB155" s="483"/>
      <c r="BC155" s="483"/>
      <c r="BD155" s="483"/>
      <c r="BE155" s="483"/>
      <c r="BF155" s="483"/>
      <c r="BG155" s="483"/>
      <c r="BH155" s="483"/>
      <c r="BI155" s="483"/>
      <c r="BJ155" s="483"/>
      <c r="BK155" s="483"/>
      <c r="BL155" s="483"/>
      <c r="BM155" s="483"/>
      <c r="BN155" s="483"/>
      <c r="BO155" s="483"/>
      <c r="BP155" s="483"/>
      <c r="BQ155" s="483"/>
      <c r="BR155" s="483"/>
      <c r="BS155" s="484">
        <f t="shared" si="34"/>
        <v>0</v>
      </c>
      <c r="BT155" s="485">
        <v>0</v>
      </c>
      <c r="BU155" s="485">
        <v>0</v>
      </c>
      <c r="BV155" s="485">
        <v>9.8997133515637617E-3</v>
      </c>
      <c r="BW155" s="485">
        <v>0</v>
      </c>
      <c r="BX155" s="485">
        <v>0</v>
      </c>
      <c r="BY155" s="485">
        <v>0</v>
      </c>
      <c r="BZ155" s="485">
        <v>0</v>
      </c>
      <c r="CA155" s="485">
        <v>0</v>
      </c>
      <c r="CB155" s="485">
        <v>0</v>
      </c>
      <c r="CC155" s="485">
        <v>0.79697883928314239</v>
      </c>
      <c r="CD155" s="485">
        <v>0</v>
      </c>
      <c r="CE155" s="485">
        <v>0.1331291827838956</v>
      </c>
      <c r="CF155" s="485">
        <v>0</v>
      </c>
      <c r="CG155" s="485">
        <v>0</v>
      </c>
      <c r="CH155" s="485">
        <v>5.0092551223795675E-2</v>
      </c>
      <c r="CI155" s="485">
        <v>6.5998089050683913E-3</v>
      </c>
      <c r="CJ155" s="485">
        <v>3.2999044525341965E-3</v>
      </c>
      <c r="CK155" s="485">
        <v>0</v>
      </c>
      <c r="CL155" s="485">
        <v>0</v>
      </c>
      <c r="CM155" s="486">
        <f t="shared" si="35"/>
        <v>1</v>
      </c>
    </row>
    <row r="156" spans="1:91" s="487" customFormat="1" ht="25.5" x14ac:dyDescent="0.25">
      <c r="A156" s="497" t="s">
        <v>2657</v>
      </c>
      <c r="B156" s="498" t="e">
        <v>#N/A</v>
      </c>
      <c r="C156" s="497" t="s">
        <v>2667</v>
      </c>
      <c r="D156" s="498"/>
      <c r="E156" s="497" t="s">
        <v>655</v>
      </c>
      <c r="F156" s="498"/>
      <c r="G156" s="497"/>
      <c r="H156" s="497" t="s">
        <v>654</v>
      </c>
      <c r="I156" s="497" t="s">
        <v>647</v>
      </c>
      <c r="J156" s="497" t="s">
        <v>641</v>
      </c>
      <c r="K156" s="497" t="s">
        <v>649</v>
      </c>
      <c r="L156" s="497" t="s">
        <v>54</v>
      </c>
      <c r="M156" s="497" t="s">
        <v>653</v>
      </c>
      <c r="N156" s="497" t="s">
        <v>645</v>
      </c>
      <c r="O156" s="497"/>
      <c r="P156" s="497" t="s">
        <v>643</v>
      </c>
      <c r="Q156" s="497" t="s">
        <v>656</v>
      </c>
      <c r="R156" s="497" t="s">
        <v>652</v>
      </c>
      <c r="S156" s="497" t="s">
        <v>649</v>
      </c>
      <c r="T156" s="497"/>
      <c r="U156" s="497"/>
      <c r="V156" s="497" t="s">
        <v>641</v>
      </c>
      <c r="W156" s="497"/>
      <c r="X156" s="499">
        <v>43497</v>
      </c>
      <c r="Y156" s="499">
        <v>44448</v>
      </c>
      <c r="Z156" s="500">
        <v>2022</v>
      </c>
      <c r="AA156" s="497"/>
      <c r="AB156" s="497"/>
      <c r="AC156" s="497"/>
      <c r="AD156" s="501"/>
      <c r="AE156" s="501">
        <v>130004.99999479979</v>
      </c>
      <c r="AF156" s="501">
        <v>1500000.0000000002</v>
      </c>
      <c r="AG156" s="501">
        <v>785152.31970000011</v>
      </c>
      <c r="AH156" s="501"/>
      <c r="AI156" s="501">
        <v>403433.44693406997</v>
      </c>
      <c r="AJ156" s="501"/>
      <c r="AK156" s="501"/>
      <c r="AL156" s="501">
        <v>151800.00495264816</v>
      </c>
      <c r="AM156" s="501"/>
      <c r="AN156" s="501">
        <v>10000.000000000002</v>
      </c>
      <c r="AO156" s="501">
        <v>20000.000000000004</v>
      </c>
      <c r="AP156" s="501"/>
      <c r="AQ156" s="501">
        <v>29999.999981699999</v>
      </c>
      <c r="AR156" s="501"/>
      <c r="AS156" s="501"/>
      <c r="AT156" s="501"/>
      <c r="AU156" s="501"/>
      <c r="AV156" s="501"/>
      <c r="AW156" s="501"/>
      <c r="AX156" s="501"/>
      <c r="AY156" s="501"/>
      <c r="AZ156" s="501"/>
      <c r="BA156" s="501"/>
      <c r="BB156" s="483">
        <v>173564.91028222762</v>
      </c>
      <c r="BC156" s="483">
        <v>115709.94018815176</v>
      </c>
      <c r="BD156" s="483">
        <v>195260.52406750608</v>
      </c>
      <c r="BE156" s="483">
        <v>9446.0469018283584</v>
      </c>
      <c r="BF156" s="483">
        <v>0</v>
      </c>
      <c r="BG156" s="483">
        <v>620303.31413510477</v>
      </c>
      <c r="BH156" s="483"/>
      <c r="BI156" s="483"/>
      <c r="BJ156" s="483"/>
      <c r="BK156" s="483"/>
      <c r="BL156" s="483"/>
      <c r="BM156" s="483"/>
      <c r="BN156" s="483"/>
      <c r="BO156" s="483"/>
      <c r="BP156" s="483"/>
      <c r="BQ156" s="483"/>
      <c r="BR156" s="483">
        <v>4144675.5071380353</v>
      </c>
      <c r="BS156" s="484">
        <f t="shared" si="34"/>
        <v>3030390.7715632184</v>
      </c>
      <c r="BT156" s="485">
        <f t="shared" ref="BT156:CC159" si="36">SUMIFS($AD156:$BA156,$AD$11:$BA$11,BT$21)/$BS156</f>
        <v>0</v>
      </c>
      <c r="BU156" s="485">
        <f t="shared" si="36"/>
        <v>0</v>
      </c>
      <c r="BV156" s="485">
        <f t="shared" si="36"/>
        <v>9.89971335156376E-3</v>
      </c>
      <c r="BW156" s="485">
        <f t="shared" si="36"/>
        <v>0</v>
      </c>
      <c r="BX156" s="485">
        <f t="shared" si="36"/>
        <v>0</v>
      </c>
      <c r="BY156" s="485">
        <f t="shared" si="36"/>
        <v>0</v>
      </c>
      <c r="BZ156" s="485">
        <f t="shared" si="36"/>
        <v>0</v>
      </c>
      <c r="CA156" s="485">
        <f t="shared" si="36"/>
        <v>0</v>
      </c>
      <c r="CB156" s="485">
        <f t="shared" si="36"/>
        <v>0</v>
      </c>
      <c r="CC156" s="485">
        <f t="shared" si="36"/>
        <v>0.79697883928314239</v>
      </c>
      <c r="CD156" s="485">
        <f t="shared" ref="CD156:CL159" si="37">SUMIFS($AD156:$BA156,$AD$11:$BA$11,CD$21)/$BS156</f>
        <v>0</v>
      </c>
      <c r="CE156" s="485">
        <f t="shared" si="37"/>
        <v>0.13312918278389554</v>
      </c>
      <c r="CF156" s="485">
        <f t="shared" si="37"/>
        <v>0</v>
      </c>
      <c r="CG156" s="485">
        <f t="shared" si="37"/>
        <v>0</v>
      </c>
      <c r="CH156" s="485">
        <f t="shared" si="37"/>
        <v>5.0092551223795655E-2</v>
      </c>
      <c r="CI156" s="485">
        <f t="shared" si="37"/>
        <v>6.5998089050683922E-3</v>
      </c>
      <c r="CJ156" s="485">
        <f t="shared" si="37"/>
        <v>3.2999044525341961E-3</v>
      </c>
      <c r="CK156" s="485">
        <f t="shared" si="37"/>
        <v>0</v>
      </c>
      <c r="CL156" s="485">
        <f t="shared" si="37"/>
        <v>0</v>
      </c>
      <c r="CM156" s="486">
        <f t="shared" si="35"/>
        <v>0.99999999999999989</v>
      </c>
    </row>
    <row r="157" spans="1:91" s="487" customFormat="1" ht="18" customHeight="1" x14ac:dyDescent="0.25">
      <c r="A157" s="497" t="s">
        <v>34</v>
      </c>
      <c r="B157" s="498" t="s">
        <v>1336</v>
      </c>
      <c r="C157" s="497" t="s">
        <v>976</v>
      </c>
      <c r="D157" s="498"/>
      <c r="E157" s="497" t="s">
        <v>975</v>
      </c>
      <c r="F157" s="498"/>
      <c r="G157" s="497" t="s">
        <v>691</v>
      </c>
      <c r="H157" s="497"/>
      <c r="I157" s="497" t="s">
        <v>647</v>
      </c>
      <c r="J157" s="497" t="s">
        <v>671</v>
      </c>
      <c r="K157" s="497" t="s">
        <v>663</v>
      </c>
      <c r="L157" s="497" t="s">
        <v>28</v>
      </c>
      <c r="M157" s="497" t="s">
        <v>646</v>
      </c>
      <c r="N157" s="497" t="s">
        <v>699</v>
      </c>
      <c r="O157" s="497" t="s">
        <v>974</v>
      </c>
      <c r="P157" s="497" t="s">
        <v>720</v>
      </c>
      <c r="Q157" s="497" t="s">
        <v>642</v>
      </c>
      <c r="R157" s="497" t="s">
        <v>652</v>
      </c>
      <c r="S157" s="497"/>
      <c r="T157" s="497"/>
      <c r="U157" s="497"/>
      <c r="V157" s="497" t="s">
        <v>641</v>
      </c>
      <c r="W157" s="497" t="s">
        <v>973</v>
      </c>
      <c r="X157" s="499">
        <v>41495</v>
      </c>
      <c r="Y157" s="499">
        <v>42570</v>
      </c>
      <c r="Z157" s="500"/>
      <c r="AA157" s="497"/>
      <c r="AB157" s="497"/>
      <c r="AC157" s="497"/>
      <c r="AD157" s="501">
        <v>13279999.999999994</v>
      </c>
      <c r="AE157" s="501">
        <v>66666.659999999974</v>
      </c>
      <c r="AF157" s="501"/>
      <c r="AG157" s="501">
        <v>1359510.6673341121</v>
      </c>
      <c r="AH157" s="501"/>
      <c r="AI157" s="501">
        <v>4881353.3686927902</v>
      </c>
      <c r="AJ157" s="501">
        <v>715601.43451195874</v>
      </c>
      <c r="AK157" s="501">
        <v>596749.99993739976</v>
      </c>
      <c r="AL157" s="501">
        <v>2239999.9998909994</v>
      </c>
      <c r="AM157" s="501"/>
      <c r="AN157" s="501"/>
      <c r="AO157" s="501">
        <v>1011689.9943755807</v>
      </c>
      <c r="AP157" s="501"/>
      <c r="AQ157" s="501">
        <v>825722.62546653347</v>
      </c>
      <c r="AR157" s="501">
        <v>1209563.5744675</v>
      </c>
      <c r="AS157" s="501">
        <v>160000.00000017561</v>
      </c>
      <c r="AT157" s="501"/>
      <c r="AU157" s="501"/>
      <c r="AV157" s="501"/>
      <c r="AW157" s="501"/>
      <c r="AX157" s="501"/>
      <c r="AY157" s="501"/>
      <c r="AZ157" s="501"/>
      <c r="BA157" s="501"/>
      <c r="BB157" s="483">
        <v>613896.02265610499</v>
      </c>
      <c r="BC157" s="483">
        <v>409264.01088895631</v>
      </c>
      <c r="BD157" s="483">
        <v>690633.02436657972</v>
      </c>
      <c r="BE157" s="483">
        <v>46256.791302118443</v>
      </c>
      <c r="BF157" s="483">
        <v>1053078.0552045805</v>
      </c>
      <c r="BG157" s="483"/>
      <c r="BH157" s="483"/>
      <c r="BI157" s="483"/>
      <c r="BJ157" s="483"/>
      <c r="BK157" s="483"/>
      <c r="BL157" s="483"/>
      <c r="BM157" s="483"/>
      <c r="BN157" s="483"/>
      <c r="BO157" s="483"/>
      <c r="BP157" s="483">
        <v>2699999.9999999986</v>
      </c>
      <c r="BQ157" s="483"/>
      <c r="BR157" s="483">
        <v>31859986.229095392</v>
      </c>
      <c r="BS157" s="484">
        <f t="shared" si="34"/>
        <v>26346858.324677039</v>
      </c>
      <c r="BT157" s="485">
        <f t="shared" si="36"/>
        <v>0</v>
      </c>
      <c r="BU157" s="485">
        <f t="shared" si="36"/>
        <v>4.5909214660884122E-2</v>
      </c>
      <c r="BV157" s="485">
        <f t="shared" si="36"/>
        <v>3.1340458710143203E-2</v>
      </c>
      <c r="BW157" s="485">
        <f t="shared" si="36"/>
        <v>0</v>
      </c>
      <c r="BX157" s="485">
        <f t="shared" si="36"/>
        <v>0</v>
      </c>
      <c r="BY157" s="485">
        <f t="shared" si="36"/>
        <v>6.0728303173178009E-3</v>
      </c>
      <c r="BZ157" s="485">
        <f t="shared" si="36"/>
        <v>0</v>
      </c>
      <c r="CA157" s="485">
        <f t="shared" si="36"/>
        <v>0</v>
      </c>
      <c r="CB157" s="485">
        <f t="shared" si="36"/>
        <v>0</v>
      </c>
      <c r="CC157" s="485">
        <f t="shared" si="36"/>
        <v>0.55817574703242634</v>
      </c>
      <c r="CD157" s="485">
        <f t="shared" si="37"/>
        <v>2.7160788041347264E-2</v>
      </c>
      <c r="CE157" s="485">
        <f t="shared" si="37"/>
        <v>0.18527269204316513</v>
      </c>
      <c r="CF157" s="485">
        <f t="shared" si="37"/>
        <v>2.2649759321720371E-2</v>
      </c>
      <c r="CG157" s="485">
        <f t="shared" si="37"/>
        <v>0</v>
      </c>
      <c r="CH157" s="485">
        <f t="shared" si="37"/>
        <v>8.5019624438218755E-2</v>
      </c>
      <c r="CI157" s="485">
        <f t="shared" si="37"/>
        <v>3.8398885434777243E-2</v>
      </c>
      <c r="CJ157" s="485">
        <f t="shared" si="37"/>
        <v>0</v>
      </c>
      <c r="CK157" s="485">
        <f t="shared" si="37"/>
        <v>0</v>
      </c>
      <c r="CL157" s="485">
        <f t="shared" si="37"/>
        <v>0</v>
      </c>
      <c r="CM157" s="486">
        <f t="shared" si="35"/>
        <v>1.0000000000000002</v>
      </c>
    </row>
    <row r="158" spans="1:91" s="487" customFormat="1" ht="25.5" customHeight="1" x14ac:dyDescent="0.25">
      <c r="A158" s="497" t="s">
        <v>52</v>
      </c>
      <c r="B158" s="498" t="s">
        <v>1666</v>
      </c>
      <c r="C158" s="497" t="s">
        <v>972</v>
      </c>
      <c r="D158" s="498"/>
      <c r="E158" s="497" t="s">
        <v>779</v>
      </c>
      <c r="F158" s="498"/>
      <c r="G158" s="497" t="s">
        <v>691</v>
      </c>
      <c r="H158" s="497" t="s">
        <v>654</v>
      </c>
      <c r="I158" s="497" t="s">
        <v>647</v>
      </c>
      <c r="J158" s="497" t="s">
        <v>641</v>
      </c>
      <c r="K158" s="497" t="s">
        <v>649</v>
      </c>
      <c r="L158" s="497" t="s">
        <v>54</v>
      </c>
      <c r="M158" s="497" t="s">
        <v>646</v>
      </c>
      <c r="N158" s="497"/>
      <c r="O158" s="497"/>
      <c r="P158" s="497" t="s">
        <v>971</v>
      </c>
      <c r="Q158" s="497" t="s">
        <v>642</v>
      </c>
      <c r="R158" s="497" t="s">
        <v>652</v>
      </c>
      <c r="S158" s="497" t="s">
        <v>649</v>
      </c>
      <c r="T158" s="497"/>
      <c r="U158" s="497"/>
      <c r="V158" s="497" t="s">
        <v>641</v>
      </c>
      <c r="W158" s="497" t="s">
        <v>784</v>
      </c>
      <c r="X158" s="499">
        <v>42186</v>
      </c>
      <c r="Y158" s="499">
        <v>43004</v>
      </c>
      <c r="Z158" s="500">
        <v>2017</v>
      </c>
      <c r="AA158" s="497"/>
      <c r="AB158" s="497" t="s">
        <v>697</v>
      </c>
      <c r="AC158" s="497" t="s">
        <v>649</v>
      </c>
      <c r="AD158" s="501"/>
      <c r="AE158" s="501"/>
      <c r="AF158" s="501"/>
      <c r="AG158" s="501">
        <v>2414631.9942653365</v>
      </c>
      <c r="AH158" s="501"/>
      <c r="AI158" s="501">
        <v>254699.999993595</v>
      </c>
      <c r="AJ158" s="501"/>
      <c r="AK158" s="501"/>
      <c r="AL158" s="501">
        <v>1026400.0150206033</v>
      </c>
      <c r="AM158" s="501"/>
      <c r="AN158" s="501"/>
      <c r="AO158" s="501">
        <v>413226.00000009005</v>
      </c>
      <c r="AP158" s="501"/>
      <c r="AQ158" s="501">
        <v>200000</v>
      </c>
      <c r="AR158" s="501"/>
      <c r="AS158" s="501"/>
      <c r="AT158" s="501"/>
      <c r="AU158" s="501"/>
      <c r="AV158" s="501"/>
      <c r="AW158" s="501"/>
      <c r="AX158" s="501"/>
      <c r="AY158" s="501"/>
      <c r="AZ158" s="501"/>
      <c r="BA158" s="501"/>
      <c r="BB158" s="483">
        <v>400289.91261690034</v>
      </c>
      <c r="BC158" s="483">
        <v>266859.94174460031</v>
      </c>
      <c r="BD158" s="483">
        <v>450326.15169401292</v>
      </c>
      <c r="BE158" s="483">
        <v>14358.94354217163</v>
      </c>
      <c r="BF158" s="483">
        <v>431039.91261690052</v>
      </c>
      <c r="BG158" s="483">
        <v>141670.82178735523</v>
      </c>
      <c r="BH158" s="483">
        <v>113336.65742988417</v>
      </c>
      <c r="BI158" s="483">
        <v>56668.328714942094</v>
      </c>
      <c r="BJ158" s="483">
        <v>170004.98614482628</v>
      </c>
      <c r="BK158" s="483">
        <v>85002.493072413126</v>
      </c>
      <c r="BL158" s="483">
        <v>170004.98614482625</v>
      </c>
      <c r="BM158" s="483">
        <v>113336.65742988419</v>
      </c>
      <c r="BN158" s="483"/>
      <c r="BO158" s="483"/>
      <c r="BP158" s="483"/>
      <c r="BQ158" s="483"/>
      <c r="BR158" s="483">
        <v>6721857.8022183403</v>
      </c>
      <c r="BS158" s="484">
        <f t="shared" si="34"/>
        <v>4308958.0092796246</v>
      </c>
      <c r="BT158" s="485">
        <f t="shared" si="36"/>
        <v>0</v>
      </c>
      <c r="BU158" s="485">
        <f t="shared" si="36"/>
        <v>0</v>
      </c>
      <c r="BV158" s="485">
        <f t="shared" si="36"/>
        <v>4.6414933626479263E-2</v>
      </c>
      <c r="BW158" s="485">
        <f t="shared" si="36"/>
        <v>0</v>
      </c>
      <c r="BX158" s="485">
        <f t="shared" si="36"/>
        <v>0</v>
      </c>
      <c r="BY158" s="485">
        <f t="shared" si="36"/>
        <v>0</v>
      </c>
      <c r="BZ158" s="485">
        <f t="shared" si="36"/>
        <v>0</v>
      </c>
      <c r="CA158" s="485">
        <f t="shared" si="36"/>
        <v>0</v>
      </c>
      <c r="CB158" s="485">
        <f t="shared" si="36"/>
        <v>0</v>
      </c>
      <c r="CC158" s="485">
        <f t="shared" si="36"/>
        <v>0.56037491873099432</v>
      </c>
      <c r="CD158" s="485">
        <f t="shared" si="37"/>
        <v>0</v>
      </c>
      <c r="CE158" s="485">
        <f t="shared" si="37"/>
        <v>5.9109417971834909E-2</v>
      </c>
      <c r="CF158" s="485">
        <f t="shared" si="37"/>
        <v>0</v>
      </c>
      <c r="CG158" s="485">
        <f t="shared" si="37"/>
        <v>0</v>
      </c>
      <c r="CH158" s="485">
        <f t="shared" si="37"/>
        <v>0.23820144285699313</v>
      </c>
      <c r="CI158" s="485">
        <f t="shared" si="37"/>
        <v>9.5899286813698498E-2</v>
      </c>
      <c r="CJ158" s="485">
        <f t="shared" si="37"/>
        <v>0</v>
      </c>
      <c r="CK158" s="485">
        <f t="shared" si="37"/>
        <v>0</v>
      </c>
      <c r="CL158" s="485">
        <f t="shared" si="37"/>
        <v>0</v>
      </c>
      <c r="CM158" s="486">
        <f t="shared" si="35"/>
        <v>1.0000000000000002</v>
      </c>
    </row>
    <row r="159" spans="1:91" s="487" customFormat="1" ht="25.5" customHeight="1" x14ac:dyDescent="0.25">
      <c r="A159" s="497" t="s">
        <v>61</v>
      </c>
      <c r="B159" s="498" t="s">
        <v>1672</v>
      </c>
      <c r="C159" s="497" t="s">
        <v>970</v>
      </c>
      <c r="D159" s="498"/>
      <c r="E159" s="497" t="s">
        <v>779</v>
      </c>
      <c r="F159" s="498"/>
      <c r="G159" s="497" t="s">
        <v>722</v>
      </c>
      <c r="H159" s="497" t="s">
        <v>654</v>
      </c>
      <c r="I159" s="497" t="s">
        <v>647</v>
      </c>
      <c r="J159" s="497" t="s">
        <v>641</v>
      </c>
      <c r="K159" s="497" t="s">
        <v>649</v>
      </c>
      <c r="L159" s="497" t="s">
        <v>40</v>
      </c>
      <c r="M159" s="497" t="s">
        <v>646</v>
      </c>
      <c r="N159" s="497"/>
      <c r="O159" s="497"/>
      <c r="P159" s="497" t="s">
        <v>643</v>
      </c>
      <c r="Q159" s="497" t="s">
        <v>642</v>
      </c>
      <c r="R159" s="497" t="s">
        <v>652</v>
      </c>
      <c r="S159" s="497" t="s">
        <v>649</v>
      </c>
      <c r="T159" s="497"/>
      <c r="U159" s="497"/>
      <c r="V159" s="497" t="s">
        <v>641</v>
      </c>
      <c r="W159" s="497" t="s">
        <v>729</v>
      </c>
      <c r="X159" s="499">
        <v>41944</v>
      </c>
      <c r="Y159" s="499">
        <v>43224</v>
      </c>
      <c r="Z159" s="500">
        <v>2018</v>
      </c>
      <c r="AA159" s="497" t="s">
        <v>663</v>
      </c>
      <c r="AB159" s="497" t="s">
        <v>697</v>
      </c>
      <c r="AC159" s="497" t="s">
        <v>649</v>
      </c>
      <c r="AD159" s="501"/>
      <c r="AE159" s="501"/>
      <c r="AF159" s="501"/>
      <c r="AG159" s="501"/>
      <c r="AH159" s="501"/>
      <c r="AI159" s="501">
        <v>259249.99999856993</v>
      </c>
      <c r="AJ159" s="501"/>
      <c r="AK159" s="501"/>
      <c r="AL159" s="501">
        <v>10663330.999993831</v>
      </c>
      <c r="AM159" s="501"/>
      <c r="AN159" s="501"/>
      <c r="AO159" s="501"/>
      <c r="AP159" s="501"/>
      <c r="AQ159" s="501"/>
      <c r="AR159" s="501"/>
      <c r="AS159" s="501"/>
      <c r="AT159" s="501"/>
      <c r="AU159" s="501"/>
      <c r="AV159" s="501"/>
      <c r="AW159" s="501"/>
      <c r="AX159" s="501"/>
      <c r="AY159" s="501"/>
      <c r="AZ159" s="501"/>
      <c r="BA159" s="501"/>
      <c r="BB159" s="483"/>
      <c r="BC159" s="483"/>
      <c r="BD159" s="483">
        <v>1474548.4349989742</v>
      </c>
      <c r="BE159" s="483">
        <v>34092.105946226286</v>
      </c>
      <c r="BF159" s="483"/>
      <c r="BG159" s="483">
        <v>310780.53852344013</v>
      </c>
      <c r="BH159" s="483">
        <v>248624.43081875204</v>
      </c>
      <c r="BI159" s="483">
        <v>124312.21540937602</v>
      </c>
      <c r="BJ159" s="483">
        <v>372936.64622812805</v>
      </c>
      <c r="BK159" s="483">
        <v>186468.32311406403</v>
      </c>
      <c r="BL159" s="483">
        <v>372936.646228128</v>
      </c>
      <c r="BM159" s="483">
        <v>248624.43081875207</v>
      </c>
      <c r="BN159" s="483"/>
      <c r="BO159" s="483"/>
      <c r="BP159" s="483"/>
      <c r="BQ159" s="483"/>
      <c r="BR159" s="483">
        <v>14295904.772078246</v>
      </c>
      <c r="BS159" s="484">
        <f t="shared" si="34"/>
        <v>10922580.9999924</v>
      </c>
      <c r="BT159" s="485">
        <f t="shared" si="36"/>
        <v>0</v>
      </c>
      <c r="BU159" s="485">
        <f t="shared" si="36"/>
        <v>0</v>
      </c>
      <c r="BV159" s="485">
        <f t="shared" si="36"/>
        <v>0</v>
      </c>
      <c r="BW159" s="485">
        <f t="shared" si="36"/>
        <v>0</v>
      </c>
      <c r="BX159" s="485">
        <f t="shared" si="36"/>
        <v>0</v>
      </c>
      <c r="BY159" s="485">
        <f t="shared" si="36"/>
        <v>0</v>
      </c>
      <c r="BZ159" s="485">
        <f t="shared" si="36"/>
        <v>0</v>
      </c>
      <c r="CA159" s="485">
        <f t="shared" si="36"/>
        <v>0</v>
      </c>
      <c r="CB159" s="485">
        <f t="shared" si="36"/>
        <v>0</v>
      </c>
      <c r="CC159" s="485">
        <f t="shared" si="36"/>
        <v>0</v>
      </c>
      <c r="CD159" s="485">
        <f t="shared" si="37"/>
        <v>0</v>
      </c>
      <c r="CE159" s="485">
        <f t="shared" si="37"/>
        <v>2.3735232542450389E-2</v>
      </c>
      <c r="CF159" s="485">
        <f t="shared" si="37"/>
        <v>0</v>
      </c>
      <c r="CG159" s="485">
        <f t="shared" si="37"/>
        <v>0</v>
      </c>
      <c r="CH159" s="485">
        <f t="shared" si="37"/>
        <v>0.97626476745754964</v>
      </c>
      <c r="CI159" s="485">
        <f t="shared" si="37"/>
        <v>0</v>
      </c>
      <c r="CJ159" s="485">
        <f t="shared" si="37"/>
        <v>0</v>
      </c>
      <c r="CK159" s="485">
        <f t="shared" si="37"/>
        <v>0</v>
      </c>
      <c r="CL159" s="485">
        <f t="shared" si="37"/>
        <v>0</v>
      </c>
      <c r="CM159" s="486">
        <f t="shared" si="35"/>
        <v>1</v>
      </c>
    </row>
    <row r="160" spans="1:91" s="487" customFormat="1" ht="25.5" customHeight="1" x14ac:dyDescent="0.25">
      <c r="A160" s="497" t="s">
        <v>80</v>
      </c>
      <c r="B160" s="498" t="s">
        <v>1179</v>
      </c>
      <c r="C160" s="497" t="s">
        <v>969</v>
      </c>
      <c r="D160" s="498"/>
      <c r="E160" s="497" t="s">
        <v>692</v>
      </c>
      <c r="F160" s="498"/>
      <c r="G160" s="497"/>
      <c r="H160" s="497" t="s">
        <v>654</v>
      </c>
      <c r="I160" s="497" t="s">
        <v>647</v>
      </c>
      <c r="J160" s="497" t="s">
        <v>671</v>
      </c>
      <c r="K160" s="497" t="s">
        <v>649</v>
      </c>
      <c r="L160" s="497" t="s">
        <v>55</v>
      </c>
      <c r="M160" s="497" t="s">
        <v>646</v>
      </c>
      <c r="N160" s="497" t="s">
        <v>645</v>
      </c>
      <c r="O160" s="497"/>
      <c r="P160" s="497"/>
      <c r="Q160" s="497" t="s">
        <v>650</v>
      </c>
      <c r="R160" s="497" t="s">
        <v>652</v>
      </c>
      <c r="S160" s="497" t="s">
        <v>649</v>
      </c>
      <c r="T160" s="497"/>
      <c r="U160" s="497"/>
      <c r="V160" s="497" t="s">
        <v>683</v>
      </c>
      <c r="W160" s="497"/>
      <c r="X160" s="499">
        <v>42552</v>
      </c>
      <c r="Y160" s="499">
        <v>42899</v>
      </c>
      <c r="Z160" s="500">
        <v>2017</v>
      </c>
      <c r="AA160" s="497"/>
      <c r="AB160" s="497"/>
      <c r="AC160" s="497"/>
      <c r="AD160" s="501"/>
      <c r="AE160" s="501"/>
      <c r="AF160" s="501"/>
      <c r="AG160" s="501"/>
      <c r="AH160" s="501"/>
      <c r="AI160" s="501"/>
      <c r="AJ160" s="501"/>
      <c r="AK160" s="501"/>
      <c r="AL160" s="501"/>
      <c r="AM160" s="501"/>
      <c r="AN160" s="501"/>
      <c r="AO160" s="501"/>
      <c r="AP160" s="501"/>
      <c r="AQ160" s="501"/>
      <c r="AR160" s="501"/>
      <c r="AS160" s="501"/>
      <c r="AT160" s="501"/>
      <c r="AU160" s="501"/>
      <c r="AV160" s="501">
        <v>0</v>
      </c>
      <c r="AW160" s="501"/>
      <c r="AX160" s="501"/>
      <c r="AY160" s="501"/>
      <c r="AZ160" s="501"/>
      <c r="BA160" s="501"/>
      <c r="BB160" s="483"/>
      <c r="BC160" s="483"/>
      <c r="BD160" s="483"/>
      <c r="BE160" s="483"/>
      <c r="BF160" s="483"/>
      <c r="BG160" s="483">
        <v>800000.00000000047</v>
      </c>
      <c r="BH160" s="483"/>
      <c r="BI160" s="483"/>
      <c r="BJ160" s="483"/>
      <c r="BK160" s="483"/>
      <c r="BL160" s="483"/>
      <c r="BM160" s="483"/>
      <c r="BN160" s="483"/>
      <c r="BO160" s="483"/>
      <c r="BP160" s="483"/>
      <c r="BQ160" s="483"/>
      <c r="BR160" s="483">
        <v>800000.00000000047</v>
      </c>
      <c r="BS160" s="484">
        <f t="shared" si="34"/>
        <v>0</v>
      </c>
      <c r="BT160" s="485">
        <v>0</v>
      </c>
      <c r="BU160" s="485">
        <v>0</v>
      </c>
      <c r="BV160" s="485">
        <v>0</v>
      </c>
      <c r="BW160" s="485">
        <v>1</v>
      </c>
      <c r="BX160" s="485">
        <v>0</v>
      </c>
      <c r="BY160" s="485">
        <v>0</v>
      </c>
      <c r="BZ160" s="485">
        <v>0</v>
      </c>
      <c r="CA160" s="485">
        <v>0</v>
      </c>
      <c r="CB160" s="485">
        <v>0</v>
      </c>
      <c r="CC160" s="485">
        <v>0</v>
      </c>
      <c r="CD160" s="485">
        <v>0</v>
      </c>
      <c r="CE160" s="485">
        <v>0</v>
      </c>
      <c r="CF160" s="485">
        <v>0</v>
      </c>
      <c r="CG160" s="485">
        <v>0</v>
      </c>
      <c r="CH160" s="485">
        <v>0</v>
      </c>
      <c r="CI160" s="485">
        <v>0</v>
      </c>
      <c r="CJ160" s="485">
        <v>0</v>
      </c>
      <c r="CK160" s="485">
        <v>0</v>
      </c>
      <c r="CL160" s="485">
        <v>0</v>
      </c>
      <c r="CM160" s="486">
        <f t="shared" si="35"/>
        <v>1</v>
      </c>
    </row>
    <row r="161" spans="1:91" s="487" customFormat="1" ht="38.25" customHeight="1" x14ac:dyDescent="0.25">
      <c r="A161" s="497" t="s">
        <v>114</v>
      </c>
      <c r="B161" s="498" t="s">
        <v>1710</v>
      </c>
      <c r="C161" s="497" t="s">
        <v>968</v>
      </c>
      <c r="D161" s="498"/>
      <c r="E161" s="497"/>
      <c r="F161" s="498"/>
      <c r="G161" s="497" t="s">
        <v>804</v>
      </c>
      <c r="H161" s="497" t="s">
        <v>654</v>
      </c>
      <c r="I161" s="497" t="s">
        <v>647</v>
      </c>
      <c r="J161" s="497" t="s">
        <v>641</v>
      </c>
      <c r="K161" s="497" t="s">
        <v>649</v>
      </c>
      <c r="L161" s="497" t="s">
        <v>40</v>
      </c>
      <c r="M161" s="497" t="s">
        <v>646</v>
      </c>
      <c r="N161" s="497" t="s">
        <v>645</v>
      </c>
      <c r="O161" s="497" t="s">
        <v>967</v>
      </c>
      <c r="P161" s="497" t="s">
        <v>823</v>
      </c>
      <c r="Q161" s="497" t="s">
        <v>642</v>
      </c>
      <c r="R161" s="497" t="s">
        <v>652</v>
      </c>
      <c r="S161" s="497" t="s">
        <v>649</v>
      </c>
      <c r="T161" s="497"/>
      <c r="U161" s="497"/>
      <c r="V161" s="497" t="s">
        <v>641</v>
      </c>
      <c r="W161" s="497" t="s">
        <v>666</v>
      </c>
      <c r="X161" s="499">
        <v>40939</v>
      </c>
      <c r="Y161" s="499">
        <v>43837</v>
      </c>
      <c r="Z161" s="500">
        <v>2016</v>
      </c>
      <c r="AA161" s="497" t="s">
        <v>649</v>
      </c>
      <c r="AB161" s="497"/>
      <c r="AC161" s="497"/>
      <c r="AD161" s="501"/>
      <c r="AE161" s="501">
        <v>9644239.1999654267</v>
      </c>
      <c r="AF161" s="501">
        <v>59039.999999999898</v>
      </c>
      <c r="AG161" s="501">
        <v>8215206.9562455788</v>
      </c>
      <c r="AH161" s="501"/>
      <c r="AI161" s="501">
        <v>8794358.9375017509</v>
      </c>
      <c r="AJ161" s="501">
        <v>2166280.0000480805</v>
      </c>
      <c r="AK161" s="501">
        <v>638684.99992769887</v>
      </c>
      <c r="AL161" s="501">
        <v>12049555.185119845</v>
      </c>
      <c r="AM161" s="501"/>
      <c r="AN161" s="501">
        <v>2274599.9999999963</v>
      </c>
      <c r="AO161" s="501">
        <v>2593899.0988298729</v>
      </c>
      <c r="AP161" s="501"/>
      <c r="AQ161" s="501">
        <v>7763314.61143649</v>
      </c>
      <c r="AR161" s="501">
        <v>1149076.6316199985</v>
      </c>
      <c r="AS161" s="501"/>
      <c r="AT161" s="501">
        <v>64999.999999999884</v>
      </c>
      <c r="AU161" s="501"/>
      <c r="AV161" s="501"/>
      <c r="AW161" s="501"/>
      <c r="AX161" s="501"/>
      <c r="AY161" s="501"/>
      <c r="AZ161" s="501"/>
      <c r="BA161" s="501"/>
      <c r="BB161" s="483">
        <v>5794027.680918646</v>
      </c>
      <c r="BC161" s="483">
        <v>3971560.7206124305</v>
      </c>
      <c r="BD161" s="483">
        <v>6518281.1410334762</v>
      </c>
      <c r="BE161" s="483">
        <v>194723.4441989375</v>
      </c>
      <c r="BF161" s="483">
        <v>1908314.3232224071</v>
      </c>
      <c r="BG161" s="483">
        <v>10560318.999999983</v>
      </c>
      <c r="BH161" s="483">
        <v>5204172.9999999907</v>
      </c>
      <c r="BI161" s="483"/>
      <c r="BJ161" s="483">
        <v>1511377.9999999974</v>
      </c>
      <c r="BK161" s="483">
        <v>351635.99999999942</v>
      </c>
      <c r="BL161" s="483"/>
      <c r="BM161" s="483"/>
      <c r="BN161" s="483">
        <v>9279999.9999999851</v>
      </c>
      <c r="BO161" s="483">
        <v>2244799.9999999963</v>
      </c>
      <c r="BP161" s="483"/>
      <c r="BQ161" s="483">
        <v>2525133.9999999963</v>
      </c>
      <c r="BR161" s="483">
        <v>105477602.93068063</v>
      </c>
      <c r="BS161" s="484">
        <f t="shared" si="34"/>
        <v>55413255.620694734</v>
      </c>
      <c r="BT161" s="485">
        <f t="shared" ref="BT161:CL161" si="38">SUMIFS($AD161:$BA161,$AD$11:$BA$11,BT$21)/$BS161</f>
        <v>0</v>
      </c>
      <c r="BU161" s="485">
        <f t="shared" si="38"/>
        <v>2.0736493800065814E-2</v>
      </c>
      <c r="BV161" s="485">
        <f t="shared" si="38"/>
        <v>0.14009851116809655</v>
      </c>
      <c r="BW161" s="485">
        <f t="shared" si="38"/>
        <v>0</v>
      </c>
      <c r="BX161" s="485">
        <f t="shared" si="38"/>
        <v>1.1730045324340205E-3</v>
      </c>
      <c r="BY161" s="485">
        <f t="shared" si="38"/>
        <v>0</v>
      </c>
      <c r="BZ161" s="485">
        <f t="shared" si="38"/>
        <v>0</v>
      </c>
      <c r="CA161" s="485">
        <f t="shared" si="38"/>
        <v>0</v>
      </c>
      <c r="CB161" s="485">
        <f t="shared" si="38"/>
        <v>0</v>
      </c>
      <c r="CC161" s="485">
        <f t="shared" si="38"/>
        <v>0.32336100731679684</v>
      </c>
      <c r="CD161" s="485">
        <f t="shared" si="38"/>
        <v>3.9093173208885737E-2</v>
      </c>
      <c r="CE161" s="485">
        <f t="shared" si="38"/>
        <v>0.15870496759294167</v>
      </c>
      <c r="CF161" s="485">
        <f t="shared" si="38"/>
        <v>1.1525852303274063E-2</v>
      </c>
      <c r="CG161" s="485">
        <f t="shared" si="38"/>
        <v>0</v>
      </c>
      <c r="CH161" s="485">
        <f t="shared" si="38"/>
        <v>0.21744896686091472</v>
      </c>
      <c r="CI161" s="485">
        <f t="shared" si="38"/>
        <v>4.6810083070830268E-2</v>
      </c>
      <c r="CJ161" s="485">
        <f t="shared" si="38"/>
        <v>4.104794014576036E-2</v>
      </c>
      <c r="CK161" s="485">
        <f t="shared" si="38"/>
        <v>0</v>
      </c>
      <c r="CL161" s="485">
        <f t="shared" si="38"/>
        <v>0</v>
      </c>
      <c r="CM161" s="486">
        <f t="shared" si="35"/>
        <v>1</v>
      </c>
    </row>
    <row r="162" spans="1:91" s="487" customFormat="1" ht="25.5" customHeight="1" x14ac:dyDescent="0.25">
      <c r="A162" s="497" t="s">
        <v>124</v>
      </c>
      <c r="B162" s="498" t="s">
        <v>2234</v>
      </c>
      <c r="C162" s="497" t="s">
        <v>966</v>
      </c>
      <c r="D162" s="498"/>
      <c r="E162" s="497"/>
      <c r="F162" s="498"/>
      <c r="G162" s="497"/>
      <c r="H162" s="497" t="s">
        <v>654</v>
      </c>
      <c r="I162" s="497" t="s">
        <v>647</v>
      </c>
      <c r="J162" s="497" t="s">
        <v>671</v>
      </c>
      <c r="K162" s="497" t="s">
        <v>649</v>
      </c>
      <c r="L162" s="497" t="s">
        <v>55</v>
      </c>
      <c r="M162" s="497" t="s">
        <v>646</v>
      </c>
      <c r="N162" s="497" t="s">
        <v>680</v>
      </c>
      <c r="O162" s="497"/>
      <c r="P162" s="497" t="s">
        <v>643</v>
      </c>
      <c r="Q162" s="497" t="s">
        <v>650</v>
      </c>
      <c r="R162" s="497" t="s">
        <v>652</v>
      </c>
      <c r="S162" s="497" t="s">
        <v>649</v>
      </c>
      <c r="T162" s="497"/>
      <c r="U162" s="497"/>
      <c r="V162" s="497" t="s">
        <v>683</v>
      </c>
      <c r="W162" s="497" t="s">
        <v>684</v>
      </c>
      <c r="X162" s="499">
        <v>42430</v>
      </c>
      <c r="Y162" s="499">
        <v>43060</v>
      </c>
      <c r="Z162" s="500">
        <v>2017</v>
      </c>
      <c r="AA162" s="497" t="s">
        <v>676</v>
      </c>
      <c r="AB162" s="497"/>
      <c r="AC162" s="497"/>
      <c r="AD162" s="501"/>
      <c r="AE162" s="501"/>
      <c r="AF162" s="501"/>
      <c r="AG162" s="501"/>
      <c r="AH162" s="501"/>
      <c r="AI162" s="501"/>
      <c r="AJ162" s="501"/>
      <c r="AK162" s="501"/>
      <c r="AL162" s="501"/>
      <c r="AM162" s="501"/>
      <c r="AN162" s="501"/>
      <c r="AO162" s="501"/>
      <c r="AP162" s="501"/>
      <c r="AQ162" s="501"/>
      <c r="AR162" s="501"/>
      <c r="AS162" s="501"/>
      <c r="AT162" s="501"/>
      <c r="AU162" s="501"/>
      <c r="AV162" s="501"/>
      <c r="AW162" s="501"/>
      <c r="AX162" s="501"/>
      <c r="AY162" s="501"/>
      <c r="AZ162" s="501"/>
      <c r="BA162" s="501"/>
      <c r="BB162" s="483"/>
      <c r="BC162" s="483"/>
      <c r="BD162" s="483"/>
      <c r="BE162" s="483"/>
      <c r="BF162" s="483"/>
      <c r="BG162" s="483">
        <v>3431793.8881851747</v>
      </c>
      <c r="BH162" s="483"/>
      <c r="BI162" s="483"/>
      <c r="BJ162" s="483"/>
      <c r="BK162" s="483"/>
      <c r="BL162" s="483"/>
      <c r="BM162" s="483"/>
      <c r="BN162" s="483"/>
      <c r="BO162" s="483"/>
      <c r="BP162" s="483"/>
      <c r="BQ162" s="483"/>
      <c r="BR162" s="483">
        <v>3431793.8881851747</v>
      </c>
      <c r="BS162" s="484">
        <f t="shared" si="34"/>
        <v>0</v>
      </c>
      <c r="BT162" s="485">
        <v>0</v>
      </c>
      <c r="BU162" s="485">
        <v>0</v>
      </c>
      <c r="BV162" s="485">
        <v>0</v>
      </c>
      <c r="BW162" s="485">
        <v>1</v>
      </c>
      <c r="BX162" s="485">
        <v>0</v>
      </c>
      <c r="BY162" s="485">
        <v>0</v>
      </c>
      <c r="BZ162" s="485">
        <v>0</v>
      </c>
      <c r="CA162" s="485">
        <v>0</v>
      </c>
      <c r="CB162" s="485">
        <v>0</v>
      </c>
      <c r="CC162" s="485">
        <v>0</v>
      </c>
      <c r="CD162" s="485">
        <v>0</v>
      </c>
      <c r="CE162" s="485">
        <v>0</v>
      </c>
      <c r="CF162" s="485">
        <v>0</v>
      </c>
      <c r="CG162" s="485">
        <v>0</v>
      </c>
      <c r="CH162" s="485">
        <v>0</v>
      </c>
      <c r="CI162" s="485">
        <v>0</v>
      </c>
      <c r="CJ162" s="485">
        <v>0</v>
      </c>
      <c r="CK162" s="485">
        <v>0</v>
      </c>
      <c r="CL162" s="485">
        <v>0</v>
      </c>
      <c r="CM162" s="486">
        <f t="shared" si="35"/>
        <v>1</v>
      </c>
    </row>
    <row r="163" spans="1:91" s="487" customFormat="1" ht="38.25" x14ac:dyDescent="0.25">
      <c r="A163" s="497" t="s">
        <v>139</v>
      </c>
      <c r="B163" s="498" t="s">
        <v>1314</v>
      </c>
      <c r="C163" s="497" t="s">
        <v>965</v>
      </c>
      <c r="D163" s="498"/>
      <c r="E163" s="497"/>
      <c r="F163" s="498"/>
      <c r="G163" s="497" t="s">
        <v>722</v>
      </c>
      <c r="H163" s="497" t="s">
        <v>654</v>
      </c>
      <c r="I163" s="497" t="s">
        <v>647</v>
      </c>
      <c r="J163" s="497" t="s">
        <v>671</v>
      </c>
      <c r="K163" s="497" t="s">
        <v>663</v>
      </c>
      <c r="L163" s="497" t="s">
        <v>107</v>
      </c>
      <c r="M163" s="497" t="s">
        <v>646</v>
      </c>
      <c r="N163" s="497" t="s">
        <v>680</v>
      </c>
      <c r="O163" s="497" t="s">
        <v>913</v>
      </c>
      <c r="P163" s="497" t="s">
        <v>823</v>
      </c>
      <c r="Q163" s="497" t="s">
        <v>650</v>
      </c>
      <c r="R163" s="497" t="s">
        <v>652</v>
      </c>
      <c r="S163" s="497" t="s">
        <v>649</v>
      </c>
      <c r="T163" s="497" t="s">
        <v>107</v>
      </c>
      <c r="U163" s="497" t="s">
        <v>689</v>
      </c>
      <c r="V163" s="497" t="s">
        <v>683</v>
      </c>
      <c r="W163" s="497" t="s">
        <v>666</v>
      </c>
      <c r="X163" s="499"/>
      <c r="Y163" s="499"/>
      <c r="Z163" s="500">
        <v>2016</v>
      </c>
      <c r="AA163" s="497" t="s">
        <v>663</v>
      </c>
      <c r="AB163" s="497" t="s">
        <v>675</v>
      </c>
      <c r="AC163" s="497" t="s">
        <v>663</v>
      </c>
      <c r="AD163" s="501"/>
      <c r="AE163" s="501"/>
      <c r="AF163" s="501"/>
      <c r="AG163" s="501"/>
      <c r="AH163" s="501"/>
      <c r="AI163" s="501"/>
      <c r="AJ163" s="501"/>
      <c r="AK163" s="501"/>
      <c r="AL163" s="501"/>
      <c r="AM163" s="501"/>
      <c r="AN163" s="501"/>
      <c r="AO163" s="501"/>
      <c r="AP163" s="501"/>
      <c r="AQ163" s="501"/>
      <c r="AR163" s="501"/>
      <c r="AS163" s="501"/>
      <c r="AT163" s="501"/>
      <c r="AU163" s="501"/>
      <c r="AV163" s="501"/>
      <c r="AW163" s="501"/>
      <c r="AX163" s="501"/>
      <c r="AY163" s="501"/>
      <c r="AZ163" s="501"/>
      <c r="BA163" s="501"/>
      <c r="BB163" s="483"/>
      <c r="BC163" s="483"/>
      <c r="BD163" s="483"/>
      <c r="BE163" s="483"/>
      <c r="BF163" s="483"/>
      <c r="BG163" s="483"/>
      <c r="BH163" s="483"/>
      <c r="BI163" s="483"/>
      <c r="BJ163" s="483"/>
      <c r="BK163" s="483"/>
      <c r="BL163" s="483"/>
      <c r="BM163" s="483"/>
      <c r="BN163" s="483"/>
      <c r="BO163" s="483"/>
      <c r="BP163" s="483"/>
      <c r="BQ163" s="483"/>
      <c r="BR163" s="483"/>
      <c r="BS163" s="484">
        <f t="shared" si="34"/>
        <v>0</v>
      </c>
      <c r="BT163" s="485">
        <v>0</v>
      </c>
      <c r="BU163" s="485">
        <v>0</v>
      </c>
      <c r="BV163" s="485">
        <v>0</v>
      </c>
      <c r="BW163" s="485">
        <v>1</v>
      </c>
      <c r="BX163" s="485">
        <v>0</v>
      </c>
      <c r="BY163" s="485">
        <v>0</v>
      </c>
      <c r="BZ163" s="485">
        <v>0</v>
      </c>
      <c r="CA163" s="485">
        <v>0</v>
      </c>
      <c r="CB163" s="485">
        <v>0</v>
      </c>
      <c r="CC163" s="485">
        <v>0</v>
      </c>
      <c r="CD163" s="485">
        <v>0</v>
      </c>
      <c r="CE163" s="485">
        <v>0</v>
      </c>
      <c r="CF163" s="485">
        <v>0</v>
      </c>
      <c r="CG163" s="485">
        <v>0</v>
      </c>
      <c r="CH163" s="485">
        <v>0</v>
      </c>
      <c r="CI163" s="485">
        <v>0</v>
      </c>
      <c r="CJ163" s="485">
        <v>0</v>
      </c>
      <c r="CK163" s="485">
        <v>0</v>
      </c>
      <c r="CL163" s="485">
        <v>0</v>
      </c>
      <c r="CM163" s="486">
        <f t="shared" si="35"/>
        <v>1</v>
      </c>
    </row>
    <row r="164" spans="1:91" s="487" customFormat="1" ht="25.5" customHeight="1" x14ac:dyDescent="0.25">
      <c r="A164" s="497" t="s">
        <v>143</v>
      </c>
      <c r="B164" s="498" t="s">
        <v>2358</v>
      </c>
      <c r="C164" s="497" t="s">
        <v>964</v>
      </c>
      <c r="D164" s="498"/>
      <c r="E164" s="497"/>
      <c r="F164" s="498"/>
      <c r="G164" s="497"/>
      <c r="H164" s="497" t="s">
        <v>654</v>
      </c>
      <c r="I164" s="497" t="s">
        <v>647</v>
      </c>
      <c r="J164" s="497" t="s">
        <v>641</v>
      </c>
      <c r="K164" s="497"/>
      <c r="L164" s="497" t="s">
        <v>107</v>
      </c>
      <c r="M164" s="497" t="s">
        <v>646</v>
      </c>
      <c r="N164" s="497" t="s">
        <v>645</v>
      </c>
      <c r="O164" s="497"/>
      <c r="P164" s="497"/>
      <c r="Q164" s="497" t="s">
        <v>650</v>
      </c>
      <c r="R164" s="497" t="s">
        <v>652</v>
      </c>
      <c r="S164" s="497" t="s">
        <v>649</v>
      </c>
      <c r="T164" s="497"/>
      <c r="U164" s="497"/>
      <c r="V164" s="497" t="s">
        <v>641</v>
      </c>
      <c r="W164" s="497" t="s">
        <v>666</v>
      </c>
      <c r="X164" s="499">
        <v>42552</v>
      </c>
      <c r="Y164" s="499">
        <v>43280</v>
      </c>
      <c r="Z164" s="500">
        <v>2018</v>
      </c>
      <c r="AA164" s="497"/>
      <c r="AB164" s="497"/>
      <c r="AC164" s="497"/>
      <c r="AD164" s="501"/>
      <c r="AE164" s="501"/>
      <c r="AF164" s="501"/>
      <c r="AG164" s="501">
        <v>32859.999999999985</v>
      </c>
      <c r="AH164" s="501"/>
      <c r="AI164" s="501"/>
      <c r="AJ164" s="501"/>
      <c r="AK164" s="501"/>
      <c r="AL164" s="501">
        <v>19999.999999999993</v>
      </c>
      <c r="AM164" s="501"/>
      <c r="AN164" s="501"/>
      <c r="AO164" s="501">
        <v>448498.60405907989</v>
      </c>
      <c r="AP164" s="501">
        <v>112276.00999999995</v>
      </c>
      <c r="AQ164" s="501"/>
      <c r="AR164" s="501"/>
      <c r="AS164" s="501"/>
      <c r="AT164" s="501"/>
      <c r="AU164" s="501"/>
      <c r="AV164" s="501"/>
      <c r="AW164" s="501"/>
      <c r="AX164" s="501"/>
      <c r="AY164" s="501"/>
      <c r="AZ164" s="501"/>
      <c r="BA164" s="501"/>
      <c r="BB164" s="483">
        <v>240845.1921088619</v>
      </c>
      <c r="BC164" s="483">
        <v>72563.461405907976</v>
      </c>
      <c r="BD164" s="483">
        <v>90704.326757384973</v>
      </c>
      <c r="BE164" s="483">
        <v>2798.8058844108959</v>
      </c>
      <c r="BF164" s="483">
        <v>0</v>
      </c>
      <c r="BG164" s="483">
        <v>303661.36236363382</v>
      </c>
      <c r="BH164" s="483"/>
      <c r="BI164" s="483"/>
      <c r="BJ164" s="483"/>
      <c r="BK164" s="483"/>
      <c r="BL164" s="483"/>
      <c r="BM164" s="483"/>
      <c r="BN164" s="483"/>
      <c r="BO164" s="483"/>
      <c r="BP164" s="483"/>
      <c r="BQ164" s="483"/>
      <c r="BR164" s="483">
        <v>1324207.7625792795</v>
      </c>
      <c r="BS164" s="484">
        <f t="shared" si="34"/>
        <v>613634.6140590799</v>
      </c>
      <c r="BT164" s="485">
        <f t="shared" ref="BT164:CC172" si="39">SUMIFS($AD164:$BA164,$AD$11:$BA$11,BT$21)/$BS164</f>
        <v>0</v>
      </c>
      <c r="BU164" s="485">
        <f t="shared" si="39"/>
        <v>0</v>
      </c>
      <c r="BV164" s="485">
        <f t="shared" si="39"/>
        <v>0</v>
      </c>
      <c r="BW164" s="485">
        <f t="shared" si="39"/>
        <v>0</v>
      </c>
      <c r="BX164" s="485">
        <f t="shared" si="39"/>
        <v>0</v>
      </c>
      <c r="BY164" s="485">
        <f t="shared" si="39"/>
        <v>0</v>
      </c>
      <c r="BZ164" s="485">
        <f t="shared" si="39"/>
        <v>0</v>
      </c>
      <c r="CA164" s="485">
        <f t="shared" si="39"/>
        <v>0</v>
      </c>
      <c r="CB164" s="485">
        <f t="shared" si="39"/>
        <v>0</v>
      </c>
      <c r="CC164" s="485">
        <f t="shared" si="39"/>
        <v>5.3549782308786563E-2</v>
      </c>
      <c r="CD164" s="485">
        <f t="shared" ref="CD164:CL172" si="40">SUMIFS($AD164:$BA164,$AD$11:$BA$11,CD$21)/$BS164</f>
        <v>0</v>
      </c>
      <c r="CE164" s="485">
        <f t="shared" si="40"/>
        <v>0</v>
      </c>
      <c r="CF164" s="485">
        <f t="shared" si="40"/>
        <v>0</v>
      </c>
      <c r="CG164" s="485">
        <f t="shared" si="40"/>
        <v>0</v>
      </c>
      <c r="CH164" s="485">
        <f t="shared" si="40"/>
        <v>3.2592685519650985E-2</v>
      </c>
      <c r="CI164" s="485">
        <f t="shared" si="40"/>
        <v>0.73088869790500288</v>
      </c>
      <c r="CJ164" s="485">
        <f t="shared" si="40"/>
        <v>0</v>
      </c>
      <c r="CK164" s="485">
        <f t="shared" si="40"/>
        <v>0</v>
      </c>
      <c r="CL164" s="485">
        <f t="shared" si="40"/>
        <v>0.18296883426655944</v>
      </c>
      <c r="CM164" s="486">
        <f t="shared" si="35"/>
        <v>0.99999999999999978</v>
      </c>
    </row>
    <row r="165" spans="1:91" s="487" customFormat="1" ht="25.5" customHeight="1" x14ac:dyDescent="0.25">
      <c r="A165" s="497" t="s">
        <v>149</v>
      </c>
      <c r="B165" s="498" t="s">
        <v>1748</v>
      </c>
      <c r="C165" s="497" t="s">
        <v>963</v>
      </c>
      <c r="D165" s="498"/>
      <c r="E165" s="497" t="s">
        <v>962</v>
      </c>
      <c r="F165" s="498"/>
      <c r="G165" s="497" t="s">
        <v>648</v>
      </c>
      <c r="H165" s="497" t="s">
        <v>654</v>
      </c>
      <c r="I165" s="497" t="s">
        <v>647</v>
      </c>
      <c r="J165" s="497" t="s">
        <v>641</v>
      </c>
      <c r="K165" s="497" t="s">
        <v>649</v>
      </c>
      <c r="L165" s="497" t="s">
        <v>40</v>
      </c>
      <c r="M165" s="497" t="s">
        <v>646</v>
      </c>
      <c r="N165" s="497"/>
      <c r="O165" s="497"/>
      <c r="P165" s="497"/>
      <c r="Q165" s="497" t="s">
        <v>650</v>
      </c>
      <c r="R165" s="497" t="s">
        <v>652</v>
      </c>
      <c r="S165" s="497" t="s">
        <v>649</v>
      </c>
      <c r="T165" s="497"/>
      <c r="U165" s="497"/>
      <c r="V165" s="497" t="s">
        <v>59</v>
      </c>
      <c r="W165" s="497" t="s">
        <v>677</v>
      </c>
      <c r="X165" s="499">
        <v>41456</v>
      </c>
      <c r="Y165" s="499">
        <v>41831</v>
      </c>
      <c r="Z165" s="500">
        <v>2014</v>
      </c>
      <c r="AA165" s="497" t="s">
        <v>663</v>
      </c>
      <c r="AB165" s="497" t="s">
        <v>675</v>
      </c>
      <c r="AC165" s="497" t="s">
        <v>663</v>
      </c>
      <c r="AD165" s="501"/>
      <c r="AE165" s="501"/>
      <c r="AF165" s="501"/>
      <c r="AG165" s="501"/>
      <c r="AH165" s="501"/>
      <c r="AI165" s="501"/>
      <c r="AJ165" s="501"/>
      <c r="AK165" s="501"/>
      <c r="AL165" s="501"/>
      <c r="AM165" s="501"/>
      <c r="AN165" s="501"/>
      <c r="AO165" s="501"/>
      <c r="AP165" s="501"/>
      <c r="AQ165" s="501"/>
      <c r="AR165" s="501"/>
      <c r="AS165" s="501"/>
      <c r="AT165" s="501"/>
      <c r="AU165" s="501"/>
      <c r="AV165" s="501">
        <v>79999.999999999985</v>
      </c>
      <c r="AW165" s="501">
        <v>120000</v>
      </c>
      <c r="AX165" s="501"/>
      <c r="AY165" s="501"/>
      <c r="AZ165" s="501"/>
      <c r="BA165" s="501"/>
      <c r="BB165" s="483"/>
      <c r="BC165" s="483"/>
      <c r="BD165" s="483"/>
      <c r="BE165" s="483"/>
      <c r="BF165" s="483"/>
      <c r="BG165" s="483"/>
      <c r="BH165" s="483"/>
      <c r="BI165" s="483"/>
      <c r="BJ165" s="483"/>
      <c r="BK165" s="483"/>
      <c r="BL165" s="483"/>
      <c r="BM165" s="483"/>
      <c r="BN165" s="483"/>
      <c r="BO165" s="483"/>
      <c r="BP165" s="483"/>
      <c r="BQ165" s="483"/>
      <c r="BR165" s="483">
        <v>200000</v>
      </c>
      <c r="BS165" s="484">
        <f t="shared" si="34"/>
        <v>200000</v>
      </c>
      <c r="BT165" s="485">
        <f t="shared" si="39"/>
        <v>0</v>
      </c>
      <c r="BU165" s="485">
        <f t="shared" si="39"/>
        <v>0</v>
      </c>
      <c r="BV165" s="485">
        <f t="shared" si="39"/>
        <v>0</v>
      </c>
      <c r="BW165" s="485">
        <f t="shared" si="39"/>
        <v>1</v>
      </c>
      <c r="BX165" s="485">
        <f t="shared" si="39"/>
        <v>0</v>
      </c>
      <c r="BY165" s="485">
        <f t="shared" si="39"/>
        <v>0</v>
      </c>
      <c r="BZ165" s="485">
        <f t="shared" si="39"/>
        <v>0</v>
      </c>
      <c r="CA165" s="485">
        <f t="shared" si="39"/>
        <v>0</v>
      </c>
      <c r="CB165" s="485">
        <f t="shared" si="39"/>
        <v>0</v>
      </c>
      <c r="CC165" s="485">
        <f t="shared" si="39"/>
        <v>0</v>
      </c>
      <c r="CD165" s="485">
        <f t="shared" si="40"/>
        <v>0</v>
      </c>
      <c r="CE165" s="485">
        <f t="shared" si="40"/>
        <v>0</v>
      </c>
      <c r="CF165" s="485">
        <f t="shared" si="40"/>
        <v>0</v>
      </c>
      <c r="CG165" s="485">
        <f t="shared" si="40"/>
        <v>0</v>
      </c>
      <c r="CH165" s="485">
        <f t="shared" si="40"/>
        <v>0</v>
      </c>
      <c r="CI165" s="485">
        <f t="shared" si="40"/>
        <v>0</v>
      </c>
      <c r="CJ165" s="485">
        <f t="shared" si="40"/>
        <v>0</v>
      </c>
      <c r="CK165" s="485">
        <f t="shared" si="40"/>
        <v>0</v>
      </c>
      <c r="CL165" s="485">
        <f t="shared" si="40"/>
        <v>0</v>
      </c>
      <c r="CM165" s="486">
        <f t="shared" si="35"/>
        <v>1</v>
      </c>
    </row>
    <row r="166" spans="1:91" s="487" customFormat="1" ht="25.5" customHeight="1" x14ac:dyDescent="0.25">
      <c r="A166" s="497" t="s">
        <v>151</v>
      </c>
      <c r="B166" s="498" t="s">
        <v>1750</v>
      </c>
      <c r="C166" s="497" t="s">
        <v>961</v>
      </c>
      <c r="D166" s="498"/>
      <c r="E166" s="497" t="s">
        <v>779</v>
      </c>
      <c r="F166" s="498"/>
      <c r="G166" s="497" t="s">
        <v>648</v>
      </c>
      <c r="H166" s="497" t="s">
        <v>654</v>
      </c>
      <c r="I166" s="497" t="s">
        <v>647</v>
      </c>
      <c r="J166" s="497" t="s">
        <v>671</v>
      </c>
      <c r="K166" s="497" t="s">
        <v>649</v>
      </c>
      <c r="L166" s="497" t="s">
        <v>36</v>
      </c>
      <c r="M166" s="497" t="s">
        <v>646</v>
      </c>
      <c r="N166" s="497" t="s">
        <v>699</v>
      </c>
      <c r="O166" s="497"/>
      <c r="P166" s="497"/>
      <c r="Q166" s="497" t="s">
        <v>650</v>
      </c>
      <c r="R166" s="497" t="s">
        <v>652</v>
      </c>
      <c r="S166" s="497"/>
      <c r="T166" s="497" t="s">
        <v>107</v>
      </c>
      <c r="U166" s="497"/>
      <c r="V166" s="497" t="s">
        <v>36</v>
      </c>
      <c r="W166" s="497" t="s">
        <v>666</v>
      </c>
      <c r="X166" s="499">
        <v>41456</v>
      </c>
      <c r="Y166" s="499">
        <v>41771</v>
      </c>
      <c r="Z166" s="500">
        <v>2014</v>
      </c>
      <c r="AA166" s="497" t="s">
        <v>676</v>
      </c>
      <c r="AB166" s="497" t="s">
        <v>675</v>
      </c>
      <c r="AC166" s="497" t="s">
        <v>663</v>
      </c>
      <c r="AD166" s="501"/>
      <c r="AE166" s="501"/>
      <c r="AF166" s="501"/>
      <c r="AG166" s="501"/>
      <c r="AH166" s="501"/>
      <c r="AI166" s="501"/>
      <c r="AJ166" s="501"/>
      <c r="AK166" s="501"/>
      <c r="AL166" s="501"/>
      <c r="AM166" s="501"/>
      <c r="AN166" s="501"/>
      <c r="AO166" s="501"/>
      <c r="AP166" s="501"/>
      <c r="AQ166" s="501"/>
      <c r="AR166" s="501"/>
      <c r="AS166" s="501"/>
      <c r="AT166" s="501"/>
      <c r="AU166" s="501">
        <v>49999.999999999993</v>
      </c>
      <c r="AV166" s="501"/>
      <c r="AW166" s="501"/>
      <c r="AX166" s="501"/>
      <c r="AY166" s="501"/>
      <c r="AZ166" s="501"/>
      <c r="BA166" s="501"/>
      <c r="BB166" s="483"/>
      <c r="BC166" s="483"/>
      <c r="BD166" s="483"/>
      <c r="BE166" s="483"/>
      <c r="BF166" s="483"/>
      <c r="BG166" s="483"/>
      <c r="BH166" s="483"/>
      <c r="BI166" s="483"/>
      <c r="BJ166" s="483"/>
      <c r="BK166" s="483"/>
      <c r="BL166" s="483"/>
      <c r="BM166" s="483"/>
      <c r="BN166" s="483"/>
      <c r="BO166" s="483"/>
      <c r="BP166" s="483"/>
      <c r="BQ166" s="483"/>
      <c r="BR166" s="483">
        <v>49999.999999999993</v>
      </c>
      <c r="BS166" s="484">
        <f t="shared" si="34"/>
        <v>49999.999999999993</v>
      </c>
      <c r="BT166" s="485">
        <f t="shared" si="39"/>
        <v>1</v>
      </c>
      <c r="BU166" s="485">
        <f t="shared" si="39"/>
        <v>0</v>
      </c>
      <c r="BV166" s="485">
        <f t="shared" si="39"/>
        <v>0</v>
      </c>
      <c r="BW166" s="485">
        <f t="shared" si="39"/>
        <v>0</v>
      </c>
      <c r="BX166" s="485">
        <f t="shared" si="39"/>
        <v>0</v>
      </c>
      <c r="BY166" s="485">
        <f t="shared" si="39"/>
        <v>0</v>
      </c>
      <c r="BZ166" s="485">
        <f t="shared" si="39"/>
        <v>0</v>
      </c>
      <c r="CA166" s="485">
        <f t="shared" si="39"/>
        <v>0</v>
      </c>
      <c r="CB166" s="485">
        <f t="shared" si="39"/>
        <v>0</v>
      </c>
      <c r="CC166" s="485">
        <f t="shared" si="39"/>
        <v>0</v>
      </c>
      <c r="CD166" s="485">
        <f t="shared" si="40"/>
        <v>0</v>
      </c>
      <c r="CE166" s="485">
        <f t="shared" si="40"/>
        <v>0</v>
      </c>
      <c r="CF166" s="485">
        <f t="shared" si="40"/>
        <v>0</v>
      </c>
      <c r="CG166" s="485">
        <f t="shared" si="40"/>
        <v>0</v>
      </c>
      <c r="CH166" s="485">
        <f t="shared" si="40"/>
        <v>0</v>
      </c>
      <c r="CI166" s="485">
        <f t="shared" si="40"/>
        <v>0</v>
      </c>
      <c r="CJ166" s="485">
        <f t="shared" si="40"/>
        <v>0</v>
      </c>
      <c r="CK166" s="485">
        <f t="shared" si="40"/>
        <v>0</v>
      </c>
      <c r="CL166" s="485">
        <f t="shared" si="40"/>
        <v>0</v>
      </c>
      <c r="CM166" s="486">
        <f t="shared" si="35"/>
        <v>1</v>
      </c>
    </row>
    <row r="167" spans="1:91" s="487" customFormat="1" ht="25.5" customHeight="1" x14ac:dyDescent="0.25">
      <c r="A167" s="497" t="s">
        <v>155</v>
      </c>
      <c r="B167" s="498" t="s">
        <v>1754</v>
      </c>
      <c r="C167" s="497" t="s">
        <v>960</v>
      </c>
      <c r="D167" s="498"/>
      <c r="E167" s="497" t="s">
        <v>779</v>
      </c>
      <c r="F167" s="498"/>
      <c r="G167" s="497" t="s">
        <v>648</v>
      </c>
      <c r="H167" s="497" t="s">
        <v>654</v>
      </c>
      <c r="I167" s="497" t="s">
        <v>647</v>
      </c>
      <c r="J167" s="497" t="s">
        <v>671</v>
      </c>
      <c r="K167" s="497" t="s">
        <v>649</v>
      </c>
      <c r="L167" s="497" t="s">
        <v>36</v>
      </c>
      <c r="M167" s="497" t="s">
        <v>646</v>
      </c>
      <c r="N167" s="497" t="s">
        <v>668</v>
      </c>
      <c r="O167" s="497"/>
      <c r="P167" s="497"/>
      <c r="Q167" s="497" t="s">
        <v>650</v>
      </c>
      <c r="R167" s="497" t="s">
        <v>652</v>
      </c>
      <c r="S167" s="497"/>
      <c r="T167" s="497"/>
      <c r="U167" s="497"/>
      <c r="V167" s="497" t="s">
        <v>36</v>
      </c>
      <c r="W167" s="497" t="s">
        <v>666</v>
      </c>
      <c r="X167" s="499">
        <v>41456</v>
      </c>
      <c r="Y167" s="499">
        <v>41771</v>
      </c>
      <c r="Z167" s="500">
        <v>2014</v>
      </c>
      <c r="AA167" s="497" t="s">
        <v>676</v>
      </c>
      <c r="AB167" s="497" t="s">
        <v>675</v>
      </c>
      <c r="AC167" s="497" t="s">
        <v>663</v>
      </c>
      <c r="AD167" s="501"/>
      <c r="AE167" s="501"/>
      <c r="AF167" s="501"/>
      <c r="AG167" s="501"/>
      <c r="AH167" s="501"/>
      <c r="AI167" s="501"/>
      <c r="AJ167" s="501"/>
      <c r="AK167" s="501"/>
      <c r="AL167" s="501"/>
      <c r="AM167" s="501"/>
      <c r="AN167" s="501"/>
      <c r="AO167" s="501"/>
      <c r="AP167" s="501"/>
      <c r="AQ167" s="501"/>
      <c r="AR167" s="501"/>
      <c r="AS167" s="501"/>
      <c r="AT167" s="501"/>
      <c r="AU167" s="501"/>
      <c r="AV167" s="501"/>
      <c r="AW167" s="501"/>
      <c r="AX167" s="501"/>
      <c r="AY167" s="501"/>
      <c r="AZ167" s="501">
        <v>339999.99999999988</v>
      </c>
      <c r="BA167" s="501"/>
      <c r="BB167" s="483"/>
      <c r="BC167" s="483"/>
      <c r="BD167" s="483"/>
      <c r="BE167" s="483"/>
      <c r="BF167" s="483"/>
      <c r="BG167" s="483"/>
      <c r="BH167" s="483"/>
      <c r="BI167" s="483"/>
      <c r="BJ167" s="483"/>
      <c r="BK167" s="483"/>
      <c r="BL167" s="483"/>
      <c r="BM167" s="483"/>
      <c r="BN167" s="483"/>
      <c r="BO167" s="483"/>
      <c r="BP167" s="483"/>
      <c r="BQ167" s="483"/>
      <c r="BR167" s="483">
        <v>339999.99999999988</v>
      </c>
      <c r="BS167" s="484">
        <f t="shared" si="34"/>
        <v>339999.99999999988</v>
      </c>
      <c r="BT167" s="485">
        <f t="shared" si="39"/>
        <v>0</v>
      </c>
      <c r="BU167" s="485">
        <f t="shared" si="39"/>
        <v>0</v>
      </c>
      <c r="BV167" s="485">
        <f t="shared" si="39"/>
        <v>0</v>
      </c>
      <c r="BW167" s="485">
        <f t="shared" si="39"/>
        <v>0</v>
      </c>
      <c r="BX167" s="485">
        <f t="shared" si="39"/>
        <v>0</v>
      </c>
      <c r="BY167" s="485">
        <f t="shared" si="39"/>
        <v>0</v>
      </c>
      <c r="BZ167" s="485">
        <f t="shared" si="39"/>
        <v>0</v>
      </c>
      <c r="CA167" s="485">
        <f t="shared" si="39"/>
        <v>1</v>
      </c>
      <c r="CB167" s="485">
        <f t="shared" si="39"/>
        <v>0</v>
      </c>
      <c r="CC167" s="485">
        <f t="shared" si="39"/>
        <v>0</v>
      </c>
      <c r="CD167" s="485">
        <f t="shared" si="40"/>
        <v>0</v>
      </c>
      <c r="CE167" s="485">
        <f t="shared" si="40"/>
        <v>0</v>
      </c>
      <c r="CF167" s="485">
        <f t="shared" si="40"/>
        <v>0</v>
      </c>
      <c r="CG167" s="485">
        <f t="shared" si="40"/>
        <v>0</v>
      </c>
      <c r="CH167" s="485">
        <f t="shared" si="40"/>
        <v>0</v>
      </c>
      <c r="CI167" s="485">
        <f t="shared" si="40"/>
        <v>0</v>
      </c>
      <c r="CJ167" s="485">
        <f t="shared" si="40"/>
        <v>0</v>
      </c>
      <c r="CK167" s="485">
        <f t="shared" si="40"/>
        <v>0</v>
      </c>
      <c r="CL167" s="485">
        <f t="shared" si="40"/>
        <v>0</v>
      </c>
      <c r="CM167" s="486">
        <f t="shared" si="35"/>
        <v>1</v>
      </c>
    </row>
    <row r="168" spans="1:91" s="487" customFormat="1" ht="25.5" customHeight="1" x14ac:dyDescent="0.25">
      <c r="A168" s="497" t="s">
        <v>156</v>
      </c>
      <c r="B168" s="498" t="s">
        <v>1756</v>
      </c>
      <c r="C168" s="497" t="s">
        <v>959</v>
      </c>
      <c r="D168" s="498"/>
      <c r="E168" s="497" t="s">
        <v>700</v>
      </c>
      <c r="F168" s="498"/>
      <c r="G168" s="497" t="s">
        <v>691</v>
      </c>
      <c r="H168" s="497" t="s">
        <v>654</v>
      </c>
      <c r="I168" s="497" t="s">
        <v>647</v>
      </c>
      <c r="J168" s="497" t="s">
        <v>641</v>
      </c>
      <c r="K168" s="497" t="s">
        <v>649</v>
      </c>
      <c r="L168" s="497" t="s">
        <v>41</v>
      </c>
      <c r="M168" s="497" t="s">
        <v>646</v>
      </c>
      <c r="N168" s="497" t="s">
        <v>699</v>
      </c>
      <c r="O168" s="497"/>
      <c r="P168" s="497"/>
      <c r="Q168" s="497" t="s">
        <v>656</v>
      </c>
      <c r="R168" s="497" t="s">
        <v>652</v>
      </c>
      <c r="S168" s="497" t="s">
        <v>649</v>
      </c>
      <c r="T168" s="497"/>
      <c r="U168" s="497"/>
      <c r="V168" s="497" t="s">
        <v>641</v>
      </c>
      <c r="W168" s="497" t="s">
        <v>954</v>
      </c>
      <c r="X168" s="499">
        <v>41487</v>
      </c>
      <c r="Y168" s="499">
        <v>42270</v>
      </c>
      <c r="Z168" s="500">
        <v>2015</v>
      </c>
      <c r="AA168" s="497" t="s">
        <v>663</v>
      </c>
      <c r="AB168" s="497" t="s">
        <v>697</v>
      </c>
      <c r="AC168" s="497" t="s">
        <v>649</v>
      </c>
      <c r="AD168" s="501"/>
      <c r="AE168" s="501"/>
      <c r="AF168" s="501"/>
      <c r="AG168" s="501"/>
      <c r="AH168" s="501"/>
      <c r="AI168" s="501"/>
      <c r="AJ168" s="501"/>
      <c r="AK168" s="501"/>
      <c r="AL168" s="501"/>
      <c r="AM168" s="501"/>
      <c r="AN168" s="501"/>
      <c r="AO168" s="501"/>
      <c r="AP168" s="501">
        <v>1254957.6399999994</v>
      </c>
      <c r="AQ168" s="501"/>
      <c r="AR168" s="501"/>
      <c r="AS168" s="501"/>
      <c r="AT168" s="501"/>
      <c r="AU168" s="501"/>
      <c r="AV168" s="501"/>
      <c r="AW168" s="501"/>
      <c r="AX168" s="501"/>
      <c r="AY168" s="501"/>
      <c r="AZ168" s="501"/>
      <c r="BA168" s="501"/>
      <c r="BB168" s="483">
        <v>151337.99999999994</v>
      </c>
      <c r="BC168" s="483">
        <v>100891.99999999997</v>
      </c>
      <c r="BD168" s="483">
        <v>170255.24999999991</v>
      </c>
      <c r="BE168" s="483">
        <v>4612.9679474999994</v>
      </c>
      <c r="BF168" s="483"/>
      <c r="BG168" s="483">
        <v>42051.396448687497</v>
      </c>
      <c r="BH168" s="483">
        <v>33641.117158949986</v>
      </c>
      <c r="BI168" s="483">
        <v>16820.558579474993</v>
      </c>
      <c r="BJ168" s="483">
        <v>50461.675738424965</v>
      </c>
      <c r="BK168" s="483">
        <v>25230.837869212482</v>
      </c>
      <c r="BL168" s="483">
        <v>50461.675738424958</v>
      </c>
      <c r="BM168" s="483">
        <v>33641.117158949994</v>
      </c>
      <c r="BN168" s="483"/>
      <c r="BO168" s="483"/>
      <c r="BP168" s="483"/>
      <c r="BQ168" s="483">
        <v>299999.99999999988</v>
      </c>
      <c r="BR168" s="483">
        <v>2234364.236639624</v>
      </c>
      <c r="BS168" s="484">
        <f t="shared" si="34"/>
        <v>1254957.6399999994</v>
      </c>
      <c r="BT168" s="485">
        <f t="shared" si="39"/>
        <v>0</v>
      </c>
      <c r="BU168" s="485">
        <f t="shared" si="39"/>
        <v>0</v>
      </c>
      <c r="BV168" s="485">
        <f t="shared" si="39"/>
        <v>0</v>
      </c>
      <c r="BW168" s="485">
        <f t="shared" si="39"/>
        <v>0</v>
      </c>
      <c r="BX168" s="485">
        <f t="shared" si="39"/>
        <v>0</v>
      </c>
      <c r="BY168" s="485">
        <f t="shared" si="39"/>
        <v>0</v>
      </c>
      <c r="BZ168" s="485">
        <f t="shared" si="39"/>
        <v>0</v>
      </c>
      <c r="CA168" s="485">
        <f t="shared" si="39"/>
        <v>0</v>
      </c>
      <c r="CB168" s="485">
        <f t="shared" si="39"/>
        <v>0</v>
      </c>
      <c r="CC168" s="485">
        <f t="shared" si="39"/>
        <v>0</v>
      </c>
      <c r="CD168" s="485">
        <f t="shared" si="40"/>
        <v>0</v>
      </c>
      <c r="CE168" s="485">
        <f t="shared" si="40"/>
        <v>0</v>
      </c>
      <c r="CF168" s="485">
        <f t="shared" si="40"/>
        <v>0</v>
      </c>
      <c r="CG168" s="485">
        <f t="shared" si="40"/>
        <v>0</v>
      </c>
      <c r="CH168" s="485">
        <f t="shared" si="40"/>
        <v>0</v>
      </c>
      <c r="CI168" s="485">
        <f t="shared" si="40"/>
        <v>0</v>
      </c>
      <c r="CJ168" s="485">
        <f t="shared" si="40"/>
        <v>0</v>
      </c>
      <c r="CK168" s="485">
        <f t="shared" si="40"/>
        <v>0</v>
      </c>
      <c r="CL168" s="485">
        <f t="shared" si="40"/>
        <v>1</v>
      </c>
      <c r="CM168" s="486">
        <f t="shared" si="35"/>
        <v>1</v>
      </c>
    </row>
    <row r="169" spans="1:91" s="487" customFormat="1" ht="25.5" customHeight="1" x14ac:dyDescent="0.25">
      <c r="A169" s="497" t="s">
        <v>158</v>
      </c>
      <c r="B169" s="498" t="s">
        <v>1758</v>
      </c>
      <c r="C169" s="497" t="s">
        <v>958</v>
      </c>
      <c r="D169" s="498"/>
      <c r="E169" s="497" t="s">
        <v>700</v>
      </c>
      <c r="F169" s="498"/>
      <c r="G169" s="497"/>
      <c r="H169" s="497" t="s">
        <v>654</v>
      </c>
      <c r="I169" s="497" t="s">
        <v>647</v>
      </c>
      <c r="J169" s="497" t="s">
        <v>641</v>
      </c>
      <c r="K169" s="497" t="s">
        <v>649</v>
      </c>
      <c r="L169" s="497" t="s">
        <v>41</v>
      </c>
      <c r="M169" s="497" t="s">
        <v>646</v>
      </c>
      <c r="N169" s="497" t="s">
        <v>699</v>
      </c>
      <c r="O169" s="497"/>
      <c r="P169" s="497"/>
      <c r="Q169" s="497" t="s">
        <v>642</v>
      </c>
      <c r="R169" s="497" t="s">
        <v>652</v>
      </c>
      <c r="S169" s="497" t="s">
        <v>649</v>
      </c>
      <c r="T169" s="497"/>
      <c r="U169" s="497"/>
      <c r="V169" s="497" t="s">
        <v>59</v>
      </c>
      <c r="W169" s="497" t="s">
        <v>954</v>
      </c>
      <c r="X169" s="499">
        <v>41487</v>
      </c>
      <c r="Y169" s="499">
        <v>42270</v>
      </c>
      <c r="Z169" s="500">
        <v>2015</v>
      </c>
      <c r="AA169" s="497" t="s">
        <v>663</v>
      </c>
      <c r="AB169" s="497" t="s">
        <v>697</v>
      </c>
      <c r="AC169" s="497" t="s">
        <v>649</v>
      </c>
      <c r="AD169" s="501"/>
      <c r="AE169" s="501"/>
      <c r="AF169" s="501"/>
      <c r="AG169" s="501"/>
      <c r="AH169" s="501"/>
      <c r="AI169" s="501"/>
      <c r="AJ169" s="501"/>
      <c r="AK169" s="501"/>
      <c r="AL169" s="501"/>
      <c r="AM169" s="501"/>
      <c r="AN169" s="501"/>
      <c r="AO169" s="501">
        <f>176606.48*0</f>
        <v>0</v>
      </c>
      <c r="AP169" s="501">
        <f>3454281.58*0+3630888.06</f>
        <v>3630888.06</v>
      </c>
      <c r="AQ169" s="501"/>
      <c r="AR169" s="501"/>
      <c r="AS169" s="501"/>
      <c r="AT169" s="501"/>
      <c r="AU169" s="501"/>
      <c r="AV169" s="501"/>
      <c r="AW169" s="501"/>
      <c r="AX169" s="501"/>
      <c r="AY169" s="501"/>
      <c r="AZ169" s="501"/>
      <c r="BA169" s="501"/>
      <c r="BB169" s="483">
        <v>501140.7089999998</v>
      </c>
      <c r="BC169" s="483">
        <v>334093.80599999998</v>
      </c>
      <c r="BD169" s="483">
        <v>563783.29762499989</v>
      </c>
      <c r="BE169" s="483">
        <v>13832.241149718742</v>
      </c>
      <c r="BF169" s="483"/>
      <c r="BG169" s="483">
        <v>126093.45284436794</v>
      </c>
      <c r="BH169" s="483">
        <v>100874.76227549433</v>
      </c>
      <c r="BI169" s="483">
        <v>50437.381137747165</v>
      </c>
      <c r="BJ169" s="483">
        <v>151312.14341324149</v>
      </c>
      <c r="BK169" s="483">
        <v>75656.071706620743</v>
      </c>
      <c r="BL169" s="483">
        <v>151312.14341324149</v>
      </c>
      <c r="BM169" s="483">
        <v>100874.76227549433</v>
      </c>
      <c r="BN169" s="483">
        <v>699999.99999999965</v>
      </c>
      <c r="BO169" s="483"/>
      <c r="BP169" s="483"/>
      <c r="BQ169" s="483">
        <v>599999.99999999977</v>
      </c>
      <c r="BR169" s="483">
        <v>7100298.8308409238</v>
      </c>
      <c r="BS169" s="484">
        <f t="shared" si="34"/>
        <v>3630888.06</v>
      </c>
      <c r="BT169" s="485">
        <f t="shared" si="39"/>
        <v>0</v>
      </c>
      <c r="BU169" s="485">
        <f t="shared" si="39"/>
        <v>0</v>
      </c>
      <c r="BV169" s="485">
        <f t="shared" si="39"/>
        <v>0</v>
      </c>
      <c r="BW169" s="485">
        <f t="shared" si="39"/>
        <v>0</v>
      </c>
      <c r="BX169" s="485">
        <f t="shared" si="39"/>
        <v>0</v>
      </c>
      <c r="BY169" s="485">
        <f t="shared" si="39"/>
        <v>0</v>
      </c>
      <c r="BZ169" s="485">
        <f t="shared" si="39"/>
        <v>0</v>
      </c>
      <c r="CA169" s="485">
        <f t="shared" si="39"/>
        <v>0</v>
      </c>
      <c r="CB169" s="485">
        <f t="shared" si="39"/>
        <v>0</v>
      </c>
      <c r="CC169" s="485">
        <f t="shared" si="39"/>
        <v>0</v>
      </c>
      <c r="CD169" s="485">
        <f t="shared" si="40"/>
        <v>0</v>
      </c>
      <c r="CE169" s="485">
        <f t="shared" si="40"/>
        <v>0</v>
      </c>
      <c r="CF169" s="485">
        <f t="shared" si="40"/>
        <v>0</v>
      </c>
      <c r="CG169" s="485">
        <f t="shared" si="40"/>
        <v>0</v>
      </c>
      <c r="CH169" s="485">
        <f t="shared" si="40"/>
        <v>0</v>
      </c>
      <c r="CI169" s="485">
        <f t="shared" si="40"/>
        <v>0</v>
      </c>
      <c r="CJ169" s="485">
        <f t="shared" si="40"/>
        <v>0</v>
      </c>
      <c r="CK169" s="485">
        <f t="shared" si="40"/>
        <v>0</v>
      </c>
      <c r="CL169" s="485">
        <f t="shared" si="40"/>
        <v>1</v>
      </c>
      <c r="CM169" s="486">
        <f t="shared" si="35"/>
        <v>1</v>
      </c>
    </row>
    <row r="170" spans="1:91" s="487" customFormat="1" ht="38.25" customHeight="1" x14ac:dyDescent="0.25">
      <c r="A170" s="497" t="s">
        <v>160</v>
      </c>
      <c r="B170" s="498" t="s">
        <v>1760</v>
      </c>
      <c r="C170" s="497" t="s">
        <v>957</v>
      </c>
      <c r="D170" s="498"/>
      <c r="E170" s="497" t="s">
        <v>700</v>
      </c>
      <c r="F170" s="498"/>
      <c r="G170" s="497" t="s">
        <v>686</v>
      </c>
      <c r="H170" s="497" t="s">
        <v>654</v>
      </c>
      <c r="I170" s="497" t="s">
        <v>647</v>
      </c>
      <c r="J170" s="497" t="s">
        <v>641</v>
      </c>
      <c r="K170" s="497" t="s">
        <v>649</v>
      </c>
      <c r="L170" s="497" t="s">
        <v>41</v>
      </c>
      <c r="M170" s="497" t="s">
        <v>646</v>
      </c>
      <c r="N170" s="497" t="s">
        <v>699</v>
      </c>
      <c r="O170" s="497" t="s">
        <v>698</v>
      </c>
      <c r="P170" s="497" t="s">
        <v>823</v>
      </c>
      <c r="Q170" s="497" t="s">
        <v>656</v>
      </c>
      <c r="R170" s="497" t="s">
        <v>652</v>
      </c>
      <c r="S170" s="497" t="s">
        <v>649</v>
      </c>
      <c r="T170" s="497" t="s">
        <v>107</v>
      </c>
      <c r="U170" s="497" t="s">
        <v>678</v>
      </c>
      <c r="V170" s="497" t="s">
        <v>641</v>
      </c>
      <c r="W170" s="497" t="s">
        <v>956</v>
      </c>
      <c r="X170" s="499">
        <v>41456</v>
      </c>
      <c r="Y170" s="499">
        <v>42024</v>
      </c>
      <c r="Z170" s="500">
        <v>2015</v>
      </c>
      <c r="AA170" s="497" t="s">
        <v>663</v>
      </c>
      <c r="AB170" s="497" t="s">
        <v>697</v>
      </c>
      <c r="AC170" s="497" t="s">
        <v>649</v>
      </c>
      <c r="AD170" s="501"/>
      <c r="AE170" s="501"/>
      <c r="AF170" s="501"/>
      <c r="AG170" s="501"/>
      <c r="AH170" s="501"/>
      <c r="AI170" s="501"/>
      <c r="AJ170" s="501"/>
      <c r="AK170" s="501"/>
      <c r="AL170" s="501"/>
      <c r="AM170" s="501"/>
      <c r="AN170" s="501"/>
      <c r="AO170" s="501">
        <f>3362745.29995*0</f>
        <v>0</v>
      </c>
      <c r="AP170" s="501">
        <f>2532545.6*0+5895290.89995</f>
        <v>5895290.8999500005</v>
      </c>
      <c r="AQ170" s="501"/>
      <c r="AR170" s="501"/>
      <c r="AS170" s="501"/>
      <c r="AT170" s="501"/>
      <c r="AU170" s="501"/>
      <c r="AV170" s="501"/>
      <c r="AW170" s="501"/>
      <c r="AX170" s="501"/>
      <c r="AY170" s="501"/>
      <c r="AZ170" s="501"/>
      <c r="BA170" s="501"/>
      <c r="BB170" s="483">
        <v>735200.02199249971</v>
      </c>
      <c r="BC170" s="483">
        <v>490133.3479949999</v>
      </c>
      <c r="BD170" s="483">
        <v>827100.02474156243</v>
      </c>
      <c r="BE170" s="483">
        <v>21827.460805367424</v>
      </c>
      <c r="BF170" s="483"/>
      <c r="BG170" s="483">
        <v>198977.14838711073</v>
      </c>
      <c r="BH170" s="483">
        <v>159181.71870968852</v>
      </c>
      <c r="BI170" s="483">
        <v>79590.859354844288</v>
      </c>
      <c r="BJ170" s="483">
        <v>238772.57806453281</v>
      </c>
      <c r="BK170" s="483">
        <v>119386.2890322664</v>
      </c>
      <c r="BL170" s="483">
        <v>238772.57806453283</v>
      </c>
      <c r="BM170" s="483">
        <v>159181.71870968858</v>
      </c>
      <c r="BN170" s="483">
        <v>999999.99999999988</v>
      </c>
      <c r="BO170" s="483"/>
      <c r="BP170" s="483"/>
      <c r="BQ170" s="483">
        <v>199999.99999999997</v>
      </c>
      <c r="BR170" s="483">
        <v>10363414.645807093</v>
      </c>
      <c r="BS170" s="484">
        <f t="shared" si="34"/>
        <v>5895290.8999500005</v>
      </c>
      <c r="BT170" s="485">
        <f t="shared" si="39"/>
        <v>0</v>
      </c>
      <c r="BU170" s="485">
        <f t="shared" si="39"/>
        <v>0</v>
      </c>
      <c r="BV170" s="485">
        <f t="shared" si="39"/>
        <v>0</v>
      </c>
      <c r="BW170" s="485">
        <f t="shared" si="39"/>
        <v>0</v>
      </c>
      <c r="BX170" s="485">
        <f t="shared" si="39"/>
        <v>0</v>
      </c>
      <c r="BY170" s="485">
        <f t="shared" si="39"/>
        <v>0</v>
      </c>
      <c r="BZ170" s="485">
        <f t="shared" si="39"/>
        <v>0</v>
      </c>
      <c r="CA170" s="485">
        <f t="shared" si="39"/>
        <v>0</v>
      </c>
      <c r="CB170" s="485">
        <f t="shared" si="39"/>
        <v>0</v>
      </c>
      <c r="CC170" s="485">
        <f t="shared" si="39"/>
        <v>0</v>
      </c>
      <c r="CD170" s="485">
        <f t="shared" si="40"/>
        <v>0</v>
      </c>
      <c r="CE170" s="485">
        <f t="shared" si="40"/>
        <v>0</v>
      </c>
      <c r="CF170" s="485">
        <f t="shared" si="40"/>
        <v>0</v>
      </c>
      <c r="CG170" s="485">
        <f t="shared" si="40"/>
        <v>0</v>
      </c>
      <c r="CH170" s="485">
        <f t="shared" si="40"/>
        <v>0</v>
      </c>
      <c r="CI170" s="485">
        <f t="shared" si="40"/>
        <v>0</v>
      </c>
      <c r="CJ170" s="485">
        <f t="shared" si="40"/>
        <v>0</v>
      </c>
      <c r="CK170" s="485">
        <f t="shared" si="40"/>
        <v>0</v>
      </c>
      <c r="CL170" s="485">
        <f t="shared" si="40"/>
        <v>1</v>
      </c>
      <c r="CM170" s="486">
        <f t="shared" si="35"/>
        <v>1</v>
      </c>
    </row>
    <row r="171" spans="1:91" s="487" customFormat="1" ht="25.5" customHeight="1" x14ac:dyDescent="0.25">
      <c r="A171" s="497" t="s">
        <v>162</v>
      </c>
      <c r="B171" s="498" t="s">
        <v>1762</v>
      </c>
      <c r="C171" s="497" t="s">
        <v>955</v>
      </c>
      <c r="D171" s="498"/>
      <c r="E171" s="497" t="s">
        <v>700</v>
      </c>
      <c r="F171" s="498"/>
      <c r="G171" s="497"/>
      <c r="H171" s="497" t="s">
        <v>654</v>
      </c>
      <c r="I171" s="497" t="s">
        <v>647</v>
      </c>
      <c r="J171" s="497" t="s">
        <v>641</v>
      </c>
      <c r="K171" s="497" t="s">
        <v>649</v>
      </c>
      <c r="L171" s="497" t="s">
        <v>41</v>
      </c>
      <c r="M171" s="497" t="s">
        <v>646</v>
      </c>
      <c r="N171" s="497" t="s">
        <v>699</v>
      </c>
      <c r="O171" s="497"/>
      <c r="P171" s="497"/>
      <c r="Q171" s="497" t="s">
        <v>656</v>
      </c>
      <c r="R171" s="497" t="s">
        <v>652</v>
      </c>
      <c r="S171" s="497" t="s">
        <v>649</v>
      </c>
      <c r="T171" s="497"/>
      <c r="U171" s="497"/>
      <c r="V171" s="497" t="s">
        <v>641</v>
      </c>
      <c r="W171" s="497" t="s">
        <v>954</v>
      </c>
      <c r="X171" s="499">
        <v>41456</v>
      </c>
      <c r="Y171" s="499">
        <v>42024</v>
      </c>
      <c r="Z171" s="500">
        <v>2015</v>
      </c>
      <c r="AA171" s="497" t="s">
        <v>663</v>
      </c>
      <c r="AB171" s="497" t="s">
        <v>697</v>
      </c>
      <c r="AC171" s="497" t="s">
        <v>649</v>
      </c>
      <c r="AD171" s="501"/>
      <c r="AE171" s="501"/>
      <c r="AF171" s="501"/>
      <c r="AG171" s="501"/>
      <c r="AH171" s="501"/>
      <c r="AI171" s="501"/>
      <c r="AJ171" s="501"/>
      <c r="AK171" s="501"/>
      <c r="AL171" s="501"/>
      <c r="AM171" s="501"/>
      <c r="AN171" s="501"/>
      <c r="AO171" s="501">
        <v>138319.52000000002</v>
      </c>
      <c r="AP171" s="501">
        <v>2046391.4999999998</v>
      </c>
      <c r="AQ171" s="501"/>
      <c r="AR171" s="501"/>
      <c r="AS171" s="501"/>
      <c r="AT171" s="501"/>
      <c r="AU171" s="501"/>
      <c r="AV171" s="501"/>
      <c r="AW171" s="501"/>
      <c r="AX171" s="501"/>
      <c r="AY171" s="501"/>
      <c r="AZ171" s="501"/>
      <c r="BA171" s="501"/>
      <c r="BB171" s="483">
        <v>206933.40299999996</v>
      </c>
      <c r="BC171" s="483">
        <v>137955.60200000001</v>
      </c>
      <c r="BD171" s="483">
        <v>232800.07837499998</v>
      </c>
      <c r="BE171" s="483">
        <v>7533.4603127093751</v>
      </c>
      <c r="BF171" s="483"/>
      <c r="BG171" s="483">
        <v>158119.19458143195</v>
      </c>
      <c r="BH171" s="483">
        <v>163115.06170880739</v>
      </c>
      <c r="BI171" s="483">
        <v>10241.527611119607</v>
      </c>
      <c r="BJ171" s="483">
        <v>22481.402073189376</v>
      </c>
      <c r="BK171" s="483">
        <v>10241.527611119607</v>
      </c>
      <c r="BL171" s="483"/>
      <c r="BM171" s="483">
        <v>10491.320967488376</v>
      </c>
      <c r="BN171" s="483">
        <v>500000</v>
      </c>
      <c r="BO171" s="483">
        <v>199999.99999999997</v>
      </c>
      <c r="BP171" s="483"/>
      <c r="BQ171" s="483">
        <v>249999.99999999994</v>
      </c>
      <c r="BR171" s="483">
        <v>4094623.5982408649</v>
      </c>
      <c r="BS171" s="484">
        <f t="shared" si="34"/>
        <v>2184711.0199999996</v>
      </c>
      <c r="BT171" s="485">
        <f t="shared" si="39"/>
        <v>0</v>
      </c>
      <c r="BU171" s="485">
        <f t="shared" si="39"/>
        <v>0</v>
      </c>
      <c r="BV171" s="485">
        <f t="shared" si="39"/>
        <v>0</v>
      </c>
      <c r="BW171" s="485">
        <f t="shared" si="39"/>
        <v>0</v>
      </c>
      <c r="BX171" s="485">
        <f t="shared" si="39"/>
        <v>0</v>
      </c>
      <c r="BY171" s="485">
        <f t="shared" si="39"/>
        <v>0</v>
      </c>
      <c r="BZ171" s="485">
        <f t="shared" si="39"/>
        <v>0</v>
      </c>
      <c r="CA171" s="485">
        <f t="shared" si="39"/>
        <v>0</v>
      </c>
      <c r="CB171" s="485">
        <f t="shared" si="39"/>
        <v>0</v>
      </c>
      <c r="CC171" s="485">
        <f t="shared" si="39"/>
        <v>0</v>
      </c>
      <c r="CD171" s="485">
        <f t="shared" si="40"/>
        <v>0</v>
      </c>
      <c r="CE171" s="485">
        <f t="shared" si="40"/>
        <v>0</v>
      </c>
      <c r="CF171" s="485">
        <f t="shared" si="40"/>
        <v>0</v>
      </c>
      <c r="CG171" s="485">
        <f t="shared" si="40"/>
        <v>0</v>
      </c>
      <c r="CH171" s="485">
        <f t="shared" si="40"/>
        <v>0</v>
      </c>
      <c r="CI171" s="485">
        <f t="shared" si="40"/>
        <v>6.3312501623212419E-2</v>
      </c>
      <c r="CJ171" s="485">
        <f t="shared" si="40"/>
        <v>0</v>
      </c>
      <c r="CK171" s="485">
        <f t="shared" si="40"/>
        <v>0</v>
      </c>
      <c r="CL171" s="485">
        <f t="shared" si="40"/>
        <v>0.93668749837678766</v>
      </c>
      <c r="CM171" s="486">
        <f t="shared" si="35"/>
        <v>1</v>
      </c>
    </row>
    <row r="172" spans="1:91" s="487" customFormat="1" ht="25.5" customHeight="1" x14ac:dyDescent="0.25">
      <c r="A172" s="497" t="s">
        <v>953</v>
      </c>
      <c r="B172" s="498" t="s">
        <v>1764</v>
      </c>
      <c r="C172" s="497" t="s">
        <v>952</v>
      </c>
      <c r="D172" s="498"/>
      <c r="E172" s="497" t="s">
        <v>700</v>
      </c>
      <c r="F172" s="498"/>
      <c r="G172" s="497"/>
      <c r="H172" s="497" t="s">
        <v>654</v>
      </c>
      <c r="I172" s="497" t="s">
        <v>647</v>
      </c>
      <c r="J172" s="497" t="s">
        <v>641</v>
      </c>
      <c r="K172" s="497" t="s">
        <v>649</v>
      </c>
      <c r="L172" s="497" t="s">
        <v>41</v>
      </c>
      <c r="M172" s="497" t="s">
        <v>646</v>
      </c>
      <c r="N172" s="497"/>
      <c r="O172" s="497"/>
      <c r="P172" s="497"/>
      <c r="Q172" s="497" t="s">
        <v>656</v>
      </c>
      <c r="R172" s="497" t="s">
        <v>652</v>
      </c>
      <c r="S172" s="497" t="s">
        <v>649</v>
      </c>
      <c r="T172" s="497"/>
      <c r="U172" s="497"/>
      <c r="V172" s="497" t="s">
        <v>59</v>
      </c>
      <c r="W172" s="497" t="s">
        <v>951</v>
      </c>
      <c r="X172" s="499">
        <v>41487</v>
      </c>
      <c r="Y172" s="499">
        <v>42270</v>
      </c>
      <c r="Z172" s="500">
        <v>2015</v>
      </c>
      <c r="AA172" s="497"/>
      <c r="AB172" s="497" t="s">
        <v>697</v>
      </c>
      <c r="AC172" s="497" t="s">
        <v>649</v>
      </c>
      <c r="AD172" s="501"/>
      <c r="AE172" s="501"/>
      <c r="AF172" s="501"/>
      <c r="AG172" s="501"/>
      <c r="AH172" s="501"/>
      <c r="AI172" s="501"/>
      <c r="AJ172" s="501"/>
      <c r="AK172" s="501"/>
      <c r="AL172" s="501"/>
      <c r="AM172" s="501"/>
      <c r="AN172" s="501"/>
      <c r="AO172" s="501"/>
      <c r="AP172" s="501">
        <v>2367463.5999999992</v>
      </c>
      <c r="AQ172" s="501"/>
      <c r="AR172" s="501"/>
      <c r="AS172" s="501"/>
      <c r="AT172" s="501"/>
      <c r="AU172" s="501"/>
      <c r="AV172" s="501"/>
      <c r="AW172" s="501"/>
      <c r="AX172" s="501"/>
      <c r="AY172" s="501"/>
      <c r="AZ172" s="501"/>
      <c r="BA172" s="501"/>
      <c r="BB172" s="483"/>
      <c r="BC172" s="483"/>
      <c r="BD172" s="483"/>
      <c r="BE172" s="483">
        <v>6510.5249000000022</v>
      </c>
      <c r="BF172" s="483"/>
      <c r="BG172" s="483">
        <v>59349.353122499975</v>
      </c>
      <c r="BH172" s="483">
        <v>47479.482497999983</v>
      </c>
      <c r="BI172" s="483">
        <v>23739.741248999992</v>
      </c>
      <c r="BJ172" s="483">
        <v>71219.223746999982</v>
      </c>
      <c r="BK172" s="483">
        <v>35609.611873499991</v>
      </c>
      <c r="BL172" s="483">
        <v>71219.223746999982</v>
      </c>
      <c r="BM172" s="483">
        <v>47479.482497999983</v>
      </c>
      <c r="BN172" s="483"/>
      <c r="BO172" s="483"/>
      <c r="BP172" s="483"/>
      <c r="BQ172" s="483"/>
      <c r="BR172" s="483">
        <v>2730070.2436349988</v>
      </c>
      <c r="BS172" s="484">
        <f t="shared" si="34"/>
        <v>2367463.5999999992</v>
      </c>
      <c r="BT172" s="485">
        <f t="shared" si="39"/>
        <v>0</v>
      </c>
      <c r="BU172" s="485">
        <f t="shared" si="39"/>
        <v>0</v>
      </c>
      <c r="BV172" s="485">
        <f t="shared" si="39"/>
        <v>0</v>
      </c>
      <c r="BW172" s="485">
        <f t="shared" si="39"/>
        <v>0</v>
      </c>
      <c r="BX172" s="485">
        <f t="shared" si="39"/>
        <v>0</v>
      </c>
      <c r="BY172" s="485">
        <f t="shared" si="39"/>
        <v>0</v>
      </c>
      <c r="BZ172" s="485">
        <f t="shared" si="39"/>
        <v>0</v>
      </c>
      <c r="CA172" s="485">
        <f t="shared" si="39"/>
        <v>0</v>
      </c>
      <c r="CB172" s="485">
        <f t="shared" si="39"/>
        <v>0</v>
      </c>
      <c r="CC172" s="485">
        <f t="shared" si="39"/>
        <v>0</v>
      </c>
      <c r="CD172" s="485">
        <f t="shared" si="40"/>
        <v>0</v>
      </c>
      <c r="CE172" s="485">
        <f t="shared" si="40"/>
        <v>0</v>
      </c>
      <c r="CF172" s="485">
        <f t="shared" si="40"/>
        <v>0</v>
      </c>
      <c r="CG172" s="485">
        <f t="shared" si="40"/>
        <v>0</v>
      </c>
      <c r="CH172" s="485">
        <f t="shared" si="40"/>
        <v>0</v>
      </c>
      <c r="CI172" s="485">
        <f t="shared" si="40"/>
        <v>0</v>
      </c>
      <c r="CJ172" s="485">
        <f t="shared" si="40"/>
        <v>0</v>
      </c>
      <c r="CK172" s="485">
        <f t="shared" si="40"/>
        <v>0</v>
      </c>
      <c r="CL172" s="485">
        <f t="shared" si="40"/>
        <v>1</v>
      </c>
      <c r="CM172" s="486">
        <f t="shared" si="35"/>
        <v>1</v>
      </c>
    </row>
    <row r="173" spans="1:91" s="487" customFormat="1" ht="38.25" x14ac:dyDescent="0.25">
      <c r="A173" s="497" t="s">
        <v>168</v>
      </c>
      <c r="B173" s="498" t="s">
        <v>1626</v>
      </c>
      <c r="C173" s="497" t="s">
        <v>950</v>
      </c>
      <c r="D173" s="498"/>
      <c r="E173" s="497"/>
      <c r="F173" s="498"/>
      <c r="G173" s="497"/>
      <c r="H173" s="497" t="s">
        <v>654</v>
      </c>
      <c r="I173" s="497" t="s">
        <v>647</v>
      </c>
      <c r="J173" s="497" t="s">
        <v>671</v>
      </c>
      <c r="K173" s="497"/>
      <c r="L173" s="497" t="s">
        <v>107</v>
      </c>
      <c r="M173" s="497" t="s">
        <v>646</v>
      </c>
      <c r="N173" s="497" t="s">
        <v>645</v>
      </c>
      <c r="O173" s="497" t="s">
        <v>651</v>
      </c>
      <c r="P173" s="497" t="s">
        <v>823</v>
      </c>
      <c r="Q173" s="497" t="s">
        <v>656</v>
      </c>
      <c r="R173" s="497" t="s">
        <v>652</v>
      </c>
      <c r="S173" s="497" t="s">
        <v>649</v>
      </c>
      <c r="T173" s="497"/>
      <c r="U173" s="497"/>
      <c r="V173" s="497"/>
      <c r="W173" s="497"/>
      <c r="X173" s="499">
        <v>41663</v>
      </c>
      <c r="Y173" s="499">
        <v>42830</v>
      </c>
      <c r="Z173" s="500">
        <v>2018</v>
      </c>
      <c r="AA173" s="497"/>
      <c r="AB173" s="497"/>
      <c r="AC173" s="497"/>
      <c r="AD173" s="501"/>
      <c r="AE173" s="501"/>
      <c r="AF173" s="501"/>
      <c r="AG173" s="501"/>
      <c r="AH173" s="501"/>
      <c r="AI173" s="501"/>
      <c r="AJ173" s="501"/>
      <c r="AK173" s="501"/>
      <c r="AL173" s="501"/>
      <c r="AM173" s="501"/>
      <c r="AN173" s="501"/>
      <c r="AO173" s="501"/>
      <c r="AP173" s="501"/>
      <c r="AQ173" s="501"/>
      <c r="AR173" s="501"/>
      <c r="AS173" s="501"/>
      <c r="AT173" s="501"/>
      <c r="AU173" s="501"/>
      <c r="AV173" s="501"/>
      <c r="AW173" s="501"/>
      <c r="AX173" s="501"/>
      <c r="AY173" s="501"/>
      <c r="AZ173" s="501"/>
      <c r="BA173" s="501"/>
      <c r="BB173" s="483"/>
      <c r="BC173" s="483"/>
      <c r="BD173" s="483"/>
      <c r="BE173" s="483"/>
      <c r="BF173" s="483"/>
      <c r="BG173" s="483">
        <v>1686947.3399275341</v>
      </c>
      <c r="BH173" s="483"/>
      <c r="BI173" s="483"/>
      <c r="BJ173" s="483"/>
      <c r="BK173" s="483"/>
      <c r="BL173" s="483"/>
      <c r="BM173" s="483"/>
      <c r="BN173" s="483">
        <v>99999.999999999854</v>
      </c>
      <c r="BO173" s="483"/>
      <c r="BP173" s="483"/>
      <c r="BQ173" s="483"/>
      <c r="BR173" s="483">
        <v>1786947.3399275341</v>
      </c>
      <c r="BS173" s="484">
        <f t="shared" si="34"/>
        <v>0</v>
      </c>
      <c r="BT173" s="485">
        <v>0</v>
      </c>
      <c r="BU173" s="485">
        <v>0</v>
      </c>
      <c r="BV173" s="485">
        <v>0</v>
      </c>
      <c r="BW173" s="485">
        <v>1</v>
      </c>
      <c r="BX173" s="485">
        <v>0</v>
      </c>
      <c r="BY173" s="485">
        <v>0</v>
      </c>
      <c r="BZ173" s="485">
        <v>0</v>
      </c>
      <c r="CA173" s="485">
        <v>0</v>
      </c>
      <c r="CB173" s="485">
        <v>0</v>
      </c>
      <c r="CC173" s="485">
        <v>0</v>
      </c>
      <c r="CD173" s="485">
        <v>0</v>
      </c>
      <c r="CE173" s="485">
        <v>0</v>
      </c>
      <c r="CF173" s="485">
        <v>0</v>
      </c>
      <c r="CG173" s="485">
        <v>0</v>
      </c>
      <c r="CH173" s="485">
        <v>0</v>
      </c>
      <c r="CI173" s="485">
        <v>0</v>
      </c>
      <c r="CJ173" s="485">
        <v>0</v>
      </c>
      <c r="CK173" s="485">
        <v>0</v>
      </c>
      <c r="CL173" s="485">
        <v>0</v>
      </c>
      <c r="CM173" s="486">
        <f t="shared" si="35"/>
        <v>1</v>
      </c>
    </row>
    <row r="174" spans="1:91" s="487" customFormat="1" ht="25.5" customHeight="1" x14ac:dyDescent="0.25">
      <c r="A174" s="497" t="s">
        <v>183</v>
      </c>
      <c r="B174" s="498" t="s">
        <v>1774</v>
      </c>
      <c r="C174" s="497" t="s">
        <v>949</v>
      </c>
      <c r="D174" s="498"/>
      <c r="E174" s="497" t="s">
        <v>779</v>
      </c>
      <c r="F174" s="498"/>
      <c r="G174" s="497" t="s">
        <v>648</v>
      </c>
      <c r="H174" s="497" t="s">
        <v>654</v>
      </c>
      <c r="I174" s="497" t="s">
        <v>647</v>
      </c>
      <c r="J174" s="497" t="s">
        <v>671</v>
      </c>
      <c r="K174" s="497" t="s">
        <v>649</v>
      </c>
      <c r="L174" s="497" t="s">
        <v>36</v>
      </c>
      <c r="M174" s="497" t="s">
        <v>646</v>
      </c>
      <c r="N174" s="497"/>
      <c r="O174" s="497"/>
      <c r="P174" s="497"/>
      <c r="Q174" s="497" t="s">
        <v>656</v>
      </c>
      <c r="R174" s="497" t="s">
        <v>652</v>
      </c>
      <c r="S174" s="497" t="s">
        <v>649</v>
      </c>
      <c r="T174" s="497"/>
      <c r="U174" s="497"/>
      <c r="V174" s="497" t="s">
        <v>36</v>
      </c>
      <c r="W174" s="497" t="s">
        <v>677</v>
      </c>
      <c r="X174" s="499">
        <v>41456</v>
      </c>
      <c r="Y174" s="499">
        <v>41771</v>
      </c>
      <c r="Z174" s="500">
        <v>2014</v>
      </c>
      <c r="AA174" s="497" t="s">
        <v>676</v>
      </c>
      <c r="AB174" s="497" t="s">
        <v>675</v>
      </c>
      <c r="AC174" s="497" t="s">
        <v>663</v>
      </c>
      <c r="AD174" s="501"/>
      <c r="AE174" s="501"/>
      <c r="AF174" s="501"/>
      <c r="AG174" s="501"/>
      <c r="AH174" s="501"/>
      <c r="AI174" s="501"/>
      <c r="AJ174" s="501"/>
      <c r="AK174" s="501"/>
      <c r="AL174" s="501"/>
      <c r="AM174" s="501"/>
      <c r="AN174" s="501"/>
      <c r="AO174" s="501"/>
      <c r="AP174" s="501"/>
      <c r="AQ174" s="501"/>
      <c r="AR174" s="501"/>
      <c r="AS174" s="501"/>
      <c r="AT174" s="501"/>
      <c r="AU174" s="501">
        <v>75999.999999999985</v>
      </c>
      <c r="AV174" s="501"/>
      <c r="AW174" s="501"/>
      <c r="AX174" s="501">
        <v>114000</v>
      </c>
      <c r="AY174" s="501"/>
      <c r="AZ174" s="501"/>
      <c r="BA174" s="501"/>
      <c r="BB174" s="483"/>
      <c r="BC174" s="483"/>
      <c r="BD174" s="483"/>
      <c r="BE174" s="483"/>
      <c r="BF174" s="483"/>
      <c r="BG174" s="483"/>
      <c r="BH174" s="483"/>
      <c r="BI174" s="483"/>
      <c r="BJ174" s="483"/>
      <c r="BK174" s="483"/>
      <c r="BL174" s="483"/>
      <c r="BM174" s="483"/>
      <c r="BN174" s="483"/>
      <c r="BO174" s="483"/>
      <c r="BP174" s="483"/>
      <c r="BQ174" s="483"/>
      <c r="BR174" s="483">
        <v>190000</v>
      </c>
      <c r="BS174" s="484">
        <f t="shared" si="34"/>
        <v>190000</v>
      </c>
      <c r="BT174" s="485">
        <f t="shared" ref="BT174:CC176" si="41">SUMIFS($AD174:$BA174,$AD$11:$BA$11,BT$21)/$BS174</f>
        <v>0.39999999999999991</v>
      </c>
      <c r="BU174" s="485">
        <f t="shared" si="41"/>
        <v>0</v>
      </c>
      <c r="BV174" s="485">
        <f t="shared" si="41"/>
        <v>0</v>
      </c>
      <c r="BW174" s="485">
        <f t="shared" si="41"/>
        <v>0</v>
      </c>
      <c r="BX174" s="485">
        <f t="shared" si="41"/>
        <v>0</v>
      </c>
      <c r="BY174" s="485">
        <f t="shared" si="41"/>
        <v>0</v>
      </c>
      <c r="BZ174" s="485">
        <f t="shared" si="41"/>
        <v>0</v>
      </c>
      <c r="CA174" s="485">
        <f t="shared" si="41"/>
        <v>0.6</v>
      </c>
      <c r="CB174" s="485">
        <f t="shared" si="41"/>
        <v>0</v>
      </c>
      <c r="CC174" s="485">
        <f t="shared" si="41"/>
        <v>0</v>
      </c>
      <c r="CD174" s="485">
        <f t="shared" ref="CD174:CL176" si="42">SUMIFS($AD174:$BA174,$AD$11:$BA$11,CD$21)/$BS174</f>
        <v>0</v>
      </c>
      <c r="CE174" s="485">
        <f t="shared" si="42"/>
        <v>0</v>
      </c>
      <c r="CF174" s="485">
        <f t="shared" si="42"/>
        <v>0</v>
      </c>
      <c r="CG174" s="485">
        <f t="shared" si="42"/>
        <v>0</v>
      </c>
      <c r="CH174" s="485">
        <f t="shared" si="42"/>
        <v>0</v>
      </c>
      <c r="CI174" s="485">
        <f t="shared" si="42"/>
        <v>0</v>
      </c>
      <c r="CJ174" s="485">
        <f t="shared" si="42"/>
        <v>0</v>
      </c>
      <c r="CK174" s="485">
        <f t="shared" si="42"/>
        <v>0</v>
      </c>
      <c r="CL174" s="485">
        <f t="shared" si="42"/>
        <v>0</v>
      </c>
      <c r="CM174" s="486">
        <f t="shared" si="35"/>
        <v>0.99999999999999989</v>
      </c>
    </row>
    <row r="175" spans="1:91" s="487" customFormat="1" ht="25.5" customHeight="1" x14ac:dyDescent="0.25">
      <c r="A175" s="497" t="s">
        <v>184</v>
      </c>
      <c r="B175" s="498" t="s">
        <v>1776</v>
      </c>
      <c r="C175" s="497" t="s">
        <v>948</v>
      </c>
      <c r="D175" s="498"/>
      <c r="E175" s="497" t="s">
        <v>779</v>
      </c>
      <c r="F175" s="498"/>
      <c r="G175" s="497" t="s">
        <v>648</v>
      </c>
      <c r="H175" s="497" t="s">
        <v>654</v>
      </c>
      <c r="I175" s="497" t="s">
        <v>647</v>
      </c>
      <c r="J175" s="497" t="s">
        <v>671</v>
      </c>
      <c r="K175" s="497" t="s">
        <v>649</v>
      </c>
      <c r="L175" s="497" t="s">
        <v>36</v>
      </c>
      <c r="M175" s="497" t="s">
        <v>646</v>
      </c>
      <c r="N175" s="497"/>
      <c r="O175" s="497"/>
      <c r="P175" s="497"/>
      <c r="Q175" s="497" t="s">
        <v>656</v>
      </c>
      <c r="R175" s="497" t="s">
        <v>652</v>
      </c>
      <c r="S175" s="497" t="s">
        <v>649</v>
      </c>
      <c r="T175" s="497"/>
      <c r="U175" s="497"/>
      <c r="V175" s="497" t="s">
        <v>36</v>
      </c>
      <c r="W175" s="497" t="s">
        <v>666</v>
      </c>
      <c r="X175" s="499">
        <v>41456</v>
      </c>
      <c r="Y175" s="499">
        <v>41771</v>
      </c>
      <c r="Z175" s="500">
        <v>2015</v>
      </c>
      <c r="AA175" s="497" t="s">
        <v>676</v>
      </c>
      <c r="AB175" s="497" t="s">
        <v>675</v>
      </c>
      <c r="AC175" s="497" t="s">
        <v>663</v>
      </c>
      <c r="AD175" s="501"/>
      <c r="AE175" s="501"/>
      <c r="AF175" s="501"/>
      <c r="AG175" s="501"/>
      <c r="AH175" s="501"/>
      <c r="AI175" s="501"/>
      <c r="AJ175" s="501"/>
      <c r="AK175" s="501"/>
      <c r="AL175" s="501"/>
      <c r="AM175" s="501"/>
      <c r="AN175" s="501"/>
      <c r="AO175" s="501"/>
      <c r="AP175" s="501"/>
      <c r="AQ175" s="501"/>
      <c r="AR175" s="501"/>
      <c r="AS175" s="501"/>
      <c r="AT175" s="501"/>
      <c r="AU175" s="501">
        <v>79100</v>
      </c>
      <c r="AV175" s="501"/>
      <c r="AW175" s="501"/>
      <c r="AX175" s="501">
        <v>33900</v>
      </c>
      <c r="AY175" s="501"/>
      <c r="AZ175" s="501"/>
      <c r="BA175" s="501"/>
      <c r="BB175" s="483"/>
      <c r="BC175" s="483"/>
      <c r="BD175" s="483"/>
      <c r="BE175" s="483"/>
      <c r="BF175" s="483"/>
      <c r="BG175" s="483"/>
      <c r="BH175" s="483"/>
      <c r="BI175" s="483"/>
      <c r="BJ175" s="483"/>
      <c r="BK175" s="483"/>
      <c r="BL175" s="483"/>
      <c r="BM175" s="483"/>
      <c r="BN175" s="483"/>
      <c r="BO175" s="483"/>
      <c r="BP175" s="483"/>
      <c r="BQ175" s="483"/>
      <c r="BR175" s="483">
        <v>113000</v>
      </c>
      <c r="BS175" s="484">
        <f t="shared" si="34"/>
        <v>113000</v>
      </c>
      <c r="BT175" s="485">
        <f t="shared" si="41"/>
        <v>0.7</v>
      </c>
      <c r="BU175" s="485">
        <f t="shared" si="41"/>
        <v>0</v>
      </c>
      <c r="BV175" s="485">
        <f t="shared" si="41"/>
        <v>0</v>
      </c>
      <c r="BW175" s="485">
        <f t="shared" si="41"/>
        <v>0</v>
      </c>
      <c r="BX175" s="485">
        <f t="shared" si="41"/>
        <v>0</v>
      </c>
      <c r="BY175" s="485">
        <f t="shared" si="41"/>
        <v>0</v>
      </c>
      <c r="BZ175" s="485">
        <f t="shared" si="41"/>
        <v>0</v>
      </c>
      <c r="CA175" s="485">
        <f t="shared" si="41"/>
        <v>0.3</v>
      </c>
      <c r="CB175" s="485">
        <f t="shared" si="41"/>
        <v>0</v>
      </c>
      <c r="CC175" s="485">
        <f t="shared" si="41"/>
        <v>0</v>
      </c>
      <c r="CD175" s="485">
        <f t="shared" si="42"/>
        <v>0</v>
      </c>
      <c r="CE175" s="485">
        <f t="shared" si="42"/>
        <v>0</v>
      </c>
      <c r="CF175" s="485">
        <f t="shared" si="42"/>
        <v>0</v>
      </c>
      <c r="CG175" s="485">
        <f t="shared" si="42"/>
        <v>0</v>
      </c>
      <c r="CH175" s="485">
        <f t="shared" si="42"/>
        <v>0</v>
      </c>
      <c r="CI175" s="485">
        <f t="shared" si="42"/>
        <v>0</v>
      </c>
      <c r="CJ175" s="485">
        <f t="shared" si="42"/>
        <v>0</v>
      </c>
      <c r="CK175" s="485">
        <f t="shared" si="42"/>
        <v>0</v>
      </c>
      <c r="CL175" s="485">
        <f t="shared" si="42"/>
        <v>0</v>
      </c>
      <c r="CM175" s="486">
        <f t="shared" si="35"/>
        <v>1</v>
      </c>
    </row>
    <row r="176" spans="1:91" s="487" customFormat="1" ht="25.5" customHeight="1" x14ac:dyDescent="0.25">
      <c r="A176" s="497" t="s">
        <v>185</v>
      </c>
      <c r="B176" s="498" t="s">
        <v>1778</v>
      </c>
      <c r="C176" s="497" t="s">
        <v>947</v>
      </c>
      <c r="D176" s="498"/>
      <c r="E176" s="497" t="s">
        <v>779</v>
      </c>
      <c r="F176" s="498"/>
      <c r="G176" s="497" t="s">
        <v>722</v>
      </c>
      <c r="H176" s="497" t="s">
        <v>654</v>
      </c>
      <c r="I176" s="497" t="s">
        <v>647</v>
      </c>
      <c r="J176" s="497" t="s">
        <v>641</v>
      </c>
      <c r="K176" s="497" t="s">
        <v>649</v>
      </c>
      <c r="L176" s="497" t="s">
        <v>60</v>
      </c>
      <c r="M176" s="497" t="s">
        <v>646</v>
      </c>
      <c r="N176" s="497" t="s">
        <v>645</v>
      </c>
      <c r="O176" s="497"/>
      <c r="P176" s="497"/>
      <c r="Q176" s="497" t="s">
        <v>656</v>
      </c>
      <c r="R176" s="497" t="s">
        <v>652</v>
      </c>
      <c r="S176" s="497" t="s">
        <v>649</v>
      </c>
      <c r="T176" s="497"/>
      <c r="U176" s="497"/>
      <c r="V176" s="497" t="s">
        <v>59</v>
      </c>
      <c r="W176" s="497" t="s">
        <v>666</v>
      </c>
      <c r="X176" s="499">
        <v>41456</v>
      </c>
      <c r="Y176" s="499">
        <v>41926</v>
      </c>
      <c r="Z176" s="500">
        <v>2014</v>
      </c>
      <c r="AA176" s="497"/>
      <c r="AB176" s="497" t="s">
        <v>697</v>
      </c>
      <c r="AC176" s="497" t="s">
        <v>649</v>
      </c>
      <c r="AD176" s="501"/>
      <c r="AE176" s="501"/>
      <c r="AF176" s="501"/>
      <c r="AG176" s="501">
        <v>2000000.0000000047</v>
      </c>
      <c r="AH176" s="501"/>
      <c r="AI176" s="501"/>
      <c r="AJ176" s="501"/>
      <c r="AK176" s="501"/>
      <c r="AL176" s="501"/>
      <c r="AM176" s="501"/>
      <c r="AN176" s="501"/>
      <c r="AO176" s="501"/>
      <c r="AP176" s="501"/>
      <c r="AQ176" s="501"/>
      <c r="AR176" s="501"/>
      <c r="AS176" s="501"/>
      <c r="AT176" s="501"/>
      <c r="AU176" s="501"/>
      <c r="AV176" s="501"/>
      <c r="AW176" s="501"/>
      <c r="AX176" s="501"/>
      <c r="AY176" s="501"/>
      <c r="AZ176" s="501"/>
      <c r="BA176" s="501"/>
      <c r="BB176" s="483"/>
      <c r="BC176" s="483"/>
      <c r="BD176" s="483"/>
      <c r="BE176" s="483"/>
      <c r="BF176" s="483"/>
      <c r="BG176" s="483">
        <v>20000.000000000051</v>
      </c>
      <c r="BH176" s="483"/>
      <c r="BI176" s="483"/>
      <c r="BJ176" s="483">
        <v>42000.000000000102</v>
      </c>
      <c r="BK176" s="483"/>
      <c r="BL176" s="483"/>
      <c r="BM176" s="483"/>
      <c r="BN176" s="483"/>
      <c r="BO176" s="483"/>
      <c r="BP176" s="483"/>
      <c r="BQ176" s="483"/>
      <c r="BR176" s="483">
        <v>2062000.0000000051</v>
      </c>
      <c r="BS176" s="484">
        <f t="shared" si="34"/>
        <v>2000000.0000000047</v>
      </c>
      <c r="BT176" s="485">
        <f t="shared" si="41"/>
        <v>0</v>
      </c>
      <c r="BU176" s="485">
        <f t="shared" si="41"/>
        <v>0</v>
      </c>
      <c r="BV176" s="485">
        <f t="shared" si="41"/>
        <v>0</v>
      </c>
      <c r="BW176" s="485">
        <f t="shared" si="41"/>
        <v>0</v>
      </c>
      <c r="BX176" s="485">
        <f t="shared" si="41"/>
        <v>0</v>
      </c>
      <c r="BY176" s="485">
        <f t="shared" si="41"/>
        <v>0</v>
      </c>
      <c r="BZ176" s="485">
        <f t="shared" si="41"/>
        <v>0</v>
      </c>
      <c r="CA176" s="485">
        <f t="shared" si="41"/>
        <v>0</v>
      </c>
      <c r="CB176" s="485">
        <f t="shared" si="41"/>
        <v>0</v>
      </c>
      <c r="CC176" s="485">
        <f t="shared" si="41"/>
        <v>1</v>
      </c>
      <c r="CD176" s="485">
        <f t="shared" si="42"/>
        <v>0</v>
      </c>
      <c r="CE176" s="485">
        <f t="shared" si="42"/>
        <v>0</v>
      </c>
      <c r="CF176" s="485">
        <f t="shared" si="42"/>
        <v>0</v>
      </c>
      <c r="CG176" s="485">
        <f t="shared" si="42"/>
        <v>0</v>
      </c>
      <c r="CH176" s="485">
        <f t="shared" si="42"/>
        <v>0</v>
      </c>
      <c r="CI176" s="485">
        <f t="shared" si="42"/>
        <v>0</v>
      </c>
      <c r="CJ176" s="485">
        <f t="shared" si="42"/>
        <v>0</v>
      </c>
      <c r="CK176" s="485">
        <f t="shared" si="42"/>
        <v>0</v>
      </c>
      <c r="CL176" s="485">
        <f t="shared" si="42"/>
        <v>0</v>
      </c>
      <c r="CM176" s="486">
        <f t="shared" si="35"/>
        <v>1</v>
      </c>
    </row>
    <row r="177" spans="1:91" s="487" customFormat="1" ht="38.25" customHeight="1" x14ac:dyDescent="0.25">
      <c r="A177" s="497" t="s">
        <v>187</v>
      </c>
      <c r="B177" s="498" t="s">
        <v>1782</v>
      </c>
      <c r="C177" s="497" t="s">
        <v>946</v>
      </c>
      <c r="D177" s="498"/>
      <c r="E177" s="497"/>
      <c r="F177" s="498"/>
      <c r="G177" s="497" t="s">
        <v>681</v>
      </c>
      <c r="H177" s="497" t="s">
        <v>654</v>
      </c>
      <c r="I177" s="497" t="s">
        <v>647</v>
      </c>
      <c r="J177" s="497" t="s">
        <v>641</v>
      </c>
      <c r="K177" s="497" t="s">
        <v>649</v>
      </c>
      <c r="L177" s="497" t="s">
        <v>40</v>
      </c>
      <c r="M177" s="497" t="s">
        <v>646</v>
      </c>
      <c r="N177" s="497" t="s">
        <v>680</v>
      </c>
      <c r="O177" s="497" t="s">
        <v>945</v>
      </c>
      <c r="P177" s="497" t="s">
        <v>823</v>
      </c>
      <c r="Q177" s="497" t="s">
        <v>642</v>
      </c>
      <c r="R177" s="497" t="s">
        <v>652</v>
      </c>
      <c r="S177" s="497" t="s">
        <v>649</v>
      </c>
      <c r="T177" s="497"/>
      <c r="U177" s="497"/>
      <c r="V177" s="497" t="s">
        <v>641</v>
      </c>
      <c r="W177" s="497" t="s">
        <v>688</v>
      </c>
      <c r="X177" s="499"/>
      <c r="Y177" s="499"/>
      <c r="Z177" s="500">
        <v>2017</v>
      </c>
      <c r="AA177" s="497" t="s">
        <v>663</v>
      </c>
      <c r="AB177" s="497"/>
      <c r="AC177" s="497"/>
      <c r="AD177" s="501"/>
      <c r="AE177" s="501"/>
      <c r="AF177" s="501"/>
      <c r="AG177" s="501"/>
      <c r="AH177" s="501"/>
      <c r="AI177" s="501"/>
      <c r="AJ177" s="501"/>
      <c r="AK177" s="501"/>
      <c r="AL177" s="501"/>
      <c r="AM177" s="501"/>
      <c r="AN177" s="501"/>
      <c r="AO177" s="501"/>
      <c r="AP177" s="501"/>
      <c r="AQ177" s="501"/>
      <c r="AR177" s="501"/>
      <c r="AS177" s="501"/>
      <c r="AT177" s="501"/>
      <c r="AU177" s="501"/>
      <c r="AV177" s="501"/>
      <c r="AW177" s="501"/>
      <c r="AX177" s="501"/>
      <c r="AY177" s="501"/>
      <c r="AZ177" s="501"/>
      <c r="BA177" s="501"/>
      <c r="BB177" s="483"/>
      <c r="BC177" s="483"/>
      <c r="BD177" s="483"/>
      <c r="BE177" s="483"/>
      <c r="BF177" s="483"/>
      <c r="BG177" s="483"/>
      <c r="BH177" s="483"/>
      <c r="BI177" s="483"/>
      <c r="BJ177" s="483"/>
      <c r="BK177" s="483"/>
      <c r="BL177" s="483"/>
      <c r="BM177" s="483"/>
      <c r="BN177" s="483"/>
      <c r="BO177" s="483"/>
      <c r="BP177" s="483"/>
      <c r="BQ177" s="483"/>
      <c r="BR177" s="483"/>
      <c r="BS177" s="484">
        <f t="shared" si="34"/>
        <v>0</v>
      </c>
      <c r="BT177" s="485">
        <v>0</v>
      </c>
      <c r="BU177" s="485">
        <v>0</v>
      </c>
      <c r="BV177" s="485">
        <v>0.18509816559192202</v>
      </c>
      <c r="BW177" s="485">
        <v>0</v>
      </c>
      <c r="BX177" s="485">
        <v>4.563845545332723E-3</v>
      </c>
      <c r="BY177" s="485">
        <v>0</v>
      </c>
      <c r="BZ177" s="485">
        <v>0</v>
      </c>
      <c r="CA177" s="485">
        <v>0</v>
      </c>
      <c r="CB177" s="485">
        <v>0</v>
      </c>
      <c r="CC177" s="485">
        <v>0.27441228923101946</v>
      </c>
      <c r="CD177" s="485">
        <v>7.9612862655874791E-2</v>
      </c>
      <c r="CE177" s="485">
        <v>0.1214606340653252</v>
      </c>
      <c r="CF177" s="485">
        <v>2.9773387373369327E-2</v>
      </c>
      <c r="CG177" s="485">
        <v>0</v>
      </c>
      <c r="CH177" s="485">
        <v>0.22606723953358374</v>
      </c>
      <c r="CI177" s="485">
        <v>7.7585374270656288E-2</v>
      </c>
      <c r="CJ177" s="485">
        <v>1.4262017329164758E-3</v>
      </c>
      <c r="CK177" s="485">
        <v>0</v>
      </c>
      <c r="CL177" s="485">
        <v>0</v>
      </c>
      <c r="CM177" s="486">
        <f t="shared" si="35"/>
        <v>1</v>
      </c>
    </row>
    <row r="178" spans="1:91" s="487" customFormat="1" ht="25.5" x14ac:dyDescent="0.25">
      <c r="A178" s="497" t="s">
        <v>944</v>
      </c>
      <c r="B178" s="498" t="s">
        <v>1790</v>
      </c>
      <c r="C178" s="497" t="s">
        <v>943</v>
      </c>
      <c r="D178" s="498"/>
      <c r="E178" s="497" t="s">
        <v>942</v>
      </c>
      <c r="F178" s="498"/>
      <c r="G178" s="497" t="s">
        <v>648</v>
      </c>
      <c r="H178" s="497" t="s">
        <v>654</v>
      </c>
      <c r="I178" s="497" t="s">
        <v>647</v>
      </c>
      <c r="J178" s="497" t="s">
        <v>671</v>
      </c>
      <c r="K178" s="497" t="s">
        <v>649</v>
      </c>
      <c r="L178" s="497" t="s">
        <v>55</v>
      </c>
      <c r="M178" s="497" t="s">
        <v>646</v>
      </c>
      <c r="N178" s="497"/>
      <c r="O178" s="497"/>
      <c r="P178" s="497"/>
      <c r="Q178" s="497" t="s">
        <v>656</v>
      </c>
      <c r="R178" s="497" t="s">
        <v>652</v>
      </c>
      <c r="S178" s="497" t="s">
        <v>649</v>
      </c>
      <c r="T178" s="497"/>
      <c r="U178" s="497"/>
      <c r="V178" s="497" t="s">
        <v>683</v>
      </c>
      <c r="W178" s="497" t="s">
        <v>666</v>
      </c>
      <c r="X178" s="499">
        <v>42705</v>
      </c>
      <c r="Y178" s="499">
        <v>43461</v>
      </c>
      <c r="Z178" s="500">
        <v>2018</v>
      </c>
      <c r="AA178" s="497" t="s">
        <v>676</v>
      </c>
      <c r="AB178" s="497" t="s">
        <v>675</v>
      </c>
      <c r="AC178" s="497" t="s">
        <v>663</v>
      </c>
      <c r="AD178" s="501"/>
      <c r="AE178" s="501"/>
      <c r="AF178" s="501"/>
      <c r="AG178" s="501"/>
      <c r="AH178" s="501"/>
      <c r="AI178" s="501"/>
      <c r="AJ178" s="501"/>
      <c r="AK178" s="501"/>
      <c r="AL178" s="501"/>
      <c r="AM178" s="501"/>
      <c r="AN178" s="501"/>
      <c r="AO178" s="501"/>
      <c r="AP178" s="501"/>
      <c r="AQ178" s="501"/>
      <c r="AR178" s="501"/>
      <c r="AS178" s="501"/>
      <c r="AT178" s="501"/>
      <c r="AU178" s="501"/>
      <c r="AV178" s="501">
        <v>62445</v>
      </c>
      <c r="AW178" s="501">
        <v>594868</v>
      </c>
      <c r="AX178" s="501"/>
      <c r="AY178" s="501"/>
      <c r="AZ178" s="501"/>
      <c r="BA178" s="501"/>
      <c r="BB178" s="483"/>
      <c r="BC178" s="483"/>
      <c r="BD178" s="483"/>
      <c r="BE178" s="483"/>
      <c r="BF178" s="483"/>
      <c r="BG178" s="483"/>
      <c r="BH178" s="483"/>
      <c r="BI178" s="483"/>
      <c r="BJ178" s="483"/>
      <c r="BK178" s="483"/>
      <c r="BL178" s="483"/>
      <c r="BM178" s="483"/>
      <c r="BN178" s="483"/>
      <c r="BO178" s="483"/>
      <c r="BP178" s="483"/>
      <c r="BQ178" s="483"/>
      <c r="BR178" s="483">
        <v>657313</v>
      </c>
      <c r="BS178" s="484">
        <f t="shared" si="34"/>
        <v>657313</v>
      </c>
      <c r="BT178" s="485">
        <f t="shared" ref="BT178:CC185" si="43">SUMIFS($AD178:$BA178,$AD$11:$BA$11,BT$21)/$BS178</f>
        <v>0</v>
      </c>
      <c r="BU178" s="485">
        <f t="shared" si="43"/>
        <v>0</v>
      </c>
      <c r="BV178" s="485">
        <f t="shared" si="43"/>
        <v>0</v>
      </c>
      <c r="BW178" s="485">
        <f t="shared" si="43"/>
        <v>1</v>
      </c>
      <c r="BX178" s="485">
        <f t="shared" si="43"/>
        <v>0</v>
      </c>
      <c r="BY178" s="485">
        <f t="shared" si="43"/>
        <v>0</v>
      </c>
      <c r="BZ178" s="485">
        <f t="shared" si="43"/>
        <v>0</v>
      </c>
      <c r="CA178" s="485">
        <f t="shared" si="43"/>
        <v>0</v>
      </c>
      <c r="CB178" s="485">
        <f t="shared" si="43"/>
        <v>0</v>
      </c>
      <c r="CC178" s="485">
        <f t="shared" si="43"/>
        <v>0</v>
      </c>
      <c r="CD178" s="485">
        <f t="shared" ref="CD178:CL185" si="44">SUMIFS($AD178:$BA178,$AD$11:$BA$11,CD$21)/$BS178</f>
        <v>0</v>
      </c>
      <c r="CE178" s="485">
        <f t="shared" si="44"/>
        <v>0</v>
      </c>
      <c r="CF178" s="485">
        <f t="shared" si="44"/>
        <v>0</v>
      </c>
      <c r="CG178" s="485">
        <f t="shared" si="44"/>
        <v>0</v>
      </c>
      <c r="CH178" s="485">
        <f t="shared" si="44"/>
        <v>0</v>
      </c>
      <c r="CI178" s="485">
        <f t="shared" si="44"/>
        <v>0</v>
      </c>
      <c r="CJ178" s="485">
        <f t="shared" si="44"/>
        <v>0</v>
      </c>
      <c r="CK178" s="485">
        <f t="shared" si="44"/>
        <v>0</v>
      </c>
      <c r="CL178" s="485">
        <f t="shared" si="44"/>
        <v>0</v>
      </c>
      <c r="CM178" s="486">
        <f t="shared" si="35"/>
        <v>1</v>
      </c>
    </row>
    <row r="179" spans="1:91" s="487" customFormat="1" ht="25.5" customHeight="1" x14ac:dyDescent="0.25">
      <c r="A179" s="497" t="s">
        <v>192</v>
      </c>
      <c r="B179" s="498" t="s">
        <v>1791</v>
      </c>
      <c r="C179" s="497" t="s">
        <v>941</v>
      </c>
      <c r="D179" s="498"/>
      <c r="E179" s="497" t="s">
        <v>692</v>
      </c>
      <c r="F179" s="498"/>
      <c r="G179" s="497"/>
      <c r="H179" s="497" t="s">
        <v>654</v>
      </c>
      <c r="I179" s="497" t="s">
        <v>647</v>
      </c>
      <c r="J179" s="497" t="s">
        <v>671</v>
      </c>
      <c r="K179" s="497" t="s">
        <v>649</v>
      </c>
      <c r="L179" s="497" t="s">
        <v>55</v>
      </c>
      <c r="M179" s="497" t="s">
        <v>646</v>
      </c>
      <c r="N179" s="497" t="s">
        <v>645</v>
      </c>
      <c r="O179" s="497"/>
      <c r="P179" s="497"/>
      <c r="Q179" s="497" t="s">
        <v>656</v>
      </c>
      <c r="R179" s="497" t="s">
        <v>652</v>
      </c>
      <c r="S179" s="497" t="s">
        <v>649</v>
      </c>
      <c r="T179" s="497"/>
      <c r="U179" s="497"/>
      <c r="V179" s="497" t="s">
        <v>683</v>
      </c>
      <c r="W179" s="497" t="s">
        <v>677</v>
      </c>
      <c r="X179" s="499">
        <v>42879</v>
      </c>
      <c r="Y179" s="499">
        <v>43644</v>
      </c>
      <c r="Z179" s="500">
        <v>2019</v>
      </c>
      <c r="AA179" s="497"/>
      <c r="AB179" s="497"/>
      <c r="AC179" s="497"/>
      <c r="AD179" s="501"/>
      <c r="AE179" s="501"/>
      <c r="AF179" s="501"/>
      <c r="AG179" s="501"/>
      <c r="AH179" s="501"/>
      <c r="AI179" s="501"/>
      <c r="AJ179" s="501"/>
      <c r="AK179" s="501"/>
      <c r="AL179" s="501"/>
      <c r="AM179" s="501"/>
      <c r="AN179" s="501"/>
      <c r="AO179" s="501"/>
      <c r="AP179" s="501"/>
      <c r="AQ179" s="501"/>
      <c r="AR179" s="501"/>
      <c r="AS179" s="501"/>
      <c r="AT179" s="501"/>
      <c r="AU179" s="501"/>
      <c r="AV179" s="501">
        <v>599999.99999999988</v>
      </c>
      <c r="AW179" s="501"/>
      <c r="AX179" s="501"/>
      <c r="AY179" s="501"/>
      <c r="AZ179" s="501"/>
      <c r="BA179" s="501"/>
      <c r="BB179" s="483"/>
      <c r="BC179" s="483"/>
      <c r="BD179" s="483"/>
      <c r="BE179" s="483"/>
      <c r="BF179" s="483"/>
      <c r="BG179" s="483">
        <v>2399999.9999999995</v>
      </c>
      <c r="BH179" s="483"/>
      <c r="BI179" s="483"/>
      <c r="BJ179" s="483"/>
      <c r="BK179" s="483"/>
      <c r="BL179" s="483"/>
      <c r="BM179" s="483"/>
      <c r="BN179" s="483"/>
      <c r="BO179" s="483"/>
      <c r="BP179" s="483"/>
      <c r="BQ179" s="483"/>
      <c r="BR179" s="483">
        <v>2999999.9999999995</v>
      </c>
      <c r="BS179" s="484">
        <f t="shared" si="34"/>
        <v>599999.99999999988</v>
      </c>
      <c r="BT179" s="485">
        <f t="shared" si="43"/>
        <v>0</v>
      </c>
      <c r="BU179" s="485">
        <f t="shared" si="43"/>
        <v>0</v>
      </c>
      <c r="BV179" s="485">
        <f t="shared" si="43"/>
        <v>0</v>
      </c>
      <c r="BW179" s="485">
        <f t="shared" si="43"/>
        <v>1</v>
      </c>
      <c r="BX179" s="485">
        <f t="shared" si="43"/>
        <v>0</v>
      </c>
      <c r="BY179" s="485">
        <f t="shared" si="43"/>
        <v>0</v>
      </c>
      <c r="BZ179" s="485">
        <f t="shared" si="43"/>
        <v>0</v>
      </c>
      <c r="CA179" s="485">
        <f t="shared" si="43"/>
        <v>0</v>
      </c>
      <c r="CB179" s="485">
        <f t="shared" si="43"/>
        <v>0</v>
      </c>
      <c r="CC179" s="485">
        <f t="shared" si="43"/>
        <v>0</v>
      </c>
      <c r="CD179" s="485">
        <f t="shared" si="44"/>
        <v>0</v>
      </c>
      <c r="CE179" s="485">
        <f t="shared" si="44"/>
        <v>0</v>
      </c>
      <c r="CF179" s="485">
        <f t="shared" si="44"/>
        <v>0</v>
      </c>
      <c r="CG179" s="485">
        <f t="shared" si="44"/>
        <v>0</v>
      </c>
      <c r="CH179" s="485">
        <f t="shared" si="44"/>
        <v>0</v>
      </c>
      <c r="CI179" s="485">
        <f t="shared" si="44"/>
        <v>0</v>
      </c>
      <c r="CJ179" s="485">
        <f t="shared" si="44"/>
        <v>0</v>
      </c>
      <c r="CK179" s="485">
        <f t="shared" si="44"/>
        <v>0</v>
      </c>
      <c r="CL179" s="485">
        <f t="shared" si="44"/>
        <v>0</v>
      </c>
      <c r="CM179" s="486">
        <f t="shared" si="35"/>
        <v>1</v>
      </c>
    </row>
    <row r="180" spans="1:91" s="487" customFormat="1" ht="25.5" customHeight="1" x14ac:dyDescent="0.25">
      <c r="A180" s="497" t="s">
        <v>940</v>
      </c>
      <c r="B180" s="498" t="s">
        <v>1793</v>
      </c>
      <c r="C180" s="497" t="s">
        <v>939</v>
      </c>
      <c r="D180" s="498"/>
      <c r="E180" s="497" t="s">
        <v>938</v>
      </c>
      <c r="F180" s="498"/>
      <c r="G180" s="497" t="s">
        <v>648</v>
      </c>
      <c r="H180" s="497" t="s">
        <v>654</v>
      </c>
      <c r="I180" s="497" t="s">
        <v>647</v>
      </c>
      <c r="J180" s="497" t="s">
        <v>671</v>
      </c>
      <c r="K180" s="497" t="s">
        <v>649</v>
      </c>
      <c r="L180" s="497" t="s">
        <v>55</v>
      </c>
      <c r="M180" s="497" t="s">
        <v>646</v>
      </c>
      <c r="N180" s="497"/>
      <c r="O180" s="497"/>
      <c r="P180" s="497"/>
      <c r="Q180" s="497" t="s">
        <v>656</v>
      </c>
      <c r="R180" s="497" t="s">
        <v>652</v>
      </c>
      <c r="S180" s="497" t="s">
        <v>649</v>
      </c>
      <c r="T180" s="497"/>
      <c r="U180" s="497"/>
      <c r="V180" s="497" t="s">
        <v>683</v>
      </c>
      <c r="W180" s="497" t="s">
        <v>666</v>
      </c>
      <c r="X180" s="499">
        <v>42095</v>
      </c>
      <c r="Y180" s="499">
        <v>42490</v>
      </c>
      <c r="Z180" s="500">
        <v>2015</v>
      </c>
      <c r="AA180" s="497" t="s">
        <v>676</v>
      </c>
      <c r="AB180" s="497" t="s">
        <v>675</v>
      </c>
      <c r="AC180" s="497" t="s">
        <v>663</v>
      </c>
      <c r="AD180" s="501"/>
      <c r="AE180" s="501"/>
      <c r="AF180" s="501"/>
      <c r="AG180" s="501"/>
      <c r="AH180" s="501"/>
      <c r="AI180" s="501"/>
      <c r="AJ180" s="501"/>
      <c r="AK180" s="501"/>
      <c r="AL180" s="501"/>
      <c r="AM180" s="501"/>
      <c r="AN180" s="501"/>
      <c r="AO180" s="501"/>
      <c r="AP180" s="501"/>
      <c r="AQ180" s="501"/>
      <c r="AR180" s="501"/>
      <c r="AS180" s="501"/>
      <c r="AT180" s="501"/>
      <c r="AU180" s="501"/>
      <c r="AV180" s="501">
        <v>353875.00000000006</v>
      </c>
      <c r="AW180" s="501">
        <v>3371127.0000000009</v>
      </c>
      <c r="AX180" s="501"/>
      <c r="AY180" s="501"/>
      <c r="AZ180" s="501"/>
      <c r="BA180" s="501"/>
      <c r="BB180" s="483"/>
      <c r="BC180" s="483"/>
      <c r="BD180" s="483"/>
      <c r="BE180" s="483"/>
      <c r="BF180" s="483"/>
      <c r="BG180" s="483"/>
      <c r="BH180" s="483"/>
      <c r="BI180" s="483"/>
      <c r="BJ180" s="483"/>
      <c r="BK180" s="483"/>
      <c r="BL180" s="483"/>
      <c r="BM180" s="483"/>
      <c r="BN180" s="483"/>
      <c r="BO180" s="483"/>
      <c r="BP180" s="483"/>
      <c r="BQ180" s="483"/>
      <c r="BR180" s="483">
        <v>3725002.0000000014</v>
      </c>
      <c r="BS180" s="484">
        <f t="shared" si="34"/>
        <v>3725002.0000000009</v>
      </c>
      <c r="BT180" s="485">
        <f t="shared" si="43"/>
        <v>0</v>
      </c>
      <c r="BU180" s="485">
        <f t="shared" si="43"/>
        <v>0</v>
      </c>
      <c r="BV180" s="485">
        <f t="shared" si="43"/>
        <v>0</v>
      </c>
      <c r="BW180" s="485">
        <f t="shared" si="43"/>
        <v>1</v>
      </c>
      <c r="BX180" s="485">
        <f t="shared" si="43"/>
        <v>0</v>
      </c>
      <c r="BY180" s="485">
        <f t="shared" si="43"/>
        <v>0</v>
      </c>
      <c r="BZ180" s="485">
        <f t="shared" si="43"/>
        <v>0</v>
      </c>
      <c r="CA180" s="485">
        <f t="shared" si="43"/>
        <v>0</v>
      </c>
      <c r="CB180" s="485">
        <f t="shared" si="43"/>
        <v>0</v>
      </c>
      <c r="CC180" s="485">
        <f t="shared" si="43"/>
        <v>0</v>
      </c>
      <c r="CD180" s="485">
        <f t="shared" si="44"/>
        <v>0</v>
      </c>
      <c r="CE180" s="485">
        <f t="shared" si="44"/>
        <v>0</v>
      </c>
      <c r="CF180" s="485">
        <f t="shared" si="44"/>
        <v>0</v>
      </c>
      <c r="CG180" s="485">
        <f t="shared" si="44"/>
        <v>0</v>
      </c>
      <c r="CH180" s="485">
        <f t="shared" si="44"/>
        <v>0</v>
      </c>
      <c r="CI180" s="485">
        <f t="shared" si="44"/>
        <v>0</v>
      </c>
      <c r="CJ180" s="485">
        <f t="shared" si="44"/>
        <v>0</v>
      </c>
      <c r="CK180" s="485">
        <f t="shared" si="44"/>
        <v>0</v>
      </c>
      <c r="CL180" s="485">
        <f t="shared" si="44"/>
        <v>0</v>
      </c>
      <c r="CM180" s="486">
        <f t="shared" si="35"/>
        <v>1</v>
      </c>
    </row>
    <row r="181" spans="1:91" s="487" customFormat="1" ht="25.5" customHeight="1" x14ac:dyDescent="0.25">
      <c r="A181" s="497" t="s">
        <v>193</v>
      </c>
      <c r="B181" s="498" t="s">
        <v>1796</v>
      </c>
      <c r="C181" s="497" t="s">
        <v>937</v>
      </c>
      <c r="D181" s="498"/>
      <c r="E181" s="497" t="s">
        <v>936</v>
      </c>
      <c r="F181" s="498"/>
      <c r="G181" s="497" t="s">
        <v>648</v>
      </c>
      <c r="H181" s="497" t="s">
        <v>654</v>
      </c>
      <c r="I181" s="497" t="s">
        <v>647</v>
      </c>
      <c r="J181" s="497" t="s">
        <v>671</v>
      </c>
      <c r="K181" s="497" t="s">
        <v>649</v>
      </c>
      <c r="L181" s="497" t="s">
        <v>55</v>
      </c>
      <c r="M181" s="497" t="s">
        <v>646</v>
      </c>
      <c r="N181" s="497"/>
      <c r="O181" s="497"/>
      <c r="P181" s="497"/>
      <c r="Q181" s="497" t="s">
        <v>656</v>
      </c>
      <c r="R181" s="497" t="s">
        <v>652</v>
      </c>
      <c r="S181" s="497" t="s">
        <v>649</v>
      </c>
      <c r="T181" s="497"/>
      <c r="U181" s="497"/>
      <c r="V181" s="497" t="s">
        <v>683</v>
      </c>
      <c r="W181" s="497" t="s">
        <v>677</v>
      </c>
      <c r="X181" s="499">
        <v>43525</v>
      </c>
      <c r="Y181" s="499">
        <v>43888</v>
      </c>
      <c r="Z181" s="500">
        <v>2020</v>
      </c>
      <c r="AA181" s="497" t="s">
        <v>676</v>
      </c>
      <c r="AB181" s="497" t="s">
        <v>675</v>
      </c>
      <c r="AC181" s="497" t="s">
        <v>663</v>
      </c>
      <c r="AD181" s="501"/>
      <c r="AE181" s="501"/>
      <c r="AF181" s="501"/>
      <c r="AG181" s="501"/>
      <c r="AH181" s="501"/>
      <c r="AI181" s="501"/>
      <c r="AJ181" s="501"/>
      <c r="AK181" s="501"/>
      <c r="AL181" s="501"/>
      <c r="AM181" s="501"/>
      <c r="AN181" s="501"/>
      <c r="AO181" s="501"/>
      <c r="AP181" s="501"/>
      <c r="AQ181" s="501"/>
      <c r="AR181" s="501"/>
      <c r="AS181" s="501"/>
      <c r="AT181" s="501"/>
      <c r="AU181" s="501"/>
      <c r="AV181" s="501">
        <v>421157</v>
      </c>
      <c r="AW181" s="501">
        <v>77843.999999999985</v>
      </c>
      <c r="AX181" s="501"/>
      <c r="AY181" s="501"/>
      <c r="AZ181" s="501"/>
      <c r="BA181" s="501"/>
      <c r="BB181" s="483"/>
      <c r="BC181" s="483"/>
      <c r="BD181" s="483"/>
      <c r="BE181" s="483"/>
      <c r="BF181" s="483"/>
      <c r="BG181" s="483"/>
      <c r="BH181" s="483"/>
      <c r="BI181" s="483"/>
      <c r="BJ181" s="483"/>
      <c r="BK181" s="483"/>
      <c r="BL181" s="483"/>
      <c r="BM181" s="483"/>
      <c r="BN181" s="483"/>
      <c r="BO181" s="483"/>
      <c r="BP181" s="483"/>
      <c r="BQ181" s="483"/>
      <c r="BR181" s="483">
        <v>499001</v>
      </c>
      <c r="BS181" s="484">
        <f t="shared" si="34"/>
        <v>499001</v>
      </c>
      <c r="BT181" s="485">
        <f t="shared" si="43"/>
        <v>0</v>
      </c>
      <c r="BU181" s="485">
        <f t="shared" si="43"/>
        <v>0</v>
      </c>
      <c r="BV181" s="485">
        <f t="shared" si="43"/>
        <v>0</v>
      </c>
      <c r="BW181" s="485">
        <f t="shared" si="43"/>
        <v>1</v>
      </c>
      <c r="BX181" s="485">
        <f t="shared" si="43"/>
        <v>0</v>
      </c>
      <c r="BY181" s="485">
        <f t="shared" si="43"/>
        <v>0</v>
      </c>
      <c r="BZ181" s="485">
        <f t="shared" si="43"/>
        <v>0</v>
      </c>
      <c r="CA181" s="485">
        <f t="shared" si="43"/>
        <v>0</v>
      </c>
      <c r="CB181" s="485">
        <f t="shared" si="43"/>
        <v>0</v>
      </c>
      <c r="CC181" s="485">
        <f t="shared" si="43"/>
        <v>0</v>
      </c>
      <c r="CD181" s="485">
        <f t="shared" si="44"/>
        <v>0</v>
      </c>
      <c r="CE181" s="485">
        <f t="shared" si="44"/>
        <v>0</v>
      </c>
      <c r="CF181" s="485">
        <f t="shared" si="44"/>
        <v>0</v>
      </c>
      <c r="CG181" s="485">
        <f t="shared" si="44"/>
        <v>0</v>
      </c>
      <c r="CH181" s="485">
        <f t="shared" si="44"/>
        <v>0</v>
      </c>
      <c r="CI181" s="485">
        <f t="shared" si="44"/>
        <v>0</v>
      </c>
      <c r="CJ181" s="485">
        <f t="shared" si="44"/>
        <v>0</v>
      </c>
      <c r="CK181" s="485">
        <f t="shared" si="44"/>
        <v>0</v>
      </c>
      <c r="CL181" s="485">
        <f t="shared" si="44"/>
        <v>0</v>
      </c>
      <c r="CM181" s="486">
        <f t="shared" si="35"/>
        <v>1</v>
      </c>
    </row>
    <row r="182" spans="1:91" s="487" customFormat="1" ht="25.5" customHeight="1" x14ac:dyDescent="0.25">
      <c r="A182" s="497" t="s">
        <v>195</v>
      </c>
      <c r="B182" s="498" t="s">
        <v>1798</v>
      </c>
      <c r="C182" s="497" t="s">
        <v>935</v>
      </c>
      <c r="D182" s="498"/>
      <c r="E182" s="497" t="s">
        <v>934</v>
      </c>
      <c r="F182" s="498"/>
      <c r="G182" s="497" t="s">
        <v>648</v>
      </c>
      <c r="H182" s="497" t="s">
        <v>654</v>
      </c>
      <c r="I182" s="497" t="s">
        <v>647</v>
      </c>
      <c r="J182" s="497" t="s">
        <v>671</v>
      </c>
      <c r="K182" s="497" t="s">
        <v>649</v>
      </c>
      <c r="L182" s="497" t="s">
        <v>55</v>
      </c>
      <c r="M182" s="497" t="s">
        <v>646</v>
      </c>
      <c r="N182" s="497"/>
      <c r="O182" s="497"/>
      <c r="P182" s="497"/>
      <c r="Q182" s="497" t="s">
        <v>650</v>
      </c>
      <c r="R182" s="497" t="s">
        <v>652</v>
      </c>
      <c r="S182" s="497" t="s">
        <v>649</v>
      </c>
      <c r="T182" s="497"/>
      <c r="U182" s="497"/>
      <c r="V182" s="497" t="s">
        <v>683</v>
      </c>
      <c r="W182" s="497" t="s">
        <v>677</v>
      </c>
      <c r="X182" s="499">
        <v>41303</v>
      </c>
      <c r="Y182" s="499">
        <v>41893</v>
      </c>
      <c r="Z182" s="500">
        <v>2014</v>
      </c>
      <c r="AA182" s="497" t="s">
        <v>676</v>
      </c>
      <c r="AB182" s="497" t="s">
        <v>675</v>
      </c>
      <c r="AC182" s="497" t="s">
        <v>663</v>
      </c>
      <c r="AD182" s="501"/>
      <c r="AE182" s="501"/>
      <c r="AF182" s="501"/>
      <c r="AG182" s="501"/>
      <c r="AH182" s="501"/>
      <c r="AI182" s="501"/>
      <c r="AJ182" s="501"/>
      <c r="AK182" s="501"/>
      <c r="AL182" s="501"/>
      <c r="AM182" s="501"/>
      <c r="AN182" s="501"/>
      <c r="AO182" s="501"/>
      <c r="AP182" s="501"/>
      <c r="AQ182" s="501"/>
      <c r="AR182" s="501"/>
      <c r="AS182" s="501"/>
      <c r="AT182" s="501"/>
      <c r="AU182" s="501"/>
      <c r="AV182" s="501">
        <v>2144640</v>
      </c>
      <c r="AW182" s="501">
        <v>89360.000000000015</v>
      </c>
      <c r="AX182" s="501"/>
      <c r="AY182" s="501"/>
      <c r="AZ182" s="501"/>
      <c r="BA182" s="501"/>
      <c r="BB182" s="483"/>
      <c r="BC182" s="483"/>
      <c r="BD182" s="483"/>
      <c r="BE182" s="483"/>
      <c r="BF182" s="483"/>
      <c r="BG182" s="483"/>
      <c r="BH182" s="483"/>
      <c r="BI182" s="483"/>
      <c r="BJ182" s="483"/>
      <c r="BK182" s="483"/>
      <c r="BL182" s="483"/>
      <c r="BM182" s="483"/>
      <c r="BN182" s="483"/>
      <c r="BO182" s="483"/>
      <c r="BP182" s="483"/>
      <c r="BQ182" s="483"/>
      <c r="BR182" s="483">
        <v>2234000</v>
      </c>
      <c r="BS182" s="484">
        <f t="shared" si="34"/>
        <v>2234000</v>
      </c>
      <c r="BT182" s="485">
        <f t="shared" si="43"/>
        <v>0</v>
      </c>
      <c r="BU182" s="485">
        <f t="shared" si="43"/>
        <v>0</v>
      </c>
      <c r="BV182" s="485">
        <f t="shared" si="43"/>
        <v>0</v>
      </c>
      <c r="BW182" s="485">
        <f t="shared" si="43"/>
        <v>1</v>
      </c>
      <c r="BX182" s="485">
        <f t="shared" si="43"/>
        <v>0</v>
      </c>
      <c r="BY182" s="485">
        <f t="shared" si="43"/>
        <v>0</v>
      </c>
      <c r="BZ182" s="485">
        <f t="shared" si="43"/>
        <v>0</v>
      </c>
      <c r="CA182" s="485">
        <f t="shared" si="43"/>
        <v>0</v>
      </c>
      <c r="CB182" s="485">
        <f t="shared" si="43"/>
        <v>0</v>
      </c>
      <c r="CC182" s="485">
        <f t="shared" si="43"/>
        <v>0</v>
      </c>
      <c r="CD182" s="485">
        <f t="shared" si="44"/>
        <v>0</v>
      </c>
      <c r="CE182" s="485">
        <f t="shared" si="44"/>
        <v>0</v>
      </c>
      <c r="CF182" s="485">
        <f t="shared" si="44"/>
        <v>0</v>
      </c>
      <c r="CG182" s="485">
        <f t="shared" si="44"/>
        <v>0</v>
      </c>
      <c r="CH182" s="485">
        <f t="shared" si="44"/>
        <v>0</v>
      </c>
      <c r="CI182" s="485">
        <f t="shared" si="44"/>
        <v>0</v>
      </c>
      <c r="CJ182" s="485">
        <f t="shared" si="44"/>
        <v>0</v>
      </c>
      <c r="CK182" s="485">
        <f t="shared" si="44"/>
        <v>0</v>
      </c>
      <c r="CL182" s="485">
        <f t="shared" si="44"/>
        <v>0</v>
      </c>
      <c r="CM182" s="486">
        <f t="shared" si="35"/>
        <v>1</v>
      </c>
    </row>
    <row r="183" spans="1:91" s="487" customFormat="1" ht="25.5" customHeight="1" x14ac:dyDescent="0.25">
      <c r="A183" s="497" t="s">
        <v>933</v>
      </c>
      <c r="B183" s="498" t="s">
        <v>1802</v>
      </c>
      <c r="C183" s="497" t="s">
        <v>932</v>
      </c>
      <c r="D183" s="498"/>
      <c r="E183" s="497" t="s">
        <v>779</v>
      </c>
      <c r="F183" s="498"/>
      <c r="G183" s="497" t="s">
        <v>648</v>
      </c>
      <c r="H183" s="497" t="s">
        <v>654</v>
      </c>
      <c r="I183" s="497" t="s">
        <v>647</v>
      </c>
      <c r="J183" s="497" t="s">
        <v>671</v>
      </c>
      <c r="K183" s="497" t="s">
        <v>649</v>
      </c>
      <c r="L183" s="497" t="s">
        <v>36</v>
      </c>
      <c r="M183" s="497" t="s">
        <v>646</v>
      </c>
      <c r="N183" s="497"/>
      <c r="O183" s="497"/>
      <c r="P183" s="497"/>
      <c r="Q183" s="497" t="s">
        <v>656</v>
      </c>
      <c r="R183" s="497" t="s">
        <v>652</v>
      </c>
      <c r="S183" s="497" t="s">
        <v>649</v>
      </c>
      <c r="T183" s="497"/>
      <c r="U183" s="497"/>
      <c r="V183" s="497" t="s">
        <v>36</v>
      </c>
      <c r="W183" s="497" t="s">
        <v>666</v>
      </c>
      <c r="X183" s="499">
        <v>41821</v>
      </c>
      <c r="Y183" s="499">
        <v>42184</v>
      </c>
      <c r="Z183" s="500">
        <v>2014</v>
      </c>
      <c r="AA183" s="497" t="s">
        <v>676</v>
      </c>
      <c r="AB183" s="497" t="s">
        <v>675</v>
      </c>
      <c r="AC183" s="497" t="s">
        <v>663</v>
      </c>
      <c r="AD183" s="501"/>
      <c r="AE183" s="501"/>
      <c r="AF183" s="501"/>
      <c r="AG183" s="501"/>
      <c r="AH183" s="501"/>
      <c r="AI183" s="501"/>
      <c r="AJ183" s="501"/>
      <c r="AK183" s="501"/>
      <c r="AL183" s="501"/>
      <c r="AM183" s="501"/>
      <c r="AN183" s="501"/>
      <c r="AO183" s="501"/>
      <c r="AP183" s="501"/>
      <c r="AQ183" s="501"/>
      <c r="AR183" s="501"/>
      <c r="AS183" s="501"/>
      <c r="AT183" s="501"/>
      <c r="AU183" s="501">
        <v>9200.0000000000036</v>
      </c>
      <c r="AV183" s="501"/>
      <c r="AW183" s="501"/>
      <c r="AX183" s="501"/>
      <c r="AY183" s="501">
        <v>13800.000000000007</v>
      </c>
      <c r="AZ183" s="501"/>
      <c r="BA183" s="501"/>
      <c r="BB183" s="483"/>
      <c r="BC183" s="483"/>
      <c r="BD183" s="483"/>
      <c r="BE183" s="483"/>
      <c r="BF183" s="483"/>
      <c r="BG183" s="483"/>
      <c r="BH183" s="483"/>
      <c r="BI183" s="483"/>
      <c r="BJ183" s="483"/>
      <c r="BK183" s="483"/>
      <c r="BL183" s="483"/>
      <c r="BM183" s="483"/>
      <c r="BN183" s="483"/>
      <c r="BO183" s="483"/>
      <c r="BP183" s="483"/>
      <c r="BQ183" s="483"/>
      <c r="BR183" s="483">
        <v>23000.000000000011</v>
      </c>
      <c r="BS183" s="484">
        <f t="shared" si="34"/>
        <v>23000.000000000011</v>
      </c>
      <c r="BT183" s="485">
        <f t="shared" si="43"/>
        <v>0.39999999999999997</v>
      </c>
      <c r="BU183" s="485">
        <f t="shared" si="43"/>
        <v>0</v>
      </c>
      <c r="BV183" s="485">
        <f t="shared" si="43"/>
        <v>0</v>
      </c>
      <c r="BW183" s="485">
        <f t="shared" si="43"/>
        <v>0</v>
      </c>
      <c r="BX183" s="485">
        <f t="shared" si="43"/>
        <v>0</v>
      </c>
      <c r="BY183" s="485">
        <f t="shared" si="43"/>
        <v>0</v>
      </c>
      <c r="BZ183" s="485">
        <f t="shared" si="43"/>
        <v>0</v>
      </c>
      <c r="CA183" s="485">
        <f t="shared" si="43"/>
        <v>0.6</v>
      </c>
      <c r="CB183" s="485">
        <f t="shared" si="43"/>
        <v>0</v>
      </c>
      <c r="CC183" s="485">
        <f t="shared" si="43"/>
        <v>0</v>
      </c>
      <c r="CD183" s="485">
        <f t="shared" si="44"/>
        <v>0</v>
      </c>
      <c r="CE183" s="485">
        <f t="shared" si="44"/>
        <v>0</v>
      </c>
      <c r="CF183" s="485">
        <f t="shared" si="44"/>
        <v>0</v>
      </c>
      <c r="CG183" s="485">
        <f t="shared" si="44"/>
        <v>0</v>
      </c>
      <c r="CH183" s="485">
        <f t="shared" si="44"/>
        <v>0</v>
      </c>
      <c r="CI183" s="485">
        <f t="shared" si="44"/>
        <v>0</v>
      </c>
      <c r="CJ183" s="485">
        <f t="shared" si="44"/>
        <v>0</v>
      </c>
      <c r="CK183" s="485">
        <f t="shared" si="44"/>
        <v>0</v>
      </c>
      <c r="CL183" s="485">
        <f t="shared" si="44"/>
        <v>0</v>
      </c>
      <c r="CM183" s="486">
        <f t="shared" si="35"/>
        <v>1</v>
      </c>
    </row>
    <row r="184" spans="1:91" s="487" customFormat="1" ht="25.5" customHeight="1" x14ac:dyDescent="0.25">
      <c r="A184" s="497" t="s">
        <v>200</v>
      </c>
      <c r="B184" s="498" t="s">
        <v>1804</v>
      </c>
      <c r="C184" s="497" t="s">
        <v>931</v>
      </c>
      <c r="D184" s="498"/>
      <c r="E184" s="497" t="s">
        <v>930</v>
      </c>
      <c r="F184" s="498"/>
      <c r="G184" s="497" t="s">
        <v>648</v>
      </c>
      <c r="H184" s="497" t="s">
        <v>654</v>
      </c>
      <c r="I184" s="497" t="s">
        <v>647</v>
      </c>
      <c r="J184" s="497" t="s">
        <v>671</v>
      </c>
      <c r="K184" s="497" t="s">
        <v>649</v>
      </c>
      <c r="L184" s="497" t="s">
        <v>55</v>
      </c>
      <c r="M184" s="497" t="s">
        <v>646</v>
      </c>
      <c r="N184" s="497"/>
      <c r="O184" s="497"/>
      <c r="P184" s="497"/>
      <c r="Q184" s="497" t="s">
        <v>656</v>
      </c>
      <c r="R184" s="497" t="s">
        <v>652</v>
      </c>
      <c r="S184" s="497" t="s">
        <v>649</v>
      </c>
      <c r="T184" s="497"/>
      <c r="U184" s="497"/>
      <c r="V184" s="497" t="s">
        <v>683</v>
      </c>
      <c r="W184" s="497" t="s">
        <v>666</v>
      </c>
      <c r="X184" s="499">
        <v>42705</v>
      </c>
      <c r="Y184" s="499">
        <v>43432</v>
      </c>
      <c r="Z184" s="500">
        <v>2018</v>
      </c>
      <c r="AA184" s="497" t="s">
        <v>676</v>
      </c>
      <c r="AB184" s="497" t="s">
        <v>675</v>
      </c>
      <c r="AC184" s="497" t="s">
        <v>663</v>
      </c>
      <c r="AD184" s="501"/>
      <c r="AE184" s="501"/>
      <c r="AF184" s="501"/>
      <c r="AG184" s="501"/>
      <c r="AH184" s="501"/>
      <c r="AI184" s="501"/>
      <c r="AJ184" s="501"/>
      <c r="AK184" s="501"/>
      <c r="AL184" s="501"/>
      <c r="AM184" s="501"/>
      <c r="AN184" s="501"/>
      <c r="AO184" s="501"/>
      <c r="AP184" s="501"/>
      <c r="AQ184" s="501"/>
      <c r="AR184" s="501"/>
      <c r="AS184" s="501"/>
      <c r="AT184" s="501"/>
      <c r="AU184" s="501"/>
      <c r="AV184" s="501">
        <v>185249.9999999998</v>
      </c>
      <c r="AW184" s="501">
        <v>1764749.9999999977</v>
      </c>
      <c r="AX184" s="501"/>
      <c r="AY184" s="501"/>
      <c r="AZ184" s="501"/>
      <c r="BA184" s="501"/>
      <c r="BB184" s="483"/>
      <c r="BC184" s="483"/>
      <c r="BD184" s="483"/>
      <c r="BE184" s="483"/>
      <c r="BF184" s="483"/>
      <c r="BG184" s="483"/>
      <c r="BH184" s="483"/>
      <c r="BI184" s="483"/>
      <c r="BJ184" s="483"/>
      <c r="BK184" s="483"/>
      <c r="BL184" s="483"/>
      <c r="BM184" s="483"/>
      <c r="BN184" s="483"/>
      <c r="BO184" s="483"/>
      <c r="BP184" s="483"/>
      <c r="BQ184" s="483"/>
      <c r="BR184" s="483">
        <v>1949999.9999999972</v>
      </c>
      <c r="BS184" s="484">
        <f t="shared" si="34"/>
        <v>1949999.9999999974</v>
      </c>
      <c r="BT184" s="485">
        <f t="shared" si="43"/>
        <v>0</v>
      </c>
      <c r="BU184" s="485">
        <f t="shared" si="43"/>
        <v>0</v>
      </c>
      <c r="BV184" s="485">
        <f t="shared" si="43"/>
        <v>0</v>
      </c>
      <c r="BW184" s="485">
        <f t="shared" si="43"/>
        <v>1</v>
      </c>
      <c r="BX184" s="485">
        <f t="shared" si="43"/>
        <v>0</v>
      </c>
      <c r="BY184" s="485">
        <f t="shared" si="43"/>
        <v>0</v>
      </c>
      <c r="BZ184" s="485">
        <f t="shared" si="43"/>
        <v>0</v>
      </c>
      <c r="CA184" s="485">
        <f t="shared" si="43"/>
        <v>0</v>
      </c>
      <c r="CB184" s="485">
        <f t="shared" si="43"/>
        <v>0</v>
      </c>
      <c r="CC184" s="485">
        <f t="shared" si="43"/>
        <v>0</v>
      </c>
      <c r="CD184" s="485">
        <f t="shared" si="44"/>
        <v>0</v>
      </c>
      <c r="CE184" s="485">
        <f t="shared" si="44"/>
        <v>0</v>
      </c>
      <c r="CF184" s="485">
        <f t="shared" si="44"/>
        <v>0</v>
      </c>
      <c r="CG184" s="485">
        <f t="shared" si="44"/>
        <v>0</v>
      </c>
      <c r="CH184" s="485">
        <f t="shared" si="44"/>
        <v>0</v>
      </c>
      <c r="CI184" s="485">
        <f t="shared" si="44"/>
        <v>0</v>
      </c>
      <c r="CJ184" s="485">
        <f t="shared" si="44"/>
        <v>0</v>
      </c>
      <c r="CK184" s="485">
        <f t="shared" si="44"/>
        <v>0</v>
      </c>
      <c r="CL184" s="485">
        <f t="shared" si="44"/>
        <v>0</v>
      </c>
      <c r="CM184" s="486">
        <f t="shared" si="35"/>
        <v>1</v>
      </c>
    </row>
    <row r="185" spans="1:91" s="487" customFormat="1" ht="25.5" customHeight="1" x14ac:dyDescent="0.25">
      <c r="A185" s="497" t="s">
        <v>202</v>
      </c>
      <c r="B185" s="498" t="s">
        <v>1806</v>
      </c>
      <c r="C185" s="497" t="s">
        <v>929</v>
      </c>
      <c r="D185" s="498"/>
      <c r="E185" s="497" t="s">
        <v>692</v>
      </c>
      <c r="F185" s="498"/>
      <c r="G185" s="497"/>
      <c r="H185" s="497" t="s">
        <v>654</v>
      </c>
      <c r="I185" s="497" t="s">
        <v>647</v>
      </c>
      <c r="J185" s="497" t="s">
        <v>671</v>
      </c>
      <c r="K185" s="497" t="s">
        <v>649</v>
      </c>
      <c r="L185" s="497" t="s">
        <v>55</v>
      </c>
      <c r="M185" s="497" t="s">
        <v>646</v>
      </c>
      <c r="N185" s="497" t="s">
        <v>645</v>
      </c>
      <c r="O185" s="497"/>
      <c r="P185" s="497"/>
      <c r="Q185" s="497" t="s">
        <v>656</v>
      </c>
      <c r="R185" s="497" t="s">
        <v>652</v>
      </c>
      <c r="S185" s="497" t="s">
        <v>649</v>
      </c>
      <c r="T185" s="497"/>
      <c r="U185" s="497"/>
      <c r="V185" s="497" t="s">
        <v>683</v>
      </c>
      <c r="W185" s="497" t="s">
        <v>640</v>
      </c>
      <c r="X185" s="499">
        <v>42948</v>
      </c>
      <c r="Y185" s="499">
        <v>43558</v>
      </c>
      <c r="Z185" s="500">
        <v>2019</v>
      </c>
      <c r="AA185" s="497"/>
      <c r="AB185" s="497"/>
      <c r="AC185" s="497"/>
      <c r="AD185" s="501"/>
      <c r="AE185" s="501"/>
      <c r="AF185" s="501"/>
      <c r="AG185" s="501"/>
      <c r="AH185" s="501"/>
      <c r="AI185" s="501"/>
      <c r="AJ185" s="501"/>
      <c r="AK185" s="501"/>
      <c r="AL185" s="501"/>
      <c r="AM185" s="501"/>
      <c r="AN185" s="501"/>
      <c r="AO185" s="501"/>
      <c r="AP185" s="501"/>
      <c r="AQ185" s="501"/>
      <c r="AR185" s="501"/>
      <c r="AS185" s="501"/>
      <c r="AT185" s="501"/>
      <c r="AU185" s="501"/>
      <c r="AV185" s="501">
        <v>232580.99999999983</v>
      </c>
      <c r="AW185" s="501"/>
      <c r="AX185" s="501"/>
      <c r="AY185" s="501"/>
      <c r="AZ185" s="501"/>
      <c r="BA185" s="501"/>
      <c r="BB185" s="483"/>
      <c r="BC185" s="483"/>
      <c r="BD185" s="483"/>
      <c r="BE185" s="483"/>
      <c r="BF185" s="483"/>
      <c r="BG185" s="483">
        <v>930519.08808333275</v>
      </c>
      <c r="BH185" s="483"/>
      <c r="BI185" s="483"/>
      <c r="BJ185" s="483"/>
      <c r="BK185" s="483"/>
      <c r="BL185" s="483"/>
      <c r="BM185" s="483"/>
      <c r="BN185" s="483"/>
      <c r="BO185" s="483"/>
      <c r="BP185" s="483"/>
      <c r="BQ185" s="483"/>
      <c r="BR185" s="483">
        <v>1163100.0880833326</v>
      </c>
      <c r="BS185" s="484">
        <f t="shared" si="34"/>
        <v>232580.99999999983</v>
      </c>
      <c r="BT185" s="485">
        <f t="shared" si="43"/>
        <v>0</v>
      </c>
      <c r="BU185" s="485">
        <f t="shared" si="43"/>
        <v>0</v>
      </c>
      <c r="BV185" s="485">
        <f t="shared" si="43"/>
        <v>0</v>
      </c>
      <c r="BW185" s="485">
        <f t="shared" si="43"/>
        <v>1</v>
      </c>
      <c r="BX185" s="485">
        <f t="shared" si="43"/>
        <v>0</v>
      </c>
      <c r="BY185" s="485">
        <f t="shared" si="43"/>
        <v>0</v>
      </c>
      <c r="BZ185" s="485">
        <f t="shared" si="43"/>
        <v>0</v>
      </c>
      <c r="CA185" s="485">
        <f t="shared" si="43"/>
        <v>0</v>
      </c>
      <c r="CB185" s="485">
        <f t="shared" si="43"/>
        <v>0</v>
      </c>
      <c r="CC185" s="485">
        <f t="shared" si="43"/>
        <v>0</v>
      </c>
      <c r="CD185" s="485">
        <f t="shared" si="44"/>
        <v>0</v>
      </c>
      <c r="CE185" s="485">
        <f t="shared" si="44"/>
        <v>0</v>
      </c>
      <c r="CF185" s="485">
        <f t="shared" si="44"/>
        <v>0</v>
      </c>
      <c r="CG185" s="485">
        <f t="shared" si="44"/>
        <v>0</v>
      </c>
      <c r="CH185" s="485">
        <f t="shared" si="44"/>
        <v>0</v>
      </c>
      <c r="CI185" s="485">
        <f t="shared" si="44"/>
        <v>0</v>
      </c>
      <c r="CJ185" s="485">
        <f t="shared" si="44"/>
        <v>0</v>
      </c>
      <c r="CK185" s="485">
        <f t="shared" si="44"/>
        <v>0</v>
      </c>
      <c r="CL185" s="485">
        <f t="shared" si="44"/>
        <v>0</v>
      </c>
      <c r="CM185" s="486">
        <f t="shared" si="35"/>
        <v>1</v>
      </c>
    </row>
    <row r="186" spans="1:91" s="487" customFormat="1" ht="38.25" customHeight="1" x14ac:dyDescent="0.25">
      <c r="A186" s="497" t="s">
        <v>205</v>
      </c>
      <c r="B186" s="498" t="s">
        <v>1814</v>
      </c>
      <c r="C186" s="497" t="s">
        <v>928</v>
      </c>
      <c r="D186" s="498"/>
      <c r="E186" s="497" t="s">
        <v>55</v>
      </c>
      <c r="F186" s="498"/>
      <c r="G186" s="497" t="s">
        <v>648</v>
      </c>
      <c r="H186" s="497" t="s">
        <v>654</v>
      </c>
      <c r="I186" s="497" t="s">
        <v>647</v>
      </c>
      <c r="J186" s="497" t="s">
        <v>671</v>
      </c>
      <c r="K186" s="497" t="s">
        <v>649</v>
      </c>
      <c r="L186" s="497" t="s">
        <v>40</v>
      </c>
      <c r="M186" s="497" t="s">
        <v>646</v>
      </c>
      <c r="N186" s="497" t="s">
        <v>680</v>
      </c>
      <c r="O186" s="497" t="s">
        <v>927</v>
      </c>
      <c r="P186" s="497" t="s">
        <v>823</v>
      </c>
      <c r="Q186" s="497" t="s">
        <v>656</v>
      </c>
      <c r="R186" s="497" t="s">
        <v>652</v>
      </c>
      <c r="S186" s="497" t="s">
        <v>649</v>
      </c>
      <c r="T186" s="497" t="s">
        <v>107</v>
      </c>
      <c r="U186" s="497" t="s">
        <v>689</v>
      </c>
      <c r="V186" s="497" t="s">
        <v>683</v>
      </c>
      <c r="W186" s="497" t="s">
        <v>694</v>
      </c>
      <c r="X186" s="499"/>
      <c r="Y186" s="499"/>
      <c r="Z186" s="500">
        <v>2014</v>
      </c>
      <c r="AA186" s="497" t="s">
        <v>676</v>
      </c>
      <c r="AB186" s="497" t="s">
        <v>675</v>
      </c>
      <c r="AC186" s="497" t="s">
        <v>649</v>
      </c>
      <c r="AD186" s="501"/>
      <c r="AE186" s="501"/>
      <c r="AF186" s="501"/>
      <c r="AG186" s="501"/>
      <c r="AH186" s="501"/>
      <c r="AI186" s="501"/>
      <c r="AJ186" s="501"/>
      <c r="AK186" s="501"/>
      <c r="AL186" s="501"/>
      <c r="AM186" s="501"/>
      <c r="AN186" s="501"/>
      <c r="AO186" s="501"/>
      <c r="AP186" s="501"/>
      <c r="AQ186" s="501"/>
      <c r="AR186" s="501"/>
      <c r="AS186" s="501"/>
      <c r="AT186" s="501"/>
      <c r="AU186" s="501"/>
      <c r="AV186" s="501"/>
      <c r="AW186" s="501"/>
      <c r="AX186" s="501"/>
      <c r="AY186" s="501"/>
      <c r="AZ186" s="501"/>
      <c r="BA186" s="501"/>
      <c r="BB186" s="483"/>
      <c r="BC186" s="483"/>
      <c r="BD186" s="483"/>
      <c r="BE186" s="483"/>
      <c r="BF186" s="483"/>
      <c r="BG186" s="483"/>
      <c r="BH186" s="483"/>
      <c r="BI186" s="483"/>
      <c r="BJ186" s="483"/>
      <c r="BK186" s="483"/>
      <c r="BL186" s="483"/>
      <c r="BM186" s="483"/>
      <c r="BN186" s="483"/>
      <c r="BO186" s="483"/>
      <c r="BP186" s="483"/>
      <c r="BQ186" s="483"/>
      <c r="BR186" s="483"/>
      <c r="BS186" s="484">
        <f t="shared" si="34"/>
        <v>0</v>
      </c>
      <c r="BT186" s="485">
        <v>0</v>
      </c>
      <c r="BU186" s="485">
        <v>0</v>
      </c>
      <c r="BV186" s="485">
        <v>0</v>
      </c>
      <c r="BW186" s="485">
        <v>1</v>
      </c>
      <c r="BX186" s="485">
        <v>0</v>
      </c>
      <c r="BY186" s="485">
        <v>0</v>
      </c>
      <c r="BZ186" s="485">
        <v>0</v>
      </c>
      <c r="CA186" s="485">
        <v>0</v>
      </c>
      <c r="CB186" s="485">
        <v>0</v>
      </c>
      <c r="CC186" s="485">
        <v>0</v>
      </c>
      <c r="CD186" s="485">
        <v>0</v>
      </c>
      <c r="CE186" s="485">
        <v>0</v>
      </c>
      <c r="CF186" s="485">
        <v>0</v>
      </c>
      <c r="CG186" s="485">
        <v>0</v>
      </c>
      <c r="CH186" s="485">
        <v>0</v>
      </c>
      <c r="CI186" s="485">
        <v>0</v>
      </c>
      <c r="CJ186" s="485">
        <v>0</v>
      </c>
      <c r="CK186" s="485">
        <v>0</v>
      </c>
      <c r="CL186" s="485">
        <v>0</v>
      </c>
      <c r="CM186" s="486">
        <f t="shared" si="35"/>
        <v>1</v>
      </c>
    </row>
    <row r="187" spans="1:91" s="487" customFormat="1" ht="25.5" customHeight="1" x14ac:dyDescent="0.25">
      <c r="A187" s="497" t="s">
        <v>207</v>
      </c>
      <c r="B187" s="498" t="s">
        <v>1816</v>
      </c>
      <c r="C187" s="497" t="s">
        <v>926</v>
      </c>
      <c r="D187" s="498"/>
      <c r="E187" s="497" t="s">
        <v>925</v>
      </c>
      <c r="F187" s="498"/>
      <c r="G187" s="497" t="s">
        <v>648</v>
      </c>
      <c r="H187" s="497" t="s">
        <v>654</v>
      </c>
      <c r="I187" s="497" t="s">
        <v>647</v>
      </c>
      <c r="J187" s="497" t="s">
        <v>641</v>
      </c>
      <c r="K187" s="497" t="s">
        <v>649</v>
      </c>
      <c r="L187" s="497" t="s">
        <v>41</v>
      </c>
      <c r="M187" s="497" t="s">
        <v>646</v>
      </c>
      <c r="N187" s="497" t="s">
        <v>680</v>
      </c>
      <c r="O187" s="497"/>
      <c r="P187" s="497" t="s">
        <v>643</v>
      </c>
      <c r="Q187" s="497" t="s">
        <v>650</v>
      </c>
      <c r="R187" s="497" t="s">
        <v>652</v>
      </c>
      <c r="S187" s="497" t="s">
        <v>649</v>
      </c>
      <c r="T187" s="497"/>
      <c r="U187" s="497"/>
      <c r="V187" s="497" t="s">
        <v>59</v>
      </c>
      <c r="W187" s="497" t="s">
        <v>677</v>
      </c>
      <c r="X187" s="499">
        <v>42917</v>
      </c>
      <c r="Y187" s="499">
        <v>43279</v>
      </c>
      <c r="Z187" s="500">
        <v>2018</v>
      </c>
      <c r="AA187" s="497" t="s">
        <v>676</v>
      </c>
      <c r="AB187" s="497" t="s">
        <v>675</v>
      </c>
      <c r="AC187" s="497" t="s">
        <v>663</v>
      </c>
      <c r="AD187" s="501"/>
      <c r="AE187" s="501"/>
      <c r="AF187" s="501"/>
      <c r="AG187" s="501"/>
      <c r="AH187" s="501"/>
      <c r="AI187" s="501"/>
      <c r="AJ187" s="501"/>
      <c r="AK187" s="501"/>
      <c r="AL187" s="501"/>
      <c r="AM187" s="501"/>
      <c r="AN187" s="501"/>
      <c r="AO187" s="501"/>
      <c r="AP187" s="501"/>
      <c r="AQ187" s="501"/>
      <c r="AR187" s="501"/>
      <c r="AS187" s="501"/>
      <c r="AT187" s="501"/>
      <c r="AU187" s="501"/>
      <c r="AV187" s="501">
        <v>68400</v>
      </c>
      <c r="AW187" s="501"/>
      <c r="AX187" s="501"/>
      <c r="AY187" s="501"/>
      <c r="AZ187" s="501"/>
      <c r="BA187" s="501"/>
      <c r="BB187" s="483"/>
      <c r="BC187" s="483"/>
      <c r="BD187" s="483"/>
      <c r="BE187" s="483"/>
      <c r="BF187" s="483"/>
      <c r="BG187" s="483">
        <v>112068.93500000001</v>
      </c>
      <c r="BH187" s="483"/>
      <c r="BI187" s="483"/>
      <c r="BJ187" s="483"/>
      <c r="BK187" s="483"/>
      <c r="BL187" s="483"/>
      <c r="BM187" s="483"/>
      <c r="BN187" s="483"/>
      <c r="BO187" s="483"/>
      <c r="BP187" s="483"/>
      <c r="BQ187" s="483"/>
      <c r="BR187" s="483">
        <v>180468.935</v>
      </c>
      <c r="BS187" s="484">
        <f t="shared" si="34"/>
        <v>68400</v>
      </c>
      <c r="BT187" s="485">
        <f t="shared" ref="BT187:CC195" si="45">SUMIFS($AD187:$BA187,$AD$11:$BA$11,BT$21)/$BS187</f>
        <v>0</v>
      </c>
      <c r="BU187" s="485">
        <f t="shared" si="45"/>
        <v>0</v>
      </c>
      <c r="BV187" s="485">
        <f t="shared" si="45"/>
        <v>0</v>
      </c>
      <c r="BW187" s="485">
        <f t="shared" si="45"/>
        <v>1</v>
      </c>
      <c r="BX187" s="485">
        <f t="shared" si="45"/>
        <v>0</v>
      </c>
      <c r="BY187" s="485">
        <f t="shared" si="45"/>
        <v>0</v>
      </c>
      <c r="BZ187" s="485">
        <f t="shared" si="45"/>
        <v>0</v>
      </c>
      <c r="CA187" s="485">
        <f t="shared" si="45"/>
        <v>0</v>
      </c>
      <c r="CB187" s="485">
        <f t="shared" si="45"/>
        <v>0</v>
      </c>
      <c r="CC187" s="485">
        <f t="shared" si="45"/>
        <v>0</v>
      </c>
      <c r="CD187" s="485">
        <f t="shared" ref="CD187:CL195" si="46">SUMIFS($AD187:$BA187,$AD$11:$BA$11,CD$21)/$BS187</f>
        <v>0</v>
      </c>
      <c r="CE187" s="485">
        <f t="shared" si="46"/>
        <v>0</v>
      </c>
      <c r="CF187" s="485">
        <f t="shared" si="46"/>
        <v>0</v>
      </c>
      <c r="CG187" s="485">
        <f t="shared" si="46"/>
        <v>0</v>
      </c>
      <c r="CH187" s="485">
        <f t="shared" si="46"/>
        <v>0</v>
      </c>
      <c r="CI187" s="485">
        <f t="shared" si="46"/>
        <v>0</v>
      </c>
      <c r="CJ187" s="485">
        <f t="shared" si="46"/>
        <v>0</v>
      </c>
      <c r="CK187" s="485">
        <f t="shared" si="46"/>
        <v>0</v>
      </c>
      <c r="CL187" s="485">
        <f t="shared" si="46"/>
        <v>0</v>
      </c>
      <c r="CM187" s="486">
        <f t="shared" si="35"/>
        <v>1</v>
      </c>
    </row>
    <row r="188" spans="1:91" s="487" customFormat="1" ht="25.5" customHeight="1" x14ac:dyDescent="0.25">
      <c r="A188" s="497" t="s">
        <v>209</v>
      </c>
      <c r="B188" s="498" t="s">
        <v>1820</v>
      </c>
      <c r="C188" s="497" t="s">
        <v>924</v>
      </c>
      <c r="D188" s="498"/>
      <c r="E188" s="497" t="s">
        <v>56</v>
      </c>
      <c r="F188" s="498"/>
      <c r="G188" s="497" t="s">
        <v>722</v>
      </c>
      <c r="H188" s="497" t="s">
        <v>654</v>
      </c>
      <c r="I188" s="497" t="s">
        <v>647</v>
      </c>
      <c r="J188" s="497" t="s">
        <v>641</v>
      </c>
      <c r="K188" s="497" t="s">
        <v>649</v>
      </c>
      <c r="L188" s="497" t="s">
        <v>40</v>
      </c>
      <c r="M188" s="497" t="s">
        <v>646</v>
      </c>
      <c r="N188" s="497"/>
      <c r="O188" s="497"/>
      <c r="P188" s="497"/>
      <c r="Q188" s="497" t="s">
        <v>642</v>
      </c>
      <c r="R188" s="497" t="s">
        <v>652</v>
      </c>
      <c r="S188" s="497" t="s">
        <v>649</v>
      </c>
      <c r="T188" s="497"/>
      <c r="U188" s="497"/>
      <c r="V188" s="497" t="s">
        <v>685</v>
      </c>
      <c r="W188" s="497" t="s">
        <v>684</v>
      </c>
      <c r="X188" s="499">
        <v>40990</v>
      </c>
      <c r="Y188" s="499">
        <v>43935</v>
      </c>
      <c r="Z188" s="500">
        <v>2020</v>
      </c>
      <c r="AA188" s="497" t="s">
        <v>663</v>
      </c>
      <c r="AB188" s="497" t="s">
        <v>675</v>
      </c>
      <c r="AC188" s="497" t="s">
        <v>663</v>
      </c>
      <c r="AD188" s="501"/>
      <c r="AE188" s="501"/>
      <c r="AF188" s="501"/>
      <c r="AG188" s="501"/>
      <c r="AH188" s="501"/>
      <c r="AI188" s="501"/>
      <c r="AJ188" s="501">
        <v>520405.69939999998</v>
      </c>
      <c r="AK188" s="501"/>
      <c r="AL188" s="501"/>
      <c r="AM188" s="501"/>
      <c r="AN188" s="501"/>
      <c r="AO188" s="501"/>
      <c r="AP188" s="501"/>
      <c r="AQ188" s="501">
        <v>2087099.1973933992</v>
      </c>
      <c r="AR188" s="501">
        <v>2923968.1343454998</v>
      </c>
      <c r="AS188" s="501"/>
      <c r="AT188" s="501"/>
      <c r="AU188" s="501"/>
      <c r="AV188" s="501"/>
      <c r="AW188" s="501"/>
      <c r="AX188" s="501"/>
      <c r="AY188" s="501"/>
      <c r="AZ188" s="501"/>
      <c r="BA188" s="501"/>
      <c r="BB188" s="483"/>
      <c r="BC188" s="483"/>
      <c r="BD188" s="483"/>
      <c r="BE188" s="483"/>
      <c r="BF188" s="483"/>
      <c r="BG188" s="483">
        <v>691434.12889236282</v>
      </c>
      <c r="BH188" s="483">
        <v>663776.76373666828</v>
      </c>
      <c r="BI188" s="483">
        <v>55314.730311389023</v>
      </c>
      <c r="BJ188" s="483">
        <v>165944.19093416704</v>
      </c>
      <c r="BK188" s="483">
        <v>82972.095467083505</v>
      </c>
      <c r="BL188" s="483">
        <v>165944.19093416707</v>
      </c>
      <c r="BM188" s="483">
        <v>110629.46062277802</v>
      </c>
      <c r="BN188" s="483"/>
      <c r="BO188" s="483"/>
      <c r="BP188" s="483"/>
      <c r="BQ188" s="483"/>
      <c r="BR188" s="483">
        <v>7467488.5920375157</v>
      </c>
      <c r="BS188" s="484">
        <f t="shared" si="34"/>
        <v>5531473.0311388988</v>
      </c>
      <c r="BT188" s="485">
        <f t="shared" si="45"/>
        <v>0</v>
      </c>
      <c r="BU188" s="485">
        <f t="shared" si="45"/>
        <v>0.52860569289324932</v>
      </c>
      <c r="BV188" s="485">
        <f t="shared" si="45"/>
        <v>0.37731345441698327</v>
      </c>
      <c r="BW188" s="485">
        <f t="shared" si="45"/>
        <v>0</v>
      </c>
      <c r="BX188" s="485">
        <f t="shared" si="45"/>
        <v>0</v>
      </c>
      <c r="BY188" s="485">
        <f t="shared" si="45"/>
        <v>0</v>
      </c>
      <c r="BZ188" s="485">
        <f t="shared" si="45"/>
        <v>0</v>
      </c>
      <c r="CA188" s="485">
        <f t="shared" si="45"/>
        <v>0</v>
      </c>
      <c r="CB188" s="485">
        <f t="shared" si="45"/>
        <v>0</v>
      </c>
      <c r="CC188" s="485">
        <f t="shared" si="45"/>
        <v>0</v>
      </c>
      <c r="CD188" s="485">
        <f t="shared" si="46"/>
        <v>9.4080852689767416E-2</v>
      </c>
      <c r="CE188" s="485">
        <f t="shared" si="46"/>
        <v>0</v>
      </c>
      <c r="CF188" s="485">
        <f t="shared" si="46"/>
        <v>0</v>
      </c>
      <c r="CG188" s="485">
        <f t="shared" si="46"/>
        <v>0</v>
      </c>
      <c r="CH188" s="485">
        <f t="shared" si="46"/>
        <v>0</v>
      </c>
      <c r="CI188" s="485">
        <f t="shared" si="46"/>
        <v>0</v>
      </c>
      <c r="CJ188" s="485">
        <f t="shared" si="46"/>
        <v>0</v>
      </c>
      <c r="CK188" s="485">
        <f t="shared" si="46"/>
        <v>0</v>
      </c>
      <c r="CL188" s="485">
        <f t="shared" si="46"/>
        <v>0</v>
      </c>
      <c r="CM188" s="486">
        <f t="shared" si="35"/>
        <v>1</v>
      </c>
    </row>
    <row r="189" spans="1:91" s="487" customFormat="1" ht="25.5" customHeight="1" x14ac:dyDescent="0.25">
      <c r="A189" s="497" t="s">
        <v>211</v>
      </c>
      <c r="B189" s="498" t="s">
        <v>1822</v>
      </c>
      <c r="C189" s="497" t="s">
        <v>923</v>
      </c>
      <c r="D189" s="498"/>
      <c r="E189" s="497" t="s">
        <v>779</v>
      </c>
      <c r="F189" s="498"/>
      <c r="G189" s="497" t="s">
        <v>648</v>
      </c>
      <c r="H189" s="497" t="s">
        <v>654</v>
      </c>
      <c r="I189" s="497" t="s">
        <v>647</v>
      </c>
      <c r="J189" s="497" t="s">
        <v>671</v>
      </c>
      <c r="K189" s="497" t="s">
        <v>649</v>
      </c>
      <c r="L189" s="497" t="s">
        <v>36</v>
      </c>
      <c r="M189" s="497" t="s">
        <v>646</v>
      </c>
      <c r="N189" s="497" t="s">
        <v>699</v>
      </c>
      <c r="O189" s="497"/>
      <c r="P189" s="497"/>
      <c r="Q189" s="497" t="s">
        <v>650</v>
      </c>
      <c r="R189" s="497" t="s">
        <v>652</v>
      </c>
      <c r="S189" s="497"/>
      <c r="T189" s="497"/>
      <c r="U189" s="497"/>
      <c r="V189" s="497" t="s">
        <v>36</v>
      </c>
      <c r="W189" s="497" t="s">
        <v>677</v>
      </c>
      <c r="X189" s="499">
        <v>41456</v>
      </c>
      <c r="Y189" s="499">
        <v>41771</v>
      </c>
      <c r="Z189" s="500">
        <v>2014</v>
      </c>
      <c r="AA189" s="497" t="s">
        <v>676</v>
      </c>
      <c r="AB189" s="497" t="s">
        <v>675</v>
      </c>
      <c r="AC189" s="497" t="s">
        <v>663</v>
      </c>
      <c r="AD189" s="501"/>
      <c r="AE189" s="501"/>
      <c r="AF189" s="501"/>
      <c r="AG189" s="501"/>
      <c r="AH189" s="501"/>
      <c r="AI189" s="501"/>
      <c r="AJ189" s="501"/>
      <c r="AK189" s="501"/>
      <c r="AL189" s="501"/>
      <c r="AM189" s="501"/>
      <c r="AN189" s="501"/>
      <c r="AO189" s="501"/>
      <c r="AP189" s="501"/>
      <c r="AQ189" s="501"/>
      <c r="AR189" s="501"/>
      <c r="AS189" s="501"/>
      <c r="AT189" s="501"/>
      <c r="AU189" s="501"/>
      <c r="AV189" s="501"/>
      <c r="AW189" s="501"/>
      <c r="AX189" s="501"/>
      <c r="AY189" s="501"/>
      <c r="AZ189" s="501"/>
      <c r="BA189" s="501">
        <v>104999.99999999999</v>
      </c>
      <c r="BB189" s="483"/>
      <c r="BC189" s="483"/>
      <c r="BD189" s="483"/>
      <c r="BE189" s="483"/>
      <c r="BF189" s="483"/>
      <c r="BG189" s="483"/>
      <c r="BH189" s="483"/>
      <c r="BI189" s="483"/>
      <c r="BJ189" s="483"/>
      <c r="BK189" s="483"/>
      <c r="BL189" s="483"/>
      <c r="BM189" s="483"/>
      <c r="BN189" s="483"/>
      <c r="BO189" s="483"/>
      <c r="BP189" s="483"/>
      <c r="BQ189" s="483"/>
      <c r="BR189" s="483">
        <v>104999.99999999999</v>
      </c>
      <c r="BS189" s="484">
        <f t="shared" si="34"/>
        <v>104999.99999999999</v>
      </c>
      <c r="BT189" s="485">
        <f t="shared" si="45"/>
        <v>0</v>
      </c>
      <c r="BU189" s="485">
        <f t="shared" si="45"/>
        <v>0</v>
      </c>
      <c r="BV189" s="485">
        <f t="shared" si="45"/>
        <v>0</v>
      </c>
      <c r="BW189" s="485">
        <f t="shared" si="45"/>
        <v>0</v>
      </c>
      <c r="BX189" s="485">
        <f t="shared" si="45"/>
        <v>0</v>
      </c>
      <c r="BY189" s="485">
        <f t="shared" si="45"/>
        <v>0</v>
      </c>
      <c r="BZ189" s="485">
        <f t="shared" si="45"/>
        <v>0</v>
      </c>
      <c r="CA189" s="485">
        <f t="shared" si="45"/>
        <v>1</v>
      </c>
      <c r="CB189" s="485">
        <f t="shared" si="45"/>
        <v>0</v>
      </c>
      <c r="CC189" s="485">
        <f t="shared" si="45"/>
        <v>0</v>
      </c>
      <c r="CD189" s="485">
        <f t="shared" si="46"/>
        <v>0</v>
      </c>
      <c r="CE189" s="485">
        <f t="shared" si="46"/>
        <v>0</v>
      </c>
      <c r="CF189" s="485">
        <f t="shared" si="46"/>
        <v>0</v>
      </c>
      <c r="CG189" s="485">
        <f t="shared" si="46"/>
        <v>0</v>
      </c>
      <c r="CH189" s="485">
        <f t="shared" si="46"/>
        <v>0</v>
      </c>
      <c r="CI189" s="485">
        <f t="shared" si="46"/>
        <v>0</v>
      </c>
      <c r="CJ189" s="485">
        <f t="shared" si="46"/>
        <v>0</v>
      </c>
      <c r="CK189" s="485">
        <f t="shared" si="46"/>
        <v>0</v>
      </c>
      <c r="CL189" s="485">
        <f t="shared" si="46"/>
        <v>0</v>
      </c>
      <c r="CM189" s="486">
        <f t="shared" si="35"/>
        <v>1</v>
      </c>
    </row>
    <row r="190" spans="1:91" s="487" customFormat="1" ht="25.5" customHeight="1" x14ac:dyDescent="0.25">
      <c r="A190" s="497" t="s">
        <v>212</v>
      </c>
      <c r="B190" s="498" t="s">
        <v>1824</v>
      </c>
      <c r="C190" s="497" t="s">
        <v>922</v>
      </c>
      <c r="D190" s="498"/>
      <c r="E190" s="497" t="s">
        <v>779</v>
      </c>
      <c r="F190" s="498"/>
      <c r="G190" s="497" t="s">
        <v>648</v>
      </c>
      <c r="H190" s="497" t="s">
        <v>654</v>
      </c>
      <c r="I190" s="497" t="s">
        <v>647</v>
      </c>
      <c r="J190" s="497" t="s">
        <v>671</v>
      </c>
      <c r="K190" s="497" t="s">
        <v>649</v>
      </c>
      <c r="L190" s="497" t="s">
        <v>36</v>
      </c>
      <c r="M190" s="497" t="s">
        <v>646</v>
      </c>
      <c r="N190" s="497" t="s">
        <v>668</v>
      </c>
      <c r="O190" s="497"/>
      <c r="P190" s="497"/>
      <c r="Q190" s="497" t="s">
        <v>650</v>
      </c>
      <c r="R190" s="497" t="s">
        <v>652</v>
      </c>
      <c r="S190" s="497"/>
      <c r="T190" s="497"/>
      <c r="U190" s="497"/>
      <c r="V190" s="497" t="s">
        <v>36</v>
      </c>
      <c r="W190" s="497" t="s">
        <v>666</v>
      </c>
      <c r="X190" s="499">
        <v>41821</v>
      </c>
      <c r="Y190" s="499">
        <v>42131</v>
      </c>
      <c r="Z190" s="500">
        <v>2015</v>
      </c>
      <c r="AA190" s="497" t="s">
        <v>676</v>
      </c>
      <c r="AB190" s="497" t="s">
        <v>675</v>
      </c>
      <c r="AC190" s="497" t="s">
        <v>663</v>
      </c>
      <c r="AD190" s="501"/>
      <c r="AE190" s="501"/>
      <c r="AF190" s="501"/>
      <c r="AG190" s="501"/>
      <c r="AH190" s="501"/>
      <c r="AI190" s="501"/>
      <c r="AJ190" s="501"/>
      <c r="AK190" s="501"/>
      <c r="AL190" s="501"/>
      <c r="AM190" s="501"/>
      <c r="AN190" s="501"/>
      <c r="AO190" s="501"/>
      <c r="AP190" s="501"/>
      <c r="AQ190" s="501"/>
      <c r="AR190" s="501"/>
      <c r="AS190" s="501"/>
      <c r="AT190" s="501"/>
      <c r="AU190" s="501">
        <v>4499.9999999999991</v>
      </c>
      <c r="AV190" s="501"/>
      <c r="AW190" s="501"/>
      <c r="AX190" s="501">
        <v>10499.999999999996</v>
      </c>
      <c r="AY190" s="501"/>
      <c r="AZ190" s="501"/>
      <c r="BA190" s="501"/>
      <c r="BB190" s="483"/>
      <c r="BC190" s="483"/>
      <c r="BD190" s="483"/>
      <c r="BE190" s="483"/>
      <c r="BF190" s="483"/>
      <c r="BG190" s="483"/>
      <c r="BH190" s="483"/>
      <c r="BI190" s="483"/>
      <c r="BJ190" s="483"/>
      <c r="BK190" s="483"/>
      <c r="BL190" s="483"/>
      <c r="BM190" s="483"/>
      <c r="BN190" s="483"/>
      <c r="BO190" s="483"/>
      <c r="BP190" s="483"/>
      <c r="BQ190" s="483"/>
      <c r="BR190" s="483">
        <v>14999.999999999996</v>
      </c>
      <c r="BS190" s="484">
        <f t="shared" si="34"/>
        <v>14999.999999999996</v>
      </c>
      <c r="BT190" s="485">
        <f t="shared" si="45"/>
        <v>0.3</v>
      </c>
      <c r="BU190" s="485">
        <f t="shared" si="45"/>
        <v>0</v>
      </c>
      <c r="BV190" s="485">
        <f t="shared" si="45"/>
        <v>0</v>
      </c>
      <c r="BW190" s="485">
        <f t="shared" si="45"/>
        <v>0</v>
      </c>
      <c r="BX190" s="485">
        <f t="shared" si="45"/>
        <v>0</v>
      </c>
      <c r="BY190" s="485">
        <f t="shared" si="45"/>
        <v>0</v>
      </c>
      <c r="BZ190" s="485">
        <f t="shared" si="45"/>
        <v>0</v>
      </c>
      <c r="CA190" s="485">
        <f t="shared" si="45"/>
        <v>0.7</v>
      </c>
      <c r="CB190" s="485">
        <f t="shared" si="45"/>
        <v>0</v>
      </c>
      <c r="CC190" s="485">
        <f t="shared" si="45"/>
        <v>0</v>
      </c>
      <c r="CD190" s="485">
        <f t="shared" si="46"/>
        <v>0</v>
      </c>
      <c r="CE190" s="485">
        <f t="shared" si="46"/>
        <v>0</v>
      </c>
      <c r="CF190" s="485">
        <f t="shared" si="46"/>
        <v>0</v>
      </c>
      <c r="CG190" s="485">
        <f t="shared" si="46"/>
        <v>0</v>
      </c>
      <c r="CH190" s="485">
        <f t="shared" si="46"/>
        <v>0</v>
      </c>
      <c r="CI190" s="485">
        <f t="shared" si="46"/>
        <v>0</v>
      </c>
      <c r="CJ190" s="485">
        <f t="shared" si="46"/>
        <v>0</v>
      </c>
      <c r="CK190" s="485">
        <f t="shared" si="46"/>
        <v>0</v>
      </c>
      <c r="CL190" s="485">
        <f t="shared" si="46"/>
        <v>0</v>
      </c>
      <c r="CM190" s="486">
        <f t="shared" si="35"/>
        <v>1</v>
      </c>
    </row>
    <row r="191" spans="1:91" s="487" customFormat="1" ht="25.5" customHeight="1" x14ac:dyDescent="0.25">
      <c r="A191" s="497" t="s">
        <v>214</v>
      </c>
      <c r="B191" s="498" t="s">
        <v>1826</v>
      </c>
      <c r="C191" s="497" t="s">
        <v>921</v>
      </c>
      <c r="D191" s="498"/>
      <c r="E191" s="497" t="s">
        <v>779</v>
      </c>
      <c r="F191" s="498"/>
      <c r="G191" s="497" t="s">
        <v>648</v>
      </c>
      <c r="H191" s="497" t="s">
        <v>654</v>
      </c>
      <c r="I191" s="497" t="s">
        <v>647</v>
      </c>
      <c r="J191" s="497" t="s">
        <v>671</v>
      </c>
      <c r="K191" s="497" t="s">
        <v>649</v>
      </c>
      <c r="L191" s="497" t="s">
        <v>36</v>
      </c>
      <c r="M191" s="497" t="s">
        <v>646</v>
      </c>
      <c r="N191" s="497" t="s">
        <v>668</v>
      </c>
      <c r="O191" s="497"/>
      <c r="P191" s="497"/>
      <c r="Q191" s="497" t="s">
        <v>650</v>
      </c>
      <c r="R191" s="497" t="s">
        <v>652</v>
      </c>
      <c r="S191" s="497"/>
      <c r="T191" s="497"/>
      <c r="U191" s="497"/>
      <c r="V191" s="497" t="s">
        <v>36</v>
      </c>
      <c r="W191" s="497" t="s">
        <v>666</v>
      </c>
      <c r="X191" s="499">
        <v>41821</v>
      </c>
      <c r="Y191" s="499">
        <v>42131</v>
      </c>
      <c r="Z191" s="500">
        <v>2015</v>
      </c>
      <c r="AA191" s="497" t="s">
        <v>676</v>
      </c>
      <c r="AB191" s="497" t="s">
        <v>675</v>
      </c>
      <c r="AC191" s="497" t="s">
        <v>663</v>
      </c>
      <c r="AD191" s="501"/>
      <c r="AE191" s="501"/>
      <c r="AF191" s="501"/>
      <c r="AG191" s="501"/>
      <c r="AH191" s="501"/>
      <c r="AI191" s="501"/>
      <c r="AJ191" s="501"/>
      <c r="AK191" s="501"/>
      <c r="AL191" s="501"/>
      <c r="AM191" s="501"/>
      <c r="AN191" s="501"/>
      <c r="AO191" s="501"/>
      <c r="AP191" s="501"/>
      <c r="AQ191" s="501"/>
      <c r="AR191" s="501"/>
      <c r="AS191" s="501"/>
      <c r="AT191" s="501"/>
      <c r="AU191" s="501"/>
      <c r="AV191" s="501"/>
      <c r="AW191" s="501"/>
      <c r="AX191" s="501"/>
      <c r="AY191" s="501"/>
      <c r="AZ191" s="501">
        <v>169999.99999999997</v>
      </c>
      <c r="BA191" s="501"/>
      <c r="BB191" s="483"/>
      <c r="BC191" s="483"/>
      <c r="BD191" s="483"/>
      <c r="BE191" s="483"/>
      <c r="BF191" s="483"/>
      <c r="BG191" s="483"/>
      <c r="BH191" s="483"/>
      <c r="BI191" s="483"/>
      <c r="BJ191" s="483"/>
      <c r="BK191" s="483"/>
      <c r="BL191" s="483"/>
      <c r="BM191" s="483"/>
      <c r="BN191" s="483"/>
      <c r="BO191" s="483"/>
      <c r="BP191" s="483"/>
      <c r="BQ191" s="483"/>
      <c r="BR191" s="483">
        <v>169999.99999999997</v>
      </c>
      <c r="BS191" s="484">
        <f t="shared" si="34"/>
        <v>169999.99999999997</v>
      </c>
      <c r="BT191" s="485">
        <f t="shared" si="45"/>
        <v>0</v>
      </c>
      <c r="BU191" s="485">
        <f t="shared" si="45"/>
        <v>0</v>
      </c>
      <c r="BV191" s="485">
        <f t="shared" si="45"/>
        <v>0</v>
      </c>
      <c r="BW191" s="485">
        <f t="shared" si="45"/>
        <v>0</v>
      </c>
      <c r="BX191" s="485">
        <f t="shared" si="45"/>
        <v>0</v>
      </c>
      <c r="BY191" s="485">
        <f t="shared" si="45"/>
        <v>0</v>
      </c>
      <c r="BZ191" s="485">
        <f t="shared" si="45"/>
        <v>0</v>
      </c>
      <c r="CA191" s="485">
        <f t="shared" si="45"/>
        <v>1</v>
      </c>
      <c r="CB191" s="485">
        <f t="shared" si="45"/>
        <v>0</v>
      </c>
      <c r="CC191" s="485">
        <f t="shared" si="45"/>
        <v>0</v>
      </c>
      <c r="CD191" s="485">
        <f t="shared" si="46"/>
        <v>0</v>
      </c>
      <c r="CE191" s="485">
        <f t="shared" si="46"/>
        <v>0</v>
      </c>
      <c r="CF191" s="485">
        <f t="shared" si="46"/>
        <v>0</v>
      </c>
      <c r="CG191" s="485">
        <f t="shared" si="46"/>
        <v>0</v>
      </c>
      <c r="CH191" s="485">
        <f t="shared" si="46"/>
        <v>0</v>
      </c>
      <c r="CI191" s="485">
        <f t="shared" si="46"/>
        <v>0</v>
      </c>
      <c r="CJ191" s="485">
        <f t="shared" si="46"/>
        <v>0</v>
      </c>
      <c r="CK191" s="485">
        <f t="shared" si="46"/>
        <v>0</v>
      </c>
      <c r="CL191" s="485">
        <f t="shared" si="46"/>
        <v>0</v>
      </c>
      <c r="CM191" s="486">
        <f t="shared" si="35"/>
        <v>1</v>
      </c>
    </row>
    <row r="192" spans="1:91" s="487" customFormat="1" ht="25.5" customHeight="1" x14ac:dyDescent="0.25">
      <c r="A192" s="497" t="s">
        <v>216</v>
      </c>
      <c r="B192" s="498" t="s">
        <v>1828</v>
      </c>
      <c r="C192" s="497" t="s">
        <v>920</v>
      </c>
      <c r="D192" s="498"/>
      <c r="E192" s="497" t="s">
        <v>779</v>
      </c>
      <c r="F192" s="498"/>
      <c r="G192" s="497" t="s">
        <v>648</v>
      </c>
      <c r="H192" s="497" t="s">
        <v>654</v>
      </c>
      <c r="I192" s="497" t="s">
        <v>647</v>
      </c>
      <c r="J192" s="497" t="s">
        <v>641</v>
      </c>
      <c r="K192" s="497" t="s">
        <v>649</v>
      </c>
      <c r="L192" s="497" t="s">
        <v>40</v>
      </c>
      <c r="M192" s="497" t="s">
        <v>646</v>
      </c>
      <c r="N192" s="497" t="s">
        <v>699</v>
      </c>
      <c r="O192" s="497"/>
      <c r="P192" s="497"/>
      <c r="Q192" s="497" t="s">
        <v>656</v>
      </c>
      <c r="R192" s="497" t="s">
        <v>652</v>
      </c>
      <c r="S192" s="497" t="s">
        <v>649</v>
      </c>
      <c r="T192" s="497"/>
      <c r="U192" s="497"/>
      <c r="V192" s="497" t="s">
        <v>641</v>
      </c>
      <c r="W192" s="497" t="s">
        <v>640</v>
      </c>
      <c r="X192" s="499">
        <v>41821</v>
      </c>
      <c r="Y192" s="499">
        <v>43136</v>
      </c>
      <c r="Z192" s="500">
        <v>2018</v>
      </c>
      <c r="AA192" s="497" t="s">
        <v>663</v>
      </c>
      <c r="AB192" s="497" t="s">
        <v>697</v>
      </c>
      <c r="AC192" s="497" t="s">
        <v>649</v>
      </c>
      <c r="AD192" s="501"/>
      <c r="AE192" s="501"/>
      <c r="AF192" s="501"/>
      <c r="AG192" s="501"/>
      <c r="AH192" s="501"/>
      <c r="AI192" s="501"/>
      <c r="AJ192" s="501"/>
      <c r="AK192" s="501"/>
      <c r="AL192" s="501"/>
      <c r="AM192" s="501"/>
      <c r="AN192" s="501">
        <v>743217.99999871629</v>
      </c>
      <c r="AO192" s="501"/>
      <c r="AP192" s="501"/>
      <c r="AQ192" s="501"/>
      <c r="AR192" s="501"/>
      <c r="AS192" s="501"/>
      <c r="AT192" s="501"/>
      <c r="AU192" s="501"/>
      <c r="AV192" s="501"/>
      <c r="AW192" s="501"/>
      <c r="AX192" s="501"/>
      <c r="AY192" s="501"/>
      <c r="AZ192" s="501"/>
      <c r="BA192" s="501"/>
      <c r="BB192" s="483">
        <v>111482.69999980745</v>
      </c>
      <c r="BC192" s="483">
        <v>74321.799999871626</v>
      </c>
      <c r="BD192" s="483">
        <v>125418.0374997834</v>
      </c>
      <c r="BE192" s="483">
        <v>2899.7114781199921</v>
      </c>
      <c r="BF192" s="483"/>
      <c r="BG192" s="483">
        <v>26433.506224407472</v>
      </c>
      <c r="BH192" s="483">
        <v>105734.02489762989</v>
      </c>
      <c r="BI192" s="483">
        <v>12688.082987715587</v>
      </c>
      <c r="BJ192" s="483">
        <v>21146.804979525979</v>
      </c>
      <c r="BK192" s="483">
        <v>15860.103734644483</v>
      </c>
      <c r="BL192" s="483">
        <v>95160.622407866889</v>
      </c>
      <c r="BM192" s="483">
        <v>21146.804979525979</v>
      </c>
      <c r="BN192" s="483"/>
      <c r="BO192" s="483"/>
      <c r="BP192" s="483"/>
      <c r="BQ192" s="483"/>
      <c r="BR192" s="483">
        <v>1355510.199187615</v>
      </c>
      <c r="BS192" s="484">
        <f t="shared" si="34"/>
        <v>743217.99999871629</v>
      </c>
      <c r="BT192" s="485">
        <f t="shared" si="45"/>
        <v>0</v>
      </c>
      <c r="BU192" s="485">
        <f t="shared" si="45"/>
        <v>0</v>
      </c>
      <c r="BV192" s="485">
        <f t="shared" si="45"/>
        <v>0</v>
      </c>
      <c r="BW192" s="485">
        <f t="shared" si="45"/>
        <v>0</v>
      </c>
      <c r="BX192" s="485">
        <f t="shared" si="45"/>
        <v>0</v>
      </c>
      <c r="BY192" s="485">
        <f t="shared" si="45"/>
        <v>0</v>
      </c>
      <c r="BZ192" s="485">
        <f t="shared" si="45"/>
        <v>0</v>
      </c>
      <c r="CA192" s="485">
        <f t="shared" si="45"/>
        <v>0</v>
      </c>
      <c r="CB192" s="485">
        <f t="shared" si="45"/>
        <v>0</v>
      </c>
      <c r="CC192" s="485">
        <f t="shared" si="45"/>
        <v>0</v>
      </c>
      <c r="CD192" s="485">
        <f t="shared" si="46"/>
        <v>0</v>
      </c>
      <c r="CE192" s="485">
        <f t="shared" si="46"/>
        <v>0</v>
      </c>
      <c r="CF192" s="485">
        <f t="shared" si="46"/>
        <v>0</v>
      </c>
      <c r="CG192" s="485">
        <f t="shared" si="46"/>
        <v>0</v>
      </c>
      <c r="CH192" s="485">
        <f t="shared" si="46"/>
        <v>0</v>
      </c>
      <c r="CI192" s="485">
        <f t="shared" si="46"/>
        <v>0</v>
      </c>
      <c r="CJ192" s="485">
        <f t="shared" si="46"/>
        <v>1</v>
      </c>
      <c r="CK192" s="485">
        <f t="shared" si="46"/>
        <v>0</v>
      </c>
      <c r="CL192" s="485">
        <f t="shared" si="46"/>
        <v>0</v>
      </c>
      <c r="CM192" s="486">
        <f t="shared" si="35"/>
        <v>1</v>
      </c>
    </row>
    <row r="193" spans="1:91" s="487" customFormat="1" ht="25.5" customHeight="1" x14ac:dyDescent="0.25">
      <c r="A193" s="497" t="s">
        <v>919</v>
      </c>
      <c r="B193" s="498" t="s">
        <v>1830</v>
      </c>
      <c r="C193" s="497" t="s">
        <v>918</v>
      </c>
      <c r="D193" s="498"/>
      <c r="E193" s="497" t="s">
        <v>779</v>
      </c>
      <c r="F193" s="498"/>
      <c r="G193" s="497" t="s">
        <v>648</v>
      </c>
      <c r="H193" s="497" t="s">
        <v>654</v>
      </c>
      <c r="I193" s="497" t="s">
        <v>647</v>
      </c>
      <c r="J193" s="497" t="s">
        <v>641</v>
      </c>
      <c r="K193" s="497" t="s">
        <v>649</v>
      </c>
      <c r="L193" s="497" t="s">
        <v>40</v>
      </c>
      <c r="M193" s="497" t="s">
        <v>646</v>
      </c>
      <c r="N193" s="497" t="s">
        <v>699</v>
      </c>
      <c r="O193" s="497"/>
      <c r="P193" s="497"/>
      <c r="Q193" s="497" t="s">
        <v>650</v>
      </c>
      <c r="R193" s="497" t="s">
        <v>652</v>
      </c>
      <c r="S193" s="497" t="s">
        <v>649</v>
      </c>
      <c r="T193" s="497"/>
      <c r="U193" s="497"/>
      <c r="V193" s="497" t="s">
        <v>641</v>
      </c>
      <c r="W193" s="497" t="s">
        <v>640</v>
      </c>
      <c r="X193" s="499">
        <v>41821</v>
      </c>
      <c r="Y193" s="499">
        <v>43136</v>
      </c>
      <c r="Z193" s="500">
        <v>2018</v>
      </c>
      <c r="AA193" s="497" t="s">
        <v>663</v>
      </c>
      <c r="AB193" s="497" t="s">
        <v>675</v>
      </c>
      <c r="AC193" s="497" t="s">
        <v>663</v>
      </c>
      <c r="AD193" s="501"/>
      <c r="AE193" s="501"/>
      <c r="AF193" s="501"/>
      <c r="AG193" s="501"/>
      <c r="AH193" s="501"/>
      <c r="AI193" s="501"/>
      <c r="AJ193" s="501"/>
      <c r="AK193" s="501"/>
      <c r="AL193" s="501">
        <v>126030.00000515512</v>
      </c>
      <c r="AM193" s="501"/>
      <c r="AN193" s="501"/>
      <c r="AO193" s="501">
        <v>15000.000000000005</v>
      </c>
      <c r="AP193" s="501"/>
      <c r="AQ193" s="501"/>
      <c r="AR193" s="501"/>
      <c r="AS193" s="501"/>
      <c r="AT193" s="501"/>
      <c r="AU193" s="501"/>
      <c r="AV193" s="501"/>
      <c r="AW193" s="501"/>
      <c r="AX193" s="501"/>
      <c r="AY193" s="501"/>
      <c r="AZ193" s="501"/>
      <c r="BA193" s="501"/>
      <c r="BB193" s="483">
        <v>17248.500000448959</v>
      </c>
      <c r="BC193" s="483">
        <v>40798.800000359173</v>
      </c>
      <c r="BD193" s="483">
        <v>19715.035500513161</v>
      </c>
      <c r="BE193" s="483">
        <v>486.17892264281028</v>
      </c>
      <c r="BF193" s="483"/>
      <c r="BG193" s="483">
        <v>4431.962860727981</v>
      </c>
      <c r="BH193" s="483">
        <v>14182.281154329541</v>
      </c>
      <c r="BI193" s="483">
        <v>1772.7851442911924</v>
      </c>
      <c r="BJ193" s="483">
        <v>5318.3554328735772</v>
      </c>
      <c r="BK193" s="483">
        <v>2659.1777164367886</v>
      </c>
      <c r="BL193" s="483">
        <v>8863.925721455962</v>
      </c>
      <c r="BM193" s="483">
        <v>3545.5702885823848</v>
      </c>
      <c r="BN193" s="483"/>
      <c r="BO193" s="483"/>
      <c r="BP193" s="483"/>
      <c r="BQ193" s="483"/>
      <c r="BR193" s="483">
        <v>260052.57274781671</v>
      </c>
      <c r="BS193" s="484">
        <f t="shared" si="34"/>
        <v>141030.00000515513</v>
      </c>
      <c r="BT193" s="485">
        <f t="shared" si="45"/>
        <v>0</v>
      </c>
      <c r="BU193" s="485">
        <f t="shared" si="45"/>
        <v>0</v>
      </c>
      <c r="BV193" s="485">
        <f t="shared" si="45"/>
        <v>0</v>
      </c>
      <c r="BW193" s="485">
        <f t="shared" si="45"/>
        <v>0</v>
      </c>
      <c r="BX193" s="485">
        <f t="shared" si="45"/>
        <v>0</v>
      </c>
      <c r="BY193" s="485">
        <f t="shared" si="45"/>
        <v>0</v>
      </c>
      <c r="BZ193" s="485">
        <f t="shared" si="45"/>
        <v>0</v>
      </c>
      <c r="CA193" s="485">
        <f t="shared" si="45"/>
        <v>0</v>
      </c>
      <c r="CB193" s="485">
        <f t="shared" si="45"/>
        <v>0</v>
      </c>
      <c r="CC193" s="485">
        <f t="shared" si="45"/>
        <v>0</v>
      </c>
      <c r="CD193" s="485">
        <f t="shared" si="46"/>
        <v>0</v>
      </c>
      <c r="CE193" s="485">
        <f t="shared" si="46"/>
        <v>0</v>
      </c>
      <c r="CF193" s="485">
        <f t="shared" si="46"/>
        <v>0</v>
      </c>
      <c r="CG193" s="485">
        <f t="shared" si="46"/>
        <v>0</v>
      </c>
      <c r="CH193" s="485">
        <f t="shared" si="46"/>
        <v>0.89363965114194344</v>
      </c>
      <c r="CI193" s="485">
        <f t="shared" si="46"/>
        <v>0.10636034885805647</v>
      </c>
      <c r="CJ193" s="485">
        <f t="shared" si="46"/>
        <v>0</v>
      </c>
      <c r="CK193" s="485">
        <f t="shared" si="46"/>
        <v>0</v>
      </c>
      <c r="CL193" s="485">
        <f t="shared" si="46"/>
        <v>0</v>
      </c>
      <c r="CM193" s="486">
        <f t="shared" si="35"/>
        <v>0.99999999999999989</v>
      </c>
    </row>
    <row r="194" spans="1:91" s="487" customFormat="1" ht="25.5" customHeight="1" x14ac:dyDescent="0.25">
      <c r="A194" s="497" t="s">
        <v>218</v>
      </c>
      <c r="B194" s="498" t="s">
        <v>1832</v>
      </c>
      <c r="C194" s="497" t="s">
        <v>917</v>
      </c>
      <c r="D194" s="498"/>
      <c r="E194" s="497" t="s">
        <v>55</v>
      </c>
      <c r="F194" s="498"/>
      <c r="G194" s="497"/>
      <c r="H194" s="497" t="s">
        <v>654</v>
      </c>
      <c r="I194" s="497" t="s">
        <v>647</v>
      </c>
      <c r="J194" s="497" t="s">
        <v>641</v>
      </c>
      <c r="K194" s="497" t="s">
        <v>649</v>
      </c>
      <c r="L194" s="497" t="s">
        <v>28</v>
      </c>
      <c r="M194" s="497" t="s">
        <v>646</v>
      </c>
      <c r="N194" s="497" t="s">
        <v>680</v>
      </c>
      <c r="O194" s="497"/>
      <c r="P194" s="497" t="s">
        <v>643</v>
      </c>
      <c r="Q194" s="497" t="s">
        <v>656</v>
      </c>
      <c r="R194" s="497" t="s">
        <v>652</v>
      </c>
      <c r="S194" s="497" t="s">
        <v>649</v>
      </c>
      <c r="T194" s="497"/>
      <c r="U194" s="497"/>
      <c r="V194" s="497" t="s">
        <v>683</v>
      </c>
      <c r="W194" s="497" t="s">
        <v>677</v>
      </c>
      <c r="X194" s="499">
        <v>42644</v>
      </c>
      <c r="Y194" s="499">
        <v>43640</v>
      </c>
      <c r="Z194" s="500">
        <v>2019</v>
      </c>
      <c r="AA194" s="497" t="s">
        <v>676</v>
      </c>
      <c r="AB194" s="497" t="s">
        <v>675</v>
      </c>
      <c r="AC194" s="497" t="s">
        <v>663</v>
      </c>
      <c r="AD194" s="501"/>
      <c r="AE194" s="501"/>
      <c r="AF194" s="501"/>
      <c r="AG194" s="501"/>
      <c r="AH194" s="501"/>
      <c r="AI194" s="501"/>
      <c r="AJ194" s="501"/>
      <c r="AK194" s="501"/>
      <c r="AL194" s="501"/>
      <c r="AM194" s="501"/>
      <c r="AN194" s="501"/>
      <c r="AO194" s="501"/>
      <c r="AP194" s="501"/>
      <c r="AQ194" s="501"/>
      <c r="AR194" s="501"/>
      <c r="AS194" s="501"/>
      <c r="AT194" s="501"/>
      <c r="AU194" s="501"/>
      <c r="AV194" s="501">
        <v>343869.99999999948</v>
      </c>
      <c r="AW194" s="501"/>
      <c r="AX194" s="501"/>
      <c r="AY194" s="501"/>
      <c r="AZ194" s="501"/>
      <c r="BA194" s="501"/>
      <c r="BB194" s="483"/>
      <c r="BC194" s="483"/>
      <c r="BD194" s="483"/>
      <c r="BE194" s="483"/>
      <c r="BF194" s="483"/>
      <c r="BG194" s="483">
        <v>1026197.455083332</v>
      </c>
      <c r="BH194" s="483"/>
      <c r="BI194" s="483"/>
      <c r="BJ194" s="483"/>
      <c r="BK194" s="483"/>
      <c r="BL194" s="483"/>
      <c r="BM194" s="483"/>
      <c r="BN194" s="483"/>
      <c r="BO194" s="483"/>
      <c r="BP194" s="483"/>
      <c r="BQ194" s="483"/>
      <c r="BR194" s="483">
        <v>1370067.4550833316</v>
      </c>
      <c r="BS194" s="484">
        <f t="shared" si="34"/>
        <v>343869.99999999948</v>
      </c>
      <c r="BT194" s="485">
        <f t="shared" si="45"/>
        <v>0</v>
      </c>
      <c r="BU194" s="485">
        <f t="shared" si="45"/>
        <v>0</v>
      </c>
      <c r="BV194" s="485">
        <f t="shared" si="45"/>
        <v>0</v>
      </c>
      <c r="BW194" s="485">
        <f t="shared" si="45"/>
        <v>1</v>
      </c>
      <c r="BX194" s="485">
        <f t="shared" si="45"/>
        <v>0</v>
      </c>
      <c r="BY194" s="485">
        <f t="shared" si="45"/>
        <v>0</v>
      </c>
      <c r="BZ194" s="485">
        <f t="shared" si="45"/>
        <v>0</v>
      </c>
      <c r="CA194" s="485">
        <f t="shared" si="45"/>
        <v>0</v>
      </c>
      <c r="CB194" s="485">
        <f t="shared" si="45"/>
        <v>0</v>
      </c>
      <c r="CC194" s="485">
        <f t="shared" si="45"/>
        <v>0</v>
      </c>
      <c r="CD194" s="485">
        <f t="shared" si="46"/>
        <v>0</v>
      </c>
      <c r="CE194" s="485">
        <f t="shared" si="46"/>
        <v>0</v>
      </c>
      <c r="CF194" s="485">
        <f t="shared" si="46"/>
        <v>0</v>
      </c>
      <c r="CG194" s="485">
        <f t="shared" si="46"/>
        <v>0</v>
      </c>
      <c r="CH194" s="485">
        <f t="shared" si="46"/>
        <v>0</v>
      </c>
      <c r="CI194" s="485">
        <f t="shared" si="46"/>
        <v>0</v>
      </c>
      <c r="CJ194" s="485">
        <f t="shared" si="46"/>
        <v>0</v>
      </c>
      <c r="CK194" s="485">
        <f t="shared" si="46"/>
        <v>0</v>
      </c>
      <c r="CL194" s="485">
        <f t="shared" si="46"/>
        <v>0</v>
      </c>
      <c r="CM194" s="486">
        <f t="shared" si="35"/>
        <v>1</v>
      </c>
    </row>
    <row r="195" spans="1:91" s="487" customFormat="1" ht="25.5" customHeight="1" x14ac:dyDescent="0.25">
      <c r="A195" s="497" t="s">
        <v>916</v>
      </c>
      <c r="B195" s="498" t="s">
        <v>1834</v>
      </c>
      <c r="C195" s="497" t="s">
        <v>915</v>
      </c>
      <c r="D195" s="498"/>
      <c r="E195" s="497" t="s">
        <v>779</v>
      </c>
      <c r="F195" s="498"/>
      <c r="G195" s="497" t="s">
        <v>648</v>
      </c>
      <c r="H195" s="497" t="s">
        <v>654</v>
      </c>
      <c r="I195" s="497" t="s">
        <v>647</v>
      </c>
      <c r="J195" s="497" t="s">
        <v>641</v>
      </c>
      <c r="K195" s="497" t="s">
        <v>649</v>
      </c>
      <c r="L195" s="497" t="s">
        <v>54</v>
      </c>
      <c r="M195" s="497" t="s">
        <v>646</v>
      </c>
      <c r="N195" s="497" t="s">
        <v>699</v>
      </c>
      <c r="O195" s="497"/>
      <c r="P195" s="497"/>
      <c r="Q195" s="497" t="s">
        <v>656</v>
      </c>
      <c r="R195" s="497" t="s">
        <v>652</v>
      </c>
      <c r="S195" s="497" t="s">
        <v>649</v>
      </c>
      <c r="T195" s="497"/>
      <c r="U195" s="497"/>
      <c r="V195" s="497" t="s">
        <v>641</v>
      </c>
      <c r="W195" s="497" t="s">
        <v>640</v>
      </c>
      <c r="X195" s="499">
        <v>41821</v>
      </c>
      <c r="Y195" s="499">
        <v>43136</v>
      </c>
      <c r="Z195" s="500">
        <v>2018</v>
      </c>
      <c r="AA195" s="497" t="s">
        <v>663</v>
      </c>
      <c r="AB195" s="497" t="s">
        <v>675</v>
      </c>
      <c r="AC195" s="497" t="s">
        <v>663</v>
      </c>
      <c r="AD195" s="501"/>
      <c r="AE195" s="501"/>
      <c r="AF195" s="501"/>
      <c r="AG195" s="501"/>
      <c r="AH195" s="501"/>
      <c r="AI195" s="501"/>
      <c r="AJ195" s="501"/>
      <c r="AK195" s="501"/>
      <c r="AL195" s="501"/>
      <c r="AM195" s="501"/>
      <c r="AN195" s="501">
        <v>2593097.8478100002</v>
      </c>
      <c r="AO195" s="501"/>
      <c r="AP195" s="501"/>
      <c r="AQ195" s="501"/>
      <c r="AR195" s="501"/>
      <c r="AS195" s="501"/>
      <c r="AT195" s="501"/>
      <c r="AU195" s="501"/>
      <c r="AV195" s="501"/>
      <c r="AW195" s="501"/>
      <c r="AX195" s="501"/>
      <c r="AY195" s="501"/>
      <c r="AZ195" s="501"/>
      <c r="BA195" s="501"/>
      <c r="BB195" s="483">
        <v>353699.99999999994</v>
      </c>
      <c r="BC195" s="483">
        <v>235799.99999999997</v>
      </c>
      <c r="BD195" s="483">
        <v>397912.5</v>
      </c>
      <c r="BE195" s="483">
        <v>9340.6843750000007</v>
      </c>
      <c r="BF195" s="483"/>
      <c r="BG195" s="483">
        <v>85148.82960937501</v>
      </c>
      <c r="BH195" s="483">
        <v>119208.36145312502</v>
      </c>
      <c r="BI195" s="483">
        <v>34059.531843750003</v>
      </c>
      <c r="BJ195" s="483">
        <v>68119.063687500005</v>
      </c>
      <c r="BK195" s="483">
        <v>51089.297765625</v>
      </c>
      <c r="BL195" s="483">
        <v>238416.72290625004</v>
      </c>
      <c r="BM195" s="483">
        <v>68119.063687500005</v>
      </c>
      <c r="BN195" s="483"/>
      <c r="BO195" s="483"/>
      <c r="BP195" s="483"/>
      <c r="BQ195" s="483"/>
      <c r="BR195" s="483">
        <v>4254011.9031381253</v>
      </c>
      <c r="BS195" s="484">
        <f t="shared" si="34"/>
        <v>2593097.8478100002</v>
      </c>
      <c r="BT195" s="485">
        <f t="shared" si="45"/>
        <v>0</v>
      </c>
      <c r="BU195" s="485">
        <f t="shared" si="45"/>
        <v>0</v>
      </c>
      <c r="BV195" s="485">
        <f t="shared" si="45"/>
        <v>0</v>
      </c>
      <c r="BW195" s="485">
        <f t="shared" si="45"/>
        <v>0</v>
      </c>
      <c r="BX195" s="485">
        <f t="shared" si="45"/>
        <v>0</v>
      </c>
      <c r="BY195" s="485">
        <f t="shared" si="45"/>
        <v>0</v>
      </c>
      <c r="BZ195" s="485">
        <f t="shared" si="45"/>
        <v>0</v>
      </c>
      <c r="CA195" s="485">
        <f t="shared" si="45"/>
        <v>0</v>
      </c>
      <c r="CB195" s="485">
        <f t="shared" si="45"/>
        <v>0</v>
      </c>
      <c r="CC195" s="485">
        <f t="shared" si="45"/>
        <v>0</v>
      </c>
      <c r="CD195" s="485">
        <f t="shared" si="46"/>
        <v>0</v>
      </c>
      <c r="CE195" s="485">
        <f t="shared" si="46"/>
        <v>0</v>
      </c>
      <c r="CF195" s="485">
        <f t="shared" si="46"/>
        <v>0</v>
      </c>
      <c r="CG195" s="485">
        <f t="shared" si="46"/>
        <v>0</v>
      </c>
      <c r="CH195" s="485">
        <f t="shared" si="46"/>
        <v>0</v>
      </c>
      <c r="CI195" s="485">
        <f t="shared" si="46"/>
        <v>0</v>
      </c>
      <c r="CJ195" s="485">
        <f t="shared" si="46"/>
        <v>1</v>
      </c>
      <c r="CK195" s="485">
        <f t="shared" si="46"/>
        <v>0</v>
      </c>
      <c r="CL195" s="485">
        <f t="shared" si="46"/>
        <v>0</v>
      </c>
      <c r="CM195" s="486">
        <f t="shared" si="35"/>
        <v>1</v>
      </c>
    </row>
    <row r="196" spans="1:91" s="487" customFormat="1" ht="25.5" customHeight="1" x14ac:dyDescent="0.25">
      <c r="A196" s="497" t="s">
        <v>220</v>
      </c>
      <c r="B196" s="498" t="s">
        <v>2201</v>
      </c>
      <c r="C196" s="497" t="s">
        <v>914</v>
      </c>
      <c r="D196" s="498"/>
      <c r="E196" s="497"/>
      <c r="F196" s="498"/>
      <c r="G196" s="497" t="s">
        <v>722</v>
      </c>
      <c r="H196" s="497" t="s">
        <v>654</v>
      </c>
      <c r="I196" s="497" t="s">
        <v>647</v>
      </c>
      <c r="J196" s="497" t="s">
        <v>671</v>
      </c>
      <c r="K196" s="497" t="s">
        <v>663</v>
      </c>
      <c r="L196" s="497" t="s">
        <v>55</v>
      </c>
      <c r="M196" s="497" t="s">
        <v>646</v>
      </c>
      <c r="N196" s="497" t="s">
        <v>680</v>
      </c>
      <c r="O196" s="497" t="s">
        <v>913</v>
      </c>
      <c r="P196" s="497" t="s">
        <v>643</v>
      </c>
      <c r="Q196" s="497" t="s">
        <v>650</v>
      </c>
      <c r="R196" s="497" t="s">
        <v>652</v>
      </c>
      <c r="S196" s="497" t="s">
        <v>649</v>
      </c>
      <c r="T196" s="497" t="s">
        <v>107</v>
      </c>
      <c r="U196" s="497" t="s">
        <v>678</v>
      </c>
      <c r="V196" s="497" t="s">
        <v>683</v>
      </c>
      <c r="W196" s="497" t="s">
        <v>666</v>
      </c>
      <c r="X196" s="499"/>
      <c r="Y196" s="499"/>
      <c r="Z196" s="500">
        <v>2016</v>
      </c>
      <c r="AA196" s="497" t="s">
        <v>676</v>
      </c>
      <c r="AB196" s="497"/>
      <c r="AC196" s="497" t="s">
        <v>663</v>
      </c>
      <c r="AD196" s="501"/>
      <c r="AE196" s="501"/>
      <c r="AF196" s="501"/>
      <c r="AG196" s="501"/>
      <c r="AH196" s="501"/>
      <c r="AI196" s="501"/>
      <c r="AJ196" s="501"/>
      <c r="AK196" s="501"/>
      <c r="AL196" s="501"/>
      <c r="AM196" s="501"/>
      <c r="AN196" s="501"/>
      <c r="AO196" s="501"/>
      <c r="AP196" s="501"/>
      <c r="AQ196" s="501"/>
      <c r="AR196" s="501"/>
      <c r="AS196" s="501"/>
      <c r="AT196" s="501"/>
      <c r="AU196" s="501"/>
      <c r="AV196" s="501"/>
      <c r="AW196" s="501"/>
      <c r="AX196" s="501"/>
      <c r="AY196" s="501"/>
      <c r="AZ196" s="501"/>
      <c r="BA196" s="501"/>
      <c r="BB196" s="483"/>
      <c r="BC196" s="483"/>
      <c r="BD196" s="483"/>
      <c r="BE196" s="483"/>
      <c r="BF196" s="483"/>
      <c r="BG196" s="483"/>
      <c r="BH196" s="483"/>
      <c r="BI196" s="483"/>
      <c r="BJ196" s="483"/>
      <c r="BK196" s="483"/>
      <c r="BL196" s="483"/>
      <c r="BM196" s="483"/>
      <c r="BN196" s="483"/>
      <c r="BO196" s="483"/>
      <c r="BP196" s="483"/>
      <c r="BQ196" s="483"/>
      <c r="BR196" s="483"/>
      <c r="BS196" s="484">
        <f t="shared" si="34"/>
        <v>0</v>
      </c>
      <c r="BT196" s="485">
        <v>0</v>
      </c>
      <c r="BU196" s="485">
        <v>0</v>
      </c>
      <c r="BV196" s="485">
        <v>0</v>
      </c>
      <c r="BW196" s="485">
        <v>1</v>
      </c>
      <c r="BX196" s="485">
        <v>0</v>
      </c>
      <c r="BY196" s="485">
        <v>0</v>
      </c>
      <c r="BZ196" s="485">
        <v>0</v>
      </c>
      <c r="CA196" s="485">
        <v>0</v>
      </c>
      <c r="CB196" s="485">
        <v>0</v>
      </c>
      <c r="CC196" s="485">
        <v>0</v>
      </c>
      <c r="CD196" s="485">
        <v>0</v>
      </c>
      <c r="CE196" s="485">
        <v>0</v>
      </c>
      <c r="CF196" s="485">
        <v>0</v>
      </c>
      <c r="CG196" s="485">
        <v>0</v>
      </c>
      <c r="CH196" s="485">
        <v>0</v>
      </c>
      <c r="CI196" s="485">
        <v>0</v>
      </c>
      <c r="CJ196" s="485">
        <v>0</v>
      </c>
      <c r="CK196" s="485">
        <v>0</v>
      </c>
      <c r="CL196" s="485">
        <v>0</v>
      </c>
      <c r="CM196" s="486">
        <f t="shared" si="35"/>
        <v>1</v>
      </c>
    </row>
    <row r="197" spans="1:91" s="487" customFormat="1" ht="25.5" customHeight="1" x14ac:dyDescent="0.25">
      <c r="A197" s="497" t="s">
        <v>221</v>
      </c>
      <c r="B197" s="498" t="s">
        <v>2191</v>
      </c>
      <c r="C197" s="497" t="s">
        <v>912</v>
      </c>
      <c r="D197" s="498"/>
      <c r="E197" s="497"/>
      <c r="F197" s="498"/>
      <c r="G197" s="497" t="s">
        <v>722</v>
      </c>
      <c r="H197" s="497" t="s">
        <v>654</v>
      </c>
      <c r="I197" s="497" t="s">
        <v>647</v>
      </c>
      <c r="J197" s="497" t="s">
        <v>671</v>
      </c>
      <c r="K197" s="497" t="s">
        <v>663</v>
      </c>
      <c r="L197" s="497" t="s">
        <v>107</v>
      </c>
      <c r="M197" s="497" t="s">
        <v>646</v>
      </c>
      <c r="N197" s="497" t="s">
        <v>680</v>
      </c>
      <c r="O197" s="497" t="s">
        <v>721</v>
      </c>
      <c r="P197" s="497" t="s">
        <v>720</v>
      </c>
      <c r="Q197" s="497" t="s">
        <v>650</v>
      </c>
      <c r="R197" s="497" t="s">
        <v>652</v>
      </c>
      <c r="S197" s="497" t="s">
        <v>649</v>
      </c>
      <c r="T197" s="497" t="s">
        <v>107</v>
      </c>
      <c r="U197" s="497" t="s">
        <v>689</v>
      </c>
      <c r="V197" s="497" t="s">
        <v>683</v>
      </c>
      <c r="W197" s="497" t="s">
        <v>694</v>
      </c>
      <c r="X197" s="499"/>
      <c r="Y197" s="499"/>
      <c r="Z197" s="500">
        <v>2015</v>
      </c>
      <c r="AA197" s="497" t="s">
        <v>663</v>
      </c>
      <c r="AB197" s="497" t="s">
        <v>675</v>
      </c>
      <c r="AC197" s="497" t="s">
        <v>663</v>
      </c>
      <c r="AD197" s="501"/>
      <c r="AE197" s="501"/>
      <c r="AF197" s="501"/>
      <c r="AG197" s="501"/>
      <c r="AH197" s="501"/>
      <c r="AI197" s="501"/>
      <c r="AJ197" s="501"/>
      <c r="AK197" s="501"/>
      <c r="AL197" s="501"/>
      <c r="AM197" s="501"/>
      <c r="AN197" s="501"/>
      <c r="AO197" s="501"/>
      <c r="AP197" s="501"/>
      <c r="AQ197" s="501"/>
      <c r="AR197" s="501"/>
      <c r="AS197" s="501"/>
      <c r="AT197" s="501"/>
      <c r="AU197" s="501"/>
      <c r="AV197" s="501"/>
      <c r="AW197" s="501"/>
      <c r="AX197" s="501"/>
      <c r="AY197" s="501"/>
      <c r="AZ197" s="501"/>
      <c r="BA197" s="501"/>
      <c r="BB197" s="483"/>
      <c r="BC197" s="483"/>
      <c r="BD197" s="483"/>
      <c r="BE197" s="483"/>
      <c r="BF197" s="483"/>
      <c r="BG197" s="483"/>
      <c r="BH197" s="483"/>
      <c r="BI197" s="483"/>
      <c r="BJ197" s="483"/>
      <c r="BK197" s="483"/>
      <c r="BL197" s="483"/>
      <c r="BM197" s="483"/>
      <c r="BN197" s="483"/>
      <c r="BO197" s="483"/>
      <c r="BP197" s="483"/>
      <c r="BQ197" s="483"/>
      <c r="BR197" s="483"/>
      <c r="BS197" s="484">
        <f t="shared" si="34"/>
        <v>0</v>
      </c>
      <c r="BT197" s="485">
        <v>0</v>
      </c>
      <c r="BU197" s="485">
        <v>0</v>
      </c>
      <c r="BV197" s="485">
        <v>0</v>
      </c>
      <c r="BW197" s="485">
        <v>1</v>
      </c>
      <c r="BX197" s="485">
        <v>0</v>
      </c>
      <c r="BY197" s="485">
        <v>0</v>
      </c>
      <c r="BZ197" s="485">
        <v>0</v>
      </c>
      <c r="CA197" s="485">
        <v>0</v>
      </c>
      <c r="CB197" s="485">
        <v>0</v>
      </c>
      <c r="CC197" s="485">
        <v>0</v>
      </c>
      <c r="CD197" s="485">
        <v>0</v>
      </c>
      <c r="CE197" s="485">
        <v>0</v>
      </c>
      <c r="CF197" s="485">
        <v>0</v>
      </c>
      <c r="CG197" s="485">
        <v>0</v>
      </c>
      <c r="CH197" s="485">
        <v>0</v>
      </c>
      <c r="CI197" s="485">
        <v>0</v>
      </c>
      <c r="CJ197" s="485">
        <v>0</v>
      </c>
      <c r="CK197" s="485">
        <v>0</v>
      </c>
      <c r="CL197" s="485">
        <v>0</v>
      </c>
      <c r="CM197" s="486">
        <f t="shared" si="35"/>
        <v>1</v>
      </c>
    </row>
    <row r="198" spans="1:91" s="487" customFormat="1" ht="25.5" customHeight="1" x14ac:dyDescent="0.25">
      <c r="A198" s="497" t="s">
        <v>227</v>
      </c>
      <c r="B198" s="498" t="s">
        <v>1838</v>
      </c>
      <c r="C198" s="497" t="s">
        <v>911</v>
      </c>
      <c r="D198" s="498"/>
      <c r="E198" s="497" t="s">
        <v>779</v>
      </c>
      <c r="F198" s="498"/>
      <c r="G198" s="497" t="s">
        <v>648</v>
      </c>
      <c r="H198" s="497" t="s">
        <v>654</v>
      </c>
      <c r="I198" s="497" t="s">
        <v>647</v>
      </c>
      <c r="J198" s="497" t="s">
        <v>671</v>
      </c>
      <c r="K198" s="497" t="s">
        <v>649</v>
      </c>
      <c r="L198" s="497" t="s">
        <v>36</v>
      </c>
      <c r="M198" s="497" t="s">
        <v>646</v>
      </c>
      <c r="N198" s="497"/>
      <c r="O198" s="497"/>
      <c r="P198" s="497"/>
      <c r="Q198" s="497" t="s">
        <v>656</v>
      </c>
      <c r="R198" s="497" t="s">
        <v>652</v>
      </c>
      <c r="S198" s="497" t="s">
        <v>649</v>
      </c>
      <c r="T198" s="497"/>
      <c r="U198" s="497"/>
      <c r="V198" s="497" t="s">
        <v>36</v>
      </c>
      <c r="W198" s="497" t="s">
        <v>677</v>
      </c>
      <c r="X198" s="499">
        <v>41821</v>
      </c>
      <c r="Y198" s="499">
        <v>42131</v>
      </c>
      <c r="Z198" s="500">
        <v>2015</v>
      </c>
      <c r="AA198" s="497" t="s">
        <v>676</v>
      </c>
      <c r="AB198" s="497" t="s">
        <v>675</v>
      </c>
      <c r="AC198" s="497" t="s">
        <v>663</v>
      </c>
      <c r="AD198" s="501"/>
      <c r="AE198" s="501"/>
      <c r="AF198" s="501"/>
      <c r="AG198" s="501"/>
      <c r="AH198" s="501"/>
      <c r="AI198" s="501"/>
      <c r="AJ198" s="501"/>
      <c r="AK198" s="501"/>
      <c r="AL198" s="501"/>
      <c r="AM198" s="501"/>
      <c r="AN198" s="501"/>
      <c r="AO198" s="501"/>
      <c r="AP198" s="501"/>
      <c r="AQ198" s="501"/>
      <c r="AR198" s="501"/>
      <c r="AS198" s="501"/>
      <c r="AT198" s="501"/>
      <c r="AU198" s="501">
        <v>78399.999999999971</v>
      </c>
      <c r="AV198" s="501"/>
      <c r="AW198" s="501"/>
      <c r="AX198" s="501">
        <v>117599.99999999997</v>
      </c>
      <c r="AY198" s="501"/>
      <c r="AZ198" s="501"/>
      <c r="BA198" s="501"/>
      <c r="BB198" s="483"/>
      <c r="BC198" s="483"/>
      <c r="BD198" s="483"/>
      <c r="BE198" s="483"/>
      <c r="BF198" s="483"/>
      <c r="BG198" s="483"/>
      <c r="BH198" s="483"/>
      <c r="BI198" s="483"/>
      <c r="BJ198" s="483"/>
      <c r="BK198" s="483"/>
      <c r="BL198" s="483"/>
      <c r="BM198" s="483"/>
      <c r="BN198" s="483"/>
      <c r="BO198" s="483"/>
      <c r="BP198" s="483"/>
      <c r="BQ198" s="483"/>
      <c r="BR198" s="483">
        <v>195999.99999999994</v>
      </c>
      <c r="BS198" s="484">
        <f t="shared" si="34"/>
        <v>195999.99999999994</v>
      </c>
      <c r="BT198" s="485">
        <f t="shared" ref="BT198:CC199" si="47">SUMIFS($AD198:$BA198,$AD$11:$BA$11,BT$21)/$BS198</f>
        <v>0.39999999999999997</v>
      </c>
      <c r="BU198" s="485">
        <f t="shared" si="47"/>
        <v>0</v>
      </c>
      <c r="BV198" s="485">
        <f t="shared" si="47"/>
        <v>0</v>
      </c>
      <c r="BW198" s="485">
        <f t="shared" si="47"/>
        <v>0</v>
      </c>
      <c r="BX198" s="485">
        <f t="shared" si="47"/>
        <v>0</v>
      </c>
      <c r="BY198" s="485">
        <f t="shared" si="47"/>
        <v>0</v>
      </c>
      <c r="BZ198" s="485">
        <f t="shared" si="47"/>
        <v>0</v>
      </c>
      <c r="CA198" s="485">
        <f t="shared" si="47"/>
        <v>0.6</v>
      </c>
      <c r="CB198" s="485">
        <f t="shared" si="47"/>
        <v>0</v>
      </c>
      <c r="CC198" s="485">
        <f t="shared" si="47"/>
        <v>0</v>
      </c>
      <c r="CD198" s="485">
        <f t="shared" ref="CD198:CL199" si="48">SUMIFS($AD198:$BA198,$AD$11:$BA$11,CD$21)/$BS198</f>
        <v>0</v>
      </c>
      <c r="CE198" s="485">
        <f t="shared" si="48"/>
        <v>0</v>
      </c>
      <c r="CF198" s="485">
        <f t="shared" si="48"/>
        <v>0</v>
      </c>
      <c r="CG198" s="485">
        <f t="shared" si="48"/>
        <v>0</v>
      </c>
      <c r="CH198" s="485">
        <f t="shared" si="48"/>
        <v>0</v>
      </c>
      <c r="CI198" s="485">
        <f t="shared" si="48"/>
        <v>0</v>
      </c>
      <c r="CJ198" s="485">
        <f t="shared" si="48"/>
        <v>0</v>
      </c>
      <c r="CK198" s="485">
        <f t="shared" si="48"/>
        <v>0</v>
      </c>
      <c r="CL198" s="485">
        <f t="shared" si="48"/>
        <v>0</v>
      </c>
      <c r="CM198" s="486">
        <f t="shared" si="35"/>
        <v>1</v>
      </c>
    </row>
    <row r="199" spans="1:91" s="487" customFormat="1" ht="25.5" customHeight="1" x14ac:dyDescent="0.25">
      <c r="A199" s="497" t="s">
        <v>229</v>
      </c>
      <c r="B199" s="498" t="s">
        <v>1840</v>
      </c>
      <c r="C199" s="497" t="s">
        <v>910</v>
      </c>
      <c r="D199" s="498"/>
      <c r="E199" s="497" t="s">
        <v>779</v>
      </c>
      <c r="F199" s="498"/>
      <c r="G199" s="497" t="s">
        <v>722</v>
      </c>
      <c r="H199" s="497" t="s">
        <v>654</v>
      </c>
      <c r="I199" s="497" t="s">
        <v>647</v>
      </c>
      <c r="J199" s="497" t="s">
        <v>641</v>
      </c>
      <c r="K199" s="497" t="s">
        <v>649</v>
      </c>
      <c r="L199" s="497" t="s">
        <v>60</v>
      </c>
      <c r="M199" s="497" t="s">
        <v>646</v>
      </c>
      <c r="N199" s="497" t="s">
        <v>645</v>
      </c>
      <c r="O199" s="497"/>
      <c r="P199" s="497"/>
      <c r="Q199" s="497" t="s">
        <v>656</v>
      </c>
      <c r="R199" s="497" t="s">
        <v>652</v>
      </c>
      <c r="S199" s="497" t="s">
        <v>649</v>
      </c>
      <c r="T199" s="497"/>
      <c r="U199" s="497"/>
      <c r="V199" s="497"/>
      <c r="W199" s="497" t="s">
        <v>666</v>
      </c>
      <c r="X199" s="499">
        <v>41821</v>
      </c>
      <c r="Y199" s="499">
        <v>42255</v>
      </c>
      <c r="Z199" s="500">
        <v>2015</v>
      </c>
      <c r="AA199" s="497" t="s">
        <v>663</v>
      </c>
      <c r="AB199" s="497" t="s">
        <v>697</v>
      </c>
      <c r="AC199" s="497" t="s">
        <v>649</v>
      </c>
      <c r="AD199" s="501"/>
      <c r="AE199" s="501"/>
      <c r="AF199" s="501"/>
      <c r="AG199" s="501">
        <v>2000000.0000000005</v>
      </c>
      <c r="AH199" s="501"/>
      <c r="AI199" s="501"/>
      <c r="AJ199" s="501"/>
      <c r="AK199" s="501"/>
      <c r="AL199" s="501"/>
      <c r="AM199" s="501"/>
      <c r="AN199" s="501"/>
      <c r="AO199" s="501"/>
      <c r="AP199" s="501"/>
      <c r="AQ199" s="501"/>
      <c r="AR199" s="501"/>
      <c r="AS199" s="501"/>
      <c r="AT199" s="501"/>
      <c r="AU199" s="501"/>
      <c r="AV199" s="501"/>
      <c r="AW199" s="501"/>
      <c r="AX199" s="501"/>
      <c r="AY199" s="501"/>
      <c r="AZ199" s="501"/>
      <c r="BA199" s="501"/>
      <c r="BB199" s="483"/>
      <c r="BC199" s="483"/>
      <c r="BD199" s="483"/>
      <c r="BE199" s="483"/>
      <c r="BF199" s="483"/>
      <c r="BG199" s="483">
        <v>20000.000000000004</v>
      </c>
      <c r="BH199" s="483"/>
      <c r="BI199" s="483"/>
      <c r="BJ199" s="483">
        <v>42000.000000000015</v>
      </c>
      <c r="BK199" s="483"/>
      <c r="BL199" s="483"/>
      <c r="BM199" s="483"/>
      <c r="BN199" s="483"/>
      <c r="BO199" s="483"/>
      <c r="BP199" s="483"/>
      <c r="BQ199" s="483"/>
      <c r="BR199" s="483">
        <v>2062000.0000000005</v>
      </c>
      <c r="BS199" s="484">
        <f t="shared" si="34"/>
        <v>2000000.0000000005</v>
      </c>
      <c r="BT199" s="485">
        <f t="shared" si="47"/>
        <v>0</v>
      </c>
      <c r="BU199" s="485">
        <f t="shared" si="47"/>
        <v>0</v>
      </c>
      <c r="BV199" s="485">
        <f t="shared" si="47"/>
        <v>0</v>
      </c>
      <c r="BW199" s="485">
        <f t="shared" si="47"/>
        <v>0</v>
      </c>
      <c r="BX199" s="485">
        <f t="shared" si="47"/>
        <v>0</v>
      </c>
      <c r="BY199" s="485">
        <f t="shared" si="47"/>
        <v>0</v>
      </c>
      <c r="BZ199" s="485">
        <f t="shared" si="47"/>
        <v>0</v>
      </c>
      <c r="CA199" s="485">
        <f t="shared" si="47"/>
        <v>0</v>
      </c>
      <c r="CB199" s="485">
        <f t="shared" si="47"/>
        <v>0</v>
      </c>
      <c r="CC199" s="485">
        <f t="shared" si="47"/>
        <v>1</v>
      </c>
      <c r="CD199" s="485">
        <f t="shared" si="48"/>
        <v>0</v>
      </c>
      <c r="CE199" s="485">
        <f t="shared" si="48"/>
        <v>0</v>
      </c>
      <c r="CF199" s="485">
        <f t="shared" si="48"/>
        <v>0</v>
      </c>
      <c r="CG199" s="485">
        <f t="shared" si="48"/>
        <v>0</v>
      </c>
      <c r="CH199" s="485">
        <f t="shared" si="48"/>
        <v>0</v>
      </c>
      <c r="CI199" s="485">
        <f t="shared" si="48"/>
        <v>0</v>
      </c>
      <c r="CJ199" s="485">
        <f t="shared" si="48"/>
        <v>0</v>
      </c>
      <c r="CK199" s="485">
        <f t="shared" si="48"/>
        <v>0</v>
      </c>
      <c r="CL199" s="485">
        <f t="shared" si="48"/>
        <v>0</v>
      </c>
      <c r="CM199" s="486">
        <f t="shared" si="35"/>
        <v>1</v>
      </c>
    </row>
    <row r="200" spans="1:91" s="487" customFormat="1" ht="38.25" customHeight="1" x14ac:dyDescent="0.25">
      <c r="A200" s="497" t="s">
        <v>231</v>
      </c>
      <c r="B200" s="498" t="s">
        <v>1844</v>
      </c>
      <c r="C200" s="497" t="s">
        <v>2797</v>
      </c>
      <c r="D200" s="498"/>
      <c r="E200" s="497"/>
      <c r="F200" s="498"/>
      <c r="G200" s="497"/>
      <c r="H200" s="497" t="s">
        <v>654</v>
      </c>
      <c r="I200" s="497" t="s">
        <v>647</v>
      </c>
      <c r="J200" s="497" t="s">
        <v>641</v>
      </c>
      <c r="K200" s="497" t="s">
        <v>649</v>
      </c>
      <c r="L200" s="497" t="s">
        <v>28</v>
      </c>
      <c r="M200" s="497" t="s">
        <v>646</v>
      </c>
      <c r="N200" s="497" t="s">
        <v>645</v>
      </c>
      <c r="O200" s="497" t="s">
        <v>908</v>
      </c>
      <c r="P200" s="497" t="s">
        <v>823</v>
      </c>
      <c r="Q200" s="497" t="s">
        <v>642</v>
      </c>
      <c r="R200" s="497" t="s">
        <v>652</v>
      </c>
      <c r="S200" s="497" t="s">
        <v>649</v>
      </c>
      <c r="T200" s="497"/>
      <c r="U200" s="497"/>
      <c r="V200" s="497" t="s">
        <v>641</v>
      </c>
      <c r="W200" s="497" t="s">
        <v>666</v>
      </c>
      <c r="X200" s="499"/>
      <c r="Y200" s="499"/>
      <c r="Z200" s="500"/>
      <c r="AA200" s="497"/>
      <c r="AB200" s="497"/>
      <c r="AC200" s="497"/>
      <c r="AD200" s="501"/>
      <c r="AE200" s="501"/>
      <c r="AF200" s="501"/>
      <c r="AG200" s="501"/>
      <c r="AH200" s="501"/>
      <c r="AI200" s="501"/>
      <c r="AJ200" s="501"/>
      <c r="AK200" s="501"/>
      <c r="AL200" s="501"/>
      <c r="AM200" s="501"/>
      <c r="AN200" s="501"/>
      <c r="AO200" s="501"/>
      <c r="AP200" s="501"/>
      <c r="AQ200" s="501"/>
      <c r="AR200" s="501"/>
      <c r="AS200" s="501"/>
      <c r="AT200" s="501"/>
      <c r="AU200" s="501"/>
      <c r="AV200" s="501"/>
      <c r="AW200" s="501"/>
      <c r="AX200" s="501"/>
      <c r="AY200" s="501"/>
      <c r="AZ200" s="501"/>
      <c r="BA200" s="501"/>
      <c r="BB200" s="483"/>
      <c r="BC200" s="483"/>
      <c r="BD200" s="483"/>
      <c r="BE200" s="483"/>
      <c r="BF200" s="483"/>
      <c r="BG200" s="483"/>
      <c r="BH200" s="483"/>
      <c r="BI200" s="483"/>
      <c r="BJ200" s="483"/>
      <c r="BK200" s="483"/>
      <c r="BL200" s="483"/>
      <c r="BM200" s="483"/>
      <c r="BN200" s="483"/>
      <c r="BO200" s="483"/>
      <c r="BP200" s="483"/>
      <c r="BQ200" s="483"/>
      <c r="BR200" s="483"/>
      <c r="BS200" s="484">
        <f t="shared" si="34"/>
        <v>0</v>
      </c>
      <c r="BT200" s="485">
        <v>0</v>
      </c>
      <c r="BU200" s="485">
        <v>0</v>
      </c>
      <c r="BV200" s="485">
        <v>0</v>
      </c>
      <c r="BW200" s="485">
        <v>0</v>
      </c>
      <c r="BX200" s="485">
        <v>0</v>
      </c>
      <c r="BY200" s="485">
        <v>0</v>
      </c>
      <c r="BZ200" s="485">
        <v>0</v>
      </c>
      <c r="CA200" s="485">
        <v>0</v>
      </c>
      <c r="CB200" s="485">
        <v>0</v>
      </c>
      <c r="CC200" s="485">
        <v>1</v>
      </c>
      <c r="CD200" s="485">
        <v>0</v>
      </c>
      <c r="CE200" s="485">
        <v>0</v>
      </c>
      <c r="CF200" s="485">
        <v>0</v>
      </c>
      <c r="CG200" s="485">
        <v>0</v>
      </c>
      <c r="CH200" s="485">
        <v>0</v>
      </c>
      <c r="CI200" s="485">
        <v>0</v>
      </c>
      <c r="CJ200" s="485">
        <v>0</v>
      </c>
      <c r="CK200" s="485">
        <v>0</v>
      </c>
      <c r="CL200" s="485">
        <v>0</v>
      </c>
      <c r="CM200" s="486">
        <f t="shared" si="35"/>
        <v>1</v>
      </c>
    </row>
    <row r="201" spans="1:91" s="487" customFormat="1" ht="25.5" customHeight="1" x14ac:dyDescent="0.25">
      <c r="A201" s="502" t="s">
        <v>231</v>
      </c>
      <c r="B201" s="498" t="s">
        <v>1844</v>
      </c>
      <c r="C201" s="497" t="s">
        <v>909</v>
      </c>
      <c r="D201" s="498"/>
      <c r="E201" s="497"/>
      <c r="F201" s="498"/>
      <c r="G201" s="497" t="s">
        <v>686</v>
      </c>
      <c r="H201" s="497" t="s">
        <v>654</v>
      </c>
      <c r="I201" s="497" t="s">
        <v>647</v>
      </c>
      <c r="J201" s="497" t="s">
        <v>641</v>
      </c>
      <c r="K201" s="497" t="s">
        <v>649</v>
      </c>
      <c r="L201" s="497" t="s">
        <v>41</v>
      </c>
      <c r="M201" s="497" t="s">
        <v>646</v>
      </c>
      <c r="N201" s="497" t="s">
        <v>645</v>
      </c>
      <c r="O201" s="497" t="s">
        <v>908</v>
      </c>
      <c r="P201" s="497" t="s">
        <v>720</v>
      </c>
      <c r="Q201" s="497" t="s">
        <v>642</v>
      </c>
      <c r="R201" s="497" t="s">
        <v>652</v>
      </c>
      <c r="S201" s="497" t="s">
        <v>649</v>
      </c>
      <c r="T201" s="497" t="s">
        <v>107</v>
      </c>
      <c r="U201" s="497"/>
      <c r="V201" s="497" t="s">
        <v>641</v>
      </c>
      <c r="W201" s="497"/>
      <c r="X201" s="499">
        <v>41645</v>
      </c>
      <c r="Y201" s="499">
        <v>43343</v>
      </c>
      <c r="Z201" s="500">
        <v>2018</v>
      </c>
      <c r="AA201" s="497" t="s">
        <v>649</v>
      </c>
      <c r="AB201" s="497"/>
      <c r="AC201" s="497"/>
      <c r="AD201" s="501"/>
      <c r="AE201" s="501"/>
      <c r="AF201" s="501"/>
      <c r="AG201" s="501">
        <v>9339202.4600000102</v>
      </c>
      <c r="AH201" s="501"/>
      <c r="AI201" s="501"/>
      <c r="AJ201" s="501"/>
      <c r="AK201" s="501"/>
      <c r="AL201" s="501"/>
      <c r="AM201" s="501"/>
      <c r="AN201" s="501"/>
      <c r="AO201" s="501"/>
      <c r="AP201" s="501"/>
      <c r="AQ201" s="501"/>
      <c r="AR201" s="501"/>
      <c r="AS201" s="501"/>
      <c r="AT201" s="501"/>
      <c r="AU201" s="501"/>
      <c r="AV201" s="501"/>
      <c r="AW201" s="501"/>
      <c r="AX201" s="501"/>
      <c r="AY201" s="501"/>
      <c r="AZ201" s="501"/>
      <c r="BA201" s="501"/>
      <c r="BB201" s="483"/>
      <c r="BC201" s="483"/>
      <c r="BD201" s="483"/>
      <c r="BE201" s="483"/>
      <c r="BF201" s="483">
        <v>0</v>
      </c>
      <c r="BG201" s="483"/>
      <c r="BH201" s="483"/>
      <c r="BI201" s="483"/>
      <c r="BJ201" s="483"/>
      <c r="BK201" s="483"/>
      <c r="BL201" s="483"/>
      <c r="BM201" s="483"/>
      <c r="BN201" s="483"/>
      <c r="BO201" s="483"/>
      <c r="BP201" s="483"/>
      <c r="BQ201" s="483"/>
      <c r="BR201" s="483">
        <v>9339202.4600000102</v>
      </c>
      <c r="BS201" s="484">
        <f t="shared" si="34"/>
        <v>9339202.4600000102</v>
      </c>
      <c r="BT201" s="485">
        <f t="shared" ref="BT201:CC202" si="49">SUMIFS($AD201:$BA201,$AD$11:$BA$11,BT$21)/$BS201</f>
        <v>0</v>
      </c>
      <c r="BU201" s="485">
        <f t="shared" si="49"/>
        <v>0</v>
      </c>
      <c r="BV201" s="485">
        <f t="shared" si="49"/>
        <v>0</v>
      </c>
      <c r="BW201" s="485">
        <f t="shared" si="49"/>
        <v>0</v>
      </c>
      <c r="BX201" s="485">
        <f t="shared" si="49"/>
        <v>0</v>
      </c>
      <c r="BY201" s="485">
        <f t="shared" si="49"/>
        <v>0</v>
      </c>
      <c r="BZ201" s="485">
        <f t="shared" si="49"/>
        <v>0</v>
      </c>
      <c r="CA201" s="485">
        <f t="shared" si="49"/>
        <v>0</v>
      </c>
      <c r="CB201" s="485">
        <f t="shared" si="49"/>
        <v>0</v>
      </c>
      <c r="CC201" s="485">
        <f t="shared" si="49"/>
        <v>1</v>
      </c>
      <c r="CD201" s="485">
        <f t="shared" ref="CD201:CL202" si="50">SUMIFS($AD201:$BA201,$AD$11:$BA$11,CD$21)/$BS201</f>
        <v>0</v>
      </c>
      <c r="CE201" s="485">
        <f t="shared" si="50"/>
        <v>0</v>
      </c>
      <c r="CF201" s="485">
        <f t="shared" si="50"/>
        <v>0</v>
      </c>
      <c r="CG201" s="485">
        <f t="shared" si="50"/>
        <v>0</v>
      </c>
      <c r="CH201" s="485">
        <f t="shared" si="50"/>
        <v>0</v>
      </c>
      <c r="CI201" s="485">
        <f t="shared" si="50"/>
        <v>0</v>
      </c>
      <c r="CJ201" s="485">
        <f t="shared" si="50"/>
        <v>0</v>
      </c>
      <c r="CK201" s="485">
        <f t="shared" si="50"/>
        <v>0</v>
      </c>
      <c r="CL201" s="485">
        <f t="shared" si="50"/>
        <v>0</v>
      </c>
      <c r="CM201" s="486">
        <f t="shared" si="35"/>
        <v>1</v>
      </c>
    </row>
    <row r="202" spans="1:91" s="487" customFormat="1" ht="25.5" customHeight="1" x14ac:dyDescent="0.25">
      <c r="A202" s="497" t="s">
        <v>234</v>
      </c>
      <c r="B202" s="498" t="s">
        <v>1850</v>
      </c>
      <c r="C202" s="497" t="s">
        <v>907</v>
      </c>
      <c r="D202" s="498"/>
      <c r="E202" s="497" t="s">
        <v>906</v>
      </c>
      <c r="F202" s="498"/>
      <c r="G202" s="497" t="s">
        <v>648</v>
      </c>
      <c r="H202" s="497" t="s">
        <v>654</v>
      </c>
      <c r="I202" s="497" t="s">
        <v>647</v>
      </c>
      <c r="J202" s="497" t="s">
        <v>671</v>
      </c>
      <c r="K202" s="497" t="s">
        <v>649</v>
      </c>
      <c r="L202" s="497" t="s">
        <v>55</v>
      </c>
      <c r="M202" s="497" t="s">
        <v>646</v>
      </c>
      <c r="N202" s="497"/>
      <c r="O202" s="497"/>
      <c r="P202" s="497"/>
      <c r="Q202" s="497" t="s">
        <v>656</v>
      </c>
      <c r="R202" s="497" t="s">
        <v>652</v>
      </c>
      <c r="S202" s="497" t="s">
        <v>649</v>
      </c>
      <c r="T202" s="497"/>
      <c r="U202" s="497"/>
      <c r="V202" s="497" t="s">
        <v>683</v>
      </c>
      <c r="W202" s="497" t="s">
        <v>666</v>
      </c>
      <c r="X202" s="499">
        <v>41456</v>
      </c>
      <c r="Y202" s="499">
        <v>42237</v>
      </c>
      <c r="Z202" s="500">
        <v>2015</v>
      </c>
      <c r="AA202" s="497" t="s">
        <v>676</v>
      </c>
      <c r="AB202" s="497" t="s">
        <v>675</v>
      </c>
      <c r="AC202" s="497" t="s">
        <v>663</v>
      </c>
      <c r="AD202" s="501"/>
      <c r="AE202" s="501"/>
      <c r="AF202" s="501"/>
      <c r="AG202" s="501"/>
      <c r="AH202" s="501"/>
      <c r="AI202" s="501"/>
      <c r="AJ202" s="501"/>
      <c r="AK202" s="501"/>
      <c r="AL202" s="501"/>
      <c r="AM202" s="501"/>
      <c r="AN202" s="501"/>
      <c r="AO202" s="501"/>
      <c r="AP202" s="501"/>
      <c r="AQ202" s="501"/>
      <c r="AR202" s="501"/>
      <c r="AS202" s="501"/>
      <c r="AT202" s="501"/>
      <c r="AU202" s="501"/>
      <c r="AV202" s="501">
        <v>1056000.0000000005</v>
      </c>
      <c r="AW202" s="501">
        <v>44000.000000000029</v>
      </c>
      <c r="AX202" s="501"/>
      <c r="AY202" s="501"/>
      <c r="AZ202" s="501"/>
      <c r="BA202" s="501"/>
      <c r="BB202" s="483"/>
      <c r="BC202" s="483"/>
      <c r="BD202" s="483"/>
      <c r="BE202" s="483"/>
      <c r="BF202" s="483"/>
      <c r="BG202" s="483"/>
      <c r="BH202" s="483"/>
      <c r="BI202" s="483"/>
      <c r="BJ202" s="483"/>
      <c r="BK202" s="483"/>
      <c r="BL202" s="483"/>
      <c r="BM202" s="483"/>
      <c r="BN202" s="483"/>
      <c r="BO202" s="483"/>
      <c r="BP202" s="483"/>
      <c r="BQ202" s="483"/>
      <c r="BR202" s="483">
        <v>1100000.0000000005</v>
      </c>
      <c r="BS202" s="484">
        <f t="shared" si="34"/>
        <v>1100000.0000000005</v>
      </c>
      <c r="BT202" s="485">
        <f t="shared" si="49"/>
        <v>0</v>
      </c>
      <c r="BU202" s="485">
        <f t="shared" si="49"/>
        <v>0</v>
      </c>
      <c r="BV202" s="485">
        <f t="shared" si="49"/>
        <v>0</v>
      </c>
      <c r="BW202" s="485">
        <f t="shared" si="49"/>
        <v>1</v>
      </c>
      <c r="BX202" s="485">
        <f t="shared" si="49"/>
        <v>0</v>
      </c>
      <c r="BY202" s="485">
        <f t="shared" si="49"/>
        <v>0</v>
      </c>
      <c r="BZ202" s="485">
        <f t="shared" si="49"/>
        <v>0</v>
      </c>
      <c r="CA202" s="485">
        <f t="shared" si="49"/>
        <v>0</v>
      </c>
      <c r="CB202" s="485">
        <f t="shared" si="49"/>
        <v>0</v>
      </c>
      <c r="CC202" s="485">
        <f t="shared" si="49"/>
        <v>0</v>
      </c>
      <c r="CD202" s="485">
        <f t="shared" si="50"/>
        <v>0</v>
      </c>
      <c r="CE202" s="485">
        <f t="shared" si="50"/>
        <v>0</v>
      </c>
      <c r="CF202" s="485">
        <f t="shared" si="50"/>
        <v>0</v>
      </c>
      <c r="CG202" s="485">
        <f t="shared" si="50"/>
        <v>0</v>
      </c>
      <c r="CH202" s="485">
        <f t="shared" si="50"/>
        <v>0</v>
      </c>
      <c r="CI202" s="485">
        <f t="shared" si="50"/>
        <v>0</v>
      </c>
      <c r="CJ202" s="485">
        <f t="shared" si="50"/>
        <v>0</v>
      </c>
      <c r="CK202" s="485">
        <f t="shared" si="50"/>
        <v>0</v>
      </c>
      <c r="CL202" s="485">
        <f t="shared" si="50"/>
        <v>0</v>
      </c>
      <c r="CM202" s="486">
        <f t="shared" si="35"/>
        <v>1</v>
      </c>
    </row>
    <row r="203" spans="1:91" s="487" customFormat="1" ht="25.5" customHeight="1" x14ac:dyDescent="0.25">
      <c r="A203" s="497" t="s">
        <v>235</v>
      </c>
      <c r="B203" s="498" t="s">
        <v>1852</v>
      </c>
      <c r="C203" s="497" t="s">
        <v>905</v>
      </c>
      <c r="D203" s="498"/>
      <c r="E203" s="497"/>
      <c r="F203" s="498"/>
      <c r="G203" s="497"/>
      <c r="H203" s="497" t="s">
        <v>654</v>
      </c>
      <c r="I203" s="497" t="s">
        <v>647</v>
      </c>
      <c r="J203" s="497" t="s">
        <v>671</v>
      </c>
      <c r="K203" s="497" t="s">
        <v>649</v>
      </c>
      <c r="L203" s="497" t="s">
        <v>107</v>
      </c>
      <c r="M203" s="497" t="s">
        <v>646</v>
      </c>
      <c r="N203" s="497" t="s">
        <v>645</v>
      </c>
      <c r="O203" s="497"/>
      <c r="P203" s="497" t="s">
        <v>720</v>
      </c>
      <c r="Q203" s="497" t="s">
        <v>656</v>
      </c>
      <c r="R203" s="497" t="s">
        <v>652</v>
      </c>
      <c r="S203" s="497" t="s">
        <v>649</v>
      </c>
      <c r="T203" s="497"/>
      <c r="U203" s="497"/>
      <c r="V203" s="497" t="s">
        <v>670</v>
      </c>
      <c r="W203" s="497" t="s">
        <v>677</v>
      </c>
      <c r="X203" s="499">
        <v>42101</v>
      </c>
      <c r="Y203" s="499">
        <v>43318</v>
      </c>
      <c r="Z203" s="500">
        <v>2018</v>
      </c>
      <c r="AA203" s="497"/>
      <c r="AB203" s="497"/>
      <c r="AC203" s="497"/>
      <c r="AD203" s="501"/>
      <c r="AE203" s="501"/>
      <c r="AF203" s="501"/>
      <c r="AG203" s="501"/>
      <c r="AH203" s="501"/>
      <c r="AI203" s="501"/>
      <c r="AJ203" s="501"/>
      <c r="AK203" s="501"/>
      <c r="AL203" s="501"/>
      <c r="AM203" s="501"/>
      <c r="AN203" s="501"/>
      <c r="AO203" s="501"/>
      <c r="AP203" s="501"/>
      <c r="AQ203" s="501"/>
      <c r="AR203" s="501"/>
      <c r="AS203" s="501"/>
      <c r="AT203" s="501"/>
      <c r="AU203" s="501"/>
      <c r="AV203" s="501">
        <v>0</v>
      </c>
      <c r="AW203" s="501"/>
      <c r="AX203" s="501"/>
      <c r="AY203" s="501"/>
      <c r="AZ203" s="501"/>
      <c r="BA203" s="501"/>
      <c r="BB203" s="483"/>
      <c r="BC203" s="483"/>
      <c r="BD203" s="483"/>
      <c r="BE203" s="483"/>
      <c r="BF203" s="483"/>
      <c r="BG203" s="483">
        <v>3139910.8611226729</v>
      </c>
      <c r="BH203" s="483"/>
      <c r="BI203" s="483"/>
      <c r="BJ203" s="483"/>
      <c r="BK203" s="483"/>
      <c r="BL203" s="483"/>
      <c r="BM203" s="483"/>
      <c r="BN203" s="483"/>
      <c r="BO203" s="483"/>
      <c r="BP203" s="483"/>
      <c r="BQ203" s="483"/>
      <c r="BR203" s="483">
        <v>3139910.8611226729</v>
      </c>
      <c r="BS203" s="484">
        <f t="shared" si="34"/>
        <v>0</v>
      </c>
      <c r="BT203" s="485">
        <v>0</v>
      </c>
      <c r="BU203" s="485">
        <v>0</v>
      </c>
      <c r="BV203" s="485">
        <v>0</v>
      </c>
      <c r="BW203" s="485">
        <v>0</v>
      </c>
      <c r="BX203" s="485">
        <v>0</v>
      </c>
      <c r="BY203" s="485">
        <v>0</v>
      </c>
      <c r="BZ203" s="485">
        <v>0</v>
      </c>
      <c r="CA203" s="485">
        <v>1</v>
      </c>
      <c r="CB203" s="485">
        <v>0</v>
      </c>
      <c r="CC203" s="485">
        <v>0</v>
      </c>
      <c r="CD203" s="485">
        <v>0</v>
      </c>
      <c r="CE203" s="485">
        <v>0</v>
      </c>
      <c r="CF203" s="485">
        <v>0</v>
      </c>
      <c r="CG203" s="485">
        <v>0</v>
      </c>
      <c r="CH203" s="485">
        <v>0</v>
      </c>
      <c r="CI203" s="485">
        <v>0</v>
      </c>
      <c r="CJ203" s="485">
        <v>0</v>
      </c>
      <c r="CK203" s="485">
        <v>0</v>
      </c>
      <c r="CL203" s="485">
        <v>0</v>
      </c>
      <c r="CM203" s="486">
        <f t="shared" si="35"/>
        <v>1</v>
      </c>
    </row>
    <row r="204" spans="1:91" s="487" customFormat="1" ht="25.5" customHeight="1" x14ac:dyDescent="0.25">
      <c r="A204" s="497" t="s">
        <v>237</v>
      </c>
      <c r="B204" s="498" t="s">
        <v>1856</v>
      </c>
      <c r="C204" s="497" t="s">
        <v>904</v>
      </c>
      <c r="D204" s="498"/>
      <c r="E204" s="497" t="s">
        <v>779</v>
      </c>
      <c r="F204" s="498"/>
      <c r="G204" s="497" t="s">
        <v>648</v>
      </c>
      <c r="H204" s="497" t="s">
        <v>654</v>
      </c>
      <c r="I204" s="497" t="s">
        <v>647</v>
      </c>
      <c r="J204" s="497" t="s">
        <v>671</v>
      </c>
      <c r="K204" s="497" t="s">
        <v>649</v>
      </c>
      <c r="L204" s="497" t="s">
        <v>36</v>
      </c>
      <c r="M204" s="497" t="s">
        <v>646</v>
      </c>
      <c r="N204" s="497"/>
      <c r="O204" s="497"/>
      <c r="P204" s="497"/>
      <c r="Q204" s="497" t="s">
        <v>650</v>
      </c>
      <c r="R204" s="497" t="s">
        <v>652</v>
      </c>
      <c r="S204" s="497"/>
      <c r="T204" s="497"/>
      <c r="U204" s="497"/>
      <c r="V204" s="497" t="s">
        <v>36</v>
      </c>
      <c r="W204" s="497" t="s">
        <v>677</v>
      </c>
      <c r="X204" s="499">
        <v>41821</v>
      </c>
      <c r="Y204" s="499">
        <v>42131</v>
      </c>
      <c r="Z204" s="500">
        <v>2015</v>
      </c>
      <c r="AA204" s="497" t="s">
        <v>676</v>
      </c>
      <c r="AB204" s="497" t="s">
        <v>675</v>
      </c>
      <c r="AC204" s="497" t="s">
        <v>663</v>
      </c>
      <c r="AD204" s="501"/>
      <c r="AE204" s="501"/>
      <c r="AF204" s="501"/>
      <c r="AG204" s="501"/>
      <c r="AH204" s="501"/>
      <c r="AI204" s="501"/>
      <c r="AJ204" s="501"/>
      <c r="AK204" s="501"/>
      <c r="AL204" s="501"/>
      <c r="AM204" s="501"/>
      <c r="AN204" s="501"/>
      <c r="AO204" s="501"/>
      <c r="AP204" s="501"/>
      <c r="AQ204" s="501"/>
      <c r="AR204" s="501"/>
      <c r="AS204" s="501"/>
      <c r="AT204" s="501"/>
      <c r="AU204" s="501">
        <v>46199.999999999985</v>
      </c>
      <c r="AV204" s="501"/>
      <c r="AW204" s="501"/>
      <c r="AX204" s="501">
        <v>163799.99999999994</v>
      </c>
      <c r="AY204" s="501"/>
      <c r="AZ204" s="501"/>
      <c r="BA204" s="501"/>
      <c r="BB204" s="483"/>
      <c r="BC204" s="483"/>
      <c r="BD204" s="483"/>
      <c r="BE204" s="483"/>
      <c r="BF204" s="483"/>
      <c r="BG204" s="483"/>
      <c r="BH204" s="483"/>
      <c r="BI204" s="483"/>
      <c r="BJ204" s="483"/>
      <c r="BK204" s="483"/>
      <c r="BL204" s="483"/>
      <c r="BM204" s="483"/>
      <c r="BN204" s="483"/>
      <c r="BO204" s="483"/>
      <c r="BP204" s="483"/>
      <c r="BQ204" s="483"/>
      <c r="BR204" s="483">
        <v>209999.99999999994</v>
      </c>
      <c r="BS204" s="484">
        <f t="shared" si="34"/>
        <v>209999.99999999994</v>
      </c>
      <c r="BT204" s="485">
        <f t="shared" ref="BT204:CC217" si="51">SUMIFS($AD204:$BA204,$AD$11:$BA$11,BT$21)/$BS204</f>
        <v>0.22</v>
      </c>
      <c r="BU204" s="485">
        <f t="shared" si="51"/>
        <v>0</v>
      </c>
      <c r="BV204" s="485">
        <f t="shared" si="51"/>
        <v>0</v>
      </c>
      <c r="BW204" s="485">
        <f t="shared" si="51"/>
        <v>0</v>
      </c>
      <c r="BX204" s="485">
        <f t="shared" si="51"/>
        <v>0</v>
      </c>
      <c r="BY204" s="485">
        <f t="shared" si="51"/>
        <v>0</v>
      </c>
      <c r="BZ204" s="485">
        <f t="shared" si="51"/>
        <v>0</v>
      </c>
      <c r="CA204" s="485">
        <f t="shared" si="51"/>
        <v>0.77999999999999992</v>
      </c>
      <c r="CB204" s="485">
        <f t="shared" si="51"/>
        <v>0</v>
      </c>
      <c r="CC204" s="485">
        <f t="shared" si="51"/>
        <v>0</v>
      </c>
      <c r="CD204" s="485">
        <f t="shared" ref="CD204:CL217" si="52">SUMIFS($AD204:$BA204,$AD$11:$BA$11,CD$21)/$BS204</f>
        <v>0</v>
      </c>
      <c r="CE204" s="485">
        <f t="shared" si="52"/>
        <v>0</v>
      </c>
      <c r="CF204" s="485">
        <f t="shared" si="52"/>
        <v>0</v>
      </c>
      <c r="CG204" s="485">
        <f t="shared" si="52"/>
        <v>0</v>
      </c>
      <c r="CH204" s="485">
        <f t="shared" si="52"/>
        <v>0</v>
      </c>
      <c r="CI204" s="485">
        <f t="shared" si="52"/>
        <v>0</v>
      </c>
      <c r="CJ204" s="485">
        <f t="shared" si="52"/>
        <v>0</v>
      </c>
      <c r="CK204" s="485">
        <f t="shared" si="52"/>
        <v>0</v>
      </c>
      <c r="CL204" s="485">
        <f t="shared" si="52"/>
        <v>0</v>
      </c>
      <c r="CM204" s="486">
        <f t="shared" si="35"/>
        <v>0.99999999999999989</v>
      </c>
    </row>
    <row r="205" spans="1:91" s="487" customFormat="1" ht="25.5" customHeight="1" x14ac:dyDescent="0.25">
      <c r="A205" s="497" t="s">
        <v>239</v>
      </c>
      <c r="B205" s="498" t="s">
        <v>1858</v>
      </c>
      <c r="C205" s="497" t="s">
        <v>903</v>
      </c>
      <c r="D205" s="498"/>
      <c r="E205" s="497" t="s">
        <v>779</v>
      </c>
      <c r="F205" s="498"/>
      <c r="G205" s="497" t="s">
        <v>648</v>
      </c>
      <c r="H205" s="497" t="s">
        <v>654</v>
      </c>
      <c r="I205" s="497" t="s">
        <v>647</v>
      </c>
      <c r="J205" s="497" t="s">
        <v>671</v>
      </c>
      <c r="K205" s="497" t="s">
        <v>649</v>
      </c>
      <c r="L205" s="497" t="s">
        <v>36</v>
      </c>
      <c r="M205" s="497" t="s">
        <v>646</v>
      </c>
      <c r="N205" s="497" t="s">
        <v>680</v>
      </c>
      <c r="O205" s="497"/>
      <c r="P205" s="497" t="s">
        <v>643</v>
      </c>
      <c r="Q205" s="497" t="s">
        <v>650</v>
      </c>
      <c r="R205" s="497" t="s">
        <v>652</v>
      </c>
      <c r="S205" s="497" t="s">
        <v>649</v>
      </c>
      <c r="T205" s="497"/>
      <c r="U205" s="497"/>
      <c r="V205" s="497" t="s">
        <v>36</v>
      </c>
      <c r="W205" s="497" t="s">
        <v>677</v>
      </c>
      <c r="X205" s="499">
        <v>42186</v>
      </c>
      <c r="Y205" s="499">
        <v>42520</v>
      </c>
      <c r="Z205" s="500">
        <v>2016</v>
      </c>
      <c r="AA205" s="497" t="s">
        <v>676</v>
      </c>
      <c r="AB205" s="497" t="s">
        <v>675</v>
      </c>
      <c r="AC205" s="497" t="s">
        <v>663</v>
      </c>
      <c r="AD205" s="501"/>
      <c r="AE205" s="501"/>
      <c r="AF205" s="501"/>
      <c r="AG205" s="501"/>
      <c r="AH205" s="501"/>
      <c r="AI205" s="501"/>
      <c r="AJ205" s="501"/>
      <c r="AK205" s="501"/>
      <c r="AL205" s="501"/>
      <c r="AM205" s="501"/>
      <c r="AN205" s="501"/>
      <c r="AO205" s="501"/>
      <c r="AP205" s="501"/>
      <c r="AQ205" s="501"/>
      <c r="AR205" s="501"/>
      <c r="AS205" s="501"/>
      <c r="AT205" s="501"/>
      <c r="AU205" s="501">
        <v>33479.999999999985</v>
      </c>
      <c r="AV205" s="501"/>
      <c r="AW205" s="501"/>
      <c r="AX205" s="501"/>
      <c r="AY205" s="501"/>
      <c r="AZ205" s="501"/>
      <c r="BA205" s="501"/>
      <c r="BB205" s="483">
        <v>719.99999999999977</v>
      </c>
      <c r="BC205" s="483">
        <v>0</v>
      </c>
      <c r="BD205" s="483"/>
      <c r="BE205" s="483"/>
      <c r="BF205" s="483"/>
      <c r="BG205" s="483">
        <v>6167.2974078918814</v>
      </c>
      <c r="BH205" s="483"/>
      <c r="BI205" s="483"/>
      <c r="BJ205" s="483"/>
      <c r="BK205" s="483"/>
      <c r="BL205" s="483"/>
      <c r="BM205" s="483"/>
      <c r="BN205" s="483"/>
      <c r="BO205" s="483"/>
      <c r="BP205" s="483"/>
      <c r="BQ205" s="483"/>
      <c r="BR205" s="483">
        <v>40367.297407891863</v>
      </c>
      <c r="BS205" s="484">
        <f t="shared" si="34"/>
        <v>33479.999999999985</v>
      </c>
      <c r="BT205" s="485">
        <f t="shared" si="51"/>
        <v>1</v>
      </c>
      <c r="BU205" s="485">
        <f t="shared" si="51"/>
        <v>0</v>
      </c>
      <c r="BV205" s="485">
        <f t="shared" si="51"/>
        <v>0</v>
      </c>
      <c r="BW205" s="485">
        <f t="shared" si="51"/>
        <v>0</v>
      </c>
      <c r="BX205" s="485">
        <f t="shared" si="51"/>
        <v>0</v>
      </c>
      <c r="BY205" s="485">
        <f t="shared" si="51"/>
        <v>0</v>
      </c>
      <c r="BZ205" s="485">
        <f t="shared" si="51"/>
        <v>0</v>
      </c>
      <c r="CA205" s="485">
        <f t="shared" si="51"/>
        <v>0</v>
      </c>
      <c r="CB205" s="485">
        <f t="shared" si="51"/>
        <v>0</v>
      </c>
      <c r="CC205" s="485">
        <f t="shared" si="51"/>
        <v>0</v>
      </c>
      <c r="CD205" s="485">
        <f t="shared" si="52"/>
        <v>0</v>
      </c>
      <c r="CE205" s="485">
        <f t="shared" si="52"/>
        <v>0</v>
      </c>
      <c r="CF205" s="485">
        <f t="shared" si="52"/>
        <v>0</v>
      </c>
      <c r="CG205" s="485">
        <f t="shared" si="52"/>
        <v>0</v>
      </c>
      <c r="CH205" s="485">
        <f t="shared" si="52"/>
        <v>0</v>
      </c>
      <c r="CI205" s="485">
        <f t="shared" si="52"/>
        <v>0</v>
      </c>
      <c r="CJ205" s="485">
        <f t="shared" si="52"/>
        <v>0</v>
      </c>
      <c r="CK205" s="485">
        <f t="shared" si="52"/>
        <v>0</v>
      </c>
      <c r="CL205" s="485">
        <f t="shared" si="52"/>
        <v>0</v>
      </c>
      <c r="CM205" s="486">
        <f t="shared" si="35"/>
        <v>1</v>
      </c>
    </row>
    <row r="206" spans="1:91" s="487" customFormat="1" ht="25.5" customHeight="1" x14ac:dyDescent="0.25">
      <c r="A206" s="497" t="s">
        <v>902</v>
      </c>
      <c r="B206" s="498" t="s">
        <v>1870</v>
      </c>
      <c r="C206" s="497" t="s">
        <v>901</v>
      </c>
      <c r="D206" s="498"/>
      <c r="E206" s="497" t="s">
        <v>55</v>
      </c>
      <c r="F206" s="498"/>
      <c r="G206" s="497" t="s">
        <v>648</v>
      </c>
      <c r="H206" s="497" t="s">
        <v>654</v>
      </c>
      <c r="I206" s="497" t="s">
        <v>647</v>
      </c>
      <c r="J206" s="497" t="s">
        <v>641</v>
      </c>
      <c r="K206" s="497" t="s">
        <v>649</v>
      </c>
      <c r="L206" s="497" t="s">
        <v>28</v>
      </c>
      <c r="M206" s="497" t="s">
        <v>646</v>
      </c>
      <c r="N206" s="497"/>
      <c r="O206" s="497"/>
      <c r="P206" s="497"/>
      <c r="Q206" s="497" t="s">
        <v>656</v>
      </c>
      <c r="R206" s="497" t="s">
        <v>652</v>
      </c>
      <c r="S206" s="497" t="s">
        <v>649</v>
      </c>
      <c r="T206" s="497"/>
      <c r="U206" s="497"/>
      <c r="V206" s="497" t="s">
        <v>683</v>
      </c>
      <c r="W206" s="497" t="s">
        <v>677</v>
      </c>
      <c r="X206" s="499">
        <v>41763</v>
      </c>
      <c r="Y206" s="499">
        <v>42494</v>
      </c>
      <c r="Z206" s="500">
        <v>2015</v>
      </c>
      <c r="AA206" s="497" t="s">
        <v>676</v>
      </c>
      <c r="AB206" s="497" t="s">
        <v>675</v>
      </c>
      <c r="AC206" s="497" t="s">
        <v>663</v>
      </c>
      <c r="AD206" s="501"/>
      <c r="AE206" s="501"/>
      <c r="AF206" s="501"/>
      <c r="AG206" s="501"/>
      <c r="AH206" s="501"/>
      <c r="AI206" s="501"/>
      <c r="AJ206" s="501"/>
      <c r="AK206" s="501"/>
      <c r="AL206" s="501"/>
      <c r="AM206" s="501"/>
      <c r="AN206" s="501"/>
      <c r="AO206" s="501"/>
      <c r="AP206" s="501"/>
      <c r="AQ206" s="501">
        <v>1775999.9999999991</v>
      </c>
      <c r="AR206" s="501"/>
      <c r="AS206" s="501"/>
      <c r="AT206" s="501"/>
      <c r="AU206" s="501"/>
      <c r="AV206" s="501"/>
      <c r="AW206" s="501"/>
      <c r="AX206" s="501"/>
      <c r="AY206" s="501"/>
      <c r="AZ206" s="501"/>
      <c r="BA206" s="501"/>
      <c r="BB206" s="483"/>
      <c r="BC206" s="483"/>
      <c r="BD206" s="483"/>
      <c r="BE206" s="483"/>
      <c r="BF206" s="483"/>
      <c r="BG206" s="483"/>
      <c r="BH206" s="483"/>
      <c r="BI206" s="483"/>
      <c r="BJ206" s="483"/>
      <c r="BK206" s="483"/>
      <c r="BL206" s="483"/>
      <c r="BM206" s="483"/>
      <c r="BN206" s="483"/>
      <c r="BO206" s="483"/>
      <c r="BP206" s="483"/>
      <c r="BQ206" s="483"/>
      <c r="BR206" s="483">
        <v>1775999.9999999991</v>
      </c>
      <c r="BS206" s="484">
        <f t="shared" si="34"/>
        <v>1775999.9999999991</v>
      </c>
      <c r="BT206" s="485">
        <f t="shared" si="51"/>
        <v>0</v>
      </c>
      <c r="BU206" s="485">
        <f t="shared" si="51"/>
        <v>0</v>
      </c>
      <c r="BV206" s="485">
        <f t="shared" si="51"/>
        <v>1</v>
      </c>
      <c r="BW206" s="485">
        <f t="shared" si="51"/>
        <v>0</v>
      </c>
      <c r="BX206" s="485">
        <f t="shared" si="51"/>
        <v>0</v>
      </c>
      <c r="BY206" s="485">
        <f t="shared" si="51"/>
        <v>0</v>
      </c>
      <c r="BZ206" s="485">
        <f t="shared" si="51"/>
        <v>0</v>
      </c>
      <c r="CA206" s="485">
        <f t="shared" si="51"/>
        <v>0</v>
      </c>
      <c r="CB206" s="485">
        <f t="shared" si="51"/>
        <v>0</v>
      </c>
      <c r="CC206" s="485">
        <f t="shared" si="51"/>
        <v>0</v>
      </c>
      <c r="CD206" s="485">
        <f t="shared" si="52"/>
        <v>0</v>
      </c>
      <c r="CE206" s="485">
        <f t="shared" si="52"/>
        <v>0</v>
      </c>
      <c r="CF206" s="485">
        <f t="shared" si="52"/>
        <v>0</v>
      </c>
      <c r="CG206" s="485">
        <f t="shared" si="52"/>
        <v>0</v>
      </c>
      <c r="CH206" s="485">
        <f t="shared" si="52"/>
        <v>0</v>
      </c>
      <c r="CI206" s="485">
        <f t="shared" si="52"/>
        <v>0</v>
      </c>
      <c r="CJ206" s="485">
        <f t="shared" si="52"/>
        <v>0</v>
      </c>
      <c r="CK206" s="485">
        <f t="shared" si="52"/>
        <v>0</v>
      </c>
      <c r="CL206" s="485">
        <f t="shared" si="52"/>
        <v>0</v>
      </c>
      <c r="CM206" s="486">
        <f t="shared" si="35"/>
        <v>1</v>
      </c>
    </row>
    <row r="207" spans="1:91" s="487" customFormat="1" ht="25.5" customHeight="1" x14ac:dyDescent="0.25">
      <c r="A207" s="497" t="s">
        <v>247</v>
      </c>
      <c r="B207" s="498" t="s">
        <v>1876</v>
      </c>
      <c r="C207" s="497" t="s">
        <v>900</v>
      </c>
      <c r="D207" s="498"/>
      <c r="E207" s="497" t="s">
        <v>55</v>
      </c>
      <c r="F207" s="498"/>
      <c r="G207" s="497" t="s">
        <v>648</v>
      </c>
      <c r="H207" s="497" t="s">
        <v>654</v>
      </c>
      <c r="I207" s="497" t="s">
        <v>647</v>
      </c>
      <c r="J207" s="497" t="s">
        <v>641</v>
      </c>
      <c r="K207" s="497" t="s">
        <v>649</v>
      </c>
      <c r="L207" s="497" t="s">
        <v>40</v>
      </c>
      <c r="M207" s="497" t="s">
        <v>646</v>
      </c>
      <c r="N207" s="497"/>
      <c r="O207" s="497"/>
      <c r="P207" s="497" t="s">
        <v>643</v>
      </c>
      <c r="Q207" s="497" t="s">
        <v>656</v>
      </c>
      <c r="R207" s="497" t="s">
        <v>652</v>
      </c>
      <c r="S207" s="497" t="s">
        <v>649</v>
      </c>
      <c r="T207" s="497"/>
      <c r="U207" s="497"/>
      <c r="V207" s="497" t="s">
        <v>683</v>
      </c>
      <c r="W207" s="497" t="s">
        <v>640</v>
      </c>
      <c r="X207" s="499">
        <v>42005</v>
      </c>
      <c r="Y207" s="499">
        <v>42914</v>
      </c>
      <c r="Z207" s="500">
        <v>2017</v>
      </c>
      <c r="AA207" s="497" t="s">
        <v>676</v>
      </c>
      <c r="AB207" s="497"/>
      <c r="AC207" s="497"/>
      <c r="AD207" s="501"/>
      <c r="AE207" s="501"/>
      <c r="AF207" s="501"/>
      <c r="AG207" s="501"/>
      <c r="AH207" s="501"/>
      <c r="AI207" s="501"/>
      <c r="AJ207" s="501"/>
      <c r="AK207" s="501"/>
      <c r="AL207" s="501"/>
      <c r="AM207" s="501"/>
      <c r="AN207" s="501"/>
      <c r="AO207" s="501"/>
      <c r="AP207" s="501"/>
      <c r="AQ207" s="501"/>
      <c r="AR207" s="501"/>
      <c r="AS207" s="501"/>
      <c r="AT207" s="501"/>
      <c r="AU207" s="501"/>
      <c r="AV207" s="501">
        <v>37000.000000000036</v>
      </c>
      <c r="AW207" s="501"/>
      <c r="AX207" s="501"/>
      <c r="AY207" s="501"/>
      <c r="AZ207" s="501"/>
      <c r="BA207" s="501"/>
      <c r="BB207" s="483"/>
      <c r="BC207" s="483"/>
      <c r="BD207" s="483"/>
      <c r="BE207" s="483"/>
      <c r="BF207" s="483"/>
      <c r="BG207" s="483">
        <v>702941.20916666766</v>
      </c>
      <c r="BH207" s="483"/>
      <c r="BI207" s="483"/>
      <c r="BJ207" s="483"/>
      <c r="BK207" s="483"/>
      <c r="BL207" s="483"/>
      <c r="BM207" s="483"/>
      <c r="BN207" s="483"/>
      <c r="BO207" s="483"/>
      <c r="BP207" s="483"/>
      <c r="BQ207" s="483"/>
      <c r="BR207" s="483">
        <v>739941.20916666766</v>
      </c>
      <c r="BS207" s="484">
        <f t="shared" si="34"/>
        <v>37000.000000000036</v>
      </c>
      <c r="BT207" s="485">
        <f t="shared" si="51"/>
        <v>0</v>
      </c>
      <c r="BU207" s="485">
        <f t="shared" si="51"/>
        <v>0</v>
      </c>
      <c r="BV207" s="485">
        <f t="shared" si="51"/>
        <v>0</v>
      </c>
      <c r="BW207" s="485">
        <f t="shared" si="51"/>
        <v>1</v>
      </c>
      <c r="BX207" s="485">
        <f t="shared" si="51"/>
        <v>0</v>
      </c>
      <c r="BY207" s="485">
        <f t="shared" si="51"/>
        <v>0</v>
      </c>
      <c r="BZ207" s="485">
        <f t="shared" si="51"/>
        <v>0</v>
      </c>
      <c r="CA207" s="485">
        <f t="shared" si="51"/>
        <v>0</v>
      </c>
      <c r="CB207" s="485">
        <f t="shared" si="51"/>
        <v>0</v>
      </c>
      <c r="CC207" s="485">
        <f t="shared" si="51"/>
        <v>0</v>
      </c>
      <c r="CD207" s="485">
        <f t="shared" si="52"/>
        <v>0</v>
      </c>
      <c r="CE207" s="485">
        <f t="shared" si="52"/>
        <v>0</v>
      </c>
      <c r="CF207" s="485">
        <f t="shared" si="52"/>
        <v>0</v>
      </c>
      <c r="CG207" s="485">
        <f t="shared" si="52"/>
        <v>0</v>
      </c>
      <c r="CH207" s="485">
        <f t="shared" si="52"/>
        <v>0</v>
      </c>
      <c r="CI207" s="485">
        <f t="shared" si="52"/>
        <v>0</v>
      </c>
      <c r="CJ207" s="485">
        <f t="shared" si="52"/>
        <v>0</v>
      </c>
      <c r="CK207" s="485">
        <f t="shared" si="52"/>
        <v>0</v>
      </c>
      <c r="CL207" s="485">
        <f t="shared" si="52"/>
        <v>0</v>
      </c>
      <c r="CM207" s="486">
        <f t="shared" si="35"/>
        <v>1</v>
      </c>
    </row>
    <row r="208" spans="1:91" s="487" customFormat="1" ht="25.5" customHeight="1" x14ac:dyDescent="0.25">
      <c r="A208" s="497" t="s">
        <v>248</v>
      </c>
      <c r="B208" s="498" t="s">
        <v>1884</v>
      </c>
      <c r="C208" s="497" t="s">
        <v>899</v>
      </c>
      <c r="D208" s="498"/>
      <c r="E208" s="497" t="s">
        <v>779</v>
      </c>
      <c r="F208" s="498"/>
      <c r="G208" s="497" t="s">
        <v>691</v>
      </c>
      <c r="H208" s="497" t="s">
        <v>654</v>
      </c>
      <c r="I208" s="497" t="s">
        <v>647</v>
      </c>
      <c r="J208" s="497" t="s">
        <v>641</v>
      </c>
      <c r="K208" s="497" t="s">
        <v>649</v>
      </c>
      <c r="L208" s="497" t="s">
        <v>28</v>
      </c>
      <c r="M208" s="497" t="s">
        <v>646</v>
      </c>
      <c r="N208" s="497" t="s">
        <v>699</v>
      </c>
      <c r="O208" s="497"/>
      <c r="P208" s="497"/>
      <c r="Q208" s="497" t="s">
        <v>642</v>
      </c>
      <c r="R208" s="497" t="s">
        <v>652</v>
      </c>
      <c r="S208" s="497"/>
      <c r="T208" s="497"/>
      <c r="U208" s="497"/>
      <c r="V208" s="497" t="s">
        <v>641</v>
      </c>
      <c r="W208" s="497" t="s">
        <v>690</v>
      </c>
      <c r="X208" s="499">
        <v>41821</v>
      </c>
      <c r="Y208" s="499">
        <v>42859</v>
      </c>
      <c r="Z208" s="500">
        <v>2017</v>
      </c>
      <c r="AA208" s="497" t="s">
        <v>649</v>
      </c>
      <c r="AB208" s="497" t="s">
        <v>697</v>
      </c>
      <c r="AC208" s="497" t="s">
        <v>649</v>
      </c>
      <c r="AD208" s="501"/>
      <c r="AE208" s="501"/>
      <c r="AF208" s="501"/>
      <c r="AG208" s="501"/>
      <c r="AH208" s="501"/>
      <c r="AI208" s="501"/>
      <c r="AJ208" s="501"/>
      <c r="AK208" s="501"/>
      <c r="AL208" s="501">
        <v>1460800.030015887</v>
      </c>
      <c r="AM208" s="501"/>
      <c r="AN208" s="501"/>
      <c r="AO208" s="501"/>
      <c r="AP208" s="501"/>
      <c r="AQ208" s="501"/>
      <c r="AR208" s="501"/>
      <c r="AS208" s="501"/>
      <c r="AT208" s="501"/>
      <c r="AU208" s="501"/>
      <c r="AV208" s="501"/>
      <c r="AW208" s="501">
        <v>850000.00000000023</v>
      </c>
      <c r="AX208" s="501"/>
      <c r="AY208" s="501"/>
      <c r="AZ208" s="501"/>
      <c r="BA208" s="501"/>
      <c r="BB208" s="483">
        <v>219120.004502383</v>
      </c>
      <c r="BC208" s="483">
        <v>146080.00300158869</v>
      </c>
      <c r="BD208" s="483">
        <v>246510.00506518086</v>
      </c>
      <c r="BE208" s="483">
        <v>5699.4026171088562</v>
      </c>
      <c r="BF208" s="483">
        <v>118220.00200105891</v>
      </c>
      <c r="BG208" s="483">
        <v>54910.736180080181</v>
      </c>
      <c r="BH208" s="483">
        <v>43928.58894406414</v>
      </c>
      <c r="BI208" s="483">
        <v>21964.29447203207</v>
      </c>
      <c r="BJ208" s="483">
        <v>65892.883416096185</v>
      </c>
      <c r="BK208" s="483">
        <v>32946.4417080481</v>
      </c>
      <c r="BL208" s="483">
        <v>65892.8834160962</v>
      </c>
      <c r="BM208" s="483">
        <v>98839.325124144321</v>
      </c>
      <c r="BN208" s="483"/>
      <c r="BO208" s="483"/>
      <c r="BP208" s="483"/>
      <c r="BQ208" s="483"/>
      <c r="BR208" s="483">
        <v>3430804.6004637689</v>
      </c>
      <c r="BS208" s="484">
        <f t="shared" si="34"/>
        <v>2310800.0300158872</v>
      </c>
      <c r="BT208" s="485">
        <f t="shared" si="51"/>
        <v>0</v>
      </c>
      <c r="BU208" s="485">
        <f t="shared" si="51"/>
        <v>0</v>
      </c>
      <c r="BV208" s="485">
        <f t="shared" si="51"/>
        <v>0</v>
      </c>
      <c r="BW208" s="485">
        <f t="shared" si="51"/>
        <v>0.36783797341138008</v>
      </c>
      <c r="BX208" s="485">
        <f t="shared" si="51"/>
        <v>0</v>
      </c>
      <c r="BY208" s="485">
        <f t="shared" si="51"/>
        <v>0</v>
      </c>
      <c r="BZ208" s="485">
        <f t="shared" si="51"/>
        <v>0</v>
      </c>
      <c r="CA208" s="485">
        <f t="shared" si="51"/>
        <v>0</v>
      </c>
      <c r="CB208" s="485">
        <f t="shared" si="51"/>
        <v>0</v>
      </c>
      <c r="CC208" s="485">
        <f t="shared" si="51"/>
        <v>0</v>
      </c>
      <c r="CD208" s="485">
        <f t="shared" si="52"/>
        <v>0</v>
      </c>
      <c r="CE208" s="485">
        <f t="shared" si="52"/>
        <v>0</v>
      </c>
      <c r="CF208" s="485">
        <f t="shared" si="52"/>
        <v>0</v>
      </c>
      <c r="CG208" s="485">
        <f t="shared" si="52"/>
        <v>0</v>
      </c>
      <c r="CH208" s="485">
        <f t="shared" si="52"/>
        <v>0.63216202658861986</v>
      </c>
      <c r="CI208" s="485">
        <f t="shared" si="52"/>
        <v>0</v>
      </c>
      <c r="CJ208" s="485">
        <f t="shared" si="52"/>
        <v>0</v>
      </c>
      <c r="CK208" s="485">
        <f t="shared" si="52"/>
        <v>0</v>
      </c>
      <c r="CL208" s="485">
        <f t="shared" si="52"/>
        <v>0</v>
      </c>
      <c r="CM208" s="486">
        <f t="shared" si="35"/>
        <v>1</v>
      </c>
    </row>
    <row r="209" spans="1:91" s="487" customFormat="1" ht="25.5" customHeight="1" x14ac:dyDescent="0.25">
      <c r="A209" s="497" t="s">
        <v>250</v>
      </c>
      <c r="B209" s="498" t="s">
        <v>1886</v>
      </c>
      <c r="C209" s="497" t="s">
        <v>898</v>
      </c>
      <c r="D209" s="498"/>
      <c r="E209" s="497" t="s">
        <v>779</v>
      </c>
      <c r="F209" s="498"/>
      <c r="G209" s="497" t="s">
        <v>681</v>
      </c>
      <c r="H209" s="497" t="s">
        <v>654</v>
      </c>
      <c r="I209" s="497" t="s">
        <v>647</v>
      </c>
      <c r="J209" s="497" t="s">
        <v>641</v>
      </c>
      <c r="K209" s="497" t="s">
        <v>649</v>
      </c>
      <c r="L209" s="497" t="s">
        <v>54</v>
      </c>
      <c r="M209" s="497" t="s">
        <v>646</v>
      </c>
      <c r="N209" s="497" t="s">
        <v>680</v>
      </c>
      <c r="O209" s="497" t="s">
        <v>897</v>
      </c>
      <c r="P209" s="497" t="s">
        <v>643</v>
      </c>
      <c r="Q209" s="497" t="s">
        <v>656</v>
      </c>
      <c r="R209" s="497" t="s">
        <v>652</v>
      </c>
      <c r="S209" s="497"/>
      <c r="T209" s="497"/>
      <c r="U209" s="497"/>
      <c r="V209" s="497" t="s">
        <v>641</v>
      </c>
      <c r="W209" s="497" t="s">
        <v>690</v>
      </c>
      <c r="X209" s="499">
        <v>41518</v>
      </c>
      <c r="Y209" s="499">
        <v>43028</v>
      </c>
      <c r="Z209" s="500">
        <v>2017</v>
      </c>
      <c r="AA209" s="497" t="s">
        <v>663</v>
      </c>
      <c r="AB209" s="497" t="s">
        <v>675</v>
      </c>
      <c r="AC209" s="497" t="s">
        <v>649</v>
      </c>
      <c r="AD209" s="501"/>
      <c r="AE209" s="501"/>
      <c r="AF209" s="501"/>
      <c r="AG209" s="501">
        <v>377835.5377101957</v>
      </c>
      <c r="AH209" s="501"/>
      <c r="AI209" s="501">
        <v>7499.9999999999973</v>
      </c>
      <c r="AJ209" s="501"/>
      <c r="AK209" s="501"/>
      <c r="AL209" s="501">
        <v>772200.01981059241</v>
      </c>
      <c r="AM209" s="501"/>
      <c r="AN209" s="501"/>
      <c r="AO209" s="501"/>
      <c r="AP209" s="501"/>
      <c r="AQ209" s="501">
        <v>599999.99990849977</v>
      </c>
      <c r="AR209" s="501"/>
      <c r="AS209" s="501">
        <v>24999.999999999993</v>
      </c>
      <c r="AT209" s="501"/>
      <c r="AU209" s="501"/>
      <c r="AV209" s="501"/>
      <c r="AW209" s="501">
        <v>499999.99999999983</v>
      </c>
      <c r="AX209" s="501"/>
      <c r="AY209" s="501"/>
      <c r="AZ209" s="501"/>
      <c r="BA209" s="501"/>
      <c r="BB209" s="483">
        <v>135581.3356916394</v>
      </c>
      <c r="BC209" s="483">
        <v>90387.557127759603</v>
      </c>
      <c r="BD209" s="483">
        <v>152529.00265309433</v>
      </c>
      <c r="BE209" s="483">
        <v>5647.2169954798992</v>
      </c>
      <c r="BF209" s="483">
        <v>0</v>
      </c>
      <c r="BG209" s="483">
        <v>226509.87368869878</v>
      </c>
      <c r="BH209" s="483">
        <v>172979.41299404955</v>
      </c>
      <c r="BI209" s="483">
        <v>158556.91158208915</v>
      </c>
      <c r="BJ209" s="483">
        <v>51479.516747431546</v>
      </c>
      <c r="BK209" s="483">
        <v>20591.806698972614</v>
      </c>
      <c r="BL209" s="483"/>
      <c r="BM209" s="483">
        <v>169867.22679589046</v>
      </c>
      <c r="BN209" s="483">
        <v>364999.99999999994</v>
      </c>
      <c r="BO209" s="483"/>
      <c r="BP209" s="483"/>
      <c r="BQ209" s="483">
        <v>177999.99999999997</v>
      </c>
      <c r="BR209" s="483">
        <v>4009665.418404392</v>
      </c>
      <c r="BS209" s="484">
        <f t="shared" si="34"/>
        <v>2282535.557429288</v>
      </c>
      <c r="BT209" s="485">
        <f t="shared" si="51"/>
        <v>0</v>
      </c>
      <c r="BU209" s="485">
        <f t="shared" si="51"/>
        <v>0</v>
      </c>
      <c r="BV209" s="485">
        <f t="shared" si="51"/>
        <v>0.26286556542595613</v>
      </c>
      <c r="BW209" s="485">
        <f t="shared" si="51"/>
        <v>0.21905463788836929</v>
      </c>
      <c r="BX209" s="485">
        <f t="shared" si="51"/>
        <v>0</v>
      </c>
      <c r="BY209" s="485">
        <f t="shared" si="51"/>
        <v>1.0952731894418465E-2</v>
      </c>
      <c r="BZ209" s="485">
        <f t="shared" si="51"/>
        <v>0</v>
      </c>
      <c r="CA209" s="485">
        <f t="shared" si="51"/>
        <v>0</v>
      </c>
      <c r="CB209" s="485">
        <f t="shared" si="51"/>
        <v>0</v>
      </c>
      <c r="CC209" s="485">
        <f t="shared" si="51"/>
        <v>0.1655332537889285</v>
      </c>
      <c r="CD209" s="485">
        <f t="shared" si="52"/>
        <v>0</v>
      </c>
      <c r="CE209" s="485">
        <f t="shared" si="52"/>
        <v>3.2858195683255391E-3</v>
      </c>
      <c r="CF209" s="485">
        <f t="shared" si="52"/>
        <v>0</v>
      </c>
      <c r="CG209" s="485">
        <f t="shared" si="52"/>
        <v>0</v>
      </c>
      <c r="CH209" s="485">
        <f t="shared" si="52"/>
        <v>0.33830799143400192</v>
      </c>
      <c r="CI209" s="485">
        <f t="shared" si="52"/>
        <v>0</v>
      </c>
      <c r="CJ209" s="485">
        <f t="shared" si="52"/>
        <v>0</v>
      </c>
      <c r="CK209" s="485">
        <f t="shared" si="52"/>
        <v>0</v>
      </c>
      <c r="CL209" s="485">
        <f t="shared" si="52"/>
        <v>0</v>
      </c>
      <c r="CM209" s="486">
        <f t="shared" si="35"/>
        <v>0.99999999999999978</v>
      </c>
    </row>
    <row r="210" spans="1:91" s="487" customFormat="1" ht="25.5" customHeight="1" x14ac:dyDescent="0.25">
      <c r="A210" s="497" t="s">
        <v>896</v>
      </c>
      <c r="B210" s="498" t="s">
        <v>1888</v>
      </c>
      <c r="C210" s="497" t="s">
        <v>895</v>
      </c>
      <c r="D210" s="498"/>
      <c r="E210" s="497" t="s">
        <v>894</v>
      </c>
      <c r="F210" s="498"/>
      <c r="G210" s="497" t="s">
        <v>807</v>
      </c>
      <c r="H210" s="497" t="s">
        <v>654</v>
      </c>
      <c r="I210" s="497" t="s">
        <v>647</v>
      </c>
      <c r="J210" s="497" t="s">
        <v>641</v>
      </c>
      <c r="K210" s="497" t="s">
        <v>649</v>
      </c>
      <c r="L210" s="497" t="s">
        <v>54</v>
      </c>
      <c r="M210" s="497" t="s">
        <v>646</v>
      </c>
      <c r="N210" s="497" t="s">
        <v>668</v>
      </c>
      <c r="O210" s="497"/>
      <c r="P210" s="497"/>
      <c r="Q210" s="497" t="s">
        <v>650</v>
      </c>
      <c r="R210" s="497" t="s">
        <v>652</v>
      </c>
      <c r="S210" s="497"/>
      <c r="T210" s="497"/>
      <c r="U210" s="497"/>
      <c r="V210" s="497" t="s">
        <v>641</v>
      </c>
      <c r="W210" s="497" t="s">
        <v>684</v>
      </c>
      <c r="X210" s="499">
        <v>41518</v>
      </c>
      <c r="Y210" s="499">
        <v>42543</v>
      </c>
      <c r="Z210" s="500">
        <v>2016</v>
      </c>
      <c r="AA210" s="497"/>
      <c r="AB210" s="497" t="s">
        <v>675</v>
      </c>
      <c r="AC210" s="497" t="s">
        <v>663</v>
      </c>
      <c r="AD210" s="501"/>
      <c r="AE210" s="501"/>
      <c r="AF210" s="501"/>
      <c r="AG210" s="501"/>
      <c r="AH210" s="501"/>
      <c r="AI210" s="501"/>
      <c r="AJ210" s="501"/>
      <c r="AK210" s="501"/>
      <c r="AL210" s="501">
        <v>125000</v>
      </c>
      <c r="AM210" s="501"/>
      <c r="AN210" s="501"/>
      <c r="AO210" s="501"/>
      <c r="AP210" s="501"/>
      <c r="AQ210" s="501"/>
      <c r="AR210" s="501"/>
      <c r="AS210" s="501"/>
      <c r="AT210" s="501"/>
      <c r="AU210" s="501"/>
      <c r="AV210" s="501"/>
      <c r="AW210" s="501">
        <v>249999.99999999997</v>
      </c>
      <c r="AX210" s="501"/>
      <c r="AY210" s="501"/>
      <c r="AZ210" s="501"/>
      <c r="BA210" s="501"/>
      <c r="BB210" s="483">
        <v>8250</v>
      </c>
      <c r="BC210" s="483">
        <v>5500</v>
      </c>
      <c r="BD210" s="483">
        <v>9281.25</v>
      </c>
      <c r="BE210" s="483">
        <v>214.5859375</v>
      </c>
      <c r="BF210" s="483"/>
      <c r="BG210" s="483">
        <v>1956.1458984375004</v>
      </c>
      <c r="BH210" s="483">
        <v>1564.9167187500002</v>
      </c>
      <c r="BI210" s="483">
        <v>782.45835937500021</v>
      </c>
      <c r="BJ210" s="483">
        <v>2347.3750781250001</v>
      </c>
      <c r="BK210" s="483">
        <v>1173.6875390625</v>
      </c>
      <c r="BL210" s="483">
        <v>2347.3750781250001</v>
      </c>
      <c r="BM210" s="483">
        <v>51564.916718750006</v>
      </c>
      <c r="BN210" s="483"/>
      <c r="BO210" s="483"/>
      <c r="BP210" s="483"/>
      <c r="BQ210" s="483"/>
      <c r="BR210" s="483">
        <v>459982.71132812486</v>
      </c>
      <c r="BS210" s="484">
        <f t="shared" si="34"/>
        <v>375000</v>
      </c>
      <c r="BT210" s="485">
        <f t="shared" si="51"/>
        <v>0</v>
      </c>
      <c r="BU210" s="485">
        <f t="shared" si="51"/>
        <v>0</v>
      </c>
      <c r="BV210" s="485">
        <f t="shared" si="51"/>
        <v>0</v>
      </c>
      <c r="BW210" s="485">
        <f t="shared" si="51"/>
        <v>0.66666666666666663</v>
      </c>
      <c r="BX210" s="485">
        <f t="shared" si="51"/>
        <v>0</v>
      </c>
      <c r="BY210" s="485">
        <f t="shared" si="51"/>
        <v>0</v>
      </c>
      <c r="BZ210" s="485">
        <f t="shared" si="51"/>
        <v>0</v>
      </c>
      <c r="CA210" s="485">
        <f t="shared" si="51"/>
        <v>0</v>
      </c>
      <c r="CB210" s="485">
        <f t="shared" si="51"/>
        <v>0</v>
      </c>
      <c r="CC210" s="485">
        <f t="shared" si="51"/>
        <v>0</v>
      </c>
      <c r="CD210" s="485">
        <f t="shared" si="52"/>
        <v>0</v>
      </c>
      <c r="CE210" s="485">
        <f t="shared" si="52"/>
        <v>0</v>
      </c>
      <c r="CF210" s="485">
        <f t="shared" si="52"/>
        <v>0</v>
      </c>
      <c r="CG210" s="485">
        <f t="shared" si="52"/>
        <v>0</v>
      </c>
      <c r="CH210" s="485">
        <f t="shared" si="52"/>
        <v>0.33333333333333331</v>
      </c>
      <c r="CI210" s="485">
        <f t="shared" si="52"/>
        <v>0</v>
      </c>
      <c r="CJ210" s="485">
        <f t="shared" si="52"/>
        <v>0</v>
      </c>
      <c r="CK210" s="485">
        <f t="shared" si="52"/>
        <v>0</v>
      </c>
      <c r="CL210" s="485">
        <f t="shared" si="52"/>
        <v>0</v>
      </c>
      <c r="CM210" s="486">
        <f t="shared" si="35"/>
        <v>1</v>
      </c>
    </row>
    <row r="211" spans="1:91" s="487" customFormat="1" ht="25.5" customHeight="1" x14ac:dyDescent="0.25">
      <c r="A211" s="497" t="s">
        <v>252</v>
      </c>
      <c r="B211" s="498" t="s">
        <v>1890</v>
      </c>
      <c r="C211" s="497" t="s">
        <v>893</v>
      </c>
      <c r="D211" s="498"/>
      <c r="E211" s="497" t="s">
        <v>779</v>
      </c>
      <c r="F211" s="498"/>
      <c r="G211" s="497" t="s">
        <v>648</v>
      </c>
      <c r="H211" s="497" t="s">
        <v>654</v>
      </c>
      <c r="I211" s="497" t="s">
        <v>647</v>
      </c>
      <c r="J211" s="497" t="s">
        <v>671</v>
      </c>
      <c r="K211" s="497" t="s">
        <v>649</v>
      </c>
      <c r="L211" s="497" t="s">
        <v>36</v>
      </c>
      <c r="M211" s="497" t="s">
        <v>646</v>
      </c>
      <c r="N211" s="497" t="s">
        <v>680</v>
      </c>
      <c r="O211" s="497"/>
      <c r="P211" s="497" t="s">
        <v>643</v>
      </c>
      <c r="Q211" s="497" t="s">
        <v>650</v>
      </c>
      <c r="R211" s="497" t="s">
        <v>652</v>
      </c>
      <c r="S211" s="497" t="s">
        <v>649</v>
      </c>
      <c r="T211" s="497"/>
      <c r="U211" s="497"/>
      <c r="V211" s="497" t="s">
        <v>36</v>
      </c>
      <c r="W211" s="497" t="s">
        <v>677</v>
      </c>
      <c r="X211" s="499">
        <v>42186</v>
      </c>
      <c r="Y211" s="499">
        <v>42520</v>
      </c>
      <c r="Z211" s="500">
        <v>2016</v>
      </c>
      <c r="AA211" s="497" t="s">
        <v>676</v>
      </c>
      <c r="AB211" s="497" t="s">
        <v>675</v>
      </c>
      <c r="AC211" s="497" t="s">
        <v>663</v>
      </c>
      <c r="AD211" s="501"/>
      <c r="AE211" s="501"/>
      <c r="AF211" s="501"/>
      <c r="AG211" s="501"/>
      <c r="AH211" s="501"/>
      <c r="AI211" s="501"/>
      <c r="AJ211" s="501"/>
      <c r="AK211" s="501"/>
      <c r="AL211" s="501"/>
      <c r="AM211" s="501"/>
      <c r="AN211" s="501"/>
      <c r="AO211" s="501"/>
      <c r="AP211" s="501"/>
      <c r="AQ211" s="501"/>
      <c r="AR211" s="501"/>
      <c r="AS211" s="501"/>
      <c r="AT211" s="501"/>
      <c r="AU211" s="501">
        <v>39999.999999999985</v>
      </c>
      <c r="AV211" s="501"/>
      <c r="AW211" s="501"/>
      <c r="AX211" s="501">
        <v>3999.9999999999991</v>
      </c>
      <c r="AY211" s="501"/>
      <c r="AZ211" s="501"/>
      <c r="BA211" s="501"/>
      <c r="BB211" s="483">
        <v>999.99999999999955</v>
      </c>
      <c r="BC211" s="483">
        <v>0</v>
      </c>
      <c r="BD211" s="483"/>
      <c r="BE211" s="483"/>
      <c r="BF211" s="483"/>
      <c r="BG211" s="483">
        <v>8114.8650103840537</v>
      </c>
      <c r="BH211" s="483"/>
      <c r="BI211" s="483"/>
      <c r="BJ211" s="483"/>
      <c r="BK211" s="483"/>
      <c r="BL211" s="483"/>
      <c r="BM211" s="483"/>
      <c r="BN211" s="483"/>
      <c r="BO211" s="483"/>
      <c r="BP211" s="483"/>
      <c r="BQ211" s="483"/>
      <c r="BR211" s="483">
        <v>53114.865010384034</v>
      </c>
      <c r="BS211" s="484">
        <f t="shared" si="34"/>
        <v>43999.999999999985</v>
      </c>
      <c r="BT211" s="485">
        <f t="shared" si="51"/>
        <v>0.90909090909090906</v>
      </c>
      <c r="BU211" s="485">
        <f t="shared" si="51"/>
        <v>0</v>
      </c>
      <c r="BV211" s="485">
        <f t="shared" si="51"/>
        <v>0</v>
      </c>
      <c r="BW211" s="485">
        <f t="shared" si="51"/>
        <v>0</v>
      </c>
      <c r="BX211" s="485">
        <f t="shared" si="51"/>
        <v>0</v>
      </c>
      <c r="BY211" s="485">
        <f t="shared" si="51"/>
        <v>0</v>
      </c>
      <c r="BZ211" s="485">
        <f t="shared" si="51"/>
        <v>0</v>
      </c>
      <c r="CA211" s="485">
        <f t="shared" si="51"/>
        <v>9.0909090909090912E-2</v>
      </c>
      <c r="CB211" s="485">
        <f t="shared" si="51"/>
        <v>0</v>
      </c>
      <c r="CC211" s="485">
        <f t="shared" si="51"/>
        <v>0</v>
      </c>
      <c r="CD211" s="485">
        <f t="shared" si="52"/>
        <v>0</v>
      </c>
      <c r="CE211" s="485">
        <f t="shared" si="52"/>
        <v>0</v>
      </c>
      <c r="CF211" s="485">
        <f t="shared" si="52"/>
        <v>0</v>
      </c>
      <c r="CG211" s="485">
        <f t="shared" si="52"/>
        <v>0</v>
      </c>
      <c r="CH211" s="485">
        <f t="shared" si="52"/>
        <v>0</v>
      </c>
      <c r="CI211" s="485">
        <f t="shared" si="52"/>
        <v>0</v>
      </c>
      <c r="CJ211" s="485">
        <f t="shared" si="52"/>
        <v>0</v>
      </c>
      <c r="CK211" s="485">
        <f t="shared" si="52"/>
        <v>0</v>
      </c>
      <c r="CL211" s="485">
        <f t="shared" si="52"/>
        <v>0</v>
      </c>
      <c r="CM211" s="486">
        <f t="shared" si="35"/>
        <v>1</v>
      </c>
    </row>
    <row r="212" spans="1:91" s="487" customFormat="1" ht="25.5" customHeight="1" x14ac:dyDescent="0.25">
      <c r="A212" s="497" t="s">
        <v>254</v>
      </c>
      <c r="B212" s="498" t="s">
        <v>1892</v>
      </c>
      <c r="C212" s="497" t="s">
        <v>892</v>
      </c>
      <c r="D212" s="498"/>
      <c r="E212" s="497"/>
      <c r="F212" s="498"/>
      <c r="G212" s="497" t="s">
        <v>648</v>
      </c>
      <c r="H212" s="497" t="s">
        <v>654</v>
      </c>
      <c r="I212" s="497" t="s">
        <v>647</v>
      </c>
      <c r="J212" s="497" t="s">
        <v>671</v>
      </c>
      <c r="K212" s="497" t="s">
        <v>649</v>
      </c>
      <c r="L212" s="497" t="s">
        <v>36</v>
      </c>
      <c r="M212" s="497" t="s">
        <v>646</v>
      </c>
      <c r="N212" s="497" t="s">
        <v>680</v>
      </c>
      <c r="O212" s="497"/>
      <c r="P212" s="497" t="s">
        <v>643</v>
      </c>
      <c r="Q212" s="497" t="s">
        <v>650</v>
      </c>
      <c r="R212" s="497" t="s">
        <v>652</v>
      </c>
      <c r="S212" s="497" t="s">
        <v>649</v>
      </c>
      <c r="T212" s="497"/>
      <c r="U212" s="497"/>
      <c r="V212" s="497" t="s">
        <v>36</v>
      </c>
      <c r="W212" s="497" t="s">
        <v>677</v>
      </c>
      <c r="X212" s="499">
        <v>42186</v>
      </c>
      <c r="Y212" s="499">
        <v>42520</v>
      </c>
      <c r="Z212" s="500">
        <v>2016</v>
      </c>
      <c r="AA212" s="497" t="s">
        <v>676</v>
      </c>
      <c r="AB212" s="497" t="s">
        <v>675</v>
      </c>
      <c r="AC212" s="497" t="s">
        <v>663</v>
      </c>
      <c r="AD212" s="501"/>
      <c r="AE212" s="501"/>
      <c r="AF212" s="501"/>
      <c r="AG212" s="501"/>
      <c r="AH212" s="501"/>
      <c r="AI212" s="501"/>
      <c r="AJ212" s="501"/>
      <c r="AK212" s="501"/>
      <c r="AL212" s="501"/>
      <c r="AM212" s="501"/>
      <c r="AN212" s="501"/>
      <c r="AO212" s="501"/>
      <c r="AP212" s="501"/>
      <c r="AQ212" s="501"/>
      <c r="AR212" s="501"/>
      <c r="AS212" s="501"/>
      <c r="AT212" s="501"/>
      <c r="AU212" s="501">
        <v>14299.999999999995</v>
      </c>
      <c r="AV212" s="501"/>
      <c r="AW212" s="501"/>
      <c r="AX212" s="501">
        <v>44199.999999999985</v>
      </c>
      <c r="AY212" s="501"/>
      <c r="AZ212" s="501"/>
      <c r="BA212" s="501"/>
      <c r="BB212" s="483">
        <v>1299.9999999999995</v>
      </c>
      <c r="BC212" s="483">
        <v>0</v>
      </c>
      <c r="BD212" s="483"/>
      <c r="BE212" s="483"/>
      <c r="BF212" s="483"/>
      <c r="BG212" s="483">
        <v>10783.753947132589</v>
      </c>
      <c r="BH212" s="483"/>
      <c r="BI212" s="483"/>
      <c r="BJ212" s="483"/>
      <c r="BK212" s="483"/>
      <c r="BL212" s="483"/>
      <c r="BM212" s="483"/>
      <c r="BN212" s="483"/>
      <c r="BO212" s="483"/>
      <c r="BP212" s="483"/>
      <c r="BQ212" s="483"/>
      <c r="BR212" s="483">
        <v>70583.753947132573</v>
      </c>
      <c r="BS212" s="484">
        <f t="shared" si="34"/>
        <v>58499.999999999978</v>
      </c>
      <c r="BT212" s="485">
        <f t="shared" si="51"/>
        <v>0.24444444444444444</v>
      </c>
      <c r="BU212" s="485">
        <f t="shared" si="51"/>
        <v>0</v>
      </c>
      <c r="BV212" s="485">
        <f t="shared" si="51"/>
        <v>0</v>
      </c>
      <c r="BW212" s="485">
        <f t="shared" si="51"/>
        <v>0</v>
      </c>
      <c r="BX212" s="485">
        <f t="shared" si="51"/>
        <v>0</v>
      </c>
      <c r="BY212" s="485">
        <f t="shared" si="51"/>
        <v>0</v>
      </c>
      <c r="BZ212" s="485">
        <f t="shared" si="51"/>
        <v>0</v>
      </c>
      <c r="CA212" s="485">
        <f t="shared" si="51"/>
        <v>0.75555555555555554</v>
      </c>
      <c r="CB212" s="485">
        <f t="shared" si="51"/>
        <v>0</v>
      </c>
      <c r="CC212" s="485">
        <f t="shared" si="51"/>
        <v>0</v>
      </c>
      <c r="CD212" s="485">
        <f t="shared" si="52"/>
        <v>0</v>
      </c>
      <c r="CE212" s="485">
        <f t="shared" si="52"/>
        <v>0</v>
      </c>
      <c r="CF212" s="485">
        <f t="shared" si="52"/>
        <v>0</v>
      </c>
      <c r="CG212" s="485">
        <f t="shared" si="52"/>
        <v>0</v>
      </c>
      <c r="CH212" s="485">
        <f t="shared" si="52"/>
        <v>0</v>
      </c>
      <c r="CI212" s="485">
        <f t="shared" si="52"/>
        <v>0</v>
      </c>
      <c r="CJ212" s="485">
        <f t="shared" si="52"/>
        <v>0</v>
      </c>
      <c r="CK212" s="485">
        <f t="shared" si="52"/>
        <v>0</v>
      </c>
      <c r="CL212" s="485">
        <f t="shared" si="52"/>
        <v>0</v>
      </c>
      <c r="CM212" s="486">
        <f t="shared" si="35"/>
        <v>1</v>
      </c>
    </row>
    <row r="213" spans="1:91" s="487" customFormat="1" ht="25.5" customHeight="1" x14ac:dyDescent="0.25">
      <c r="A213" s="497" t="s">
        <v>255</v>
      </c>
      <c r="B213" s="498" t="s">
        <v>1894</v>
      </c>
      <c r="C213" s="497" t="s">
        <v>891</v>
      </c>
      <c r="D213" s="498"/>
      <c r="E213" s="497"/>
      <c r="F213" s="498"/>
      <c r="G213" s="497" t="s">
        <v>648</v>
      </c>
      <c r="H213" s="497" t="s">
        <v>654</v>
      </c>
      <c r="I213" s="497" t="s">
        <v>647</v>
      </c>
      <c r="J213" s="497" t="s">
        <v>671</v>
      </c>
      <c r="K213" s="497" t="s">
        <v>649</v>
      </c>
      <c r="L213" s="497" t="s">
        <v>36</v>
      </c>
      <c r="M213" s="497" t="s">
        <v>646</v>
      </c>
      <c r="N213" s="497" t="s">
        <v>680</v>
      </c>
      <c r="O213" s="497"/>
      <c r="P213" s="497" t="s">
        <v>643</v>
      </c>
      <c r="Q213" s="497" t="s">
        <v>650</v>
      </c>
      <c r="R213" s="497" t="s">
        <v>652</v>
      </c>
      <c r="S213" s="497" t="s">
        <v>649</v>
      </c>
      <c r="T213" s="497"/>
      <c r="U213" s="497"/>
      <c r="V213" s="497" t="s">
        <v>36</v>
      </c>
      <c r="W213" s="497" t="s">
        <v>677</v>
      </c>
      <c r="X213" s="499">
        <v>42186</v>
      </c>
      <c r="Y213" s="499">
        <v>42520</v>
      </c>
      <c r="Z213" s="500">
        <v>2016</v>
      </c>
      <c r="AA213" s="497" t="s">
        <v>676</v>
      </c>
      <c r="AB213" s="497" t="s">
        <v>675</v>
      </c>
      <c r="AC213" s="497" t="s">
        <v>663</v>
      </c>
      <c r="AD213" s="501"/>
      <c r="AE213" s="501"/>
      <c r="AF213" s="501"/>
      <c r="AG213" s="501"/>
      <c r="AH213" s="501"/>
      <c r="AI213" s="501"/>
      <c r="AJ213" s="501"/>
      <c r="AK213" s="501"/>
      <c r="AL213" s="501"/>
      <c r="AM213" s="501"/>
      <c r="AN213" s="501"/>
      <c r="AO213" s="501"/>
      <c r="AP213" s="501"/>
      <c r="AQ213" s="501"/>
      <c r="AR213" s="501"/>
      <c r="AS213" s="501"/>
      <c r="AT213" s="501"/>
      <c r="AU213" s="501">
        <v>16999.999999999993</v>
      </c>
      <c r="AV213" s="501"/>
      <c r="AW213" s="501"/>
      <c r="AX213" s="501">
        <v>50999.999999999978</v>
      </c>
      <c r="AY213" s="501"/>
      <c r="AZ213" s="501"/>
      <c r="BA213" s="501"/>
      <c r="BB213" s="483">
        <v>8499.9999999999964</v>
      </c>
      <c r="BC213" s="483">
        <v>0</v>
      </c>
      <c r="BD213" s="483"/>
      <c r="BE213" s="483"/>
      <c r="BF213" s="483"/>
      <c r="BG213" s="483">
        <v>13795.270517652891</v>
      </c>
      <c r="BH213" s="483"/>
      <c r="BI213" s="483"/>
      <c r="BJ213" s="483"/>
      <c r="BK213" s="483"/>
      <c r="BL213" s="483"/>
      <c r="BM213" s="483"/>
      <c r="BN213" s="483"/>
      <c r="BO213" s="483"/>
      <c r="BP213" s="483"/>
      <c r="BQ213" s="483"/>
      <c r="BR213" s="483">
        <v>90295.270517652854</v>
      </c>
      <c r="BS213" s="484">
        <f t="shared" si="34"/>
        <v>67999.999999999971</v>
      </c>
      <c r="BT213" s="485">
        <f t="shared" si="51"/>
        <v>0.25</v>
      </c>
      <c r="BU213" s="485">
        <f t="shared" si="51"/>
        <v>0</v>
      </c>
      <c r="BV213" s="485">
        <f t="shared" si="51"/>
        <v>0</v>
      </c>
      <c r="BW213" s="485">
        <f t="shared" si="51"/>
        <v>0</v>
      </c>
      <c r="BX213" s="485">
        <f t="shared" si="51"/>
        <v>0</v>
      </c>
      <c r="BY213" s="485">
        <f t="shared" si="51"/>
        <v>0</v>
      </c>
      <c r="BZ213" s="485">
        <f t="shared" si="51"/>
        <v>0</v>
      </c>
      <c r="CA213" s="485">
        <f t="shared" si="51"/>
        <v>0.75</v>
      </c>
      <c r="CB213" s="485">
        <f t="shared" si="51"/>
        <v>0</v>
      </c>
      <c r="CC213" s="485">
        <f t="shared" si="51"/>
        <v>0</v>
      </c>
      <c r="CD213" s="485">
        <f t="shared" si="52"/>
        <v>0</v>
      </c>
      <c r="CE213" s="485">
        <f t="shared" si="52"/>
        <v>0</v>
      </c>
      <c r="CF213" s="485">
        <f t="shared" si="52"/>
        <v>0</v>
      </c>
      <c r="CG213" s="485">
        <f t="shared" si="52"/>
        <v>0</v>
      </c>
      <c r="CH213" s="485">
        <f t="shared" si="52"/>
        <v>0</v>
      </c>
      <c r="CI213" s="485">
        <f t="shared" si="52"/>
        <v>0</v>
      </c>
      <c r="CJ213" s="485">
        <f t="shared" si="52"/>
        <v>0</v>
      </c>
      <c r="CK213" s="485">
        <f t="shared" si="52"/>
        <v>0</v>
      </c>
      <c r="CL213" s="485">
        <f t="shared" si="52"/>
        <v>0</v>
      </c>
      <c r="CM213" s="486">
        <f t="shared" si="35"/>
        <v>1</v>
      </c>
    </row>
    <row r="214" spans="1:91" s="487" customFormat="1" ht="25.5" customHeight="1" x14ac:dyDescent="0.25">
      <c r="A214" s="497" t="s">
        <v>890</v>
      </c>
      <c r="B214" s="498" t="s">
        <v>1896</v>
      </c>
      <c r="C214" s="497" t="s">
        <v>889</v>
      </c>
      <c r="D214" s="498"/>
      <c r="E214" s="497" t="s">
        <v>779</v>
      </c>
      <c r="F214" s="498"/>
      <c r="G214" s="497" t="s">
        <v>648</v>
      </c>
      <c r="H214" s="497" t="s">
        <v>654</v>
      </c>
      <c r="I214" s="497" t="s">
        <v>647</v>
      </c>
      <c r="J214" s="497" t="s">
        <v>671</v>
      </c>
      <c r="K214" s="497" t="s">
        <v>649</v>
      </c>
      <c r="L214" s="497" t="s">
        <v>36</v>
      </c>
      <c r="M214" s="497" t="s">
        <v>646</v>
      </c>
      <c r="N214" s="497" t="s">
        <v>668</v>
      </c>
      <c r="O214" s="497"/>
      <c r="P214" s="497"/>
      <c r="Q214" s="497" t="s">
        <v>650</v>
      </c>
      <c r="R214" s="497" t="s">
        <v>652</v>
      </c>
      <c r="S214" s="497"/>
      <c r="T214" s="497"/>
      <c r="U214" s="497"/>
      <c r="V214" s="497" t="s">
        <v>36</v>
      </c>
      <c r="W214" s="497" t="s">
        <v>666</v>
      </c>
      <c r="X214" s="499">
        <v>42186</v>
      </c>
      <c r="Y214" s="499">
        <v>42520</v>
      </c>
      <c r="Z214" s="500">
        <v>2016</v>
      </c>
      <c r="AA214" s="497" t="s">
        <v>676</v>
      </c>
      <c r="AB214" s="497" t="s">
        <v>675</v>
      </c>
      <c r="AC214" s="497" t="s">
        <v>663</v>
      </c>
      <c r="AD214" s="501"/>
      <c r="AE214" s="501"/>
      <c r="AF214" s="501"/>
      <c r="AG214" s="501"/>
      <c r="AH214" s="501"/>
      <c r="AI214" s="501"/>
      <c r="AJ214" s="501"/>
      <c r="AK214" s="501"/>
      <c r="AL214" s="501"/>
      <c r="AM214" s="501"/>
      <c r="AN214" s="501"/>
      <c r="AO214" s="501"/>
      <c r="AP214" s="501"/>
      <c r="AQ214" s="501"/>
      <c r="AR214" s="501"/>
      <c r="AS214" s="501"/>
      <c r="AT214" s="501"/>
      <c r="AU214" s="501">
        <v>7649.9999999999973</v>
      </c>
      <c r="AV214" s="501"/>
      <c r="AW214" s="501"/>
      <c r="AX214" s="501">
        <v>37349.999999999985</v>
      </c>
      <c r="AY214" s="501"/>
      <c r="AZ214" s="501"/>
      <c r="BA214" s="501"/>
      <c r="BB214" s="483"/>
      <c r="BC214" s="483"/>
      <c r="BD214" s="483"/>
      <c r="BE214" s="483"/>
      <c r="BF214" s="483"/>
      <c r="BG214" s="483"/>
      <c r="BH214" s="483"/>
      <c r="BI214" s="483"/>
      <c r="BJ214" s="483"/>
      <c r="BK214" s="483"/>
      <c r="BL214" s="483"/>
      <c r="BM214" s="483"/>
      <c r="BN214" s="483"/>
      <c r="BO214" s="483"/>
      <c r="BP214" s="483"/>
      <c r="BQ214" s="483"/>
      <c r="BR214" s="483">
        <v>44999.999999999985</v>
      </c>
      <c r="BS214" s="484">
        <f t="shared" si="34"/>
        <v>44999.999999999985</v>
      </c>
      <c r="BT214" s="485">
        <f t="shared" si="51"/>
        <v>0.16999999999999998</v>
      </c>
      <c r="BU214" s="485">
        <f t="shared" si="51"/>
        <v>0</v>
      </c>
      <c r="BV214" s="485">
        <f t="shared" si="51"/>
        <v>0</v>
      </c>
      <c r="BW214" s="485">
        <f t="shared" si="51"/>
        <v>0</v>
      </c>
      <c r="BX214" s="485">
        <f t="shared" si="51"/>
        <v>0</v>
      </c>
      <c r="BY214" s="485">
        <f t="shared" si="51"/>
        <v>0</v>
      </c>
      <c r="BZ214" s="485">
        <f t="shared" si="51"/>
        <v>0</v>
      </c>
      <c r="CA214" s="485">
        <f t="shared" si="51"/>
        <v>0.83</v>
      </c>
      <c r="CB214" s="485">
        <f t="shared" si="51"/>
        <v>0</v>
      </c>
      <c r="CC214" s="485">
        <f t="shared" si="51"/>
        <v>0</v>
      </c>
      <c r="CD214" s="485">
        <f t="shared" si="52"/>
        <v>0</v>
      </c>
      <c r="CE214" s="485">
        <f t="shared" si="52"/>
        <v>0</v>
      </c>
      <c r="CF214" s="485">
        <f t="shared" si="52"/>
        <v>0</v>
      </c>
      <c r="CG214" s="485">
        <f t="shared" si="52"/>
        <v>0</v>
      </c>
      <c r="CH214" s="485">
        <f t="shared" si="52"/>
        <v>0</v>
      </c>
      <c r="CI214" s="485">
        <f t="shared" si="52"/>
        <v>0</v>
      </c>
      <c r="CJ214" s="485">
        <f t="shared" si="52"/>
        <v>0</v>
      </c>
      <c r="CK214" s="485">
        <f t="shared" si="52"/>
        <v>0</v>
      </c>
      <c r="CL214" s="485">
        <f t="shared" si="52"/>
        <v>0</v>
      </c>
      <c r="CM214" s="486">
        <f t="shared" si="35"/>
        <v>1</v>
      </c>
    </row>
    <row r="215" spans="1:91" s="487" customFormat="1" ht="25.5" customHeight="1" x14ac:dyDescent="0.25">
      <c r="A215" s="497" t="s">
        <v>257</v>
      </c>
      <c r="B215" s="498" t="s">
        <v>1898</v>
      </c>
      <c r="C215" s="497" t="s">
        <v>888</v>
      </c>
      <c r="D215" s="498"/>
      <c r="E215" s="497" t="s">
        <v>779</v>
      </c>
      <c r="F215" s="498"/>
      <c r="G215" s="497" t="s">
        <v>648</v>
      </c>
      <c r="H215" s="497" t="s">
        <v>654</v>
      </c>
      <c r="I215" s="497" t="s">
        <v>647</v>
      </c>
      <c r="J215" s="497" t="s">
        <v>671</v>
      </c>
      <c r="K215" s="497" t="s">
        <v>649</v>
      </c>
      <c r="L215" s="497" t="s">
        <v>36</v>
      </c>
      <c r="M215" s="497" t="s">
        <v>646</v>
      </c>
      <c r="N215" s="497" t="s">
        <v>680</v>
      </c>
      <c r="O215" s="497"/>
      <c r="P215" s="497" t="s">
        <v>643</v>
      </c>
      <c r="Q215" s="497" t="s">
        <v>650</v>
      </c>
      <c r="R215" s="497" t="s">
        <v>652</v>
      </c>
      <c r="S215" s="497" t="s">
        <v>649</v>
      </c>
      <c r="T215" s="497"/>
      <c r="U215" s="497"/>
      <c r="V215" s="497" t="s">
        <v>36</v>
      </c>
      <c r="W215" s="497" t="s">
        <v>640</v>
      </c>
      <c r="X215" s="499">
        <v>42186</v>
      </c>
      <c r="Y215" s="499">
        <v>42520</v>
      </c>
      <c r="Z215" s="500">
        <v>2016</v>
      </c>
      <c r="AA215" s="497" t="s">
        <v>676</v>
      </c>
      <c r="AB215" s="497" t="s">
        <v>675</v>
      </c>
      <c r="AC215" s="497" t="s">
        <v>663</v>
      </c>
      <c r="AD215" s="501"/>
      <c r="AE215" s="501"/>
      <c r="AF215" s="501"/>
      <c r="AG215" s="501"/>
      <c r="AH215" s="501"/>
      <c r="AI215" s="501"/>
      <c r="AJ215" s="501"/>
      <c r="AK215" s="501"/>
      <c r="AL215" s="501"/>
      <c r="AM215" s="501"/>
      <c r="AN215" s="501"/>
      <c r="AO215" s="501"/>
      <c r="AP215" s="501"/>
      <c r="AQ215" s="501"/>
      <c r="AR215" s="501"/>
      <c r="AS215" s="501"/>
      <c r="AT215" s="501"/>
      <c r="AU215" s="501"/>
      <c r="AV215" s="501"/>
      <c r="AW215" s="501"/>
      <c r="AX215" s="501"/>
      <c r="AY215" s="501"/>
      <c r="AZ215" s="501">
        <v>93999.999999999956</v>
      </c>
      <c r="BA215" s="501"/>
      <c r="BB215" s="483"/>
      <c r="BC215" s="483"/>
      <c r="BD215" s="483"/>
      <c r="BE215" s="483"/>
      <c r="BF215" s="483"/>
      <c r="BG215" s="483">
        <v>13506.235898154795</v>
      </c>
      <c r="BH215" s="483"/>
      <c r="BI215" s="483"/>
      <c r="BJ215" s="483"/>
      <c r="BK215" s="483"/>
      <c r="BL215" s="483"/>
      <c r="BM215" s="483"/>
      <c r="BN215" s="483"/>
      <c r="BO215" s="483"/>
      <c r="BP215" s="483"/>
      <c r="BQ215" s="483"/>
      <c r="BR215" s="483">
        <v>107506.23589815476</v>
      </c>
      <c r="BS215" s="484">
        <f t="shared" si="34"/>
        <v>93999.999999999956</v>
      </c>
      <c r="BT215" s="485">
        <f t="shared" si="51"/>
        <v>0</v>
      </c>
      <c r="BU215" s="485">
        <f t="shared" si="51"/>
        <v>0</v>
      </c>
      <c r="BV215" s="485">
        <f t="shared" si="51"/>
        <v>0</v>
      </c>
      <c r="BW215" s="485">
        <f t="shared" si="51"/>
        <v>0</v>
      </c>
      <c r="BX215" s="485">
        <f t="shared" si="51"/>
        <v>0</v>
      </c>
      <c r="BY215" s="485">
        <f t="shared" si="51"/>
        <v>0</v>
      </c>
      <c r="BZ215" s="485">
        <f t="shared" si="51"/>
        <v>0</v>
      </c>
      <c r="CA215" s="485">
        <f t="shared" si="51"/>
        <v>1</v>
      </c>
      <c r="CB215" s="485">
        <f t="shared" si="51"/>
        <v>0</v>
      </c>
      <c r="CC215" s="485">
        <f t="shared" si="51"/>
        <v>0</v>
      </c>
      <c r="CD215" s="485">
        <f t="shared" si="52"/>
        <v>0</v>
      </c>
      <c r="CE215" s="485">
        <f t="shared" si="52"/>
        <v>0</v>
      </c>
      <c r="CF215" s="485">
        <f t="shared" si="52"/>
        <v>0</v>
      </c>
      <c r="CG215" s="485">
        <f t="shared" si="52"/>
        <v>0</v>
      </c>
      <c r="CH215" s="485">
        <f t="shared" si="52"/>
        <v>0</v>
      </c>
      <c r="CI215" s="485">
        <f t="shared" si="52"/>
        <v>0</v>
      </c>
      <c r="CJ215" s="485">
        <f t="shared" si="52"/>
        <v>0</v>
      </c>
      <c r="CK215" s="485">
        <f t="shared" si="52"/>
        <v>0</v>
      </c>
      <c r="CL215" s="485">
        <f t="shared" si="52"/>
        <v>0</v>
      </c>
      <c r="CM215" s="486">
        <f t="shared" si="35"/>
        <v>1</v>
      </c>
    </row>
    <row r="216" spans="1:91" s="487" customFormat="1" ht="25.5" customHeight="1" x14ac:dyDescent="0.25">
      <c r="A216" s="497" t="s">
        <v>258</v>
      </c>
      <c r="B216" s="498" t="s">
        <v>1902</v>
      </c>
      <c r="C216" s="497" t="s">
        <v>887</v>
      </c>
      <c r="D216" s="498"/>
      <c r="E216" s="497" t="s">
        <v>55</v>
      </c>
      <c r="F216" s="498"/>
      <c r="G216" s="497"/>
      <c r="H216" s="497" t="s">
        <v>654</v>
      </c>
      <c r="I216" s="497" t="s">
        <v>647</v>
      </c>
      <c r="J216" s="497" t="s">
        <v>641</v>
      </c>
      <c r="K216" s="497"/>
      <c r="L216" s="497" t="s">
        <v>28</v>
      </c>
      <c r="M216" s="497" t="s">
        <v>646</v>
      </c>
      <c r="N216" s="497" t="s">
        <v>680</v>
      </c>
      <c r="O216" s="497"/>
      <c r="P216" s="497" t="s">
        <v>643</v>
      </c>
      <c r="Q216" s="497" t="s">
        <v>656</v>
      </c>
      <c r="R216" s="497" t="s">
        <v>652</v>
      </c>
      <c r="S216" s="497"/>
      <c r="T216" s="497"/>
      <c r="U216" s="497"/>
      <c r="V216" s="497" t="s">
        <v>683</v>
      </c>
      <c r="W216" s="497" t="s">
        <v>677</v>
      </c>
      <c r="X216" s="499">
        <v>41548</v>
      </c>
      <c r="Y216" s="499">
        <v>42787</v>
      </c>
      <c r="Z216" s="500">
        <v>2017</v>
      </c>
      <c r="AA216" s="497" t="s">
        <v>676</v>
      </c>
      <c r="AB216" s="497" t="s">
        <v>675</v>
      </c>
      <c r="AC216" s="497" t="s">
        <v>663</v>
      </c>
      <c r="AD216" s="501"/>
      <c r="AE216" s="501"/>
      <c r="AF216" s="501"/>
      <c r="AG216" s="501"/>
      <c r="AH216" s="501"/>
      <c r="AI216" s="501"/>
      <c r="AJ216" s="501"/>
      <c r="AK216" s="501"/>
      <c r="AL216" s="501"/>
      <c r="AM216" s="501"/>
      <c r="AN216" s="501"/>
      <c r="AO216" s="501"/>
      <c r="AP216" s="501"/>
      <c r="AQ216" s="501"/>
      <c r="AR216" s="501"/>
      <c r="AS216" s="501"/>
      <c r="AT216" s="501"/>
      <c r="AU216" s="501"/>
      <c r="AV216" s="501">
        <v>178838.00000000006</v>
      </c>
      <c r="AW216" s="501"/>
      <c r="AX216" s="501"/>
      <c r="AY216" s="501"/>
      <c r="AZ216" s="501"/>
      <c r="BA216" s="501"/>
      <c r="BB216" s="483"/>
      <c r="BC216" s="483"/>
      <c r="BD216" s="483"/>
      <c r="BE216" s="483"/>
      <c r="BF216" s="483"/>
      <c r="BG216" s="483">
        <v>533772.45083333342</v>
      </c>
      <c r="BH216" s="483"/>
      <c r="BI216" s="483"/>
      <c r="BJ216" s="483"/>
      <c r="BK216" s="483"/>
      <c r="BL216" s="483"/>
      <c r="BM216" s="483"/>
      <c r="BN216" s="483"/>
      <c r="BO216" s="483"/>
      <c r="BP216" s="483"/>
      <c r="BQ216" s="483"/>
      <c r="BR216" s="483">
        <v>712610.45083333342</v>
      </c>
      <c r="BS216" s="484">
        <f t="shared" ref="BS216:BS279" si="53">SUM(AD216:BA216)</f>
        <v>178838.00000000006</v>
      </c>
      <c r="BT216" s="485">
        <f t="shared" si="51"/>
        <v>0</v>
      </c>
      <c r="BU216" s="485">
        <f t="shared" si="51"/>
        <v>0</v>
      </c>
      <c r="BV216" s="485">
        <f t="shared" si="51"/>
        <v>0</v>
      </c>
      <c r="BW216" s="485">
        <f t="shared" si="51"/>
        <v>1</v>
      </c>
      <c r="BX216" s="485">
        <f t="shared" si="51"/>
        <v>0</v>
      </c>
      <c r="BY216" s="485">
        <f t="shared" si="51"/>
        <v>0</v>
      </c>
      <c r="BZ216" s="485">
        <f t="shared" si="51"/>
        <v>0</v>
      </c>
      <c r="CA216" s="485">
        <f t="shared" si="51"/>
        <v>0</v>
      </c>
      <c r="CB216" s="485">
        <f t="shared" si="51"/>
        <v>0</v>
      </c>
      <c r="CC216" s="485">
        <f t="shared" si="51"/>
        <v>0</v>
      </c>
      <c r="CD216" s="485">
        <f t="shared" si="52"/>
        <v>0</v>
      </c>
      <c r="CE216" s="485">
        <f t="shared" si="52"/>
        <v>0</v>
      </c>
      <c r="CF216" s="485">
        <f t="shared" si="52"/>
        <v>0</v>
      </c>
      <c r="CG216" s="485">
        <f t="shared" si="52"/>
        <v>0</v>
      </c>
      <c r="CH216" s="485">
        <f t="shared" si="52"/>
        <v>0</v>
      </c>
      <c r="CI216" s="485">
        <f t="shared" si="52"/>
        <v>0</v>
      </c>
      <c r="CJ216" s="485">
        <f t="shared" si="52"/>
        <v>0</v>
      </c>
      <c r="CK216" s="485">
        <f t="shared" si="52"/>
        <v>0</v>
      </c>
      <c r="CL216" s="485">
        <f t="shared" si="52"/>
        <v>0</v>
      </c>
      <c r="CM216" s="486">
        <f t="shared" ref="CM216:CM279" si="54">SUM(BT216:CL216)</f>
        <v>1</v>
      </c>
    </row>
    <row r="217" spans="1:91" s="487" customFormat="1" ht="25.5" customHeight="1" x14ac:dyDescent="0.25">
      <c r="A217" s="497" t="s">
        <v>886</v>
      </c>
      <c r="B217" s="498" t="s">
        <v>1904</v>
      </c>
      <c r="C217" s="497" t="s">
        <v>885</v>
      </c>
      <c r="D217" s="498"/>
      <c r="E217" s="497" t="s">
        <v>779</v>
      </c>
      <c r="F217" s="498"/>
      <c r="G217" s="497" t="s">
        <v>648</v>
      </c>
      <c r="H217" s="497" t="s">
        <v>654</v>
      </c>
      <c r="I217" s="497" t="s">
        <v>647</v>
      </c>
      <c r="J217" s="497" t="s">
        <v>671</v>
      </c>
      <c r="K217" s="497" t="s">
        <v>649</v>
      </c>
      <c r="L217" s="497" t="s">
        <v>36</v>
      </c>
      <c r="M217" s="497" t="s">
        <v>646</v>
      </c>
      <c r="N217" s="497"/>
      <c r="O217" s="497"/>
      <c r="P217" s="497"/>
      <c r="Q217" s="497" t="s">
        <v>656</v>
      </c>
      <c r="R217" s="497" t="s">
        <v>652</v>
      </c>
      <c r="S217" s="497" t="s">
        <v>663</v>
      </c>
      <c r="T217" s="497"/>
      <c r="U217" s="497"/>
      <c r="V217" s="497" t="s">
        <v>36</v>
      </c>
      <c r="W217" s="497"/>
      <c r="X217" s="499">
        <v>42035</v>
      </c>
      <c r="Y217" s="499">
        <v>42400</v>
      </c>
      <c r="Z217" s="500">
        <v>2015</v>
      </c>
      <c r="AA217" s="497" t="s">
        <v>676</v>
      </c>
      <c r="AB217" s="497" t="s">
        <v>675</v>
      </c>
      <c r="AC217" s="497" t="s">
        <v>663</v>
      </c>
      <c r="AD217" s="501"/>
      <c r="AE217" s="501"/>
      <c r="AF217" s="501"/>
      <c r="AG217" s="501"/>
      <c r="AH217" s="501"/>
      <c r="AI217" s="501"/>
      <c r="AJ217" s="501"/>
      <c r="AK217" s="501"/>
      <c r="AL217" s="501"/>
      <c r="AM217" s="501"/>
      <c r="AN217" s="501"/>
      <c r="AO217" s="501"/>
      <c r="AP217" s="501"/>
      <c r="AQ217" s="501"/>
      <c r="AR217" s="501"/>
      <c r="AS217" s="501"/>
      <c r="AT217" s="501"/>
      <c r="AU217" s="501">
        <v>2149999.9999999991</v>
      </c>
      <c r="AV217" s="501"/>
      <c r="AW217" s="501"/>
      <c r="AX217" s="501"/>
      <c r="AY217" s="501"/>
      <c r="AZ217" s="501"/>
      <c r="BA217" s="501"/>
      <c r="BB217" s="483"/>
      <c r="BC217" s="483"/>
      <c r="BD217" s="483"/>
      <c r="BE217" s="483"/>
      <c r="BF217" s="483"/>
      <c r="BG217" s="483"/>
      <c r="BH217" s="483"/>
      <c r="BI217" s="483"/>
      <c r="BJ217" s="483"/>
      <c r="BK217" s="483"/>
      <c r="BL217" s="483"/>
      <c r="BM217" s="483"/>
      <c r="BN217" s="483"/>
      <c r="BO217" s="483"/>
      <c r="BP217" s="483"/>
      <c r="BQ217" s="483"/>
      <c r="BR217" s="483">
        <v>2149999.9999999991</v>
      </c>
      <c r="BS217" s="484">
        <f t="shared" si="53"/>
        <v>2149999.9999999991</v>
      </c>
      <c r="BT217" s="485">
        <f t="shared" si="51"/>
        <v>1</v>
      </c>
      <c r="BU217" s="485">
        <f t="shared" si="51"/>
        <v>0</v>
      </c>
      <c r="BV217" s="485">
        <f t="shared" si="51"/>
        <v>0</v>
      </c>
      <c r="BW217" s="485">
        <f t="shared" si="51"/>
        <v>0</v>
      </c>
      <c r="BX217" s="485">
        <f t="shared" si="51"/>
        <v>0</v>
      </c>
      <c r="BY217" s="485">
        <f t="shared" si="51"/>
        <v>0</v>
      </c>
      <c r="BZ217" s="485">
        <f t="shared" si="51"/>
        <v>0</v>
      </c>
      <c r="CA217" s="485">
        <f t="shared" si="51"/>
        <v>0</v>
      </c>
      <c r="CB217" s="485">
        <f t="shared" si="51"/>
        <v>0</v>
      </c>
      <c r="CC217" s="485">
        <f t="shared" si="51"/>
        <v>0</v>
      </c>
      <c r="CD217" s="485">
        <f t="shared" si="52"/>
        <v>0</v>
      </c>
      <c r="CE217" s="485">
        <f t="shared" si="52"/>
        <v>0</v>
      </c>
      <c r="CF217" s="485">
        <f t="shared" si="52"/>
        <v>0</v>
      </c>
      <c r="CG217" s="485">
        <f t="shared" si="52"/>
        <v>0</v>
      </c>
      <c r="CH217" s="485">
        <f t="shared" si="52"/>
        <v>0</v>
      </c>
      <c r="CI217" s="485">
        <f t="shared" si="52"/>
        <v>0</v>
      </c>
      <c r="CJ217" s="485">
        <f t="shared" si="52"/>
        <v>0</v>
      </c>
      <c r="CK217" s="485">
        <f t="shared" si="52"/>
        <v>0</v>
      </c>
      <c r="CL217" s="485">
        <f t="shared" si="52"/>
        <v>0</v>
      </c>
      <c r="CM217" s="486">
        <f t="shared" si="54"/>
        <v>1</v>
      </c>
    </row>
    <row r="218" spans="1:91" s="487" customFormat="1" ht="25.5" customHeight="1" x14ac:dyDescent="0.25">
      <c r="A218" s="497" t="s">
        <v>260</v>
      </c>
      <c r="B218" s="498" t="s">
        <v>2197</v>
      </c>
      <c r="C218" s="497" t="s">
        <v>884</v>
      </c>
      <c r="D218" s="498"/>
      <c r="E218" s="497" t="s">
        <v>883</v>
      </c>
      <c r="F218" s="498"/>
      <c r="G218" s="497" t="s">
        <v>722</v>
      </c>
      <c r="H218" s="497" t="s">
        <v>654</v>
      </c>
      <c r="I218" s="497" t="s">
        <v>647</v>
      </c>
      <c r="J218" s="497" t="s">
        <v>641</v>
      </c>
      <c r="K218" s="497" t="s">
        <v>649</v>
      </c>
      <c r="L218" s="497" t="s">
        <v>40</v>
      </c>
      <c r="M218" s="497" t="s">
        <v>646</v>
      </c>
      <c r="N218" s="497" t="s">
        <v>645</v>
      </c>
      <c r="O218" s="497" t="s">
        <v>850</v>
      </c>
      <c r="P218" s="497" t="s">
        <v>720</v>
      </c>
      <c r="Q218" s="497" t="s">
        <v>656</v>
      </c>
      <c r="R218" s="497" t="s">
        <v>652</v>
      </c>
      <c r="S218" s="497" t="s">
        <v>649</v>
      </c>
      <c r="T218" s="497"/>
      <c r="U218" s="497"/>
      <c r="V218" s="497" t="s">
        <v>641</v>
      </c>
      <c r="W218" s="497" t="s">
        <v>774</v>
      </c>
      <c r="X218" s="499">
        <v>41969</v>
      </c>
      <c r="Y218" s="499">
        <v>43251</v>
      </c>
      <c r="Z218" s="500">
        <v>2018</v>
      </c>
      <c r="AA218" s="497"/>
      <c r="AB218" s="497"/>
      <c r="AC218" s="497"/>
      <c r="AD218" s="501"/>
      <c r="AE218" s="501"/>
      <c r="AF218" s="501"/>
      <c r="AG218" s="501"/>
      <c r="AH218" s="501"/>
      <c r="AI218" s="501"/>
      <c r="AJ218" s="501"/>
      <c r="AK218" s="501"/>
      <c r="AL218" s="501"/>
      <c r="AM218" s="501"/>
      <c r="AN218" s="501"/>
      <c r="AO218" s="501"/>
      <c r="AP218" s="501"/>
      <c r="AQ218" s="501"/>
      <c r="AR218" s="501"/>
      <c r="AS218" s="501"/>
      <c r="AT218" s="501"/>
      <c r="AU218" s="501"/>
      <c r="AV218" s="501"/>
      <c r="AW218" s="501"/>
      <c r="AX218" s="501"/>
      <c r="AY218" s="501"/>
      <c r="AZ218" s="501"/>
      <c r="BA218" s="501"/>
      <c r="BB218" s="483"/>
      <c r="BC218" s="483"/>
      <c r="BD218" s="483"/>
      <c r="BE218" s="483"/>
      <c r="BF218" s="483"/>
      <c r="BG218" s="483"/>
      <c r="BH218" s="483"/>
      <c r="BI218" s="483"/>
      <c r="BJ218" s="483"/>
      <c r="BK218" s="483"/>
      <c r="BL218" s="483"/>
      <c r="BM218" s="483"/>
      <c r="BN218" s="483"/>
      <c r="BO218" s="483"/>
      <c r="BP218" s="483"/>
      <c r="BQ218" s="483"/>
      <c r="BR218" s="483"/>
      <c r="BS218" s="484">
        <f t="shared" si="53"/>
        <v>0</v>
      </c>
      <c r="BT218" s="485">
        <v>0</v>
      </c>
      <c r="BU218" s="485">
        <v>0</v>
      </c>
      <c r="BV218" s="485">
        <v>0</v>
      </c>
      <c r="BW218" s="485">
        <v>0</v>
      </c>
      <c r="BX218" s="485">
        <v>0</v>
      </c>
      <c r="BY218" s="485">
        <v>0</v>
      </c>
      <c r="BZ218" s="485">
        <v>0</v>
      </c>
      <c r="CA218" s="485">
        <v>0</v>
      </c>
      <c r="CB218" s="485">
        <v>0</v>
      </c>
      <c r="CC218" s="485">
        <v>0</v>
      </c>
      <c r="CD218" s="485">
        <v>0</v>
      </c>
      <c r="CE218" s="485">
        <v>1</v>
      </c>
      <c r="CF218" s="485">
        <v>0</v>
      </c>
      <c r="CG218" s="485">
        <v>0</v>
      </c>
      <c r="CH218" s="485">
        <v>0</v>
      </c>
      <c r="CI218" s="485">
        <v>0</v>
      </c>
      <c r="CJ218" s="485">
        <v>0</v>
      </c>
      <c r="CK218" s="485">
        <v>0</v>
      </c>
      <c r="CL218" s="485">
        <v>0</v>
      </c>
      <c r="CM218" s="486">
        <f t="shared" si="54"/>
        <v>1</v>
      </c>
    </row>
    <row r="219" spans="1:91" s="487" customFormat="1" ht="25.5" customHeight="1" x14ac:dyDescent="0.25">
      <c r="A219" s="497" t="s">
        <v>262</v>
      </c>
      <c r="B219" s="498" t="s">
        <v>2209</v>
      </c>
      <c r="C219" s="497" t="s">
        <v>882</v>
      </c>
      <c r="D219" s="498"/>
      <c r="E219" s="497"/>
      <c r="F219" s="498"/>
      <c r="G219" s="497"/>
      <c r="H219" s="497" t="s">
        <v>654</v>
      </c>
      <c r="I219" s="497" t="s">
        <v>647</v>
      </c>
      <c r="J219" s="497" t="s">
        <v>641</v>
      </c>
      <c r="K219" s="497" t="s">
        <v>649</v>
      </c>
      <c r="L219" s="497" t="s">
        <v>40</v>
      </c>
      <c r="M219" s="497" t="s">
        <v>646</v>
      </c>
      <c r="N219" s="497" t="s">
        <v>645</v>
      </c>
      <c r="O219" s="497" t="s">
        <v>881</v>
      </c>
      <c r="P219" s="497" t="s">
        <v>720</v>
      </c>
      <c r="Q219" s="497" t="s">
        <v>642</v>
      </c>
      <c r="R219" s="497" t="s">
        <v>652</v>
      </c>
      <c r="S219" s="497" t="s">
        <v>649</v>
      </c>
      <c r="T219" s="497"/>
      <c r="U219" s="497"/>
      <c r="V219" s="497" t="s">
        <v>641</v>
      </c>
      <c r="W219" s="497"/>
      <c r="X219" s="499">
        <v>42080</v>
      </c>
      <c r="Y219" s="499">
        <v>43153</v>
      </c>
      <c r="Z219" s="500">
        <v>2018</v>
      </c>
      <c r="AA219" s="497" t="s">
        <v>663</v>
      </c>
      <c r="AB219" s="497"/>
      <c r="AC219" s="497"/>
      <c r="AD219" s="501"/>
      <c r="AE219" s="501"/>
      <c r="AF219" s="501"/>
      <c r="AG219" s="501"/>
      <c r="AH219" s="501"/>
      <c r="AI219" s="501">
        <v>840105.00000000047</v>
      </c>
      <c r="AJ219" s="501"/>
      <c r="AK219" s="501"/>
      <c r="AL219" s="501"/>
      <c r="AM219" s="501"/>
      <c r="AN219" s="501"/>
      <c r="AO219" s="501"/>
      <c r="AP219" s="501"/>
      <c r="AQ219" s="501"/>
      <c r="AR219" s="501"/>
      <c r="AS219" s="501"/>
      <c r="AT219" s="501"/>
      <c r="AU219" s="501"/>
      <c r="AV219" s="501"/>
      <c r="AW219" s="501"/>
      <c r="AX219" s="501"/>
      <c r="AY219" s="501"/>
      <c r="AZ219" s="501"/>
      <c r="BA219" s="501"/>
      <c r="BB219" s="483"/>
      <c r="BC219" s="483"/>
      <c r="BD219" s="483"/>
      <c r="BE219" s="483"/>
      <c r="BF219" s="483"/>
      <c r="BG219" s="483"/>
      <c r="BH219" s="483"/>
      <c r="BI219" s="483"/>
      <c r="BJ219" s="483"/>
      <c r="BK219" s="483"/>
      <c r="BL219" s="483"/>
      <c r="BM219" s="483"/>
      <c r="BN219" s="483">
        <v>50000.000000000044</v>
      </c>
      <c r="BO219" s="483"/>
      <c r="BP219" s="483"/>
      <c r="BQ219" s="483"/>
      <c r="BR219" s="483">
        <v>890105.00000000047</v>
      </c>
      <c r="BS219" s="484">
        <f t="shared" si="53"/>
        <v>840105.00000000047</v>
      </c>
      <c r="BT219" s="485">
        <f t="shared" ref="BT219:CC228" si="55">SUMIFS($AD219:$BA219,$AD$11:$BA$11,BT$21)/$BS219</f>
        <v>0</v>
      </c>
      <c r="BU219" s="485">
        <f t="shared" si="55"/>
        <v>0</v>
      </c>
      <c r="BV219" s="485">
        <f t="shared" si="55"/>
        <v>0</v>
      </c>
      <c r="BW219" s="485">
        <f t="shared" si="55"/>
        <v>0</v>
      </c>
      <c r="BX219" s="485">
        <f t="shared" si="55"/>
        <v>0</v>
      </c>
      <c r="BY219" s="485">
        <f t="shared" si="55"/>
        <v>0</v>
      </c>
      <c r="BZ219" s="485">
        <f t="shared" si="55"/>
        <v>0</v>
      </c>
      <c r="CA219" s="485">
        <f t="shared" si="55"/>
        <v>0</v>
      </c>
      <c r="CB219" s="485">
        <f t="shared" si="55"/>
        <v>0</v>
      </c>
      <c r="CC219" s="485">
        <f t="shared" si="55"/>
        <v>0</v>
      </c>
      <c r="CD219" s="485">
        <f t="shared" ref="CD219:CL228" si="56">SUMIFS($AD219:$BA219,$AD$11:$BA$11,CD$21)/$BS219</f>
        <v>0</v>
      </c>
      <c r="CE219" s="485">
        <f t="shared" si="56"/>
        <v>1</v>
      </c>
      <c r="CF219" s="485">
        <f t="shared" si="56"/>
        <v>0</v>
      </c>
      <c r="CG219" s="485">
        <f t="shared" si="56"/>
        <v>0</v>
      </c>
      <c r="CH219" s="485">
        <f t="shared" si="56"/>
        <v>0</v>
      </c>
      <c r="CI219" s="485">
        <f t="shared" si="56"/>
        <v>0</v>
      </c>
      <c r="CJ219" s="485">
        <f t="shared" si="56"/>
        <v>0</v>
      </c>
      <c r="CK219" s="485">
        <f t="shared" si="56"/>
        <v>0</v>
      </c>
      <c r="CL219" s="485">
        <f t="shared" si="56"/>
        <v>0</v>
      </c>
      <c r="CM219" s="486">
        <f t="shared" si="54"/>
        <v>1</v>
      </c>
    </row>
    <row r="220" spans="1:91" s="487" customFormat="1" ht="25.5" customHeight="1" x14ac:dyDescent="0.25">
      <c r="A220" s="497" t="s">
        <v>268</v>
      </c>
      <c r="B220" s="498" t="s">
        <v>1906</v>
      </c>
      <c r="C220" s="497" t="s">
        <v>880</v>
      </c>
      <c r="D220" s="498"/>
      <c r="E220" s="497" t="s">
        <v>879</v>
      </c>
      <c r="F220" s="498"/>
      <c r="G220" s="497" t="s">
        <v>648</v>
      </c>
      <c r="H220" s="497" t="s">
        <v>654</v>
      </c>
      <c r="I220" s="497" t="s">
        <v>647</v>
      </c>
      <c r="J220" s="497" t="s">
        <v>671</v>
      </c>
      <c r="K220" s="497" t="s">
        <v>649</v>
      </c>
      <c r="L220" s="497" t="s">
        <v>55</v>
      </c>
      <c r="M220" s="497" t="s">
        <v>646</v>
      </c>
      <c r="N220" s="497"/>
      <c r="O220" s="497"/>
      <c r="P220" s="497"/>
      <c r="Q220" s="497" t="s">
        <v>656</v>
      </c>
      <c r="R220" s="497" t="s">
        <v>652</v>
      </c>
      <c r="S220" s="497" t="s">
        <v>649</v>
      </c>
      <c r="T220" s="497"/>
      <c r="U220" s="497"/>
      <c r="V220" s="497" t="s">
        <v>683</v>
      </c>
      <c r="W220" s="497" t="s">
        <v>666</v>
      </c>
      <c r="X220" s="499">
        <v>41760</v>
      </c>
      <c r="Y220" s="499">
        <v>42653</v>
      </c>
      <c r="Z220" s="500">
        <v>2016</v>
      </c>
      <c r="AA220" s="497" t="s">
        <v>676</v>
      </c>
      <c r="AB220" s="497" t="s">
        <v>675</v>
      </c>
      <c r="AC220" s="497" t="s">
        <v>663</v>
      </c>
      <c r="AD220" s="501"/>
      <c r="AE220" s="501"/>
      <c r="AF220" s="501"/>
      <c r="AG220" s="501"/>
      <c r="AH220" s="501"/>
      <c r="AI220" s="501"/>
      <c r="AJ220" s="501"/>
      <c r="AK220" s="501"/>
      <c r="AL220" s="501"/>
      <c r="AM220" s="501"/>
      <c r="AN220" s="501"/>
      <c r="AO220" s="501"/>
      <c r="AP220" s="501"/>
      <c r="AQ220" s="501"/>
      <c r="AR220" s="501"/>
      <c r="AS220" s="501"/>
      <c r="AT220" s="501"/>
      <c r="AU220" s="501"/>
      <c r="AV220" s="501">
        <v>1440000</v>
      </c>
      <c r="AW220" s="501">
        <v>60000.000000000015</v>
      </c>
      <c r="AX220" s="501"/>
      <c r="AY220" s="501"/>
      <c r="AZ220" s="501"/>
      <c r="BA220" s="501"/>
      <c r="BB220" s="483"/>
      <c r="BC220" s="483"/>
      <c r="BD220" s="483"/>
      <c r="BE220" s="483"/>
      <c r="BF220" s="483"/>
      <c r="BG220" s="483"/>
      <c r="BH220" s="483"/>
      <c r="BI220" s="483"/>
      <c r="BJ220" s="483"/>
      <c r="BK220" s="483"/>
      <c r="BL220" s="483"/>
      <c r="BM220" s="483"/>
      <c r="BN220" s="483"/>
      <c r="BO220" s="483"/>
      <c r="BP220" s="483"/>
      <c r="BQ220" s="483"/>
      <c r="BR220" s="483">
        <v>1500000</v>
      </c>
      <c r="BS220" s="484">
        <f t="shared" si="53"/>
        <v>1500000</v>
      </c>
      <c r="BT220" s="485">
        <f t="shared" si="55"/>
        <v>0</v>
      </c>
      <c r="BU220" s="485">
        <f t="shared" si="55"/>
        <v>0</v>
      </c>
      <c r="BV220" s="485">
        <f t="shared" si="55"/>
        <v>0</v>
      </c>
      <c r="BW220" s="485">
        <f t="shared" si="55"/>
        <v>1</v>
      </c>
      <c r="BX220" s="485">
        <f t="shared" si="55"/>
        <v>0</v>
      </c>
      <c r="BY220" s="485">
        <f t="shared" si="55"/>
        <v>0</v>
      </c>
      <c r="BZ220" s="485">
        <f t="shared" si="55"/>
        <v>0</v>
      </c>
      <c r="CA220" s="485">
        <f t="shared" si="55"/>
        <v>0</v>
      </c>
      <c r="CB220" s="485">
        <f t="shared" si="55"/>
        <v>0</v>
      </c>
      <c r="CC220" s="485">
        <f t="shared" si="55"/>
        <v>0</v>
      </c>
      <c r="CD220" s="485">
        <f t="shared" si="56"/>
        <v>0</v>
      </c>
      <c r="CE220" s="485">
        <f t="shared" si="56"/>
        <v>0</v>
      </c>
      <c r="CF220" s="485">
        <f t="shared" si="56"/>
        <v>0</v>
      </c>
      <c r="CG220" s="485">
        <f t="shared" si="56"/>
        <v>0</v>
      </c>
      <c r="CH220" s="485">
        <f t="shared" si="56"/>
        <v>0</v>
      </c>
      <c r="CI220" s="485">
        <f t="shared" si="56"/>
        <v>0</v>
      </c>
      <c r="CJ220" s="485">
        <f t="shared" si="56"/>
        <v>0</v>
      </c>
      <c r="CK220" s="485">
        <f t="shared" si="56"/>
        <v>0</v>
      </c>
      <c r="CL220" s="485">
        <f t="shared" si="56"/>
        <v>0</v>
      </c>
      <c r="CM220" s="486">
        <f t="shared" si="54"/>
        <v>1</v>
      </c>
    </row>
    <row r="221" spans="1:91" s="487" customFormat="1" ht="25.5" customHeight="1" x14ac:dyDescent="0.25">
      <c r="A221" s="497" t="s">
        <v>270</v>
      </c>
      <c r="B221" s="498" t="s">
        <v>1908</v>
      </c>
      <c r="C221" s="497" t="s">
        <v>878</v>
      </c>
      <c r="D221" s="498"/>
      <c r="E221" s="497" t="s">
        <v>877</v>
      </c>
      <c r="F221" s="498"/>
      <c r="G221" s="497" t="s">
        <v>648</v>
      </c>
      <c r="H221" s="497" t="s">
        <v>654</v>
      </c>
      <c r="I221" s="497" t="s">
        <v>647</v>
      </c>
      <c r="J221" s="497" t="s">
        <v>671</v>
      </c>
      <c r="K221" s="497" t="s">
        <v>649</v>
      </c>
      <c r="L221" s="497" t="s">
        <v>55</v>
      </c>
      <c r="M221" s="497" t="s">
        <v>646</v>
      </c>
      <c r="N221" s="497"/>
      <c r="O221" s="497"/>
      <c r="P221" s="497"/>
      <c r="Q221" s="497" t="s">
        <v>656</v>
      </c>
      <c r="R221" s="497" t="s">
        <v>652</v>
      </c>
      <c r="S221" s="497" t="s">
        <v>649</v>
      </c>
      <c r="T221" s="497"/>
      <c r="U221" s="497"/>
      <c r="V221" s="497" t="s">
        <v>683</v>
      </c>
      <c r="W221" s="497" t="s">
        <v>677</v>
      </c>
      <c r="X221" s="499">
        <v>41852</v>
      </c>
      <c r="Y221" s="499">
        <v>42774</v>
      </c>
      <c r="Z221" s="500">
        <v>2017</v>
      </c>
      <c r="AA221" s="497" t="s">
        <v>676</v>
      </c>
      <c r="AB221" s="497" t="s">
        <v>675</v>
      </c>
      <c r="AC221" s="497" t="s">
        <v>663</v>
      </c>
      <c r="AD221" s="501"/>
      <c r="AE221" s="501"/>
      <c r="AF221" s="501"/>
      <c r="AG221" s="501"/>
      <c r="AH221" s="501"/>
      <c r="AI221" s="501"/>
      <c r="AJ221" s="501"/>
      <c r="AK221" s="501"/>
      <c r="AL221" s="501"/>
      <c r="AM221" s="501"/>
      <c r="AN221" s="501"/>
      <c r="AO221" s="501"/>
      <c r="AP221" s="501"/>
      <c r="AQ221" s="501"/>
      <c r="AR221" s="501"/>
      <c r="AS221" s="501"/>
      <c r="AT221" s="501"/>
      <c r="AU221" s="501"/>
      <c r="AV221" s="501">
        <v>240445.00000000041</v>
      </c>
      <c r="AW221" s="501">
        <v>2290557.0000000037</v>
      </c>
      <c r="AX221" s="501"/>
      <c r="AY221" s="501"/>
      <c r="AZ221" s="501"/>
      <c r="BA221" s="501"/>
      <c r="BB221" s="483"/>
      <c r="BC221" s="483"/>
      <c r="BD221" s="483"/>
      <c r="BE221" s="483"/>
      <c r="BF221" s="483"/>
      <c r="BG221" s="483"/>
      <c r="BH221" s="483"/>
      <c r="BI221" s="483"/>
      <c r="BJ221" s="483"/>
      <c r="BK221" s="483"/>
      <c r="BL221" s="483"/>
      <c r="BM221" s="483"/>
      <c r="BN221" s="483"/>
      <c r="BO221" s="483"/>
      <c r="BP221" s="483"/>
      <c r="BQ221" s="483"/>
      <c r="BR221" s="483">
        <v>2531002.0000000042</v>
      </c>
      <c r="BS221" s="484">
        <f t="shared" si="53"/>
        <v>2531002.0000000042</v>
      </c>
      <c r="BT221" s="485">
        <f t="shared" si="55"/>
        <v>0</v>
      </c>
      <c r="BU221" s="485">
        <f t="shared" si="55"/>
        <v>0</v>
      </c>
      <c r="BV221" s="485">
        <f t="shared" si="55"/>
        <v>0</v>
      </c>
      <c r="BW221" s="485">
        <f t="shared" si="55"/>
        <v>1</v>
      </c>
      <c r="BX221" s="485">
        <f t="shared" si="55"/>
        <v>0</v>
      </c>
      <c r="BY221" s="485">
        <f t="shared" si="55"/>
        <v>0</v>
      </c>
      <c r="BZ221" s="485">
        <f t="shared" si="55"/>
        <v>0</v>
      </c>
      <c r="CA221" s="485">
        <f t="shared" si="55"/>
        <v>0</v>
      </c>
      <c r="CB221" s="485">
        <f t="shared" si="55"/>
        <v>0</v>
      </c>
      <c r="CC221" s="485">
        <f t="shared" si="55"/>
        <v>0</v>
      </c>
      <c r="CD221" s="485">
        <f t="shared" si="56"/>
        <v>0</v>
      </c>
      <c r="CE221" s="485">
        <f t="shared" si="56"/>
        <v>0</v>
      </c>
      <c r="CF221" s="485">
        <f t="shared" si="56"/>
        <v>0</v>
      </c>
      <c r="CG221" s="485">
        <f t="shared" si="56"/>
        <v>0</v>
      </c>
      <c r="CH221" s="485">
        <f t="shared" si="56"/>
        <v>0</v>
      </c>
      <c r="CI221" s="485">
        <f t="shared" si="56"/>
        <v>0</v>
      </c>
      <c r="CJ221" s="485">
        <f t="shared" si="56"/>
        <v>0</v>
      </c>
      <c r="CK221" s="485">
        <f t="shared" si="56"/>
        <v>0</v>
      </c>
      <c r="CL221" s="485">
        <f t="shared" si="56"/>
        <v>0</v>
      </c>
      <c r="CM221" s="486">
        <f t="shared" si="54"/>
        <v>1</v>
      </c>
    </row>
    <row r="222" spans="1:91" s="487" customFormat="1" ht="25.5" customHeight="1" x14ac:dyDescent="0.25">
      <c r="A222" s="497" t="s">
        <v>272</v>
      </c>
      <c r="B222" s="498" t="s">
        <v>1910</v>
      </c>
      <c r="C222" s="497" t="s">
        <v>876</v>
      </c>
      <c r="D222" s="498"/>
      <c r="E222" s="497" t="s">
        <v>55</v>
      </c>
      <c r="F222" s="498"/>
      <c r="G222" s="497" t="s">
        <v>648</v>
      </c>
      <c r="H222" s="497" t="s">
        <v>654</v>
      </c>
      <c r="I222" s="497" t="s">
        <v>647</v>
      </c>
      <c r="J222" s="497" t="s">
        <v>641</v>
      </c>
      <c r="K222" s="497" t="s">
        <v>649</v>
      </c>
      <c r="L222" s="497" t="s">
        <v>54</v>
      </c>
      <c r="M222" s="497" t="s">
        <v>646</v>
      </c>
      <c r="N222" s="497"/>
      <c r="O222" s="497"/>
      <c r="P222" s="497"/>
      <c r="Q222" s="497" t="s">
        <v>656</v>
      </c>
      <c r="R222" s="497" t="s">
        <v>652</v>
      </c>
      <c r="S222" s="497" t="s">
        <v>649</v>
      </c>
      <c r="T222" s="497"/>
      <c r="U222" s="497"/>
      <c r="V222" s="497" t="s">
        <v>683</v>
      </c>
      <c r="W222" s="497" t="s">
        <v>666</v>
      </c>
      <c r="X222" s="499">
        <v>41821</v>
      </c>
      <c r="Y222" s="499">
        <v>42529</v>
      </c>
      <c r="Z222" s="500">
        <v>2015</v>
      </c>
      <c r="AA222" s="497" t="s">
        <v>676</v>
      </c>
      <c r="AB222" s="497" t="s">
        <v>675</v>
      </c>
      <c r="AC222" s="497" t="s">
        <v>663</v>
      </c>
      <c r="AD222" s="501"/>
      <c r="AE222" s="501"/>
      <c r="AF222" s="501"/>
      <c r="AG222" s="501"/>
      <c r="AH222" s="501"/>
      <c r="AI222" s="501"/>
      <c r="AJ222" s="501"/>
      <c r="AK222" s="501"/>
      <c r="AL222" s="501"/>
      <c r="AM222" s="501"/>
      <c r="AN222" s="501"/>
      <c r="AO222" s="501"/>
      <c r="AP222" s="501"/>
      <c r="AQ222" s="501"/>
      <c r="AR222" s="501"/>
      <c r="AS222" s="501"/>
      <c r="AT222" s="501"/>
      <c r="AU222" s="501"/>
      <c r="AV222" s="501">
        <v>1055999.9999999984</v>
      </c>
      <c r="AW222" s="501">
        <v>43999.999999999935</v>
      </c>
      <c r="AX222" s="501"/>
      <c r="AY222" s="501"/>
      <c r="AZ222" s="501"/>
      <c r="BA222" s="501"/>
      <c r="BB222" s="483"/>
      <c r="BC222" s="483"/>
      <c r="BD222" s="483"/>
      <c r="BE222" s="483"/>
      <c r="BF222" s="483"/>
      <c r="BG222" s="483"/>
      <c r="BH222" s="483"/>
      <c r="BI222" s="483"/>
      <c r="BJ222" s="483"/>
      <c r="BK222" s="483"/>
      <c r="BL222" s="483"/>
      <c r="BM222" s="483"/>
      <c r="BN222" s="483"/>
      <c r="BO222" s="483"/>
      <c r="BP222" s="483"/>
      <c r="BQ222" s="483"/>
      <c r="BR222" s="483">
        <v>1099999.9999999984</v>
      </c>
      <c r="BS222" s="484">
        <f t="shared" si="53"/>
        <v>1099999.9999999984</v>
      </c>
      <c r="BT222" s="485">
        <f t="shared" si="55"/>
        <v>0</v>
      </c>
      <c r="BU222" s="485">
        <f t="shared" si="55"/>
        <v>0</v>
      </c>
      <c r="BV222" s="485">
        <f t="shared" si="55"/>
        <v>0</v>
      </c>
      <c r="BW222" s="485">
        <f t="shared" si="55"/>
        <v>1</v>
      </c>
      <c r="BX222" s="485">
        <f t="shared" si="55"/>
        <v>0</v>
      </c>
      <c r="BY222" s="485">
        <f t="shared" si="55"/>
        <v>0</v>
      </c>
      <c r="BZ222" s="485">
        <f t="shared" si="55"/>
        <v>0</v>
      </c>
      <c r="CA222" s="485">
        <f t="shared" si="55"/>
        <v>0</v>
      </c>
      <c r="CB222" s="485">
        <f t="shared" si="55"/>
        <v>0</v>
      </c>
      <c r="CC222" s="485">
        <f t="shared" si="55"/>
        <v>0</v>
      </c>
      <c r="CD222" s="485">
        <f t="shared" si="56"/>
        <v>0</v>
      </c>
      <c r="CE222" s="485">
        <f t="shared" si="56"/>
        <v>0</v>
      </c>
      <c r="CF222" s="485">
        <f t="shared" si="56"/>
        <v>0</v>
      </c>
      <c r="CG222" s="485">
        <f t="shared" si="56"/>
        <v>0</v>
      </c>
      <c r="CH222" s="485">
        <f t="shared" si="56"/>
        <v>0</v>
      </c>
      <c r="CI222" s="485">
        <f t="shared" si="56"/>
        <v>0</v>
      </c>
      <c r="CJ222" s="485">
        <f t="shared" si="56"/>
        <v>0</v>
      </c>
      <c r="CK222" s="485">
        <f t="shared" si="56"/>
        <v>0</v>
      </c>
      <c r="CL222" s="485">
        <f t="shared" si="56"/>
        <v>0</v>
      </c>
      <c r="CM222" s="486">
        <f t="shared" si="54"/>
        <v>1</v>
      </c>
    </row>
    <row r="223" spans="1:91" s="487" customFormat="1" ht="25.5" customHeight="1" x14ac:dyDescent="0.25">
      <c r="A223" s="497" t="s">
        <v>274</v>
      </c>
      <c r="B223" s="498" t="s">
        <v>1912</v>
      </c>
      <c r="C223" s="497" t="s">
        <v>875</v>
      </c>
      <c r="D223" s="498"/>
      <c r="E223" s="497" t="s">
        <v>55</v>
      </c>
      <c r="F223" s="498"/>
      <c r="G223" s="497" t="s">
        <v>648</v>
      </c>
      <c r="H223" s="497" t="s">
        <v>654</v>
      </c>
      <c r="I223" s="497" t="s">
        <v>647</v>
      </c>
      <c r="J223" s="497" t="s">
        <v>641</v>
      </c>
      <c r="K223" s="497" t="s">
        <v>649</v>
      </c>
      <c r="L223" s="497" t="s">
        <v>28</v>
      </c>
      <c r="M223" s="497" t="s">
        <v>646</v>
      </c>
      <c r="N223" s="497"/>
      <c r="O223" s="497"/>
      <c r="P223" s="497" t="s">
        <v>643</v>
      </c>
      <c r="Q223" s="497" t="s">
        <v>656</v>
      </c>
      <c r="R223" s="497" t="s">
        <v>652</v>
      </c>
      <c r="S223" s="497" t="s">
        <v>649</v>
      </c>
      <c r="T223" s="497"/>
      <c r="U223" s="497"/>
      <c r="V223" s="497" t="s">
        <v>683</v>
      </c>
      <c r="W223" s="497" t="s">
        <v>666</v>
      </c>
      <c r="X223" s="499">
        <v>41760</v>
      </c>
      <c r="Y223" s="499">
        <v>42639</v>
      </c>
      <c r="Z223" s="500">
        <v>2016</v>
      </c>
      <c r="AA223" s="497" t="s">
        <v>676</v>
      </c>
      <c r="AB223" s="497" t="s">
        <v>675</v>
      </c>
      <c r="AC223" s="497" t="s">
        <v>663</v>
      </c>
      <c r="AD223" s="501"/>
      <c r="AE223" s="501"/>
      <c r="AF223" s="501"/>
      <c r="AG223" s="501"/>
      <c r="AH223" s="501"/>
      <c r="AI223" s="501"/>
      <c r="AJ223" s="501"/>
      <c r="AK223" s="501"/>
      <c r="AL223" s="501"/>
      <c r="AM223" s="501"/>
      <c r="AN223" s="501"/>
      <c r="AO223" s="501"/>
      <c r="AP223" s="501"/>
      <c r="AQ223" s="501"/>
      <c r="AR223" s="501"/>
      <c r="AS223" s="501"/>
      <c r="AT223" s="501"/>
      <c r="AU223" s="501"/>
      <c r="AV223" s="501">
        <v>123500.00000000009</v>
      </c>
      <c r="AW223" s="501">
        <v>1176500.0000000009</v>
      </c>
      <c r="AX223" s="501"/>
      <c r="AY223" s="501"/>
      <c r="AZ223" s="501"/>
      <c r="BA223" s="501"/>
      <c r="BB223" s="483"/>
      <c r="BC223" s="483"/>
      <c r="BD223" s="483"/>
      <c r="BE223" s="483"/>
      <c r="BF223" s="483"/>
      <c r="BG223" s="483"/>
      <c r="BH223" s="483"/>
      <c r="BI223" s="483"/>
      <c r="BJ223" s="483"/>
      <c r="BK223" s="483"/>
      <c r="BL223" s="483"/>
      <c r="BM223" s="483"/>
      <c r="BN223" s="483"/>
      <c r="BO223" s="483"/>
      <c r="BP223" s="483"/>
      <c r="BQ223" s="483"/>
      <c r="BR223" s="483">
        <v>1300000.0000000009</v>
      </c>
      <c r="BS223" s="484">
        <f t="shared" si="53"/>
        <v>1300000.0000000009</v>
      </c>
      <c r="BT223" s="485">
        <f t="shared" si="55"/>
        <v>0</v>
      </c>
      <c r="BU223" s="485">
        <f t="shared" si="55"/>
        <v>0</v>
      </c>
      <c r="BV223" s="485">
        <f t="shared" si="55"/>
        <v>0</v>
      </c>
      <c r="BW223" s="485">
        <f t="shared" si="55"/>
        <v>1</v>
      </c>
      <c r="BX223" s="485">
        <f t="shared" si="55"/>
        <v>0</v>
      </c>
      <c r="BY223" s="485">
        <f t="shared" si="55"/>
        <v>0</v>
      </c>
      <c r="BZ223" s="485">
        <f t="shared" si="55"/>
        <v>0</v>
      </c>
      <c r="CA223" s="485">
        <f t="shared" si="55"/>
        <v>0</v>
      </c>
      <c r="CB223" s="485">
        <f t="shared" si="55"/>
        <v>0</v>
      </c>
      <c r="CC223" s="485">
        <f t="shared" si="55"/>
        <v>0</v>
      </c>
      <c r="CD223" s="485">
        <f t="shared" si="56"/>
        <v>0</v>
      </c>
      <c r="CE223" s="485">
        <f t="shared" si="56"/>
        <v>0</v>
      </c>
      <c r="CF223" s="485">
        <f t="shared" si="56"/>
        <v>0</v>
      </c>
      <c r="CG223" s="485">
        <f t="shared" si="56"/>
        <v>0</v>
      </c>
      <c r="CH223" s="485">
        <f t="shared" si="56"/>
        <v>0</v>
      </c>
      <c r="CI223" s="485">
        <f t="shared" si="56"/>
        <v>0</v>
      </c>
      <c r="CJ223" s="485">
        <f t="shared" si="56"/>
        <v>0</v>
      </c>
      <c r="CK223" s="485">
        <f t="shared" si="56"/>
        <v>0</v>
      </c>
      <c r="CL223" s="485">
        <f t="shared" si="56"/>
        <v>0</v>
      </c>
      <c r="CM223" s="486">
        <f t="shared" si="54"/>
        <v>1</v>
      </c>
    </row>
    <row r="224" spans="1:91" s="487" customFormat="1" ht="25.5" customHeight="1" x14ac:dyDescent="0.25">
      <c r="A224" s="497" t="s">
        <v>276</v>
      </c>
      <c r="B224" s="498" t="s">
        <v>1914</v>
      </c>
      <c r="C224" s="497" t="s">
        <v>874</v>
      </c>
      <c r="D224" s="498"/>
      <c r="E224" s="497" t="s">
        <v>779</v>
      </c>
      <c r="F224" s="498"/>
      <c r="G224" s="497" t="s">
        <v>648</v>
      </c>
      <c r="H224" s="497" t="s">
        <v>654</v>
      </c>
      <c r="I224" s="497" t="s">
        <v>647</v>
      </c>
      <c r="J224" s="497" t="s">
        <v>671</v>
      </c>
      <c r="K224" s="497" t="s">
        <v>649</v>
      </c>
      <c r="L224" s="497" t="s">
        <v>36</v>
      </c>
      <c r="M224" s="497" t="s">
        <v>646</v>
      </c>
      <c r="N224" s="497" t="s">
        <v>680</v>
      </c>
      <c r="O224" s="497"/>
      <c r="P224" s="497" t="s">
        <v>643</v>
      </c>
      <c r="Q224" s="497" t="s">
        <v>650</v>
      </c>
      <c r="R224" s="497" t="s">
        <v>652</v>
      </c>
      <c r="S224" s="497" t="s">
        <v>649</v>
      </c>
      <c r="T224" s="497"/>
      <c r="U224" s="497"/>
      <c r="V224" s="497" t="s">
        <v>36</v>
      </c>
      <c r="W224" s="497" t="s">
        <v>640</v>
      </c>
      <c r="X224" s="499">
        <v>42156</v>
      </c>
      <c r="Y224" s="499">
        <v>42458</v>
      </c>
      <c r="Z224" s="500">
        <v>2016</v>
      </c>
      <c r="AA224" s="497" t="s">
        <v>676</v>
      </c>
      <c r="AB224" s="497" t="s">
        <v>675</v>
      </c>
      <c r="AC224" s="497" t="s">
        <v>663</v>
      </c>
      <c r="AD224" s="501"/>
      <c r="AE224" s="501"/>
      <c r="AF224" s="501"/>
      <c r="AG224" s="501"/>
      <c r="AH224" s="501"/>
      <c r="AI224" s="501"/>
      <c r="AJ224" s="501"/>
      <c r="AK224" s="501"/>
      <c r="AL224" s="501"/>
      <c r="AM224" s="501"/>
      <c r="AN224" s="501"/>
      <c r="AO224" s="501"/>
      <c r="AP224" s="501"/>
      <c r="AQ224" s="501"/>
      <c r="AR224" s="501"/>
      <c r="AS224" s="501"/>
      <c r="AT224" s="501"/>
      <c r="AU224" s="501">
        <v>66299.999999999985</v>
      </c>
      <c r="AV224" s="501"/>
      <c r="AW224" s="501"/>
      <c r="AX224" s="501">
        <v>152999.99999999994</v>
      </c>
      <c r="AY224" s="501"/>
      <c r="AZ224" s="501"/>
      <c r="BA224" s="501"/>
      <c r="BB224" s="483">
        <v>20399.999999999993</v>
      </c>
      <c r="BC224" s="483">
        <v>0</v>
      </c>
      <c r="BD224" s="483"/>
      <c r="BE224" s="483"/>
      <c r="BF224" s="483"/>
      <c r="BG224" s="483">
        <v>43225.180955312389</v>
      </c>
      <c r="BH224" s="483"/>
      <c r="BI224" s="483"/>
      <c r="BJ224" s="483"/>
      <c r="BK224" s="483"/>
      <c r="BL224" s="483"/>
      <c r="BM224" s="483"/>
      <c r="BN224" s="483"/>
      <c r="BO224" s="483"/>
      <c r="BP224" s="483"/>
      <c r="BQ224" s="483"/>
      <c r="BR224" s="483">
        <v>282925.18095531233</v>
      </c>
      <c r="BS224" s="484">
        <f t="shared" si="53"/>
        <v>219299.99999999994</v>
      </c>
      <c r="BT224" s="485">
        <f t="shared" si="55"/>
        <v>0.30232558139534887</v>
      </c>
      <c r="BU224" s="485">
        <f t="shared" si="55"/>
        <v>0</v>
      </c>
      <c r="BV224" s="485">
        <f t="shared" si="55"/>
        <v>0</v>
      </c>
      <c r="BW224" s="485">
        <f t="shared" si="55"/>
        <v>0</v>
      </c>
      <c r="BX224" s="485">
        <f t="shared" si="55"/>
        <v>0</v>
      </c>
      <c r="BY224" s="485">
        <f t="shared" si="55"/>
        <v>0</v>
      </c>
      <c r="BZ224" s="485">
        <f t="shared" si="55"/>
        <v>0</v>
      </c>
      <c r="CA224" s="485">
        <f t="shared" si="55"/>
        <v>0.69767441860465107</v>
      </c>
      <c r="CB224" s="485">
        <f t="shared" si="55"/>
        <v>0</v>
      </c>
      <c r="CC224" s="485">
        <f t="shared" si="55"/>
        <v>0</v>
      </c>
      <c r="CD224" s="485">
        <f t="shared" si="56"/>
        <v>0</v>
      </c>
      <c r="CE224" s="485">
        <f t="shared" si="56"/>
        <v>0</v>
      </c>
      <c r="CF224" s="485">
        <f t="shared" si="56"/>
        <v>0</v>
      </c>
      <c r="CG224" s="485">
        <f t="shared" si="56"/>
        <v>0</v>
      </c>
      <c r="CH224" s="485">
        <f t="shared" si="56"/>
        <v>0</v>
      </c>
      <c r="CI224" s="485">
        <f t="shared" si="56"/>
        <v>0</v>
      </c>
      <c r="CJ224" s="485">
        <f t="shared" si="56"/>
        <v>0</v>
      </c>
      <c r="CK224" s="485">
        <f t="shared" si="56"/>
        <v>0</v>
      </c>
      <c r="CL224" s="485">
        <f t="shared" si="56"/>
        <v>0</v>
      </c>
      <c r="CM224" s="486">
        <f t="shared" si="54"/>
        <v>1</v>
      </c>
    </row>
    <row r="225" spans="1:91" s="487" customFormat="1" ht="25.5" customHeight="1" x14ac:dyDescent="0.25">
      <c r="A225" s="497" t="s">
        <v>277</v>
      </c>
      <c r="B225" s="498" t="s">
        <v>1916</v>
      </c>
      <c r="C225" s="497" t="s">
        <v>873</v>
      </c>
      <c r="D225" s="498"/>
      <c r="E225" s="497"/>
      <c r="F225" s="498"/>
      <c r="G225" s="497" t="s">
        <v>722</v>
      </c>
      <c r="H225" s="497" t="s">
        <v>654</v>
      </c>
      <c r="I225" s="497" t="s">
        <v>647</v>
      </c>
      <c r="J225" s="497" t="s">
        <v>641</v>
      </c>
      <c r="K225" s="497" t="s">
        <v>649</v>
      </c>
      <c r="L225" s="497" t="s">
        <v>60</v>
      </c>
      <c r="M225" s="497" t="s">
        <v>646</v>
      </c>
      <c r="N225" s="497" t="s">
        <v>680</v>
      </c>
      <c r="O225" s="497"/>
      <c r="P225" s="497" t="s">
        <v>643</v>
      </c>
      <c r="Q225" s="497" t="s">
        <v>656</v>
      </c>
      <c r="R225" s="497" t="s">
        <v>652</v>
      </c>
      <c r="S225" s="497" t="s">
        <v>649</v>
      </c>
      <c r="T225" s="497"/>
      <c r="U225" s="497"/>
      <c r="V225" s="497" t="s">
        <v>641</v>
      </c>
      <c r="W225" s="497" t="s">
        <v>640</v>
      </c>
      <c r="X225" s="499">
        <v>42186</v>
      </c>
      <c r="Y225" s="499">
        <v>42611</v>
      </c>
      <c r="Z225" s="500">
        <v>2016</v>
      </c>
      <c r="AA225" s="497" t="s">
        <v>676</v>
      </c>
      <c r="AB225" s="497" t="s">
        <v>697</v>
      </c>
      <c r="AC225" s="497" t="s">
        <v>649</v>
      </c>
      <c r="AD225" s="501"/>
      <c r="AE225" s="501"/>
      <c r="AF225" s="501"/>
      <c r="AG225" s="501">
        <v>1962985.0000000005</v>
      </c>
      <c r="AH225" s="501"/>
      <c r="AI225" s="501"/>
      <c r="AJ225" s="501"/>
      <c r="AK225" s="501"/>
      <c r="AL225" s="501"/>
      <c r="AM225" s="501"/>
      <c r="AN225" s="501"/>
      <c r="AO225" s="501"/>
      <c r="AP225" s="501"/>
      <c r="AQ225" s="501"/>
      <c r="AR225" s="501"/>
      <c r="AS225" s="501"/>
      <c r="AT225" s="501"/>
      <c r="AU225" s="501"/>
      <c r="AV225" s="501"/>
      <c r="AW225" s="501"/>
      <c r="AX225" s="501"/>
      <c r="AY225" s="501"/>
      <c r="AZ225" s="501"/>
      <c r="BA225" s="501"/>
      <c r="BB225" s="483"/>
      <c r="BC225" s="483"/>
      <c r="BD225" s="483"/>
      <c r="BE225" s="483"/>
      <c r="BF225" s="483"/>
      <c r="BG225" s="483">
        <v>99015.497652297679</v>
      </c>
      <c r="BH225" s="483"/>
      <c r="BI225" s="483"/>
      <c r="BJ225" s="483"/>
      <c r="BK225" s="483"/>
      <c r="BL225" s="483"/>
      <c r="BM225" s="483"/>
      <c r="BN225" s="483"/>
      <c r="BO225" s="483"/>
      <c r="BP225" s="483"/>
      <c r="BQ225" s="483"/>
      <c r="BR225" s="483">
        <v>2062000.4976522981</v>
      </c>
      <c r="BS225" s="484">
        <f t="shared" si="53"/>
        <v>1962985.0000000005</v>
      </c>
      <c r="BT225" s="485">
        <f t="shared" si="55"/>
        <v>0</v>
      </c>
      <c r="BU225" s="485">
        <f t="shared" si="55"/>
        <v>0</v>
      </c>
      <c r="BV225" s="485">
        <f t="shared" si="55"/>
        <v>0</v>
      </c>
      <c r="BW225" s="485">
        <f t="shared" si="55"/>
        <v>0</v>
      </c>
      <c r="BX225" s="485">
        <f t="shared" si="55"/>
        <v>0</v>
      </c>
      <c r="BY225" s="485">
        <f t="shared" si="55"/>
        <v>0</v>
      </c>
      <c r="BZ225" s="485">
        <f t="shared" si="55"/>
        <v>0</v>
      </c>
      <c r="CA225" s="485">
        <f t="shared" si="55"/>
        <v>0</v>
      </c>
      <c r="CB225" s="485">
        <f t="shared" si="55"/>
        <v>0</v>
      </c>
      <c r="CC225" s="485">
        <f t="shared" si="55"/>
        <v>1</v>
      </c>
      <c r="CD225" s="485">
        <f t="shared" si="56"/>
        <v>0</v>
      </c>
      <c r="CE225" s="485">
        <f t="shared" si="56"/>
        <v>0</v>
      </c>
      <c r="CF225" s="485">
        <f t="shared" si="56"/>
        <v>0</v>
      </c>
      <c r="CG225" s="485">
        <f t="shared" si="56"/>
        <v>0</v>
      </c>
      <c r="CH225" s="485">
        <f t="shared" si="56"/>
        <v>0</v>
      </c>
      <c r="CI225" s="485">
        <f t="shared" si="56"/>
        <v>0</v>
      </c>
      <c r="CJ225" s="485">
        <f t="shared" si="56"/>
        <v>0</v>
      </c>
      <c r="CK225" s="485">
        <f t="shared" si="56"/>
        <v>0</v>
      </c>
      <c r="CL225" s="485">
        <f t="shared" si="56"/>
        <v>0</v>
      </c>
      <c r="CM225" s="486">
        <f t="shared" si="54"/>
        <v>1</v>
      </c>
    </row>
    <row r="226" spans="1:91" s="487" customFormat="1" ht="25.5" customHeight="1" x14ac:dyDescent="0.25">
      <c r="A226" s="497" t="s">
        <v>872</v>
      </c>
      <c r="B226" s="498" t="s">
        <v>1920</v>
      </c>
      <c r="C226" s="497" t="s">
        <v>871</v>
      </c>
      <c r="D226" s="498"/>
      <c r="E226" s="497" t="s">
        <v>870</v>
      </c>
      <c r="F226" s="498"/>
      <c r="G226" s="497" t="s">
        <v>648</v>
      </c>
      <c r="H226" s="497" t="s">
        <v>654</v>
      </c>
      <c r="I226" s="497" t="s">
        <v>647</v>
      </c>
      <c r="J226" s="497" t="s">
        <v>671</v>
      </c>
      <c r="K226" s="497" t="s">
        <v>649</v>
      </c>
      <c r="L226" s="497" t="s">
        <v>55</v>
      </c>
      <c r="M226" s="497" t="s">
        <v>646</v>
      </c>
      <c r="N226" s="497"/>
      <c r="O226" s="497"/>
      <c r="P226" s="497"/>
      <c r="Q226" s="497" t="s">
        <v>656</v>
      </c>
      <c r="R226" s="497" t="s">
        <v>652</v>
      </c>
      <c r="S226" s="497" t="s">
        <v>649</v>
      </c>
      <c r="T226" s="497"/>
      <c r="U226" s="497"/>
      <c r="V226" s="497" t="s">
        <v>683</v>
      </c>
      <c r="W226" s="497" t="s">
        <v>666</v>
      </c>
      <c r="X226" s="499">
        <v>41821</v>
      </c>
      <c r="Y226" s="499">
        <v>42185</v>
      </c>
      <c r="Z226" s="500">
        <v>2014</v>
      </c>
      <c r="AA226" s="497" t="s">
        <v>676</v>
      </c>
      <c r="AB226" s="497" t="s">
        <v>675</v>
      </c>
      <c r="AC226" s="497" t="s">
        <v>663</v>
      </c>
      <c r="AD226" s="501"/>
      <c r="AE226" s="501"/>
      <c r="AF226" s="501"/>
      <c r="AG226" s="501"/>
      <c r="AH226" s="501"/>
      <c r="AI226" s="501"/>
      <c r="AJ226" s="501"/>
      <c r="AK226" s="501"/>
      <c r="AL226" s="501"/>
      <c r="AM226" s="501"/>
      <c r="AN226" s="501"/>
      <c r="AO226" s="501"/>
      <c r="AP226" s="501"/>
      <c r="AQ226" s="501"/>
      <c r="AR226" s="501"/>
      <c r="AS226" s="501"/>
      <c r="AT226" s="501"/>
      <c r="AU226" s="501"/>
      <c r="AV226" s="501">
        <v>18050.000000000007</v>
      </c>
      <c r="AW226" s="501">
        <v>171950.00000000006</v>
      </c>
      <c r="AX226" s="501"/>
      <c r="AY226" s="501"/>
      <c r="AZ226" s="501"/>
      <c r="BA226" s="501"/>
      <c r="BB226" s="483"/>
      <c r="BC226" s="483"/>
      <c r="BD226" s="483"/>
      <c r="BE226" s="483"/>
      <c r="BF226" s="483"/>
      <c r="BG226" s="483"/>
      <c r="BH226" s="483"/>
      <c r="BI226" s="483"/>
      <c r="BJ226" s="483"/>
      <c r="BK226" s="483"/>
      <c r="BL226" s="483"/>
      <c r="BM226" s="483"/>
      <c r="BN226" s="483"/>
      <c r="BO226" s="483"/>
      <c r="BP226" s="483"/>
      <c r="BQ226" s="483"/>
      <c r="BR226" s="483">
        <v>190000.00000000006</v>
      </c>
      <c r="BS226" s="484">
        <f t="shared" si="53"/>
        <v>190000.00000000006</v>
      </c>
      <c r="BT226" s="485">
        <f t="shared" si="55"/>
        <v>0</v>
      </c>
      <c r="BU226" s="485">
        <f t="shared" si="55"/>
        <v>0</v>
      </c>
      <c r="BV226" s="485">
        <f t="shared" si="55"/>
        <v>0</v>
      </c>
      <c r="BW226" s="485">
        <f t="shared" si="55"/>
        <v>1</v>
      </c>
      <c r="BX226" s="485">
        <f t="shared" si="55"/>
        <v>0</v>
      </c>
      <c r="BY226" s="485">
        <f t="shared" si="55"/>
        <v>0</v>
      </c>
      <c r="BZ226" s="485">
        <f t="shared" si="55"/>
        <v>0</v>
      </c>
      <c r="CA226" s="485">
        <f t="shared" si="55"/>
        <v>0</v>
      </c>
      <c r="CB226" s="485">
        <f t="shared" si="55"/>
        <v>0</v>
      </c>
      <c r="CC226" s="485">
        <f t="shared" si="55"/>
        <v>0</v>
      </c>
      <c r="CD226" s="485">
        <f t="shared" si="56"/>
        <v>0</v>
      </c>
      <c r="CE226" s="485">
        <f t="shared" si="56"/>
        <v>0</v>
      </c>
      <c r="CF226" s="485">
        <f t="shared" si="56"/>
        <v>0</v>
      </c>
      <c r="CG226" s="485">
        <f t="shared" si="56"/>
        <v>0</v>
      </c>
      <c r="CH226" s="485">
        <f t="shared" si="56"/>
        <v>0</v>
      </c>
      <c r="CI226" s="485">
        <f t="shared" si="56"/>
        <v>0</v>
      </c>
      <c r="CJ226" s="485">
        <f t="shared" si="56"/>
        <v>0</v>
      </c>
      <c r="CK226" s="485">
        <f t="shared" si="56"/>
        <v>0</v>
      </c>
      <c r="CL226" s="485">
        <f t="shared" si="56"/>
        <v>0</v>
      </c>
      <c r="CM226" s="486">
        <f t="shared" si="54"/>
        <v>1</v>
      </c>
    </row>
    <row r="227" spans="1:91" s="487" customFormat="1" ht="25.5" customHeight="1" x14ac:dyDescent="0.25">
      <c r="A227" s="497" t="s">
        <v>279</v>
      </c>
      <c r="B227" s="498" t="s">
        <v>1921</v>
      </c>
      <c r="C227" s="497" t="s">
        <v>869</v>
      </c>
      <c r="D227" s="498"/>
      <c r="E227" s="497" t="s">
        <v>868</v>
      </c>
      <c r="F227" s="498"/>
      <c r="G227" s="497" t="s">
        <v>648</v>
      </c>
      <c r="H227" s="497" t="s">
        <v>654</v>
      </c>
      <c r="I227" s="497" t="s">
        <v>647</v>
      </c>
      <c r="J227" s="497" t="s">
        <v>671</v>
      </c>
      <c r="K227" s="497" t="s">
        <v>649</v>
      </c>
      <c r="L227" s="497" t="s">
        <v>55</v>
      </c>
      <c r="M227" s="497" t="s">
        <v>646</v>
      </c>
      <c r="N227" s="497"/>
      <c r="O227" s="497"/>
      <c r="P227" s="497"/>
      <c r="Q227" s="497" t="s">
        <v>656</v>
      </c>
      <c r="R227" s="497" t="s">
        <v>652</v>
      </c>
      <c r="S227" s="497" t="s">
        <v>649</v>
      </c>
      <c r="T227" s="497"/>
      <c r="U227" s="497"/>
      <c r="V227" s="497" t="s">
        <v>683</v>
      </c>
      <c r="W227" s="497" t="s">
        <v>677</v>
      </c>
      <c r="X227" s="499">
        <v>41453</v>
      </c>
      <c r="Y227" s="499">
        <v>41654</v>
      </c>
      <c r="Z227" s="500">
        <v>2014</v>
      </c>
      <c r="AA227" s="497" t="s">
        <v>676</v>
      </c>
      <c r="AB227" s="497" t="s">
        <v>675</v>
      </c>
      <c r="AC227" s="497" t="s">
        <v>663</v>
      </c>
      <c r="AD227" s="501"/>
      <c r="AE227" s="501"/>
      <c r="AF227" s="501"/>
      <c r="AG227" s="501"/>
      <c r="AH227" s="501"/>
      <c r="AI227" s="501"/>
      <c r="AJ227" s="501"/>
      <c r="AK227" s="501"/>
      <c r="AL227" s="501"/>
      <c r="AM227" s="501"/>
      <c r="AN227" s="501"/>
      <c r="AO227" s="501"/>
      <c r="AP227" s="501"/>
      <c r="AQ227" s="501"/>
      <c r="AR227" s="501"/>
      <c r="AS227" s="501"/>
      <c r="AT227" s="501"/>
      <c r="AU227" s="501"/>
      <c r="AV227" s="501">
        <v>846718.99999999988</v>
      </c>
      <c r="AW227" s="501">
        <v>35280</v>
      </c>
      <c r="AX227" s="501"/>
      <c r="AY227" s="501"/>
      <c r="AZ227" s="501"/>
      <c r="BA227" s="501"/>
      <c r="BB227" s="483"/>
      <c r="BC227" s="483"/>
      <c r="BD227" s="483"/>
      <c r="BE227" s="483"/>
      <c r="BF227" s="483"/>
      <c r="BG227" s="483"/>
      <c r="BH227" s="483"/>
      <c r="BI227" s="483"/>
      <c r="BJ227" s="483"/>
      <c r="BK227" s="483"/>
      <c r="BL227" s="483"/>
      <c r="BM227" s="483"/>
      <c r="BN227" s="483"/>
      <c r="BO227" s="483"/>
      <c r="BP227" s="483"/>
      <c r="BQ227" s="483"/>
      <c r="BR227" s="483">
        <v>881998.99999999988</v>
      </c>
      <c r="BS227" s="484">
        <f t="shared" si="53"/>
        <v>881998.99999999988</v>
      </c>
      <c r="BT227" s="485">
        <f t="shared" si="55"/>
        <v>0</v>
      </c>
      <c r="BU227" s="485">
        <f t="shared" si="55"/>
        <v>0</v>
      </c>
      <c r="BV227" s="485">
        <f t="shared" si="55"/>
        <v>0</v>
      </c>
      <c r="BW227" s="485">
        <f t="shared" si="55"/>
        <v>1</v>
      </c>
      <c r="BX227" s="485">
        <f t="shared" si="55"/>
        <v>0</v>
      </c>
      <c r="BY227" s="485">
        <f t="shared" si="55"/>
        <v>0</v>
      </c>
      <c r="BZ227" s="485">
        <f t="shared" si="55"/>
        <v>0</v>
      </c>
      <c r="CA227" s="485">
        <f t="shared" si="55"/>
        <v>0</v>
      </c>
      <c r="CB227" s="485">
        <f t="shared" si="55"/>
        <v>0</v>
      </c>
      <c r="CC227" s="485">
        <f t="shared" si="55"/>
        <v>0</v>
      </c>
      <c r="CD227" s="485">
        <f t="shared" si="56"/>
        <v>0</v>
      </c>
      <c r="CE227" s="485">
        <f t="shared" si="56"/>
        <v>0</v>
      </c>
      <c r="CF227" s="485">
        <f t="shared" si="56"/>
        <v>0</v>
      </c>
      <c r="CG227" s="485">
        <f t="shared" si="56"/>
        <v>0</v>
      </c>
      <c r="CH227" s="485">
        <f t="shared" si="56"/>
        <v>0</v>
      </c>
      <c r="CI227" s="485">
        <f t="shared" si="56"/>
        <v>0</v>
      </c>
      <c r="CJ227" s="485">
        <f t="shared" si="56"/>
        <v>0</v>
      </c>
      <c r="CK227" s="485">
        <f t="shared" si="56"/>
        <v>0</v>
      </c>
      <c r="CL227" s="485">
        <f t="shared" si="56"/>
        <v>0</v>
      </c>
      <c r="CM227" s="486">
        <f t="shared" si="54"/>
        <v>1</v>
      </c>
    </row>
    <row r="228" spans="1:91" s="487" customFormat="1" ht="25.5" customHeight="1" x14ac:dyDescent="0.25">
      <c r="A228" s="497" t="s">
        <v>282</v>
      </c>
      <c r="B228" s="498" t="s">
        <v>1925</v>
      </c>
      <c r="C228" s="497" t="s">
        <v>867</v>
      </c>
      <c r="D228" s="498"/>
      <c r="E228" s="497" t="s">
        <v>55</v>
      </c>
      <c r="F228" s="498"/>
      <c r="G228" s="497" t="s">
        <v>648</v>
      </c>
      <c r="H228" s="497" t="s">
        <v>654</v>
      </c>
      <c r="I228" s="497" t="s">
        <v>647</v>
      </c>
      <c r="J228" s="497" t="s">
        <v>641</v>
      </c>
      <c r="K228" s="497" t="s">
        <v>649</v>
      </c>
      <c r="L228" s="497" t="s">
        <v>28</v>
      </c>
      <c r="M228" s="497" t="s">
        <v>646</v>
      </c>
      <c r="N228" s="497"/>
      <c r="O228" s="497"/>
      <c r="P228" s="497"/>
      <c r="Q228" s="497" t="s">
        <v>656</v>
      </c>
      <c r="R228" s="497" t="s">
        <v>652</v>
      </c>
      <c r="S228" s="497" t="s">
        <v>649</v>
      </c>
      <c r="T228" s="497"/>
      <c r="U228" s="497"/>
      <c r="V228" s="497" t="s">
        <v>683</v>
      </c>
      <c r="W228" s="497" t="s">
        <v>666</v>
      </c>
      <c r="X228" s="499">
        <v>41640</v>
      </c>
      <c r="Y228" s="499">
        <v>42354</v>
      </c>
      <c r="Z228" s="500">
        <v>2015</v>
      </c>
      <c r="AA228" s="497" t="s">
        <v>676</v>
      </c>
      <c r="AB228" s="497" t="s">
        <v>675</v>
      </c>
      <c r="AC228" s="497" t="s">
        <v>663</v>
      </c>
      <c r="AD228" s="501"/>
      <c r="AE228" s="501"/>
      <c r="AF228" s="501"/>
      <c r="AG228" s="501"/>
      <c r="AH228" s="501"/>
      <c r="AI228" s="501"/>
      <c r="AJ228" s="501"/>
      <c r="AK228" s="501"/>
      <c r="AL228" s="501"/>
      <c r="AM228" s="501"/>
      <c r="AN228" s="501"/>
      <c r="AO228" s="501"/>
      <c r="AP228" s="501"/>
      <c r="AQ228" s="501"/>
      <c r="AR228" s="501"/>
      <c r="AS228" s="501"/>
      <c r="AT228" s="501"/>
      <c r="AU228" s="501"/>
      <c r="AV228" s="501">
        <v>189999.99999999988</v>
      </c>
      <c r="AW228" s="501">
        <v>1809999.9999999991</v>
      </c>
      <c r="AX228" s="501"/>
      <c r="AY228" s="501"/>
      <c r="AZ228" s="501"/>
      <c r="BA228" s="501"/>
      <c r="BB228" s="483"/>
      <c r="BC228" s="483"/>
      <c r="BD228" s="483"/>
      <c r="BE228" s="483"/>
      <c r="BF228" s="483"/>
      <c r="BG228" s="483"/>
      <c r="BH228" s="483"/>
      <c r="BI228" s="483"/>
      <c r="BJ228" s="483"/>
      <c r="BK228" s="483"/>
      <c r="BL228" s="483"/>
      <c r="BM228" s="483"/>
      <c r="BN228" s="483"/>
      <c r="BO228" s="483"/>
      <c r="BP228" s="483"/>
      <c r="BQ228" s="483"/>
      <c r="BR228" s="483">
        <v>1999999.9999999988</v>
      </c>
      <c r="BS228" s="484">
        <f t="shared" si="53"/>
        <v>1999999.9999999991</v>
      </c>
      <c r="BT228" s="485">
        <f t="shared" si="55"/>
        <v>0</v>
      </c>
      <c r="BU228" s="485">
        <f t="shared" si="55"/>
        <v>0</v>
      </c>
      <c r="BV228" s="485">
        <f t="shared" si="55"/>
        <v>0</v>
      </c>
      <c r="BW228" s="485">
        <f t="shared" si="55"/>
        <v>1</v>
      </c>
      <c r="BX228" s="485">
        <f t="shared" si="55"/>
        <v>0</v>
      </c>
      <c r="BY228" s="485">
        <f t="shared" si="55"/>
        <v>0</v>
      </c>
      <c r="BZ228" s="485">
        <f t="shared" si="55"/>
        <v>0</v>
      </c>
      <c r="CA228" s="485">
        <f t="shared" si="55"/>
        <v>0</v>
      </c>
      <c r="CB228" s="485">
        <f t="shared" si="55"/>
        <v>0</v>
      </c>
      <c r="CC228" s="485">
        <f t="shared" si="55"/>
        <v>0</v>
      </c>
      <c r="CD228" s="485">
        <f t="shared" si="56"/>
        <v>0</v>
      </c>
      <c r="CE228" s="485">
        <f t="shared" si="56"/>
        <v>0</v>
      </c>
      <c r="CF228" s="485">
        <f t="shared" si="56"/>
        <v>0</v>
      </c>
      <c r="CG228" s="485">
        <f t="shared" si="56"/>
        <v>0</v>
      </c>
      <c r="CH228" s="485">
        <f t="shared" si="56"/>
        <v>0</v>
      </c>
      <c r="CI228" s="485">
        <f t="shared" si="56"/>
        <v>0</v>
      </c>
      <c r="CJ228" s="485">
        <f t="shared" si="56"/>
        <v>0</v>
      </c>
      <c r="CK228" s="485">
        <f t="shared" si="56"/>
        <v>0</v>
      </c>
      <c r="CL228" s="485">
        <f t="shared" si="56"/>
        <v>0</v>
      </c>
      <c r="CM228" s="486">
        <f t="shared" si="54"/>
        <v>1</v>
      </c>
    </row>
    <row r="229" spans="1:91" s="487" customFormat="1" ht="25.5" customHeight="1" x14ac:dyDescent="0.25">
      <c r="A229" s="497" t="s">
        <v>866</v>
      </c>
      <c r="B229" s="498" t="s">
        <v>1927</v>
      </c>
      <c r="C229" s="497" t="s">
        <v>865</v>
      </c>
      <c r="D229" s="498"/>
      <c r="E229" s="497" t="s">
        <v>864</v>
      </c>
      <c r="F229" s="498"/>
      <c r="G229" s="497" t="s">
        <v>648</v>
      </c>
      <c r="H229" s="497" t="s">
        <v>654</v>
      </c>
      <c r="I229" s="497" t="s">
        <v>647</v>
      </c>
      <c r="J229" s="497" t="s">
        <v>671</v>
      </c>
      <c r="K229" s="497" t="s">
        <v>649</v>
      </c>
      <c r="L229" s="497" t="s">
        <v>55</v>
      </c>
      <c r="M229" s="497" t="s">
        <v>646</v>
      </c>
      <c r="N229" s="497"/>
      <c r="O229" s="497"/>
      <c r="P229" s="497"/>
      <c r="Q229" s="497" t="s">
        <v>656</v>
      </c>
      <c r="R229" s="497" t="s">
        <v>652</v>
      </c>
      <c r="S229" s="497" t="s">
        <v>649</v>
      </c>
      <c r="T229" s="497"/>
      <c r="U229" s="497"/>
      <c r="V229" s="497" t="s">
        <v>683</v>
      </c>
      <c r="W229" s="497" t="s">
        <v>666</v>
      </c>
      <c r="X229" s="499">
        <v>41518</v>
      </c>
      <c r="Y229" s="499">
        <v>42216</v>
      </c>
      <c r="Z229" s="500">
        <v>2015</v>
      </c>
      <c r="AA229" s="497" t="s">
        <v>676</v>
      </c>
      <c r="AB229" s="497" t="s">
        <v>675</v>
      </c>
      <c r="AC229" s="497" t="s">
        <v>663</v>
      </c>
      <c r="AD229" s="501"/>
      <c r="AE229" s="501"/>
      <c r="AF229" s="501"/>
      <c r="AG229" s="501"/>
      <c r="AH229" s="501"/>
      <c r="AI229" s="501"/>
      <c r="AJ229" s="501"/>
      <c r="AK229" s="501"/>
      <c r="AL229" s="501"/>
      <c r="AM229" s="501"/>
      <c r="AN229" s="501"/>
      <c r="AO229" s="501"/>
      <c r="AP229" s="501"/>
      <c r="AQ229" s="501"/>
      <c r="AR229" s="501"/>
      <c r="AS229" s="501"/>
      <c r="AT229" s="501"/>
      <c r="AU229" s="501"/>
      <c r="AV229" s="501">
        <v>95000.000000000146</v>
      </c>
      <c r="AW229" s="501">
        <v>905000.00000000128</v>
      </c>
      <c r="AX229" s="501"/>
      <c r="AY229" s="501"/>
      <c r="AZ229" s="501"/>
      <c r="BA229" s="501"/>
      <c r="BB229" s="483"/>
      <c r="BC229" s="483"/>
      <c r="BD229" s="483"/>
      <c r="BE229" s="483"/>
      <c r="BF229" s="483"/>
      <c r="BG229" s="483"/>
      <c r="BH229" s="483"/>
      <c r="BI229" s="483"/>
      <c r="BJ229" s="483"/>
      <c r="BK229" s="483"/>
      <c r="BL229" s="483"/>
      <c r="BM229" s="483"/>
      <c r="BN229" s="483"/>
      <c r="BO229" s="483"/>
      <c r="BP229" s="483"/>
      <c r="BQ229" s="483"/>
      <c r="BR229" s="483">
        <v>1000000.0000000014</v>
      </c>
      <c r="BS229" s="484">
        <f t="shared" si="53"/>
        <v>1000000.0000000014</v>
      </c>
      <c r="BT229" s="485">
        <f t="shared" ref="BT229:CC238" si="57">SUMIFS($AD229:$BA229,$AD$11:$BA$11,BT$21)/$BS229</f>
        <v>0</v>
      </c>
      <c r="BU229" s="485">
        <f t="shared" si="57"/>
        <v>0</v>
      </c>
      <c r="BV229" s="485">
        <f t="shared" si="57"/>
        <v>0</v>
      </c>
      <c r="BW229" s="485">
        <f t="shared" si="57"/>
        <v>1</v>
      </c>
      <c r="BX229" s="485">
        <f t="shared" si="57"/>
        <v>0</v>
      </c>
      <c r="BY229" s="485">
        <f t="shared" si="57"/>
        <v>0</v>
      </c>
      <c r="BZ229" s="485">
        <f t="shared" si="57"/>
        <v>0</v>
      </c>
      <c r="CA229" s="485">
        <f t="shared" si="57"/>
        <v>0</v>
      </c>
      <c r="CB229" s="485">
        <f t="shared" si="57"/>
        <v>0</v>
      </c>
      <c r="CC229" s="485">
        <f t="shared" si="57"/>
        <v>0</v>
      </c>
      <c r="CD229" s="485">
        <f t="shared" ref="CD229:CL238" si="58">SUMIFS($AD229:$BA229,$AD$11:$BA$11,CD$21)/$BS229</f>
        <v>0</v>
      </c>
      <c r="CE229" s="485">
        <f t="shared" si="58"/>
        <v>0</v>
      </c>
      <c r="CF229" s="485">
        <f t="shared" si="58"/>
        <v>0</v>
      </c>
      <c r="CG229" s="485">
        <f t="shared" si="58"/>
        <v>0</v>
      </c>
      <c r="CH229" s="485">
        <f t="shared" si="58"/>
        <v>0</v>
      </c>
      <c r="CI229" s="485">
        <f t="shared" si="58"/>
        <v>0</v>
      </c>
      <c r="CJ229" s="485">
        <f t="shared" si="58"/>
        <v>0</v>
      </c>
      <c r="CK229" s="485">
        <f t="shared" si="58"/>
        <v>0</v>
      </c>
      <c r="CL229" s="485">
        <f t="shared" si="58"/>
        <v>0</v>
      </c>
      <c r="CM229" s="486">
        <f t="shared" si="54"/>
        <v>1</v>
      </c>
    </row>
    <row r="230" spans="1:91" s="487" customFormat="1" ht="25.5" customHeight="1" x14ac:dyDescent="0.25">
      <c r="A230" s="497" t="s">
        <v>284</v>
      </c>
      <c r="B230" s="498" t="s">
        <v>1928</v>
      </c>
      <c r="C230" s="497" t="s">
        <v>863</v>
      </c>
      <c r="D230" s="498"/>
      <c r="E230" s="497" t="s">
        <v>779</v>
      </c>
      <c r="F230" s="498"/>
      <c r="G230" s="497" t="s">
        <v>648</v>
      </c>
      <c r="H230" s="497" t="s">
        <v>654</v>
      </c>
      <c r="I230" s="497" t="s">
        <v>647</v>
      </c>
      <c r="J230" s="497" t="s">
        <v>671</v>
      </c>
      <c r="K230" s="497" t="s">
        <v>649</v>
      </c>
      <c r="L230" s="497" t="s">
        <v>36</v>
      </c>
      <c r="M230" s="497" t="s">
        <v>646</v>
      </c>
      <c r="N230" s="497" t="s">
        <v>680</v>
      </c>
      <c r="O230" s="497"/>
      <c r="P230" s="497"/>
      <c r="Q230" s="497" t="s">
        <v>650</v>
      </c>
      <c r="R230" s="497" t="s">
        <v>652</v>
      </c>
      <c r="S230" s="497" t="s">
        <v>649</v>
      </c>
      <c r="T230" s="497"/>
      <c r="U230" s="497"/>
      <c r="V230" s="497" t="s">
        <v>36</v>
      </c>
      <c r="W230" s="497" t="s">
        <v>640</v>
      </c>
      <c r="X230" s="499">
        <v>42186</v>
      </c>
      <c r="Y230" s="499">
        <v>42520</v>
      </c>
      <c r="Z230" s="500">
        <v>2016</v>
      </c>
      <c r="AA230" s="497" t="s">
        <v>676</v>
      </c>
      <c r="AB230" s="497" t="s">
        <v>675</v>
      </c>
      <c r="AC230" s="497" t="s">
        <v>663</v>
      </c>
      <c r="AD230" s="501"/>
      <c r="AE230" s="501"/>
      <c r="AF230" s="501"/>
      <c r="AG230" s="501"/>
      <c r="AH230" s="501"/>
      <c r="AI230" s="501"/>
      <c r="AJ230" s="501"/>
      <c r="AK230" s="501"/>
      <c r="AL230" s="501"/>
      <c r="AM230" s="501"/>
      <c r="AN230" s="501"/>
      <c r="AO230" s="501"/>
      <c r="AP230" s="501"/>
      <c r="AQ230" s="501"/>
      <c r="AR230" s="501"/>
      <c r="AS230" s="501"/>
      <c r="AT230" s="501"/>
      <c r="AU230" s="501">
        <v>6299.9999999999973</v>
      </c>
      <c r="AV230" s="501"/>
      <c r="AW230" s="501"/>
      <c r="AX230" s="501">
        <v>92399.999999999971</v>
      </c>
      <c r="AY230" s="501"/>
      <c r="AZ230" s="501"/>
      <c r="BA230" s="501"/>
      <c r="BB230" s="483">
        <v>1049.9999999999995</v>
      </c>
      <c r="BC230" s="483">
        <v>0</v>
      </c>
      <c r="BD230" s="483"/>
      <c r="BE230" s="483"/>
      <c r="BF230" s="483"/>
      <c r="BG230" s="483">
        <v>17987.950773017979</v>
      </c>
      <c r="BH230" s="483"/>
      <c r="BI230" s="483"/>
      <c r="BJ230" s="483"/>
      <c r="BK230" s="483"/>
      <c r="BL230" s="483"/>
      <c r="BM230" s="483"/>
      <c r="BN230" s="483"/>
      <c r="BO230" s="483"/>
      <c r="BP230" s="483"/>
      <c r="BQ230" s="483"/>
      <c r="BR230" s="483">
        <v>117737.95077301795</v>
      </c>
      <c r="BS230" s="484">
        <f t="shared" si="53"/>
        <v>98699.999999999971</v>
      </c>
      <c r="BT230" s="485">
        <f t="shared" si="57"/>
        <v>6.3829787234042548E-2</v>
      </c>
      <c r="BU230" s="485">
        <f t="shared" si="57"/>
        <v>0</v>
      </c>
      <c r="BV230" s="485">
        <f t="shared" si="57"/>
        <v>0</v>
      </c>
      <c r="BW230" s="485">
        <f t="shared" si="57"/>
        <v>0</v>
      </c>
      <c r="BX230" s="485">
        <f t="shared" si="57"/>
        <v>0</v>
      </c>
      <c r="BY230" s="485">
        <f t="shared" si="57"/>
        <v>0</v>
      </c>
      <c r="BZ230" s="485">
        <f t="shared" si="57"/>
        <v>0</v>
      </c>
      <c r="CA230" s="485">
        <f t="shared" si="57"/>
        <v>0.93617021276595747</v>
      </c>
      <c r="CB230" s="485">
        <f t="shared" si="57"/>
        <v>0</v>
      </c>
      <c r="CC230" s="485">
        <f t="shared" si="57"/>
        <v>0</v>
      </c>
      <c r="CD230" s="485">
        <f t="shared" si="58"/>
        <v>0</v>
      </c>
      <c r="CE230" s="485">
        <f t="shared" si="58"/>
        <v>0</v>
      </c>
      <c r="CF230" s="485">
        <f t="shared" si="58"/>
        <v>0</v>
      </c>
      <c r="CG230" s="485">
        <f t="shared" si="58"/>
        <v>0</v>
      </c>
      <c r="CH230" s="485">
        <f t="shared" si="58"/>
        <v>0</v>
      </c>
      <c r="CI230" s="485">
        <f t="shared" si="58"/>
        <v>0</v>
      </c>
      <c r="CJ230" s="485">
        <f t="shared" si="58"/>
        <v>0</v>
      </c>
      <c r="CK230" s="485">
        <f t="shared" si="58"/>
        <v>0</v>
      </c>
      <c r="CL230" s="485">
        <f t="shared" si="58"/>
        <v>0</v>
      </c>
      <c r="CM230" s="486">
        <f t="shared" si="54"/>
        <v>1</v>
      </c>
    </row>
    <row r="231" spans="1:91" s="487" customFormat="1" ht="25.5" customHeight="1" x14ac:dyDescent="0.25">
      <c r="A231" s="497" t="s">
        <v>285</v>
      </c>
      <c r="B231" s="498" t="s">
        <v>1954</v>
      </c>
      <c r="C231" s="497" t="s">
        <v>862</v>
      </c>
      <c r="D231" s="498"/>
      <c r="E231" s="497" t="s">
        <v>779</v>
      </c>
      <c r="F231" s="498"/>
      <c r="G231" s="497" t="s">
        <v>648</v>
      </c>
      <c r="H231" s="497" t="s">
        <v>654</v>
      </c>
      <c r="I231" s="497" t="s">
        <v>647</v>
      </c>
      <c r="J231" s="497" t="s">
        <v>671</v>
      </c>
      <c r="K231" s="497" t="s">
        <v>649</v>
      </c>
      <c r="L231" s="497" t="s">
        <v>36</v>
      </c>
      <c r="M231" s="497" t="s">
        <v>646</v>
      </c>
      <c r="N231" s="497" t="s">
        <v>680</v>
      </c>
      <c r="O231" s="497"/>
      <c r="P231" s="497" t="s">
        <v>643</v>
      </c>
      <c r="Q231" s="497" t="s">
        <v>650</v>
      </c>
      <c r="R231" s="497" t="s">
        <v>652</v>
      </c>
      <c r="S231" s="497" t="s">
        <v>649</v>
      </c>
      <c r="T231" s="497"/>
      <c r="U231" s="497"/>
      <c r="V231" s="497" t="s">
        <v>36</v>
      </c>
      <c r="W231" s="497" t="s">
        <v>640</v>
      </c>
      <c r="X231" s="499">
        <v>42552</v>
      </c>
      <c r="Y231" s="499">
        <v>42885</v>
      </c>
      <c r="Z231" s="500">
        <v>2016</v>
      </c>
      <c r="AA231" s="497" t="s">
        <v>676</v>
      </c>
      <c r="AB231" s="497" t="s">
        <v>675</v>
      </c>
      <c r="AC231" s="497" t="s">
        <v>663</v>
      </c>
      <c r="AD231" s="501"/>
      <c r="AE231" s="501"/>
      <c r="AF231" s="501"/>
      <c r="AG231" s="501"/>
      <c r="AH231" s="501"/>
      <c r="AI231" s="501"/>
      <c r="AJ231" s="501"/>
      <c r="AK231" s="501"/>
      <c r="AL231" s="501"/>
      <c r="AM231" s="501"/>
      <c r="AN231" s="501"/>
      <c r="AO231" s="501"/>
      <c r="AP231" s="501"/>
      <c r="AQ231" s="501"/>
      <c r="AR231" s="501"/>
      <c r="AS231" s="501"/>
      <c r="AT231" s="501"/>
      <c r="AU231" s="501"/>
      <c r="AV231" s="501"/>
      <c r="AW231" s="501"/>
      <c r="AX231" s="501"/>
      <c r="AY231" s="501"/>
      <c r="AZ231" s="501">
        <v>117119.99999999997</v>
      </c>
      <c r="BA231" s="501"/>
      <c r="BB231" s="483"/>
      <c r="BC231" s="483"/>
      <c r="BD231" s="483"/>
      <c r="BE231" s="483"/>
      <c r="BF231" s="483"/>
      <c r="BG231" s="483">
        <v>16828.195195658402</v>
      </c>
      <c r="BH231" s="483"/>
      <c r="BI231" s="483"/>
      <c r="BJ231" s="483"/>
      <c r="BK231" s="483"/>
      <c r="BL231" s="483"/>
      <c r="BM231" s="483"/>
      <c r="BN231" s="483"/>
      <c r="BO231" s="483"/>
      <c r="BP231" s="483"/>
      <c r="BQ231" s="483"/>
      <c r="BR231" s="483">
        <v>133948.19519565837</v>
      </c>
      <c r="BS231" s="484">
        <f t="shared" si="53"/>
        <v>117119.99999999997</v>
      </c>
      <c r="BT231" s="485">
        <f t="shared" si="57"/>
        <v>0</v>
      </c>
      <c r="BU231" s="485">
        <f t="shared" si="57"/>
        <v>0</v>
      </c>
      <c r="BV231" s="485">
        <f t="shared" si="57"/>
        <v>0</v>
      </c>
      <c r="BW231" s="485">
        <f t="shared" si="57"/>
        <v>0</v>
      </c>
      <c r="BX231" s="485">
        <f t="shared" si="57"/>
        <v>0</v>
      </c>
      <c r="BY231" s="485">
        <f t="shared" si="57"/>
        <v>0</v>
      </c>
      <c r="BZ231" s="485">
        <f t="shared" si="57"/>
        <v>0</v>
      </c>
      <c r="CA231" s="485">
        <f t="shared" si="57"/>
        <v>1</v>
      </c>
      <c r="CB231" s="485">
        <f t="shared" si="57"/>
        <v>0</v>
      </c>
      <c r="CC231" s="485">
        <f t="shared" si="57"/>
        <v>0</v>
      </c>
      <c r="CD231" s="485">
        <f t="shared" si="58"/>
        <v>0</v>
      </c>
      <c r="CE231" s="485">
        <f t="shared" si="58"/>
        <v>0</v>
      </c>
      <c r="CF231" s="485">
        <f t="shared" si="58"/>
        <v>0</v>
      </c>
      <c r="CG231" s="485">
        <f t="shared" si="58"/>
        <v>0</v>
      </c>
      <c r="CH231" s="485">
        <f t="shared" si="58"/>
        <v>0</v>
      </c>
      <c r="CI231" s="485">
        <f t="shared" si="58"/>
        <v>0</v>
      </c>
      <c r="CJ231" s="485">
        <f t="shared" si="58"/>
        <v>0</v>
      </c>
      <c r="CK231" s="485">
        <f t="shared" si="58"/>
        <v>0</v>
      </c>
      <c r="CL231" s="485">
        <f t="shared" si="58"/>
        <v>0</v>
      </c>
      <c r="CM231" s="486">
        <f t="shared" si="54"/>
        <v>1</v>
      </c>
    </row>
    <row r="232" spans="1:91" s="487" customFormat="1" ht="25.5" x14ac:dyDescent="0.25">
      <c r="A232" s="497" t="s">
        <v>287</v>
      </c>
      <c r="B232" s="498" t="s">
        <v>1956</v>
      </c>
      <c r="C232" s="497" t="s">
        <v>861</v>
      </c>
      <c r="D232" s="498"/>
      <c r="E232" s="497" t="s">
        <v>692</v>
      </c>
      <c r="F232" s="498"/>
      <c r="G232" s="497"/>
      <c r="H232" s="497" t="s">
        <v>654</v>
      </c>
      <c r="I232" s="497" t="s">
        <v>647</v>
      </c>
      <c r="J232" s="497" t="s">
        <v>671</v>
      </c>
      <c r="K232" s="497" t="s">
        <v>649</v>
      </c>
      <c r="L232" s="497" t="s">
        <v>55</v>
      </c>
      <c r="M232" s="497" t="s">
        <v>646</v>
      </c>
      <c r="N232" s="497" t="s">
        <v>645</v>
      </c>
      <c r="O232" s="497"/>
      <c r="P232" s="497"/>
      <c r="Q232" s="497" t="s">
        <v>656</v>
      </c>
      <c r="R232" s="497" t="s">
        <v>652</v>
      </c>
      <c r="S232" s="497" t="s">
        <v>649</v>
      </c>
      <c r="T232" s="497"/>
      <c r="U232" s="497"/>
      <c r="V232" s="497" t="s">
        <v>683</v>
      </c>
      <c r="W232" s="497" t="s">
        <v>677</v>
      </c>
      <c r="X232" s="499">
        <v>42583</v>
      </c>
      <c r="Y232" s="499">
        <v>43334</v>
      </c>
      <c r="Z232" s="500">
        <v>2018</v>
      </c>
      <c r="AA232" s="497"/>
      <c r="AB232" s="497"/>
      <c r="AC232" s="497"/>
      <c r="AD232" s="501"/>
      <c r="AE232" s="501"/>
      <c r="AF232" s="501"/>
      <c r="AG232" s="501"/>
      <c r="AH232" s="501"/>
      <c r="AI232" s="501"/>
      <c r="AJ232" s="501"/>
      <c r="AK232" s="501"/>
      <c r="AL232" s="501"/>
      <c r="AM232" s="501"/>
      <c r="AN232" s="501"/>
      <c r="AO232" s="501"/>
      <c r="AP232" s="501"/>
      <c r="AQ232" s="501"/>
      <c r="AR232" s="501"/>
      <c r="AS232" s="501"/>
      <c r="AT232" s="501"/>
      <c r="AU232" s="501"/>
      <c r="AV232" s="501">
        <v>80000.000000000015</v>
      </c>
      <c r="AW232" s="501"/>
      <c r="AX232" s="501"/>
      <c r="AY232" s="501"/>
      <c r="AZ232" s="501"/>
      <c r="BA232" s="501"/>
      <c r="BB232" s="483"/>
      <c r="BC232" s="483"/>
      <c r="BD232" s="483"/>
      <c r="BE232" s="483"/>
      <c r="BF232" s="483"/>
      <c r="BG232" s="483">
        <v>1520000.0000000005</v>
      </c>
      <c r="BH232" s="483"/>
      <c r="BI232" s="483"/>
      <c r="BJ232" s="483"/>
      <c r="BK232" s="483"/>
      <c r="BL232" s="483"/>
      <c r="BM232" s="483"/>
      <c r="BN232" s="483"/>
      <c r="BO232" s="483"/>
      <c r="BP232" s="483"/>
      <c r="BQ232" s="483"/>
      <c r="BR232" s="483">
        <v>1600000.0000000007</v>
      </c>
      <c r="BS232" s="484">
        <f t="shared" si="53"/>
        <v>80000.000000000015</v>
      </c>
      <c r="BT232" s="485">
        <f t="shared" si="57"/>
        <v>0</v>
      </c>
      <c r="BU232" s="485">
        <f t="shared" si="57"/>
        <v>0</v>
      </c>
      <c r="BV232" s="485">
        <f t="shared" si="57"/>
        <v>0</v>
      </c>
      <c r="BW232" s="485">
        <f t="shared" si="57"/>
        <v>1</v>
      </c>
      <c r="BX232" s="485">
        <f t="shared" si="57"/>
        <v>0</v>
      </c>
      <c r="BY232" s="485">
        <f t="shared" si="57"/>
        <v>0</v>
      </c>
      <c r="BZ232" s="485">
        <f t="shared" si="57"/>
        <v>0</v>
      </c>
      <c r="CA232" s="485">
        <f t="shared" si="57"/>
        <v>0</v>
      </c>
      <c r="CB232" s="485">
        <f t="shared" si="57"/>
        <v>0</v>
      </c>
      <c r="CC232" s="485">
        <f t="shared" si="57"/>
        <v>0</v>
      </c>
      <c r="CD232" s="485">
        <f t="shared" si="58"/>
        <v>0</v>
      </c>
      <c r="CE232" s="485">
        <f t="shared" si="58"/>
        <v>0</v>
      </c>
      <c r="CF232" s="485">
        <f t="shared" si="58"/>
        <v>0</v>
      </c>
      <c r="CG232" s="485">
        <f t="shared" si="58"/>
        <v>0</v>
      </c>
      <c r="CH232" s="485">
        <f t="shared" si="58"/>
        <v>0</v>
      </c>
      <c r="CI232" s="485">
        <f t="shared" si="58"/>
        <v>0</v>
      </c>
      <c r="CJ232" s="485">
        <f t="shared" si="58"/>
        <v>0</v>
      </c>
      <c r="CK232" s="485">
        <f t="shared" si="58"/>
        <v>0</v>
      </c>
      <c r="CL232" s="485">
        <f t="shared" si="58"/>
        <v>0</v>
      </c>
      <c r="CM232" s="486">
        <f t="shared" si="54"/>
        <v>1</v>
      </c>
    </row>
    <row r="233" spans="1:91" s="487" customFormat="1" ht="25.5" x14ac:dyDescent="0.25">
      <c r="A233" s="497" t="s">
        <v>289</v>
      </c>
      <c r="B233" s="498" t="s">
        <v>1958</v>
      </c>
      <c r="C233" s="497" t="s">
        <v>860</v>
      </c>
      <c r="D233" s="498"/>
      <c r="E233" s="497"/>
      <c r="F233" s="498"/>
      <c r="G233" s="497"/>
      <c r="H233" s="497" t="s">
        <v>654</v>
      </c>
      <c r="I233" s="497" t="s">
        <v>647</v>
      </c>
      <c r="J233" s="497" t="s">
        <v>641</v>
      </c>
      <c r="K233" s="497" t="s">
        <v>649</v>
      </c>
      <c r="L233" s="497" t="s">
        <v>40</v>
      </c>
      <c r="M233" s="497" t="s">
        <v>646</v>
      </c>
      <c r="N233" s="497" t="s">
        <v>645</v>
      </c>
      <c r="O233" s="497"/>
      <c r="P233" s="497"/>
      <c r="Q233" s="497" t="s">
        <v>642</v>
      </c>
      <c r="R233" s="497" t="s">
        <v>652</v>
      </c>
      <c r="S233" s="497" t="s">
        <v>649</v>
      </c>
      <c r="T233" s="497"/>
      <c r="U233" s="497"/>
      <c r="V233" s="497" t="s">
        <v>641</v>
      </c>
      <c r="W233" s="497" t="s">
        <v>684</v>
      </c>
      <c r="X233" s="499">
        <v>42614</v>
      </c>
      <c r="Y233" s="499">
        <v>43640</v>
      </c>
      <c r="Z233" s="500">
        <v>2019</v>
      </c>
      <c r="AA233" s="497"/>
      <c r="AB233" s="497"/>
      <c r="AC233" s="497"/>
      <c r="AD233" s="501"/>
      <c r="AE233" s="501"/>
      <c r="AF233" s="501"/>
      <c r="AG233" s="501">
        <v>240825.00000000003</v>
      </c>
      <c r="AH233" s="501"/>
      <c r="AI233" s="501">
        <v>144017.99999826751</v>
      </c>
      <c r="AJ233" s="501"/>
      <c r="AK233" s="501"/>
      <c r="AL233" s="501">
        <v>5321490.3999901451</v>
      </c>
      <c r="AM233" s="501"/>
      <c r="AN233" s="501"/>
      <c r="AO233" s="501">
        <v>0</v>
      </c>
      <c r="AP233" s="501"/>
      <c r="AQ233" s="501"/>
      <c r="AR233" s="501"/>
      <c r="AS233" s="501"/>
      <c r="AT233" s="501"/>
      <c r="AU233" s="501"/>
      <c r="AV233" s="501"/>
      <c r="AW233" s="501"/>
      <c r="AX233" s="501"/>
      <c r="AY233" s="501"/>
      <c r="AZ233" s="501"/>
      <c r="BA233" s="501"/>
      <c r="BB233" s="483">
        <v>1761462.1999982621</v>
      </c>
      <c r="BC233" s="483">
        <v>633904.79999884125</v>
      </c>
      <c r="BD233" s="483">
        <v>1069714.3499980445</v>
      </c>
      <c r="BE233" s="483">
        <v>24850.140562454795</v>
      </c>
      <c r="BF233" s="483">
        <v>0</v>
      </c>
      <c r="BG233" s="483">
        <v>2744136.6892735059</v>
      </c>
      <c r="BH233" s="483"/>
      <c r="BI233" s="483"/>
      <c r="BJ233" s="483"/>
      <c r="BK233" s="483"/>
      <c r="BL233" s="483"/>
      <c r="BM233" s="483"/>
      <c r="BN233" s="483"/>
      <c r="BO233" s="483"/>
      <c r="BP233" s="483"/>
      <c r="BQ233" s="483"/>
      <c r="BR233" s="483">
        <v>11940401.579819525</v>
      </c>
      <c r="BS233" s="484">
        <f t="shared" si="53"/>
        <v>5706333.3999884129</v>
      </c>
      <c r="BT233" s="485">
        <f t="shared" si="57"/>
        <v>0</v>
      </c>
      <c r="BU233" s="485">
        <f t="shared" si="57"/>
        <v>0</v>
      </c>
      <c r="BV233" s="485">
        <f t="shared" si="57"/>
        <v>0</v>
      </c>
      <c r="BW233" s="485">
        <f t="shared" si="57"/>
        <v>0</v>
      </c>
      <c r="BX233" s="485">
        <f t="shared" si="57"/>
        <v>0</v>
      </c>
      <c r="BY233" s="485">
        <f t="shared" si="57"/>
        <v>0</v>
      </c>
      <c r="BZ233" s="485">
        <f t="shared" si="57"/>
        <v>0</v>
      </c>
      <c r="CA233" s="485">
        <f t="shared" si="57"/>
        <v>0</v>
      </c>
      <c r="CB233" s="485">
        <f t="shared" si="57"/>
        <v>0</v>
      </c>
      <c r="CC233" s="485">
        <f t="shared" si="57"/>
        <v>4.2203107165187555E-2</v>
      </c>
      <c r="CD233" s="485">
        <f t="shared" si="58"/>
        <v>0</v>
      </c>
      <c r="CE233" s="485">
        <f t="shared" si="58"/>
        <v>2.5238272968515992E-2</v>
      </c>
      <c r="CF233" s="485">
        <f t="shared" si="58"/>
        <v>0</v>
      </c>
      <c r="CG233" s="485">
        <f t="shared" si="58"/>
        <v>0</v>
      </c>
      <c r="CH233" s="485">
        <f t="shared" si="58"/>
        <v>0.9325586198662964</v>
      </c>
      <c r="CI233" s="485">
        <f t="shared" si="58"/>
        <v>0</v>
      </c>
      <c r="CJ233" s="485">
        <f t="shared" si="58"/>
        <v>0</v>
      </c>
      <c r="CK233" s="485">
        <f t="shared" si="58"/>
        <v>0</v>
      </c>
      <c r="CL233" s="485">
        <f t="shared" si="58"/>
        <v>0</v>
      </c>
      <c r="CM233" s="486">
        <f t="shared" si="54"/>
        <v>1</v>
      </c>
    </row>
    <row r="234" spans="1:91" s="487" customFormat="1" ht="25.5" customHeight="1" x14ac:dyDescent="0.25">
      <c r="A234" s="497" t="s">
        <v>291</v>
      </c>
      <c r="B234" s="498" t="s">
        <v>1960</v>
      </c>
      <c r="C234" s="497" t="s">
        <v>859</v>
      </c>
      <c r="D234" s="498"/>
      <c r="E234" s="497" t="s">
        <v>779</v>
      </c>
      <c r="F234" s="498"/>
      <c r="G234" s="497"/>
      <c r="H234" s="497" t="s">
        <v>654</v>
      </c>
      <c r="I234" s="497" t="s">
        <v>647</v>
      </c>
      <c r="J234" s="497" t="s">
        <v>641</v>
      </c>
      <c r="K234" s="497" t="s">
        <v>649</v>
      </c>
      <c r="L234" s="497" t="s">
        <v>54</v>
      </c>
      <c r="M234" s="497" t="s">
        <v>646</v>
      </c>
      <c r="N234" s="497" t="s">
        <v>699</v>
      </c>
      <c r="O234" s="497"/>
      <c r="P234" s="497"/>
      <c r="Q234" s="497" t="s">
        <v>656</v>
      </c>
      <c r="R234" s="497" t="s">
        <v>652</v>
      </c>
      <c r="S234" s="497"/>
      <c r="T234" s="497"/>
      <c r="U234" s="497"/>
      <c r="V234" s="497" t="s">
        <v>641</v>
      </c>
      <c r="W234" s="497" t="s">
        <v>677</v>
      </c>
      <c r="X234" s="499">
        <v>41883</v>
      </c>
      <c r="Y234" s="499">
        <v>43164</v>
      </c>
      <c r="Z234" s="500">
        <v>2018</v>
      </c>
      <c r="AA234" s="497" t="s">
        <v>663</v>
      </c>
      <c r="AB234" s="497" t="s">
        <v>675</v>
      </c>
      <c r="AC234" s="497" t="s">
        <v>663</v>
      </c>
      <c r="AD234" s="501"/>
      <c r="AE234" s="501"/>
      <c r="AF234" s="501"/>
      <c r="AG234" s="501"/>
      <c r="AH234" s="501"/>
      <c r="AI234" s="501"/>
      <c r="AJ234" s="501"/>
      <c r="AK234" s="501"/>
      <c r="AL234" s="501"/>
      <c r="AM234" s="501"/>
      <c r="AN234" s="501"/>
      <c r="AO234" s="501">
        <v>4747884.8124000011</v>
      </c>
      <c r="AP234" s="501"/>
      <c r="AQ234" s="501"/>
      <c r="AR234" s="501"/>
      <c r="AS234" s="501"/>
      <c r="AT234" s="501"/>
      <c r="AU234" s="501"/>
      <c r="AV234" s="501"/>
      <c r="AW234" s="501"/>
      <c r="AX234" s="501"/>
      <c r="AY234" s="501"/>
      <c r="AZ234" s="501"/>
      <c r="BA234" s="501"/>
      <c r="BB234" s="483"/>
      <c r="BC234" s="483"/>
      <c r="BD234" s="483"/>
      <c r="BE234" s="483"/>
      <c r="BF234" s="483"/>
      <c r="BG234" s="483"/>
      <c r="BH234" s="483"/>
      <c r="BI234" s="483"/>
      <c r="BJ234" s="483"/>
      <c r="BK234" s="483"/>
      <c r="BL234" s="483"/>
      <c r="BM234" s="483"/>
      <c r="BN234" s="483"/>
      <c r="BO234" s="483"/>
      <c r="BP234" s="483"/>
      <c r="BQ234" s="483"/>
      <c r="BR234" s="483">
        <v>4747884.8124000011</v>
      </c>
      <c r="BS234" s="484">
        <f t="shared" si="53"/>
        <v>4747884.8124000011</v>
      </c>
      <c r="BT234" s="485">
        <f t="shared" si="57"/>
        <v>0</v>
      </c>
      <c r="BU234" s="485">
        <f t="shared" si="57"/>
        <v>0</v>
      </c>
      <c r="BV234" s="485">
        <f t="shared" si="57"/>
        <v>0</v>
      </c>
      <c r="BW234" s="485">
        <f t="shared" si="57"/>
        <v>0</v>
      </c>
      <c r="BX234" s="485">
        <f t="shared" si="57"/>
        <v>0</v>
      </c>
      <c r="BY234" s="485">
        <f t="shared" si="57"/>
        <v>0</v>
      </c>
      <c r="BZ234" s="485">
        <f t="shared" si="57"/>
        <v>0</v>
      </c>
      <c r="CA234" s="485">
        <f t="shared" si="57"/>
        <v>0</v>
      </c>
      <c r="CB234" s="485">
        <f t="shared" si="57"/>
        <v>0</v>
      </c>
      <c r="CC234" s="485">
        <f t="shared" si="57"/>
        <v>0</v>
      </c>
      <c r="CD234" s="485">
        <f t="shared" si="58"/>
        <v>0</v>
      </c>
      <c r="CE234" s="485">
        <f t="shared" si="58"/>
        <v>0</v>
      </c>
      <c r="CF234" s="485">
        <f t="shared" si="58"/>
        <v>0</v>
      </c>
      <c r="CG234" s="485">
        <f t="shared" si="58"/>
        <v>0</v>
      </c>
      <c r="CH234" s="485">
        <f t="shared" si="58"/>
        <v>0</v>
      </c>
      <c r="CI234" s="485">
        <f t="shared" si="58"/>
        <v>1</v>
      </c>
      <c r="CJ234" s="485">
        <f t="shared" si="58"/>
        <v>0</v>
      </c>
      <c r="CK234" s="485">
        <f t="shared" si="58"/>
        <v>0</v>
      </c>
      <c r="CL234" s="485">
        <f t="shared" si="58"/>
        <v>0</v>
      </c>
      <c r="CM234" s="486">
        <f t="shared" si="54"/>
        <v>1</v>
      </c>
    </row>
    <row r="235" spans="1:91" s="487" customFormat="1" ht="25.5" x14ac:dyDescent="0.25">
      <c r="A235" s="497" t="s">
        <v>295</v>
      </c>
      <c r="B235" s="498" t="s">
        <v>1964</v>
      </c>
      <c r="C235" s="497" t="s">
        <v>858</v>
      </c>
      <c r="D235" s="498"/>
      <c r="E235" s="497" t="s">
        <v>856</v>
      </c>
      <c r="F235" s="498"/>
      <c r="G235" s="497" t="s">
        <v>722</v>
      </c>
      <c r="H235" s="497" t="s">
        <v>654</v>
      </c>
      <c r="I235" s="497" t="s">
        <v>647</v>
      </c>
      <c r="J235" s="497" t="s">
        <v>671</v>
      </c>
      <c r="K235" s="497" t="s">
        <v>649</v>
      </c>
      <c r="L235" s="497" t="s">
        <v>855</v>
      </c>
      <c r="M235" s="497" t="s">
        <v>646</v>
      </c>
      <c r="N235" s="497" t="s">
        <v>680</v>
      </c>
      <c r="O235" s="497" t="s">
        <v>786</v>
      </c>
      <c r="P235" s="497" t="s">
        <v>643</v>
      </c>
      <c r="Q235" s="497" t="s">
        <v>642</v>
      </c>
      <c r="R235" s="497" t="s">
        <v>652</v>
      </c>
      <c r="S235" s="497" t="s">
        <v>649</v>
      </c>
      <c r="T235" s="497"/>
      <c r="U235" s="497"/>
      <c r="V235" s="497" t="s">
        <v>854</v>
      </c>
      <c r="W235" s="497" t="s">
        <v>684</v>
      </c>
      <c r="X235" s="499">
        <v>41487</v>
      </c>
      <c r="Y235" s="499">
        <v>42849</v>
      </c>
      <c r="Z235" s="500">
        <v>2017</v>
      </c>
      <c r="AA235" s="497" t="s">
        <v>649</v>
      </c>
      <c r="AB235" s="497" t="s">
        <v>854</v>
      </c>
      <c r="AC235" s="497" t="s">
        <v>663</v>
      </c>
      <c r="AD235" s="501"/>
      <c r="AE235" s="501"/>
      <c r="AF235" s="501"/>
      <c r="AG235" s="501"/>
      <c r="AH235" s="501"/>
      <c r="AI235" s="501"/>
      <c r="AJ235" s="501"/>
      <c r="AK235" s="501"/>
      <c r="AL235" s="501"/>
      <c r="AM235" s="501"/>
      <c r="AN235" s="501">
        <v>184500</v>
      </c>
      <c r="AO235" s="501"/>
      <c r="AP235" s="501"/>
      <c r="AQ235" s="501"/>
      <c r="AR235" s="501"/>
      <c r="AS235" s="501"/>
      <c r="AT235" s="501">
        <v>6840351</v>
      </c>
      <c r="AU235" s="501"/>
      <c r="AV235" s="501"/>
      <c r="AW235" s="501"/>
      <c r="AX235" s="501"/>
      <c r="AY235" s="501"/>
      <c r="AZ235" s="501"/>
      <c r="BA235" s="501"/>
      <c r="BB235" s="483"/>
      <c r="BC235" s="483"/>
      <c r="BD235" s="483"/>
      <c r="BE235" s="483"/>
      <c r="BF235" s="483"/>
      <c r="BG235" s="483">
        <v>264311</v>
      </c>
      <c r="BH235" s="483">
        <v>16246.000000000002</v>
      </c>
      <c r="BI235" s="483"/>
      <c r="BJ235" s="483"/>
      <c r="BK235" s="483">
        <v>550866</v>
      </c>
      <c r="BL235" s="483"/>
      <c r="BM235" s="483"/>
      <c r="BN235" s="483">
        <v>838800</v>
      </c>
      <c r="BO235" s="483"/>
      <c r="BP235" s="483"/>
      <c r="BQ235" s="483">
        <v>345000</v>
      </c>
      <c r="BR235" s="483">
        <v>9040074</v>
      </c>
      <c r="BS235" s="484">
        <f t="shared" si="53"/>
        <v>7024851</v>
      </c>
      <c r="BT235" s="485">
        <f t="shared" si="57"/>
        <v>0</v>
      </c>
      <c r="BU235" s="485">
        <f t="shared" si="57"/>
        <v>0</v>
      </c>
      <c r="BV235" s="485">
        <f t="shared" si="57"/>
        <v>0</v>
      </c>
      <c r="BW235" s="485">
        <f t="shared" si="57"/>
        <v>0</v>
      </c>
      <c r="BX235" s="485">
        <f t="shared" si="57"/>
        <v>0.97373609774783831</v>
      </c>
      <c r="BY235" s="485">
        <f t="shared" si="57"/>
        <v>0</v>
      </c>
      <c r="BZ235" s="485">
        <f t="shared" si="57"/>
        <v>0</v>
      </c>
      <c r="CA235" s="485">
        <f t="shared" si="57"/>
        <v>0</v>
      </c>
      <c r="CB235" s="485">
        <f t="shared" si="57"/>
        <v>0</v>
      </c>
      <c r="CC235" s="485">
        <f t="shared" si="57"/>
        <v>0</v>
      </c>
      <c r="CD235" s="485">
        <f t="shared" si="58"/>
        <v>0</v>
      </c>
      <c r="CE235" s="485">
        <f t="shared" si="58"/>
        <v>0</v>
      </c>
      <c r="CF235" s="485">
        <f t="shared" si="58"/>
        <v>0</v>
      </c>
      <c r="CG235" s="485">
        <f t="shared" si="58"/>
        <v>0</v>
      </c>
      <c r="CH235" s="485">
        <f t="shared" si="58"/>
        <v>0</v>
      </c>
      <c r="CI235" s="485">
        <f t="shared" si="58"/>
        <v>0</v>
      </c>
      <c r="CJ235" s="485">
        <f t="shared" si="58"/>
        <v>2.6263902252161648E-2</v>
      </c>
      <c r="CK235" s="485">
        <f t="shared" si="58"/>
        <v>0</v>
      </c>
      <c r="CL235" s="485">
        <f t="shared" si="58"/>
        <v>0</v>
      </c>
      <c r="CM235" s="486">
        <f t="shared" si="54"/>
        <v>1</v>
      </c>
    </row>
    <row r="236" spans="1:91" s="487" customFormat="1" ht="25.5" x14ac:dyDescent="0.25">
      <c r="A236" s="497" t="s">
        <v>297</v>
      </c>
      <c r="B236" s="498" t="s">
        <v>1966</v>
      </c>
      <c r="C236" s="497" t="s">
        <v>857</v>
      </c>
      <c r="D236" s="498"/>
      <c r="E236" s="497" t="s">
        <v>856</v>
      </c>
      <c r="F236" s="498"/>
      <c r="G236" s="497" t="s">
        <v>722</v>
      </c>
      <c r="H236" s="497" t="s">
        <v>654</v>
      </c>
      <c r="I236" s="497" t="s">
        <v>647</v>
      </c>
      <c r="J236" s="497" t="s">
        <v>671</v>
      </c>
      <c r="K236" s="497" t="s">
        <v>649</v>
      </c>
      <c r="L236" s="497" t="s">
        <v>855</v>
      </c>
      <c r="M236" s="497" t="s">
        <v>646</v>
      </c>
      <c r="N236" s="497" t="s">
        <v>668</v>
      </c>
      <c r="O236" s="497"/>
      <c r="P236" s="497"/>
      <c r="Q236" s="497" t="s">
        <v>642</v>
      </c>
      <c r="R236" s="497" t="s">
        <v>652</v>
      </c>
      <c r="S236" s="497" t="s">
        <v>649</v>
      </c>
      <c r="T236" s="497"/>
      <c r="U236" s="497"/>
      <c r="V236" s="497" t="s">
        <v>854</v>
      </c>
      <c r="W236" s="497" t="s">
        <v>684</v>
      </c>
      <c r="X236" s="499">
        <v>41487</v>
      </c>
      <c r="Y236" s="499">
        <v>42849</v>
      </c>
      <c r="Z236" s="500">
        <v>2017</v>
      </c>
      <c r="AA236" s="497"/>
      <c r="AB236" s="497" t="s">
        <v>854</v>
      </c>
      <c r="AC236" s="497" t="s">
        <v>663</v>
      </c>
      <c r="AD236" s="501"/>
      <c r="AE236" s="501"/>
      <c r="AF236" s="501"/>
      <c r="AG236" s="501"/>
      <c r="AH236" s="501"/>
      <c r="AI236" s="501"/>
      <c r="AJ236" s="501"/>
      <c r="AK236" s="501"/>
      <c r="AL236" s="501"/>
      <c r="AM236" s="501"/>
      <c r="AN236" s="501"/>
      <c r="AO236" s="501"/>
      <c r="AP236" s="501"/>
      <c r="AQ236" s="501"/>
      <c r="AR236" s="501"/>
      <c r="AS236" s="501">
        <v>1187341.2499999998</v>
      </c>
      <c r="AT236" s="501">
        <v>4841948</v>
      </c>
      <c r="AU236" s="501"/>
      <c r="AV236" s="501"/>
      <c r="AW236" s="501"/>
      <c r="AX236" s="501"/>
      <c r="AY236" s="501"/>
      <c r="AZ236" s="501"/>
      <c r="BA236" s="501"/>
      <c r="BB236" s="483"/>
      <c r="BC236" s="483"/>
      <c r="BD236" s="483"/>
      <c r="BE236" s="483"/>
      <c r="BF236" s="483"/>
      <c r="BG236" s="483"/>
      <c r="BH236" s="483"/>
      <c r="BI236" s="483"/>
      <c r="BJ236" s="483"/>
      <c r="BK236" s="483"/>
      <c r="BL236" s="483"/>
      <c r="BM236" s="483"/>
      <c r="BN236" s="483"/>
      <c r="BO236" s="483"/>
      <c r="BP236" s="483"/>
      <c r="BQ236" s="483"/>
      <c r="BR236" s="483">
        <v>6029289.2499999991</v>
      </c>
      <c r="BS236" s="484">
        <f t="shared" si="53"/>
        <v>6029289.25</v>
      </c>
      <c r="BT236" s="485">
        <f t="shared" si="57"/>
        <v>0</v>
      </c>
      <c r="BU236" s="485">
        <f t="shared" si="57"/>
        <v>0</v>
      </c>
      <c r="BV236" s="485">
        <f t="shared" si="57"/>
        <v>0</v>
      </c>
      <c r="BW236" s="485">
        <f t="shared" si="57"/>
        <v>0</v>
      </c>
      <c r="BX236" s="485">
        <f t="shared" si="57"/>
        <v>0.80307110825708017</v>
      </c>
      <c r="BY236" s="485">
        <f t="shared" si="57"/>
        <v>0.19692889174291975</v>
      </c>
      <c r="BZ236" s="485">
        <f t="shared" si="57"/>
        <v>0</v>
      </c>
      <c r="CA236" s="485">
        <f t="shared" si="57"/>
        <v>0</v>
      </c>
      <c r="CB236" s="485">
        <f t="shared" si="57"/>
        <v>0</v>
      </c>
      <c r="CC236" s="485">
        <f t="shared" si="57"/>
        <v>0</v>
      </c>
      <c r="CD236" s="485">
        <f t="shared" si="58"/>
        <v>0</v>
      </c>
      <c r="CE236" s="485">
        <f t="shared" si="58"/>
        <v>0</v>
      </c>
      <c r="CF236" s="485">
        <f t="shared" si="58"/>
        <v>0</v>
      </c>
      <c r="CG236" s="485">
        <f t="shared" si="58"/>
        <v>0</v>
      </c>
      <c r="CH236" s="485">
        <f t="shared" si="58"/>
        <v>0</v>
      </c>
      <c r="CI236" s="485">
        <f t="shared" si="58"/>
        <v>0</v>
      </c>
      <c r="CJ236" s="485">
        <f t="shared" si="58"/>
        <v>0</v>
      </c>
      <c r="CK236" s="485">
        <f t="shared" si="58"/>
        <v>0</v>
      </c>
      <c r="CL236" s="485">
        <f t="shared" si="58"/>
        <v>0</v>
      </c>
      <c r="CM236" s="486">
        <f t="shared" si="54"/>
        <v>0.99999999999999989</v>
      </c>
    </row>
    <row r="237" spans="1:91" s="487" customFormat="1" ht="25.5" x14ac:dyDescent="0.25">
      <c r="A237" s="497" t="s">
        <v>299</v>
      </c>
      <c r="B237" s="498" t="s">
        <v>2840</v>
      </c>
      <c r="C237" s="497" t="s">
        <v>853</v>
      </c>
      <c r="D237" s="498"/>
      <c r="E237" s="497" t="s">
        <v>692</v>
      </c>
      <c r="F237" s="498"/>
      <c r="G237" s="497"/>
      <c r="H237" s="497" t="s">
        <v>654</v>
      </c>
      <c r="I237" s="497" t="s">
        <v>647</v>
      </c>
      <c r="J237" s="497" t="s">
        <v>671</v>
      </c>
      <c r="K237" s="497" t="s">
        <v>649</v>
      </c>
      <c r="L237" s="497" t="s">
        <v>55</v>
      </c>
      <c r="M237" s="497" t="s">
        <v>646</v>
      </c>
      <c r="N237" s="497" t="s">
        <v>645</v>
      </c>
      <c r="O237" s="497"/>
      <c r="P237" s="497"/>
      <c r="Q237" s="497" t="s">
        <v>656</v>
      </c>
      <c r="R237" s="497" t="s">
        <v>652</v>
      </c>
      <c r="S237" s="497" t="s">
        <v>649</v>
      </c>
      <c r="T237" s="497"/>
      <c r="U237" s="497"/>
      <c r="V237" s="497" t="s">
        <v>683</v>
      </c>
      <c r="W237" s="497"/>
      <c r="X237" s="499">
        <v>42401</v>
      </c>
      <c r="Y237" s="499">
        <v>43234</v>
      </c>
      <c r="Z237" s="500">
        <v>2018</v>
      </c>
      <c r="AA237" s="497"/>
      <c r="AB237" s="497"/>
      <c r="AC237" s="497"/>
      <c r="AD237" s="501"/>
      <c r="AE237" s="501"/>
      <c r="AF237" s="501"/>
      <c r="AG237" s="501"/>
      <c r="AH237" s="501"/>
      <c r="AI237" s="501"/>
      <c r="AJ237" s="501"/>
      <c r="AK237" s="501"/>
      <c r="AL237" s="501"/>
      <c r="AM237" s="501"/>
      <c r="AN237" s="501"/>
      <c r="AO237" s="501"/>
      <c r="AP237" s="501"/>
      <c r="AQ237" s="501"/>
      <c r="AR237" s="501"/>
      <c r="AS237" s="501"/>
      <c r="AT237" s="501"/>
      <c r="AU237" s="501"/>
      <c r="AV237" s="501">
        <v>239970.00000000015</v>
      </c>
      <c r="AW237" s="501"/>
      <c r="AX237" s="501"/>
      <c r="AY237" s="501"/>
      <c r="AZ237" s="501"/>
      <c r="BA237" s="501"/>
      <c r="BB237" s="483"/>
      <c r="BC237" s="483"/>
      <c r="BD237" s="483"/>
      <c r="BE237" s="483"/>
      <c r="BF237" s="483"/>
      <c r="BG237" s="483">
        <v>1023030.0000000016</v>
      </c>
      <c r="BH237" s="483"/>
      <c r="BI237" s="483"/>
      <c r="BJ237" s="483"/>
      <c r="BK237" s="483"/>
      <c r="BL237" s="483"/>
      <c r="BM237" s="483"/>
      <c r="BN237" s="483"/>
      <c r="BO237" s="483"/>
      <c r="BP237" s="483"/>
      <c r="BQ237" s="483"/>
      <c r="BR237" s="483">
        <v>1263000.0000000016</v>
      </c>
      <c r="BS237" s="484">
        <f t="shared" si="53"/>
        <v>239970.00000000015</v>
      </c>
      <c r="BT237" s="485">
        <f t="shared" si="57"/>
        <v>0</v>
      </c>
      <c r="BU237" s="485">
        <f t="shared" si="57"/>
        <v>0</v>
      </c>
      <c r="BV237" s="485">
        <f t="shared" si="57"/>
        <v>0</v>
      </c>
      <c r="BW237" s="485">
        <f t="shared" si="57"/>
        <v>1</v>
      </c>
      <c r="BX237" s="485">
        <f t="shared" si="57"/>
        <v>0</v>
      </c>
      <c r="BY237" s="485">
        <f t="shared" si="57"/>
        <v>0</v>
      </c>
      <c r="BZ237" s="485">
        <f t="shared" si="57"/>
        <v>0</v>
      </c>
      <c r="CA237" s="485">
        <f t="shared" si="57"/>
        <v>0</v>
      </c>
      <c r="CB237" s="485">
        <f t="shared" si="57"/>
        <v>0</v>
      </c>
      <c r="CC237" s="485">
        <f t="shared" si="57"/>
        <v>0</v>
      </c>
      <c r="CD237" s="485">
        <f t="shared" si="58"/>
        <v>0</v>
      </c>
      <c r="CE237" s="485">
        <f t="shared" si="58"/>
        <v>0</v>
      </c>
      <c r="CF237" s="485">
        <f t="shared" si="58"/>
        <v>0</v>
      </c>
      <c r="CG237" s="485">
        <f t="shared" si="58"/>
        <v>0</v>
      </c>
      <c r="CH237" s="485">
        <f t="shared" si="58"/>
        <v>0</v>
      </c>
      <c r="CI237" s="485">
        <f t="shared" si="58"/>
        <v>0</v>
      </c>
      <c r="CJ237" s="485">
        <f t="shared" si="58"/>
        <v>0</v>
      </c>
      <c r="CK237" s="485">
        <f t="shared" si="58"/>
        <v>0</v>
      </c>
      <c r="CL237" s="485">
        <f t="shared" si="58"/>
        <v>0</v>
      </c>
      <c r="CM237" s="486">
        <f t="shared" si="54"/>
        <v>1</v>
      </c>
    </row>
    <row r="238" spans="1:91" s="487" customFormat="1" ht="25.5" x14ac:dyDescent="0.25">
      <c r="A238" s="497" t="s">
        <v>300</v>
      </c>
      <c r="B238" s="498" t="s">
        <v>1628</v>
      </c>
      <c r="C238" s="497" t="s">
        <v>852</v>
      </c>
      <c r="D238" s="498"/>
      <c r="E238" s="497"/>
      <c r="F238" s="498"/>
      <c r="G238" s="497" t="s">
        <v>686</v>
      </c>
      <c r="H238" s="497" t="s">
        <v>654</v>
      </c>
      <c r="I238" s="497" t="s">
        <v>647</v>
      </c>
      <c r="J238" s="497" t="s">
        <v>641</v>
      </c>
      <c r="K238" s="497" t="s">
        <v>649</v>
      </c>
      <c r="L238" s="497" t="s">
        <v>41</v>
      </c>
      <c r="M238" s="497" t="s">
        <v>646</v>
      </c>
      <c r="N238" s="497" t="s">
        <v>680</v>
      </c>
      <c r="O238" s="497" t="s">
        <v>786</v>
      </c>
      <c r="P238" s="497" t="s">
        <v>643</v>
      </c>
      <c r="Q238" s="497" t="s">
        <v>656</v>
      </c>
      <c r="R238" s="497" t="s">
        <v>652</v>
      </c>
      <c r="S238" s="497" t="s">
        <v>649</v>
      </c>
      <c r="T238" s="497"/>
      <c r="U238" s="497"/>
      <c r="V238" s="497" t="s">
        <v>641</v>
      </c>
      <c r="W238" s="497" t="s">
        <v>684</v>
      </c>
      <c r="X238" s="499">
        <v>41426</v>
      </c>
      <c r="Y238" s="499">
        <v>43311</v>
      </c>
      <c r="Z238" s="500">
        <v>2018</v>
      </c>
      <c r="AA238" s="497" t="s">
        <v>649</v>
      </c>
      <c r="AB238" s="497" t="s">
        <v>697</v>
      </c>
      <c r="AC238" s="497" t="s">
        <v>649</v>
      </c>
      <c r="AD238" s="501"/>
      <c r="AE238" s="501">
        <v>159999.99999440028</v>
      </c>
      <c r="AF238" s="501"/>
      <c r="AG238" s="501">
        <v>691640.01989712263</v>
      </c>
      <c r="AH238" s="501"/>
      <c r="AI238" s="501">
        <v>538690.47128061194</v>
      </c>
      <c r="AJ238" s="501">
        <v>341208.00965598371</v>
      </c>
      <c r="AK238" s="501">
        <v>94379.999990050128</v>
      </c>
      <c r="AL238" s="501">
        <v>1230625.0199750911</v>
      </c>
      <c r="AM238" s="501"/>
      <c r="AN238" s="501"/>
      <c r="AO238" s="501">
        <v>50000.000000000065</v>
      </c>
      <c r="AP238" s="501"/>
      <c r="AQ238" s="501">
        <v>191602.75605474791</v>
      </c>
      <c r="AR238" s="501">
        <v>217869.55571000031</v>
      </c>
      <c r="AS238" s="501"/>
      <c r="AT238" s="501"/>
      <c r="AU238" s="501"/>
      <c r="AV238" s="501"/>
      <c r="AW238" s="501"/>
      <c r="AX238" s="501"/>
      <c r="AY238" s="501"/>
      <c r="AZ238" s="501"/>
      <c r="BA238" s="501"/>
      <c r="BB238" s="483">
        <v>454829.91246802581</v>
      </c>
      <c r="BC238" s="483">
        <v>303219.9416453506</v>
      </c>
      <c r="BD238" s="483">
        <v>511683.65152652905</v>
      </c>
      <c r="BE238" s="483">
        <v>12737.310680031887</v>
      </c>
      <c r="BF238" s="483">
        <v>279662.70950432582</v>
      </c>
      <c r="BG238" s="483">
        <v>1448651.0067911372</v>
      </c>
      <c r="BH238" s="483"/>
      <c r="BI238" s="483"/>
      <c r="BJ238" s="483"/>
      <c r="BK238" s="483"/>
      <c r="BL238" s="483"/>
      <c r="BM238" s="483"/>
      <c r="BN238" s="483"/>
      <c r="BO238" s="483"/>
      <c r="BP238" s="483"/>
      <c r="BQ238" s="483"/>
      <c r="BR238" s="483">
        <v>6526800.3651734116</v>
      </c>
      <c r="BS238" s="484">
        <f t="shared" si="53"/>
        <v>3516015.8325580084</v>
      </c>
      <c r="BT238" s="485">
        <f t="shared" si="57"/>
        <v>0</v>
      </c>
      <c r="BU238" s="485">
        <f t="shared" si="57"/>
        <v>6.1964896088506402E-2</v>
      </c>
      <c r="BV238" s="485">
        <f t="shared" si="57"/>
        <v>5.4494281362593038E-2</v>
      </c>
      <c r="BW238" s="485">
        <f t="shared" si="57"/>
        <v>0</v>
      </c>
      <c r="BX238" s="485">
        <f t="shared" si="57"/>
        <v>0</v>
      </c>
      <c r="BY238" s="485">
        <f t="shared" si="57"/>
        <v>0</v>
      </c>
      <c r="BZ238" s="485">
        <f t="shared" si="57"/>
        <v>0</v>
      </c>
      <c r="CA238" s="485">
        <f t="shared" si="57"/>
        <v>0</v>
      </c>
      <c r="CB238" s="485">
        <f t="shared" si="57"/>
        <v>0</v>
      </c>
      <c r="CC238" s="485">
        <f t="shared" si="57"/>
        <v>0.24221734498616548</v>
      </c>
      <c r="CD238" s="485">
        <f t="shared" si="58"/>
        <v>9.7043934357867928E-2</v>
      </c>
      <c r="CE238" s="485">
        <f t="shared" si="58"/>
        <v>0.15321047939897878</v>
      </c>
      <c r="CF238" s="485">
        <f t="shared" si="58"/>
        <v>2.6842882536562928E-2</v>
      </c>
      <c r="CG238" s="485">
        <f t="shared" si="58"/>
        <v>0</v>
      </c>
      <c r="CH238" s="485">
        <f t="shared" si="58"/>
        <v>0.35000553995792844</v>
      </c>
      <c r="CI238" s="485">
        <f t="shared" si="58"/>
        <v>1.4220641311396925E-2</v>
      </c>
      <c r="CJ238" s="485">
        <f t="shared" si="58"/>
        <v>0</v>
      </c>
      <c r="CK238" s="485">
        <f t="shared" si="58"/>
        <v>0</v>
      </c>
      <c r="CL238" s="485">
        <f t="shared" si="58"/>
        <v>0</v>
      </c>
      <c r="CM238" s="486">
        <f t="shared" si="54"/>
        <v>0.99999999999999989</v>
      </c>
    </row>
    <row r="239" spans="1:91" s="487" customFormat="1" ht="25.5" x14ac:dyDescent="0.25">
      <c r="A239" s="497" t="s">
        <v>308</v>
      </c>
      <c r="B239" s="498" t="s">
        <v>2198</v>
      </c>
      <c r="C239" s="497" t="s">
        <v>2445</v>
      </c>
      <c r="D239" s="498"/>
      <c r="E239" s="497"/>
      <c r="F239" s="498"/>
      <c r="G239" s="497"/>
      <c r="H239" s="497"/>
      <c r="I239" s="497" t="s">
        <v>647</v>
      </c>
      <c r="J239" s="497" t="s">
        <v>641</v>
      </c>
      <c r="K239" s="497" t="s">
        <v>649</v>
      </c>
      <c r="L239" s="497" t="s">
        <v>40</v>
      </c>
      <c r="M239" s="497" t="s">
        <v>646</v>
      </c>
      <c r="N239" s="497" t="s">
        <v>668</v>
      </c>
      <c r="O239" s="497" t="s">
        <v>967</v>
      </c>
      <c r="P239" s="497" t="s">
        <v>849</v>
      </c>
      <c r="Q239" s="497" t="s">
        <v>642</v>
      </c>
      <c r="R239" s="497" t="s">
        <v>652</v>
      </c>
      <c r="S239" s="497"/>
      <c r="T239" s="497"/>
      <c r="U239" s="497"/>
      <c r="V239" s="497" t="s">
        <v>641</v>
      </c>
      <c r="W239" s="497" t="s">
        <v>677</v>
      </c>
      <c r="X239" s="499">
        <v>42552</v>
      </c>
      <c r="Y239" s="499">
        <v>43281</v>
      </c>
      <c r="Z239" s="500"/>
      <c r="AA239" s="497"/>
      <c r="AB239" s="497"/>
      <c r="AC239" s="497" t="s">
        <v>649</v>
      </c>
      <c r="AD239" s="501"/>
      <c r="AE239" s="501"/>
      <c r="AF239" s="501"/>
      <c r="AG239" s="501"/>
      <c r="AH239" s="501"/>
      <c r="AI239" s="501">
        <v>6032738</v>
      </c>
      <c r="AJ239" s="501"/>
      <c r="AK239" s="501"/>
      <c r="AL239" s="501"/>
      <c r="AM239" s="501"/>
      <c r="AN239" s="501"/>
      <c r="AO239" s="501"/>
      <c r="AP239" s="501"/>
      <c r="AQ239" s="501"/>
      <c r="AR239" s="501"/>
      <c r="AS239" s="501"/>
      <c r="AT239" s="501"/>
      <c r="AU239" s="501"/>
      <c r="AV239" s="501"/>
      <c r="AW239" s="501"/>
      <c r="AX239" s="501"/>
      <c r="AY239" s="501"/>
      <c r="AZ239" s="501"/>
      <c r="BA239" s="501"/>
      <c r="BB239" s="483">
        <v>123638.39999999999</v>
      </c>
      <c r="BC239" s="483">
        <v>82425.600000000006</v>
      </c>
      <c r="BD239" s="483">
        <v>139093.20000000001</v>
      </c>
      <c r="BE239" s="483">
        <v>3215.8863000000006</v>
      </c>
      <c r="BF239" s="483">
        <v>82425.600000000006</v>
      </c>
      <c r="BG239" s="483"/>
      <c r="BH239" s="483"/>
      <c r="BI239" s="483"/>
      <c r="BJ239" s="483"/>
      <c r="BK239" s="483"/>
      <c r="BL239" s="483"/>
      <c r="BM239" s="483"/>
      <c r="BN239" s="483">
        <v>1009999.9999999999</v>
      </c>
      <c r="BO239" s="483"/>
      <c r="BP239" s="483"/>
      <c r="BQ239" s="483"/>
      <c r="BR239" s="483">
        <v>7473536.6863000002</v>
      </c>
      <c r="BS239" s="484">
        <f t="shared" si="53"/>
        <v>6032738</v>
      </c>
      <c r="BT239" s="485">
        <f t="shared" ref="BT239:CC248" si="59">SUMIFS($AD239:$BA239,$AD$11:$BA$11,BT$21)/$BS239</f>
        <v>0</v>
      </c>
      <c r="BU239" s="485">
        <f t="shared" si="59"/>
        <v>0</v>
      </c>
      <c r="BV239" s="485">
        <f t="shared" si="59"/>
        <v>0</v>
      </c>
      <c r="BW239" s="485">
        <f t="shared" si="59"/>
        <v>0</v>
      </c>
      <c r="BX239" s="485">
        <f t="shared" si="59"/>
        <v>0</v>
      </c>
      <c r="BY239" s="485">
        <f t="shared" si="59"/>
        <v>0</v>
      </c>
      <c r="BZ239" s="485">
        <f t="shared" si="59"/>
        <v>0</v>
      </c>
      <c r="CA239" s="485">
        <f t="shared" si="59"/>
        <v>0</v>
      </c>
      <c r="CB239" s="485">
        <f t="shared" si="59"/>
        <v>0</v>
      </c>
      <c r="CC239" s="485">
        <f t="shared" si="59"/>
        <v>0</v>
      </c>
      <c r="CD239" s="485">
        <f t="shared" ref="CD239:CL248" si="60">SUMIFS($AD239:$BA239,$AD$11:$BA$11,CD$21)/$BS239</f>
        <v>0</v>
      </c>
      <c r="CE239" s="485">
        <f t="shared" si="60"/>
        <v>1</v>
      </c>
      <c r="CF239" s="485">
        <f t="shared" si="60"/>
        <v>0</v>
      </c>
      <c r="CG239" s="485">
        <f t="shared" si="60"/>
        <v>0</v>
      </c>
      <c r="CH239" s="485">
        <f t="shared" si="60"/>
        <v>0</v>
      </c>
      <c r="CI239" s="485">
        <f t="shared" si="60"/>
        <v>0</v>
      </c>
      <c r="CJ239" s="485">
        <f t="shared" si="60"/>
        <v>0</v>
      </c>
      <c r="CK239" s="485">
        <f t="shared" si="60"/>
        <v>0</v>
      </c>
      <c r="CL239" s="485">
        <f t="shared" si="60"/>
        <v>0</v>
      </c>
      <c r="CM239" s="486">
        <f t="shared" si="54"/>
        <v>1</v>
      </c>
    </row>
    <row r="240" spans="1:91" s="487" customFormat="1" ht="25.5" x14ac:dyDescent="0.25">
      <c r="A240" s="497" t="s">
        <v>310</v>
      </c>
      <c r="B240" s="498" t="s">
        <v>2203</v>
      </c>
      <c r="C240" s="497" t="s">
        <v>851</v>
      </c>
      <c r="D240" s="498"/>
      <c r="E240" s="497"/>
      <c r="F240" s="498"/>
      <c r="G240" s="497"/>
      <c r="H240" s="497" t="s">
        <v>654</v>
      </c>
      <c r="I240" s="497" t="s">
        <v>647</v>
      </c>
      <c r="J240" s="497" t="s">
        <v>641</v>
      </c>
      <c r="K240" s="497" t="s">
        <v>663</v>
      </c>
      <c r="L240" s="497" t="s">
        <v>40</v>
      </c>
      <c r="M240" s="497" t="s">
        <v>646</v>
      </c>
      <c r="N240" s="497" t="s">
        <v>680</v>
      </c>
      <c r="O240" s="497" t="s">
        <v>850</v>
      </c>
      <c r="P240" s="497" t="s">
        <v>849</v>
      </c>
      <c r="Q240" s="497" t="s">
        <v>656</v>
      </c>
      <c r="R240" s="497" t="s">
        <v>652</v>
      </c>
      <c r="S240" s="497" t="s">
        <v>649</v>
      </c>
      <c r="T240" s="497"/>
      <c r="U240" s="497" t="s">
        <v>689</v>
      </c>
      <c r="V240" s="497" t="s">
        <v>641</v>
      </c>
      <c r="W240" s="497" t="s">
        <v>690</v>
      </c>
      <c r="X240" s="499">
        <v>42186</v>
      </c>
      <c r="Y240" s="499">
        <v>43281</v>
      </c>
      <c r="Z240" s="500">
        <v>2018</v>
      </c>
      <c r="AA240" s="497" t="s">
        <v>676</v>
      </c>
      <c r="AB240" s="497"/>
      <c r="AC240" s="497" t="s">
        <v>663</v>
      </c>
      <c r="AD240" s="501"/>
      <c r="AE240" s="501"/>
      <c r="AF240" s="501"/>
      <c r="AG240" s="501"/>
      <c r="AH240" s="501"/>
      <c r="AI240" s="501"/>
      <c r="AJ240" s="501"/>
      <c r="AK240" s="501"/>
      <c r="AL240" s="501">
        <v>1232877.9999999986</v>
      </c>
      <c r="AM240" s="501"/>
      <c r="AN240" s="501"/>
      <c r="AO240" s="501"/>
      <c r="AP240" s="501"/>
      <c r="AQ240" s="501"/>
      <c r="AR240" s="501"/>
      <c r="AS240" s="501"/>
      <c r="AT240" s="501"/>
      <c r="AU240" s="501"/>
      <c r="AV240" s="501"/>
      <c r="AW240" s="501"/>
      <c r="AX240" s="501"/>
      <c r="AY240" s="501"/>
      <c r="AZ240" s="501"/>
      <c r="BA240" s="501"/>
      <c r="BB240" s="483">
        <v>243288.44999999978</v>
      </c>
      <c r="BC240" s="483">
        <v>128362.2999999999</v>
      </c>
      <c r="BD240" s="483">
        <v>216611.38124999986</v>
      </c>
      <c r="BE240" s="483">
        <v>5008.1353609374964</v>
      </c>
      <c r="BF240" s="483">
        <v>0</v>
      </c>
      <c r="BG240" s="483">
        <v>504710.09901955549</v>
      </c>
      <c r="BH240" s="483"/>
      <c r="BI240" s="483"/>
      <c r="BJ240" s="483"/>
      <c r="BK240" s="483"/>
      <c r="BL240" s="483"/>
      <c r="BM240" s="483"/>
      <c r="BN240" s="483"/>
      <c r="BO240" s="483">
        <v>166063.99999999991</v>
      </c>
      <c r="BP240" s="483">
        <v>49999.999999999956</v>
      </c>
      <c r="BQ240" s="483"/>
      <c r="BR240" s="483">
        <v>2546922.3656304907</v>
      </c>
      <c r="BS240" s="484">
        <f t="shared" si="53"/>
        <v>1232877.9999999986</v>
      </c>
      <c r="BT240" s="485">
        <f t="shared" si="59"/>
        <v>0</v>
      </c>
      <c r="BU240" s="485">
        <f t="shared" si="59"/>
        <v>0</v>
      </c>
      <c r="BV240" s="485">
        <f t="shared" si="59"/>
        <v>0</v>
      </c>
      <c r="BW240" s="485">
        <f t="shared" si="59"/>
        <v>0</v>
      </c>
      <c r="BX240" s="485">
        <f t="shared" si="59"/>
        <v>0</v>
      </c>
      <c r="BY240" s="485">
        <f t="shared" si="59"/>
        <v>0</v>
      </c>
      <c r="BZ240" s="485">
        <f t="shared" si="59"/>
        <v>0</v>
      </c>
      <c r="CA240" s="485">
        <f t="shared" si="59"/>
        <v>0</v>
      </c>
      <c r="CB240" s="485">
        <f t="shared" si="59"/>
        <v>0</v>
      </c>
      <c r="CC240" s="485">
        <f t="shared" si="59"/>
        <v>0</v>
      </c>
      <c r="CD240" s="485">
        <f t="shared" si="60"/>
        <v>0</v>
      </c>
      <c r="CE240" s="485">
        <f t="shared" si="60"/>
        <v>0</v>
      </c>
      <c r="CF240" s="485">
        <f t="shared" si="60"/>
        <v>0</v>
      </c>
      <c r="CG240" s="485">
        <f t="shared" si="60"/>
        <v>0</v>
      </c>
      <c r="CH240" s="485">
        <f t="shared" si="60"/>
        <v>1</v>
      </c>
      <c r="CI240" s="485">
        <f t="shared" si="60"/>
        <v>0</v>
      </c>
      <c r="CJ240" s="485">
        <f t="shared" si="60"/>
        <v>0</v>
      </c>
      <c r="CK240" s="485">
        <f t="shared" si="60"/>
        <v>0</v>
      </c>
      <c r="CL240" s="485">
        <f t="shared" si="60"/>
        <v>0</v>
      </c>
      <c r="CM240" s="486">
        <f t="shared" si="54"/>
        <v>1</v>
      </c>
    </row>
    <row r="241" spans="1:91" s="487" customFormat="1" ht="25.5" customHeight="1" x14ac:dyDescent="0.25">
      <c r="A241" s="497" t="s">
        <v>848</v>
      </c>
      <c r="B241" s="498" t="s">
        <v>1968</v>
      </c>
      <c r="C241" s="497" t="s">
        <v>847</v>
      </c>
      <c r="D241" s="498"/>
      <c r="E241" s="497" t="s">
        <v>55</v>
      </c>
      <c r="F241" s="498"/>
      <c r="G241" s="497" t="s">
        <v>648</v>
      </c>
      <c r="H241" s="497" t="s">
        <v>654</v>
      </c>
      <c r="I241" s="497" t="s">
        <v>647</v>
      </c>
      <c r="J241" s="497" t="s">
        <v>641</v>
      </c>
      <c r="K241" s="497" t="s">
        <v>649</v>
      </c>
      <c r="L241" s="497" t="s">
        <v>40</v>
      </c>
      <c r="M241" s="497" t="s">
        <v>646</v>
      </c>
      <c r="N241" s="497"/>
      <c r="O241" s="497"/>
      <c r="P241" s="497"/>
      <c r="Q241" s="497" t="s">
        <v>656</v>
      </c>
      <c r="R241" s="497" t="s">
        <v>652</v>
      </c>
      <c r="S241" s="497" t="s">
        <v>649</v>
      </c>
      <c r="T241" s="497"/>
      <c r="U241" s="497"/>
      <c r="V241" s="497" t="s">
        <v>683</v>
      </c>
      <c r="W241" s="497" t="s">
        <v>677</v>
      </c>
      <c r="X241" s="499">
        <v>42491</v>
      </c>
      <c r="Y241" s="499">
        <v>43249</v>
      </c>
      <c r="Z241" s="500">
        <v>2018</v>
      </c>
      <c r="AA241" s="497" t="s">
        <v>676</v>
      </c>
      <c r="AB241" s="497" t="s">
        <v>675</v>
      </c>
      <c r="AC241" s="497" t="s">
        <v>663</v>
      </c>
      <c r="AD241" s="501"/>
      <c r="AE241" s="501"/>
      <c r="AF241" s="501"/>
      <c r="AG241" s="501"/>
      <c r="AH241" s="501"/>
      <c r="AI241" s="501"/>
      <c r="AJ241" s="501"/>
      <c r="AK241" s="501"/>
      <c r="AL241" s="501"/>
      <c r="AM241" s="501"/>
      <c r="AN241" s="501"/>
      <c r="AO241" s="501"/>
      <c r="AP241" s="501"/>
      <c r="AQ241" s="501">
        <v>1200000.0000000016</v>
      </c>
      <c r="AR241" s="501"/>
      <c r="AS241" s="501"/>
      <c r="AT241" s="501"/>
      <c r="AU241" s="501"/>
      <c r="AV241" s="501"/>
      <c r="AW241" s="501"/>
      <c r="AX241" s="501"/>
      <c r="AY241" s="501"/>
      <c r="AZ241" s="501"/>
      <c r="BA241" s="501"/>
      <c r="BB241" s="483"/>
      <c r="BC241" s="483"/>
      <c r="BD241" s="483"/>
      <c r="BE241" s="483"/>
      <c r="BF241" s="483"/>
      <c r="BG241" s="483"/>
      <c r="BH241" s="483"/>
      <c r="BI241" s="483"/>
      <c r="BJ241" s="483"/>
      <c r="BK241" s="483"/>
      <c r="BL241" s="483"/>
      <c r="BM241" s="483"/>
      <c r="BN241" s="483"/>
      <c r="BO241" s="483"/>
      <c r="BP241" s="483"/>
      <c r="BQ241" s="483"/>
      <c r="BR241" s="483">
        <v>1200000.0000000016</v>
      </c>
      <c r="BS241" s="484">
        <f t="shared" si="53"/>
        <v>1200000.0000000016</v>
      </c>
      <c r="BT241" s="485">
        <f t="shared" si="59"/>
        <v>0</v>
      </c>
      <c r="BU241" s="485">
        <f t="shared" si="59"/>
        <v>0</v>
      </c>
      <c r="BV241" s="485">
        <f t="shared" si="59"/>
        <v>1</v>
      </c>
      <c r="BW241" s="485">
        <f t="shared" si="59"/>
        <v>0</v>
      </c>
      <c r="BX241" s="485">
        <f t="shared" si="59"/>
        <v>0</v>
      </c>
      <c r="BY241" s="485">
        <f t="shared" si="59"/>
        <v>0</v>
      </c>
      <c r="BZ241" s="485">
        <f t="shared" si="59"/>
        <v>0</v>
      </c>
      <c r="CA241" s="485">
        <f t="shared" si="59"/>
        <v>0</v>
      </c>
      <c r="CB241" s="485">
        <f t="shared" si="59"/>
        <v>0</v>
      </c>
      <c r="CC241" s="485">
        <f t="shared" si="59"/>
        <v>0</v>
      </c>
      <c r="CD241" s="485">
        <f t="shared" si="60"/>
        <v>0</v>
      </c>
      <c r="CE241" s="485">
        <f t="shared" si="60"/>
        <v>0</v>
      </c>
      <c r="CF241" s="485">
        <f t="shared" si="60"/>
        <v>0</v>
      </c>
      <c r="CG241" s="485">
        <f t="shared" si="60"/>
        <v>0</v>
      </c>
      <c r="CH241" s="485">
        <f t="shared" si="60"/>
        <v>0</v>
      </c>
      <c r="CI241" s="485">
        <f t="shared" si="60"/>
        <v>0</v>
      </c>
      <c r="CJ241" s="485">
        <f t="shared" si="60"/>
        <v>0</v>
      </c>
      <c r="CK241" s="485">
        <f t="shared" si="60"/>
        <v>0</v>
      </c>
      <c r="CL241" s="485">
        <f t="shared" si="60"/>
        <v>0</v>
      </c>
      <c r="CM241" s="486">
        <f t="shared" si="54"/>
        <v>1</v>
      </c>
    </row>
    <row r="242" spans="1:91" s="487" customFormat="1" ht="25.5" customHeight="1" x14ac:dyDescent="0.25">
      <c r="A242" s="497" t="s">
        <v>312</v>
      </c>
      <c r="B242" s="498" t="s">
        <v>1970</v>
      </c>
      <c r="C242" s="497" t="s">
        <v>846</v>
      </c>
      <c r="D242" s="498"/>
      <c r="E242" s="497" t="s">
        <v>779</v>
      </c>
      <c r="F242" s="498"/>
      <c r="G242" s="497" t="s">
        <v>648</v>
      </c>
      <c r="H242" s="497" t="s">
        <v>654</v>
      </c>
      <c r="I242" s="497" t="s">
        <v>647</v>
      </c>
      <c r="J242" s="497" t="s">
        <v>671</v>
      </c>
      <c r="K242" s="497" t="s">
        <v>649</v>
      </c>
      <c r="L242" s="497" t="s">
        <v>36</v>
      </c>
      <c r="M242" s="497" t="s">
        <v>646</v>
      </c>
      <c r="N242" s="497" t="s">
        <v>680</v>
      </c>
      <c r="O242" s="497"/>
      <c r="P242" s="497" t="s">
        <v>643</v>
      </c>
      <c r="Q242" s="497" t="s">
        <v>650</v>
      </c>
      <c r="R242" s="497" t="s">
        <v>652</v>
      </c>
      <c r="S242" s="497" t="s">
        <v>649</v>
      </c>
      <c r="T242" s="497"/>
      <c r="U242" s="497"/>
      <c r="V242" s="497" t="s">
        <v>36</v>
      </c>
      <c r="W242" s="497" t="s">
        <v>640</v>
      </c>
      <c r="X242" s="499">
        <v>42552</v>
      </c>
      <c r="Y242" s="499">
        <v>42823</v>
      </c>
      <c r="Z242" s="500">
        <v>2017</v>
      </c>
      <c r="AA242" s="497" t="s">
        <v>676</v>
      </c>
      <c r="AB242" s="497" t="s">
        <v>675</v>
      </c>
      <c r="AC242" s="497" t="s">
        <v>663</v>
      </c>
      <c r="AD242" s="501"/>
      <c r="AE242" s="501"/>
      <c r="AF242" s="501"/>
      <c r="AG242" s="501"/>
      <c r="AH242" s="501"/>
      <c r="AI242" s="501"/>
      <c r="AJ242" s="501"/>
      <c r="AK242" s="501"/>
      <c r="AL242" s="501"/>
      <c r="AM242" s="501"/>
      <c r="AN242" s="501"/>
      <c r="AO242" s="501"/>
      <c r="AP242" s="501"/>
      <c r="AQ242" s="501"/>
      <c r="AR242" s="501"/>
      <c r="AS242" s="501"/>
      <c r="AT242" s="501"/>
      <c r="AU242" s="501">
        <v>75919.999999999985</v>
      </c>
      <c r="AV242" s="501"/>
      <c r="AW242" s="501"/>
      <c r="AX242" s="501">
        <v>175199.99999999997</v>
      </c>
      <c r="AY242" s="501"/>
      <c r="AZ242" s="501"/>
      <c r="BA242" s="501"/>
      <c r="BB242" s="483">
        <v>23359.999999999993</v>
      </c>
      <c r="BC242" s="483">
        <v>0</v>
      </c>
      <c r="BD242" s="483"/>
      <c r="BE242" s="483"/>
      <c r="BF242" s="483"/>
      <c r="BG242" s="483">
        <v>49497.069956671461</v>
      </c>
      <c r="BH242" s="483"/>
      <c r="BI242" s="483"/>
      <c r="BJ242" s="483"/>
      <c r="BK242" s="483"/>
      <c r="BL242" s="483"/>
      <c r="BM242" s="483"/>
      <c r="BN242" s="483"/>
      <c r="BO242" s="483"/>
      <c r="BP242" s="483"/>
      <c r="BQ242" s="483"/>
      <c r="BR242" s="483">
        <v>323977.06995667145</v>
      </c>
      <c r="BS242" s="484">
        <f t="shared" si="53"/>
        <v>251119.99999999994</v>
      </c>
      <c r="BT242" s="485">
        <f t="shared" si="59"/>
        <v>0.30232558139534887</v>
      </c>
      <c r="BU242" s="485">
        <f t="shared" si="59"/>
        <v>0</v>
      </c>
      <c r="BV242" s="485">
        <f t="shared" si="59"/>
        <v>0</v>
      </c>
      <c r="BW242" s="485">
        <f t="shared" si="59"/>
        <v>0</v>
      </c>
      <c r="BX242" s="485">
        <f t="shared" si="59"/>
        <v>0</v>
      </c>
      <c r="BY242" s="485">
        <f t="shared" si="59"/>
        <v>0</v>
      </c>
      <c r="BZ242" s="485">
        <f t="shared" si="59"/>
        <v>0</v>
      </c>
      <c r="CA242" s="485">
        <f t="shared" si="59"/>
        <v>0.69767441860465118</v>
      </c>
      <c r="CB242" s="485">
        <f t="shared" si="59"/>
        <v>0</v>
      </c>
      <c r="CC242" s="485">
        <f t="shared" si="59"/>
        <v>0</v>
      </c>
      <c r="CD242" s="485">
        <f t="shared" si="60"/>
        <v>0</v>
      </c>
      <c r="CE242" s="485">
        <f t="shared" si="60"/>
        <v>0</v>
      </c>
      <c r="CF242" s="485">
        <f t="shared" si="60"/>
        <v>0</v>
      </c>
      <c r="CG242" s="485">
        <f t="shared" si="60"/>
        <v>0</v>
      </c>
      <c r="CH242" s="485">
        <f t="shared" si="60"/>
        <v>0</v>
      </c>
      <c r="CI242" s="485">
        <f t="shared" si="60"/>
        <v>0</v>
      </c>
      <c r="CJ242" s="485">
        <f t="shared" si="60"/>
        <v>0</v>
      </c>
      <c r="CK242" s="485">
        <f t="shared" si="60"/>
        <v>0</v>
      </c>
      <c r="CL242" s="485">
        <f t="shared" si="60"/>
        <v>0</v>
      </c>
      <c r="CM242" s="486">
        <f t="shared" si="54"/>
        <v>1</v>
      </c>
    </row>
    <row r="243" spans="1:91" s="487" customFormat="1" ht="25.5" customHeight="1" x14ac:dyDescent="0.25">
      <c r="A243" s="497" t="s">
        <v>845</v>
      </c>
      <c r="B243" s="498" t="s">
        <v>1972</v>
      </c>
      <c r="C243" s="497" t="s">
        <v>844</v>
      </c>
      <c r="D243" s="498"/>
      <c r="E243" s="497" t="s">
        <v>779</v>
      </c>
      <c r="F243" s="498"/>
      <c r="G243" s="497" t="s">
        <v>648</v>
      </c>
      <c r="H243" s="497" t="s">
        <v>654</v>
      </c>
      <c r="I243" s="497" t="s">
        <v>647</v>
      </c>
      <c r="J243" s="497" t="s">
        <v>671</v>
      </c>
      <c r="K243" s="497" t="s">
        <v>649</v>
      </c>
      <c r="L243" s="497" t="s">
        <v>36</v>
      </c>
      <c r="M243" s="497" t="s">
        <v>646</v>
      </c>
      <c r="N243" s="497" t="s">
        <v>699</v>
      </c>
      <c r="O243" s="497"/>
      <c r="P243" s="497"/>
      <c r="Q243" s="497" t="s">
        <v>650</v>
      </c>
      <c r="R243" s="497" t="s">
        <v>652</v>
      </c>
      <c r="S243" s="497"/>
      <c r="T243" s="497"/>
      <c r="U243" s="497"/>
      <c r="V243" s="497" t="s">
        <v>36</v>
      </c>
      <c r="W243" s="497" t="s">
        <v>666</v>
      </c>
      <c r="X243" s="499">
        <v>42552</v>
      </c>
      <c r="Y243" s="499">
        <v>42885</v>
      </c>
      <c r="Z243" s="500">
        <v>2016</v>
      </c>
      <c r="AA243" s="497" t="s">
        <v>676</v>
      </c>
      <c r="AB243" s="497" t="s">
        <v>675</v>
      </c>
      <c r="AC243" s="497" t="s">
        <v>663</v>
      </c>
      <c r="AD243" s="501"/>
      <c r="AE243" s="501"/>
      <c r="AF243" s="501"/>
      <c r="AG243" s="501"/>
      <c r="AH243" s="501"/>
      <c r="AI243" s="501"/>
      <c r="AJ243" s="501"/>
      <c r="AK243" s="501"/>
      <c r="AL243" s="501"/>
      <c r="AM243" s="501"/>
      <c r="AN243" s="501"/>
      <c r="AO243" s="501"/>
      <c r="AP243" s="501"/>
      <c r="AQ243" s="501"/>
      <c r="AR243" s="501"/>
      <c r="AS243" s="501"/>
      <c r="AT243" s="501"/>
      <c r="AU243" s="501"/>
      <c r="AV243" s="501"/>
      <c r="AW243" s="501"/>
      <c r="AX243" s="501"/>
      <c r="AY243" s="501"/>
      <c r="AZ243" s="501"/>
      <c r="BA243" s="501">
        <v>45599.999999999993</v>
      </c>
      <c r="BB243" s="483"/>
      <c r="BC243" s="483"/>
      <c r="BD243" s="483"/>
      <c r="BE243" s="483"/>
      <c r="BF243" s="483"/>
      <c r="BG243" s="483"/>
      <c r="BH243" s="483"/>
      <c r="BI243" s="483"/>
      <c r="BJ243" s="483"/>
      <c r="BK243" s="483"/>
      <c r="BL243" s="483"/>
      <c r="BM243" s="483"/>
      <c r="BN243" s="483"/>
      <c r="BO243" s="483"/>
      <c r="BP243" s="483"/>
      <c r="BQ243" s="483"/>
      <c r="BR243" s="483">
        <v>45599.999999999993</v>
      </c>
      <c r="BS243" s="484">
        <f t="shared" si="53"/>
        <v>45599.999999999993</v>
      </c>
      <c r="BT243" s="485">
        <f t="shared" si="59"/>
        <v>0</v>
      </c>
      <c r="BU243" s="485">
        <f t="shared" si="59"/>
        <v>0</v>
      </c>
      <c r="BV243" s="485">
        <f t="shared" si="59"/>
        <v>0</v>
      </c>
      <c r="BW243" s="485">
        <f t="shared" si="59"/>
        <v>0</v>
      </c>
      <c r="BX243" s="485">
        <f t="shared" si="59"/>
        <v>0</v>
      </c>
      <c r="BY243" s="485">
        <f t="shared" si="59"/>
        <v>0</v>
      </c>
      <c r="BZ243" s="485">
        <f t="shared" si="59"/>
        <v>0</v>
      </c>
      <c r="CA243" s="485">
        <f t="shared" si="59"/>
        <v>1</v>
      </c>
      <c r="CB243" s="485">
        <f t="shared" si="59"/>
        <v>0</v>
      </c>
      <c r="CC243" s="485">
        <f t="shared" si="59"/>
        <v>0</v>
      </c>
      <c r="CD243" s="485">
        <f t="shared" si="60"/>
        <v>0</v>
      </c>
      <c r="CE243" s="485">
        <f t="shared" si="60"/>
        <v>0</v>
      </c>
      <c r="CF243" s="485">
        <f t="shared" si="60"/>
        <v>0</v>
      </c>
      <c r="CG243" s="485">
        <f t="shared" si="60"/>
        <v>0</v>
      </c>
      <c r="CH243" s="485">
        <f t="shared" si="60"/>
        <v>0</v>
      </c>
      <c r="CI243" s="485">
        <f t="shared" si="60"/>
        <v>0</v>
      </c>
      <c r="CJ243" s="485">
        <f t="shared" si="60"/>
        <v>0</v>
      </c>
      <c r="CK243" s="485">
        <f t="shared" si="60"/>
        <v>0</v>
      </c>
      <c r="CL243" s="485">
        <f t="shared" si="60"/>
        <v>0</v>
      </c>
      <c r="CM243" s="486">
        <f t="shared" si="54"/>
        <v>1</v>
      </c>
    </row>
    <row r="244" spans="1:91" s="487" customFormat="1" ht="25.5" customHeight="1" x14ac:dyDescent="0.25">
      <c r="A244" s="497" t="s">
        <v>314</v>
      </c>
      <c r="B244" s="498" t="s">
        <v>1974</v>
      </c>
      <c r="C244" s="497" t="s">
        <v>843</v>
      </c>
      <c r="D244" s="498"/>
      <c r="E244" s="497" t="s">
        <v>779</v>
      </c>
      <c r="F244" s="498"/>
      <c r="G244" s="497" t="s">
        <v>722</v>
      </c>
      <c r="H244" s="497" t="s">
        <v>654</v>
      </c>
      <c r="I244" s="497" t="s">
        <v>647</v>
      </c>
      <c r="J244" s="497" t="s">
        <v>641</v>
      </c>
      <c r="K244" s="497" t="s">
        <v>649</v>
      </c>
      <c r="L244" s="497" t="s">
        <v>60</v>
      </c>
      <c r="M244" s="497" t="s">
        <v>646</v>
      </c>
      <c r="N244" s="497" t="s">
        <v>680</v>
      </c>
      <c r="O244" s="497"/>
      <c r="P244" s="497" t="s">
        <v>643</v>
      </c>
      <c r="Q244" s="497" t="s">
        <v>656</v>
      </c>
      <c r="R244" s="497" t="s">
        <v>652</v>
      </c>
      <c r="S244" s="497" t="s">
        <v>649</v>
      </c>
      <c r="T244" s="497"/>
      <c r="U244" s="497"/>
      <c r="V244" s="497" t="s">
        <v>641</v>
      </c>
      <c r="W244" s="497" t="s">
        <v>640</v>
      </c>
      <c r="X244" s="499">
        <v>42552</v>
      </c>
      <c r="Y244" s="499">
        <v>42977</v>
      </c>
      <c r="Z244" s="500">
        <v>2017</v>
      </c>
      <c r="AA244" s="497" t="s">
        <v>676</v>
      </c>
      <c r="AB244" s="497" t="s">
        <v>675</v>
      </c>
      <c r="AC244" s="497" t="s">
        <v>663</v>
      </c>
      <c r="AD244" s="501"/>
      <c r="AE244" s="501"/>
      <c r="AF244" s="501"/>
      <c r="AG244" s="501">
        <v>1962985.0000000005</v>
      </c>
      <c r="AH244" s="501"/>
      <c r="AI244" s="501"/>
      <c r="AJ244" s="501"/>
      <c r="AK244" s="501"/>
      <c r="AL244" s="501"/>
      <c r="AM244" s="501"/>
      <c r="AN244" s="501"/>
      <c r="AO244" s="501"/>
      <c r="AP244" s="501"/>
      <c r="AQ244" s="501"/>
      <c r="AR244" s="501"/>
      <c r="AS244" s="501"/>
      <c r="AT244" s="501"/>
      <c r="AU244" s="501"/>
      <c r="AV244" s="501"/>
      <c r="AW244" s="501"/>
      <c r="AX244" s="501"/>
      <c r="AY244" s="501"/>
      <c r="AZ244" s="501"/>
      <c r="BA244" s="501"/>
      <c r="BB244" s="483"/>
      <c r="BC244" s="483"/>
      <c r="BD244" s="483"/>
      <c r="BE244" s="483"/>
      <c r="BF244" s="483"/>
      <c r="BG244" s="483">
        <v>99015.497652297679</v>
      </c>
      <c r="BH244" s="483"/>
      <c r="BI244" s="483"/>
      <c r="BJ244" s="483"/>
      <c r="BK244" s="483"/>
      <c r="BL244" s="483"/>
      <c r="BM244" s="483"/>
      <c r="BN244" s="483"/>
      <c r="BO244" s="483"/>
      <c r="BP244" s="483"/>
      <c r="BQ244" s="483"/>
      <c r="BR244" s="483">
        <v>2062000.4976522981</v>
      </c>
      <c r="BS244" s="484">
        <f t="shared" si="53"/>
        <v>1962985.0000000005</v>
      </c>
      <c r="BT244" s="485">
        <f t="shared" si="59"/>
        <v>0</v>
      </c>
      <c r="BU244" s="485">
        <f t="shared" si="59"/>
        <v>0</v>
      </c>
      <c r="BV244" s="485">
        <f t="shared" si="59"/>
        <v>0</v>
      </c>
      <c r="BW244" s="485">
        <f t="shared" si="59"/>
        <v>0</v>
      </c>
      <c r="BX244" s="485">
        <f t="shared" si="59"/>
        <v>0</v>
      </c>
      <c r="BY244" s="485">
        <f t="shared" si="59"/>
        <v>0</v>
      </c>
      <c r="BZ244" s="485">
        <f t="shared" si="59"/>
        <v>0</v>
      </c>
      <c r="CA244" s="485">
        <f t="shared" si="59"/>
        <v>0</v>
      </c>
      <c r="CB244" s="485">
        <f t="shared" si="59"/>
        <v>0</v>
      </c>
      <c r="CC244" s="485">
        <f t="shared" si="59"/>
        <v>1</v>
      </c>
      <c r="CD244" s="485">
        <f t="shared" si="60"/>
        <v>0</v>
      </c>
      <c r="CE244" s="485">
        <f t="shared" si="60"/>
        <v>0</v>
      </c>
      <c r="CF244" s="485">
        <f t="shared" si="60"/>
        <v>0</v>
      </c>
      <c r="CG244" s="485">
        <f t="shared" si="60"/>
        <v>0</v>
      </c>
      <c r="CH244" s="485">
        <f t="shared" si="60"/>
        <v>0</v>
      </c>
      <c r="CI244" s="485">
        <f t="shared" si="60"/>
        <v>0</v>
      </c>
      <c r="CJ244" s="485">
        <f t="shared" si="60"/>
        <v>0</v>
      </c>
      <c r="CK244" s="485">
        <f t="shared" si="60"/>
        <v>0</v>
      </c>
      <c r="CL244" s="485">
        <f t="shared" si="60"/>
        <v>0</v>
      </c>
      <c r="CM244" s="486">
        <f t="shared" si="54"/>
        <v>1</v>
      </c>
    </row>
    <row r="245" spans="1:91" s="487" customFormat="1" ht="25.5" x14ac:dyDescent="0.25">
      <c r="A245" s="497" t="s">
        <v>316</v>
      </c>
      <c r="B245" s="498" t="s">
        <v>1978</v>
      </c>
      <c r="C245" s="497" t="s">
        <v>842</v>
      </c>
      <c r="D245" s="498"/>
      <c r="E245" s="497" t="s">
        <v>692</v>
      </c>
      <c r="F245" s="498"/>
      <c r="G245" s="497"/>
      <c r="H245" s="497" t="s">
        <v>654</v>
      </c>
      <c r="I245" s="497" t="s">
        <v>647</v>
      </c>
      <c r="J245" s="497" t="s">
        <v>671</v>
      </c>
      <c r="K245" s="497" t="s">
        <v>649</v>
      </c>
      <c r="L245" s="497" t="s">
        <v>55</v>
      </c>
      <c r="M245" s="497" t="s">
        <v>646</v>
      </c>
      <c r="N245" s="497" t="s">
        <v>645</v>
      </c>
      <c r="O245" s="497"/>
      <c r="P245" s="497"/>
      <c r="Q245" s="497" t="s">
        <v>650</v>
      </c>
      <c r="R245" s="497" t="s">
        <v>652</v>
      </c>
      <c r="S245" s="497" t="s">
        <v>649</v>
      </c>
      <c r="T245" s="497"/>
      <c r="U245" s="497"/>
      <c r="V245" s="497" t="s">
        <v>683</v>
      </c>
      <c r="W245" s="497" t="s">
        <v>677</v>
      </c>
      <c r="X245" s="499">
        <v>42736</v>
      </c>
      <c r="Y245" s="499">
        <v>43187</v>
      </c>
      <c r="Z245" s="500">
        <v>2018</v>
      </c>
      <c r="AA245" s="497"/>
      <c r="AB245" s="497"/>
      <c r="AC245" s="497"/>
      <c r="AD245" s="501"/>
      <c r="AE245" s="501"/>
      <c r="AF245" s="501"/>
      <c r="AG245" s="501"/>
      <c r="AH245" s="501"/>
      <c r="AI245" s="501"/>
      <c r="AJ245" s="501"/>
      <c r="AK245" s="501"/>
      <c r="AL245" s="501"/>
      <c r="AM245" s="501"/>
      <c r="AN245" s="501"/>
      <c r="AO245" s="501"/>
      <c r="AP245" s="501"/>
      <c r="AQ245" s="501"/>
      <c r="AR245" s="501"/>
      <c r="AS245" s="501"/>
      <c r="AT245" s="501"/>
      <c r="AU245" s="501"/>
      <c r="AV245" s="501">
        <v>53200</v>
      </c>
      <c r="AW245" s="501"/>
      <c r="AX245" s="501"/>
      <c r="AY245" s="501"/>
      <c r="AZ245" s="501"/>
      <c r="BA245" s="501"/>
      <c r="BB245" s="483"/>
      <c r="BC245" s="483"/>
      <c r="BD245" s="483"/>
      <c r="BE245" s="483"/>
      <c r="BF245" s="483"/>
      <c r="BG245" s="483">
        <v>212800.00000000017</v>
      </c>
      <c r="BH245" s="483"/>
      <c r="BI245" s="483"/>
      <c r="BJ245" s="483"/>
      <c r="BK245" s="483"/>
      <c r="BL245" s="483"/>
      <c r="BM245" s="483"/>
      <c r="BN245" s="483"/>
      <c r="BO245" s="483"/>
      <c r="BP245" s="483"/>
      <c r="BQ245" s="483"/>
      <c r="BR245" s="483">
        <v>266000.00000000017</v>
      </c>
      <c r="BS245" s="484">
        <f t="shared" si="53"/>
        <v>53200</v>
      </c>
      <c r="BT245" s="485">
        <f t="shared" si="59"/>
        <v>0</v>
      </c>
      <c r="BU245" s="485">
        <f t="shared" si="59"/>
        <v>0</v>
      </c>
      <c r="BV245" s="485">
        <f t="shared" si="59"/>
        <v>0</v>
      </c>
      <c r="BW245" s="485">
        <f t="shared" si="59"/>
        <v>1</v>
      </c>
      <c r="BX245" s="485">
        <f t="shared" si="59"/>
        <v>0</v>
      </c>
      <c r="BY245" s="485">
        <f t="shared" si="59"/>
        <v>0</v>
      </c>
      <c r="BZ245" s="485">
        <f t="shared" si="59"/>
        <v>0</v>
      </c>
      <c r="CA245" s="485">
        <f t="shared" si="59"/>
        <v>0</v>
      </c>
      <c r="CB245" s="485">
        <f t="shared" si="59"/>
        <v>0</v>
      </c>
      <c r="CC245" s="485">
        <f t="shared" si="59"/>
        <v>0</v>
      </c>
      <c r="CD245" s="485">
        <f t="shared" si="60"/>
        <v>0</v>
      </c>
      <c r="CE245" s="485">
        <f t="shared" si="60"/>
        <v>0</v>
      </c>
      <c r="CF245" s="485">
        <f t="shared" si="60"/>
        <v>0</v>
      </c>
      <c r="CG245" s="485">
        <f t="shared" si="60"/>
        <v>0</v>
      </c>
      <c r="CH245" s="485">
        <f t="shared" si="60"/>
        <v>0</v>
      </c>
      <c r="CI245" s="485">
        <f t="shared" si="60"/>
        <v>0</v>
      </c>
      <c r="CJ245" s="485">
        <f t="shared" si="60"/>
        <v>0</v>
      </c>
      <c r="CK245" s="485">
        <f t="shared" si="60"/>
        <v>0</v>
      </c>
      <c r="CL245" s="485">
        <f t="shared" si="60"/>
        <v>0</v>
      </c>
      <c r="CM245" s="486">
        <f t="shared" si="54"/>
        <v>1</v>
      </c>
    </row>
    <row r="246" spans="1:91" s="487" customFormat="1" ht="25.5" customHeight="1" x14ac:dyDescent="0.25">
      <c r="A246" s="497" t="s">
        <v>317</v>
      </c>
      <c r="B246" s="498" t="s">
        <v>1980</v>
      </c>
      <c r="C246" s="497" t="s">
        <v>841</v>
      </c>
      <c r="D246" s="498"/>
      <c r="E246" s="497" t="s">
        <v>840</v>
      </c>
      <c r="F246" s="498"/>
      <c r="G246" s="497" t="s">
        <v>648</v>
      </c>
      <c r="H246" s="497" t="s">
        <v>654</v>
      </c>
      <c r="I246" s="497" t="s">
        <v>647</v>
      </c>
      <c r="J246" s="497" t="s">
        <v>671</v>
      </c>
      <c r="K246" s="497" t="s">
        <v>649</v>
      </c>
      <c r="L246" s="497" t="s">
        <v>55</v>
      </c>
      <c r="M246" s="497" t="s">
        <v>646</v>
      </c>
      <c r="N246" s="497"/>
      <c r="O246" s="497"/>
      <c r="P246" s="497" t="s">
        <v>643</v>
      </c>
      <c r="Q246" s="497" t="s">
        <v>656</v>
      </c>
      <c r="R246" s="497" t="s">
        <v>652</v>
      </c>
      <c r="S246" s="497" t="s">
        <v>649</v>
      </c>
      <c r="T246" s="497"/>
      <c r="U246" s="497"/>
      <c r="V246" s="497" t="s">
        <v>683</v>
      </c>
      <c r="W246" s="497" t="s">
        <v>677</v>
      </c>
      <c r="X246" s="499">
        <v>42583</v>
      </c>
      <c r="Y246" s="499">
        <v>43368</v>
      </c>
      <c r="Z246" s="500">
        <v>2018</v>
      </c>
      <c r="AA246" s="497" t="s">
        <v>676</v>
      </c>
      <c r="AB246" s="497" t="s">
        <v>675</v>
      </c>
      <c r="AC246" s="497" t="s">
        <v>663</v>
      </c>
      <c r="AD246" s="501"/>
      <c r="AE246" s="501"/>
      <c r="AF246" s="501"/>
      <c r="AG246" s="501"/>
      <c r="AH246" s="501"/>
      <c r="AI246" s="501"/>
      <c r="AJ246" s="501"/>
      <c r="AK246" s="501"/>
      <c r="AL246" s="501"/>
      <c r="AM246" s="501"/>
      <c r="AN246" s="501"/>
      <c r="AO246" s="501"/>
      <c r="AP246" s="501"/>
      <c r="AQ246" s="501"/>
      <c r="AR246" s="501"/>
      <c r="AS246" s="501"/>
      <c r="AT246" s="501"/>
      <c r="AU246" s="501"/>
      <c r="AV246" s="501">
        <v>188100.00000000017</v>
      </c>
      <c r="AW246" s="501">
        <v>1791900.0000000016</v>
      </c>
      <c r="AX246" s="501"/>
      <c r="AY246" s="501"/>
      <c r="AZ246" s="501"/>
      <c r="BA246" s="501"/>
      <c r="BB246" s="483"/>
      <c r="BC246" s="483"/>
      <c r="BD246" s="483"/>
      <c r="BE246" s="483"/>
      <c r="BF246" s="483"/>
      <c r="BG246" s="483"/>
      <c r="BH246" s="483"/>
      <c r="BI246" s="483"/>
      <c r="BJ246" s="483"/>
      <c r="BK246" s="483"/>
      <c r="BL246" s="483"/>
      <c r="BM246" s="483"/>
      <c r="BN246" s="483"/>
      <c r="BO246" s="483"/>
      <c r="BP246" s="483"/>
      <c r="BQ246" s="483"/>
      <c r="BR246" s="483">
        <v>1980000.0000000016</v>
      </c>
      <c r="BS246" s="484">
        <f t="shared" si="53"/>
        <v>1980000.0000000019</v>
      </c>
      <c r="BT246" s="485">
        <f t="shared" si="59"/>
        <v>0</v>
      </c>
      <c r="BU246" s="485">
        <f t="shared" si="59"/>
        <v>0</v>
      </c>
      <c r="BV246" s="485">
        <f t="shared" si="59"/>
        <v>0</v>
      </c>
      <c r="BW246" s="485">
        <f t="shared" si="59"/>
        <v>1</v>
      </c>
      <c r="BX246" s="485">
        <f t="shared" si="59"/>
        <v>0</v>
      </c>
      <c r="BY246" s="485">
        <f t="shared" si="59"/>
        <v>0</v>
      </c>
      <c r="BZ246" s="485">
        <f t="shared" si="59"/>
        <v>0</v>
      </c>
      <c r="CA246" s="485">
        <f t="shared" si="59"/>
        <v>0</v>
      </c>
      <c r="CB246" s="485">
        <f t="shared" si="59"/>
        <v>0</v>
      </c>
      <c r="CC246" s="485">
        <f t="shared" si="59"/>
        <v>0</v>
      </c>
      <c r="CD246" s="485">
        <f t="shared" si="60"/>
        <v>0</v>
      </c>
      <c r="CE246" s="485">
        <f t="shared" si="60"/>
        <v>0</v>
      </c>
      <c r="CF246" s="485">
        <f t="shared" si="60"/>
        <v>0</v>
      </c>
      <c r="CG246" s="485">
        <f t="shared" si="60"/>
        <v>0</v>
      </c>
      <c r="CH246" s="485">
        <f t="shared" si="60"/>
        <v>0</v>
      </c>
      <c r="CI246" s="485">
        <f t="shared" si="60"/>
        <v>0</v>
      </c>
      <c r="CJ246" s="485">
        <f t="shared" si="60"/>
        <v>0</v>
      </c>
      <c r="CK246" s="485">
        <f t="shared" si="60"/>
        <v>0</v>
      </c>
      <c r="CL246" s="485">
        <f t="shared" si="60"/>
        <v>0</v>
      </c>
      <c r="CM246" s="486">
        <f t="shared" si="54"/>
        <v>1</v>
      </c>
    </row>
    <row r="247" spans="1:91" s="487" customFormat="1" ht="25.5" customHeight="1" x14ac:dyDescent="0.25">
      <c r="A247" s="497" t="s">
        <v>839</v>
      </c>
      <c r="B247" s="498" t="s">
        <v>1982</v>
      </c>
      <c r="C247" s="497" t="s">
        <v>838</v>
      </c>
      <c r="D247" s="498"/>
      <c r="E247" s="497" t="s">
        <v>837</v>
      </c>
      <c r="F247" s="498"/>
      <c r="G247" s="497" t="s">
        <v>648</v>
      </c>
      <c r="H247" s="497" t="s">
        <v>654</v>
      </c>
      <c r="I247" s="497" t="s">
        <v>647</v>
      </c>
      <c r="J247" s="497" t="s">
        <v>671</v>
      </c>
      <c r="K247" s="497" t="s">
        <v>649</v>
      </c>
      <c r="L247" s="497" t="s">
        <v>55</v>
      </c>
      <c r="M247" s="497" t="s">
        <v>646</v>
      </c>
      <c r="N247" s="497"/>
      <c r="O247" s="497"/>
      <c r="P247" s="497"/>
      <c r="Q247" s="497" t="s">
        <v>650</v>
      </c>
      <c r="R247" s="497" t="s">
        <v>652</v>
      </c>
      <c r="S247" s="497" t="s">
        <v>649</v>
      </c>
      <c r="T247" s="497"/>
      <c r="U247" s="497"/>
      <c r="V247" s="497" t="s">
        <v>683</v>
      </c>
      <c r="W247" s="497" t="s">
        <v>666</v>
      </c>
      <c r="X247" s="499">
        <v>43252</v>
      </c>
      <c r="Y247" s="499">
        <v>44008</v>
      </c>
      <c r="Z247" s="500">
        <v>2019</v>
      </c>
      <c r="AA247" s="497" t="s">
        <v>676</v>
      </c>
      <c r="AB247" s="497" t="s">
        <v>675</v>
      </c>
      <c r="AC247" s="497" t="s">
        <v>663</v>
      </c>
      <c r="AD247" s="501"/>
      <c r="AE247" s="501"/>
      <c r="AF247" s="501"/>
      <c r="AG247" s="501"/>
      <c r="AH247" s="501"/>
      <c r="AI247" s="501"/>
      <c r="AJ247" s="501"/>
      <c r="AK247" s="501"/>
      <c r="AL247" s="501"/>
      <c r="AM247" s="501"/>
      <c r="AN247" s="501"/>
      <c r="AO247" s="501"/>
      <c r="AP247" s="501"/>
      <c r="AQ247" s="501"/>
      <c r="AR247" s="501"/>
      <c r="AS247" s="501"/>
      <c r="AT247" s="501"/>
      <c r="AU247" s="501"/>
      <c r="AV247" s="501">
        <v>346039.99999999983</v>
      </c>
      <c r="AW247" s="501">
        <v>63959.999999999964</v>
      </c>
      <c r="AX247" s="501"/>
      <c r="AY247" s="501"/>
      <c r="AZ247" s="501"/>
      <c r="BA247" s="501"/>
      <c r="BB247" s="483"/>
      <c r="BC247" s="483"/>
      <c r="BD247" s="483"/>
      <c r="BE247" s="483"/>
      <c r="BF247" s="483"/>
      <c r="BG247" s="483"/>
      <c r="BH247" s="483"/>
      <c r="BI247" s="483"/>
      <c r="BJ247" s="483"/>
      <c r="BK247" s="483"/>
      <c r="BL247" s="483"/>
      <c r="BM247" s="483"/>
      <c r="BN247" s="483"/>
      <c r="BO247" s="483"/>
      <c r="BP247" s="483"/>
      <c r="BQ247" s="483"/>
      <c r="BR247" s="483">
        <v>409999.99999999983</v>
      </c>
      <c r="BS247" s="484">
        <f t="shared" si="53"/>
        <v>409999.99999999977</v>
      </c>
      <c r="BT247" s="485">
        <f t="shared" si="59"/>
        <v>0</v>
      </c>
      <c r="BU247" s="485">
        <f t="shared" si="59"/>
        <v>0</v>
      </c>
      <c r="BV247" s="485">
        <f t="shared" si="59"/>
        <v>0</v>
      </c>
      <c r="BW247" s="485">
        <f t="shared" si="59"/>
        <v>1</v>
      </c>
      <c r="BX247" s="485">
        <f t="shared" si="59"/>
        <v>0</v>
      </c>
      <c r="BY247" s="485">
        <f t="shared" si="59"/>
        <v>0</v>
      </c>
      <c r="BZ247" s="485">
        <f t="shared" si="59"/>
        <v>0</v>
      </c>
      <c r="CA247" s="485">
        <f t="shared" si="59"/>
        <v>0</v>
      </c>
      <c r="CB247" s="485">
        <f t="shared" si="59"/>
        <v>0</v>
      </c>
      <c r="CC247" s="485">
        <f t="shared" si="59"/>
        <v>0</v>
      </c>
      <c r="CD247" s="485">
        <f t="shared" si="60"/>
        <v>0</v>
      </c>
      <c r="CE247" s="485">
        <f t="shared" si="60"/>
        <v>0</v>
      </c>
      <c r="CF247" s="485">
        <f t="shared" si="60"/>
        <v>0</v>
      </c>
      <c r="CG247" s="485">
        <f t="shared" si="60"/>
        <v>0</v>
      </c>
      <c r="CH247" s="485">
        <f t="shared" si="60"/>
        <v>0</v>
      </c>
      <c r="CI247" s="485">
        <f t="shared" si="60"/>
        <v>0</v>
      </c>
      <c r="CJ247" s="485">
        <f t="shared" si="60"/>
        <v>0</v>
      </c>
      <c r="CK247" s="485">
        <f t="shared" si="60"/>
        <v>0</v>
      </c>
      <c r="CL247" s="485">
        <f t="shared" si="60"/>
        <v>0</v>
      </c>
      <c r="CM247" s="486">
        <f t="shared" si="54"/>
        <v>1</v>
      </c>
    </row>
    <row r="248" spans="1:91" s="487" customFormat="1" ht="25.5" x14ac:dyDescent="0.25">
      <c r="A248" s="497" t="s">
        <v>318</v>
      </c>
      <c r="B248" s="498" t="s">
        <v>1984</v>
      </c>
      <c r="C248" s="497" t="s">
        <v>836</v>
      </c>
      <c r="D248" s="498"/>
      <c r="E248" s="497" t="s">
        <v>692</v>
      </c>
      <c r="F248" s="498"/>
      <c r="G248" s="497"/>
      <c r="H248" s="497" t="s">
        <v>654</v>
      </c>
      <c r="I248" s="497" t="s">
        <v>647</v>
      </c>
      <c r="J248" s="497" t="s">
        <v>671</v>
      </c>
      <c r="K248" s="497" t="s">
        <v>649</v>
      </c>
      <c r="L248" s="497" t="s">
        <v>55</v>
      </c>
      <c r="M248" s="497" t="s">
        <v>646</v>
      </c>
      <c r="N248" s="497" t="s">
        <v>645</v>
      </c>
      <c r="O248" s="497"/>
      <c r="P248" s="497"/>
      <c r="Q248" s="497" t="s">
        <v>656</v>
      </c>
      <c r="R248" s="497" t="s">
        <v>652</v>
      </c>
      <c r="S248" s="497" t="s">
        <v>649</v>
      </c>
      <c r="T248" s="497"/>
      <c r="U248" s="497"/>
      <c r="V248" s="497" t="s">
        <v>683</v>
      </c>
      <c r="W248" s="497" t="s">
        <v>640</v>
      </c>
      <c r="X248" s="499">
        <v>42444</v>
      </c>
      <c r="Y248" s="499">
        <v>43343</v>
      </c>
      <c r="Z248" s="500">
        <v>2018</v>
      </c>
      <c r="AA248" s="497"/>
      <c r="AB248" s="497"/>
      <c r="AC248" s="497"/>
      <c r="AD248" s="501"/>
      <c r="AE248" s="501"/>
      <c r="AF248" s="501"/>
      <c r="AG248" s="501"/>
      <c r="AH248" s="501"/>
      <c r="AI248" s="501"/>
      <c r="AJ248" s="501"/>
      <c r="AK248" s="501"/>
      <c r="AL248" s="501"/>
      <c r="AM248" s="501"/>
      <c r="AN248" s="501"/>
      <c r="AO248" s="501"/>
      <c r="AP248" s="501"/>
      <c r="AQ248" s="501"/>
      <c r="AR248" s="501"/>
      <c r="AS248" s="501"/>
      <c r="AT248" s="501"/>
      <c r="AU248" s="501"/>
      <c r="AV248" s="501">
        <v>179280.00000000006</v>
      </c>
      <c r="AW248" s="501"/>
      <c r="AX248" s="501"/>
      <c r="AY248" s="501"/>
      <c r="AZ248" s="501"/>
      <c r="BA248" s="501"/>
      <c r="BB248" s="483"/>
      <c r="BC248" s="483"/>
      <c r="BD248" s="483"/>
      <c r="BE248" s="483"/>
      <c r="BF248" s="483"/>
      <c r="BG248" s="483">
        <v>717259.4620833341</v>
      </c>
      <c r="BH248" s="483"/>
      <c r="BI248" s="483"/>
      <c r="BJ248" s="483"/>
      <c r="BK248" s="483"/>
      <c r="BL248" s="483"/>
      <c r="BM248" s="483"/>
      <c r="BN248" s="483"/>
      <c r="BO248" s="483"/>
      <c r="BP248" s="483"/>
      <c r="BQ248" s="483"/>
      <c r="BR248" s="483">
        <v>896539.46208333399</v>
      </c>
      <c r="BS248" s="484">
        <f t="shared" si="53"/>
        <v>179280.00000000006</v>
      </c>
      <c r="BT248" s="485">
        <f t="shared" si="59"/>
        <v>0</v>
      </c>
      <c r="BU248" s="485">
        <f t="shared" si="59"/>
        <v>0</v>
      </c>
      <c r="BV248" s="485">
        <f t="shared" si="59"/>
        <v>0</v>
      </c>
      <c r="BW248" s="485">
        <f t="shared" si="59"/>
        <v>1</v>
      </c>
      <c r="BX248" s="485">
        <f t="shared" si="59"/>
        <v>0</v>
      </c>
      <c r="BY248" s="485">
        <f t="shared" si="59"/>
        <v>0</v>
      </c>
      <c r="BZ248" s="485">
        <f t="shared" si="59"/>
        <v>0</v>
      </c>
      <c r="CA248" s="485">
        <f t="shared" si="59"/>
        <v>0</v>
      </c>
      <c r="CB248" s="485">
        <f t="shared" si="59"/>
        <v>0</v>
      </c>
      <c r="CC248" s="485">
        <f t="shared" si="59"/>
        <v>0</v>
      </c>
      <c r="CD248" s="485">
        <f t="shared" si="60"/>
        <v>0</v>
      </c>
      <c r="CE248" s="485">
        <f t="shared" si="60"/>
        <v>0</v>
      </c>
      <c r="CF248" s="485">
        <f t="shared" si="60"/>
        <v>0</v>
      </c>
      <c r="CG248" s="485">
        <f t="shared" si="60"/>
        <v>0</v>
      </c>
      <c r="CH248" s="485">
        <f t="shared" si="60"/>
        <v>0</v>
      </c>
      <c r="CI248" s="485">
        <f t="shared" si="60"/>
        <v>0</v>
      </c>
      <c r="CJ248" s="485">
        <f t="shared" si="60"/>
        <v>0</v>
      </c>
      <c r="CK248" s="485">
        <f t="shared" si="60"/>
        <v>0</v>
      </c>
      <c r="CL248" s="485">
        <f t="shared" si="60"/>
        <v>0</v>
      </c>
      <c r="CM248" s="486">
        <f t="shared" si="54"/>
        <v>1</v>
      </c>
    </row>
    <row r="249" spans="1:91" s="487" customFormat="1" ht="25.5" customHeight="1" x14ac:dyDescent="0.25">
      <c r="A249" s="497" t="s">
        <v>319</v>
      </c>
      <c r="B249" s="498" t="s">
        <v>1986</v>
      </c>
      <c r="C249" s="497" t="s">
        <v>835</v>
      </c>
      <c r="D249" s="498"/>
      <c r="E249" s="497" t="s">
        <v>55</v>
      </c>
      <c r="F249" s="498"/>
      <c r="G249" s="497" t="s">
        <v>648</v>
      </c>
      <c r="H249" s="497" t="s">
        <v>654</v>
      </c>
      <c r="I249" s="497" t="s">
        <v>647</v>
      </c>
      <c r="J249" s="497" t="s">
        <v>641</v>
      </c>
      <c r="K249" s="497" t="s">
        <v>649</v>
      </c>
      <c r="L249" s="497" t="s">
        <v>28</v>
      </c>
      <c r="M249" s="497" t="s">
        <v>646</v>
      </c>
      <c r="N249" s="497"/>
      <c r="O249" s="497"/>
      <c r="P249" s="497" t="s">
        <v>643</v>
      </c>
      <c r="Q249" s="497" t="s">
        <v>656</v>
      </c>
      <c r="R249" s="497" t="s">
        <v>652</v>
      </c>
      <c r="S249" s="497" t="s">
        <v>649</v>
      </c>
      <c r="T249" s="497"/>
      <c r="U249" s="497"/>
      <c r="V249" s="497" t="s">
        <v>683</v>
      </c>
      <c r="W249" s="497" t="s">
        <v>677</v>
      </c>
      <c r="X249" s="499">
        <v>41730</v>
      </c>
      <c r="Y249" s="499">
        <v>42867</v>
      </c>
      <c r="Z249" s="500">
        <v>2017</v>
      </c>
      <c r="AA249" s="497" t="s">
        <v>676</v>
      </c>
      <c r="AB249" s="497" t="s">
        <v>675</v>
      </c>
      <c r="AC249" s="497" t="s">
        <v>663</v>
      </c>
      <c r="AD249" s="501"/>
      <c r="AE249" s="501"/>
      <c r="AF249" s="501"/>
      <c r="AG249" s="501"/>
      <c r="AH249" s="501"/>
      <c r="AI249" s="501"/>
      <c r="AJ249" s="501"/>
      <c r="AK249" s="501"/>
      <c r="AL249" s="501"/>
      <c r="AM249" s="501"/>
      <c r="AN249" s="501"/>
      <c r="AO249" s="501"/>
      <c r="AP249" s="501"/>
      <c r="AQ249" s="501"/>
      <c r="AR249" s="501"/>
      <c r="AS249" s="501"/>
      <c r="AT249" s="501"/>
      <c r="AU249" s="501"/>
      <c r="AV249" s="501">
        <v>113999.99999999985</v>
      </c>
      <c r="AW249" s="501">
        <v>1085999.9999999986</v>
      </c>
      <c r="AX249" s="501"/>
      <c r="AY249" s="501"/>
      <c r="AZ249" s="501"/>
      <c r="BA249" s="501"/>
      <c r="BB249" s="483"/>
      <c r="BC249" s="483"/>
      <c r="BD249" s="483"/>
      <c r="BE249" s="483"/>
      <c r="BF249" s="483"/>
      <c r="BG249" s="483"/>
      <c r="BH249" s="483"/>
      <c r="BI249" s="483"/>
      <c r="BJ249" s="483"/>
      <c r="BK249" s="483"/>
      <c r="BL249" s="483"/>
      <c r="BM249" s="483"/>
      <c r="BN249" s="483"/>
      <c r="BO249" s="483"/>
      <c r="BP249" s="483"/>
      <c r="BQ249" s="483"/>
      <c r="BR249" s="483">
        <v>1199999.9999999984</v>
      </c>
      <c r="BS249" s="484">
        <f t="shared" si="53"/>
        <v>1199999.9999999984</v>
      </c>
      <c r="BT249" s="485">
        <f t="shared" ref="BT249:CC255" si="61">SUMIFS($AD249:$BA249,$AD$11:$BA$11,BT$21)/$BS249</f>
        <v>0</v>
      </c>
      <c r="BU249" s="485">
        <f t="shared" si="61"/>
        <v>0</v>
      </c>
      <c r="BV249" s="485">
        <f t="shared" si="61"/>
        <v>0</v>
      </c>
      <c r="BW249" s="485">
        <f t="shared" si="61"/>
        <v>1</v>
      </c>
      <c r="BX249" s="485">
        <f t="shared" si="61"/>
        <v>0</v>
      </c>
      <c r="BY249" s="485">
        <f t="shared" si="61"/>
        <v>0</v>
      </c>
      <c r="BZ249" s="485">
        <f t="shared" si="61"/>
        <v>0</v>
      </c>
      <c r="CA249" s="485">
        <f t="shared" si="61"/>
        <v>0</v>
      </c>
      <c r="CB249" s="485">
        <f t="shared" si="61"/>
        <v>0</v>
      </c>
      <c r="CC249" s="485">
        <f t="shared" si="61"/>
        <v>0</v>
      </c>
      <c r="CD249" s="485">
        <f t="shared" ref="CD249:CL255" si="62">SUMIFS($AD249:$BA249,$AD$11:$BA$11,CD$21)/$BS249</f>
        <v>0</v>
      </c>
      <c r="CE249" s="485">
        <f t="shared" si="62"/>
        <v>0</v>
      </c>
      <c r="CF249" s="485">
        <f t="shared" si="62"/>
        <v>0</v>
      </c>
      <c r="CG249" s="485">
        <f t="shared" si="62"/>
        <v>0</v>
      </c>
      <c r="CH249" s="485">
        <f t="shared" si="62"/>
        <v>0</v>
      </c>
      <c r="CI249" s="485">
        <f t="shared" si="62"/>
        <v>0</v>
      </c>
      <c r="CJ249" s="485">
        <f t="shared" si="62"/>
        <v>0</v>
      </c>
      <c r="CK249" s="485">
        <f t="shared" si="62"/>
        <v>0</v>
      </c>
      <c r="CL249" s="485">
        <f t="shared" si="62"/>
        <v>0</v>
      </c>
      <c r="CM249" s="486">
        <f t="shared" si="54"/>
        <v>1</v>
      </c>
    </row>
    <row r="250" spans="1:91" s="487" customFormat="1" ht="25.5" x14ac:dyDescent="0.25">
      <c r="A250" s="497" t="s">
        <v>321</v>
      </c>
      <c r="B250" s="498" t="s">
        <v>1988</v>
      </c>
      <c r="C250" s="497" t="s">
        <v>834</v>
      </c>
      <c r="D250" s="498"/>
      <c r="E250" s="497" t="s">
        <v>692</v>
      </c>
      <c r="F250" s="498"/>
      <c r="G250" s="497"/>
      <c r="H250" s="497" t="s">
        <v>654</v>
      </c>
      <c r="I250" s="497" t="s">
        <v>647</v>
      </c>
      <c r="J250" s="497" t="s">
        <v>671</v>
      </c>
      <c r="K250" s="497" t="s">
        <v>649</v>
      </c>
      <c r="L250" s="497" t="s">
        <v>55</v>
      </c>
      <c r="M250" s="497" t="s">
        <v>646</v>
      </c>
      <c r="N250" s="497" t="s">
        <v>645</v>
      </c>
      <c r="O250" s="497"/>
      <c r="P250" s="497"/>
      <c r="Q250" s="497" t="s">
        <v>656</v>
      </c>
      <c r="R250" s="497" t="s">
        <v>652</v>
      </c>
      <c r="S250" s="497" t="s">
        <v>649</v>
      </c>
      <c r="T250" s="497"/>
      <c r="U250" s="497"/>
      <c r="V250" s="497" t="s">
        <v>683</v>
      </c>
      <c r="W250" s="497" t="s">
        <v>640</v>
      </c>
      <c r="X250" s="499">
        <v>42552</v>
      </c>
      <c r="Y250" s="499">
        <v>43426</v>
      </c>
      <c r="Z250" s="500">
        <v>2018</v>
      </c>
      <c r="AA250" s="497"/>
      <c r="AB250" s="497"/>
      <c r="AC250" s="497"/>
      <c r="AD250" s="501"/>
      <c r="AE250" s="501"/>
      <c r="AF250" s="501"/>
      <c r="AG250" s="501"/>
      <c r="AH250" s="501"/>
      <c r="AI250" s="501"/>
      <c r="AJ250" s="501"/>
      <c r="AK250" s="501"/>
      <c r="AL250" s="501"/>
      <c r="AM250" s="501"/>
      <c r="AN250" s="501"/>
      <c r="AO250" s="501"/>
      <c r="AP250" s="501"/>
      <c r="AQ250" s="501"/>
      <c r="AR250" s="501"/>
      <c r="AS250" s="501"/>
      <c r="AT250" s="501"/>
      <c r="AU250" s="501"/>
      <c r="AV250" s="501">
        <v>32500.000000000015</v>
      </c>
      <c r="AW250" s="501"/>
      <c r="AX250" s="501"/>
      <c r="AY250" s="501"/>
      <c r="AZ250" s="501"/>
      <c r="BA250" s="501"/>
      <c r="BB250" s="483"/>
      <c r="BC250" s="483"/>
      <c r="BD250" s="483"/>
      <c r="BE250" s="483"/>
      <c r="BF250" s="483"/>
      <c r="BG250" s="483">
        <v>617002.13008333393</v>
      </c>
      <c r="BH250" s="483"/>
      <c r="BI250" s="483"/>
      <c r="BJ250" s="483"/>
      <c r="BK250" s="483"/>
      <c r="BL250" s="483"/>
      <c r="BM250" s="483"/>
      <c r="BN250" s="483"/>
      <c r="BO250" s="483"/>
      <c r="BP250" s="483"/>
      <c r="BQ250" s="483"/>
      <c r="BR250" s="483">
        <v>649502.13008333393</v>
      </c>
      <c r="BS250" s="484">
        <f t="shared" si="53"/>
        <v>32500.000000000015</v>
      </c>
      <c r="BT250" s="485">
        <f t="shared" si="61"/>
        <v>0</v>
      </c>
      <c r="BU250" s="485">
        <f t="shared" si="61"/>
        <v>0</v>
      </c>
      <c r="BV250" s="485">
        <f t="shared" si="61"/>
        <v>0</v>
      </c>
      <c r="BW250" s="485">
        <f t="shared" si="61"/>
        <v>1</v>
      </c>
      <c r="BX250" s="485">
        <f t="shared" si="61"/>
        <v>0</v>
      </c>
      <c r="BY250" s="485">
        <f t="shared" si="61"/>
        <v>0</v>
      </c>
      <c r="BZ250" s="485">
        <f t="shared" si="61"/>
        <v>0</v>
      </c>
      <c r="CA250" s="485">
        <f t="shared" si="61"/>
        <v>0</v>
      </c>
      <c r="CB250" s="485">
        <f t="shared" si="61"/>
        <v>0</v>
      </c>
      <c r="CC250" s="485">
        <f t="shared" si="61"/>
        <v>0</v>
      </c>
      <c r="CD250" s="485">
        <f t="shared" si="62"/>
        <v>0</v>
      </c>
      <c r="CE250" s="485">
        <f t="shared" si="62"/>
        <v>0</v>
      </c>
      <c r="CF250" s="485">
        <f t="shared" si="62"/>
        <v>0</v>
      </c>
      <c r="CG250" s="485">
        <f t="shared" si="62"/>
        <v>0</v>
      </c>
      <c r="CH250" s="485">
        <f t="shared" si="62"/>
        <v>0</v>
      </c>
      <c r="CI250" s="485">
        <f t="shared" si="62"/>
        <v>0</v>
      </c>
      <c r="CJ250" s="485">
        <f t="shared" si="62"/>
        <v>0</v>
      </c>
      <c r="CK250" s="485">
        <f t="shared" si="62"/>
        <v>0</v>
      </c>
      <c r="CL250" s="485">
        <f t="shared" si="62"/>
        <v>0</v>
      </c>
      <c r="CM250" s="486">
        <f t="shared" si="54"/>
        <v>1</v>
      </c>
    </row>
    <row r="251" spans="1:91" s="487" customFormat="1" ht="25.5" customHeight="1" x14ac:dyDescent="0.25">
      <c r="A251" s="497" t="s">
        <v>832</v>
      </c>
      <c r="B251" s="498" t="s">
        <v>1992</v>
      </c>
      <c r="C251" s="497" t="s">
        <v>831</v>
      </c>
      <c r="D251" s="498"/>
      <c r="E251" s="497" t="s">
        <v>55</v>
      </c>
      <c r="F251" s="498"/>
      <c r="G251" s="497" t="s">
        <v>648</v>
      </c>
      <c r="H251" s="497" t="s">
        <v>654</v>
      </c>
      <c r="I251" s="497" t="s">
        <v>647</v>
      </c>
      <c r="J251" s="497" t="s">
        <v>641</v>
      </c>
      <c r="K251" s="497" t="s">
        <v>649</v>
      </c>
      <c r="L251" s="497" t="s">
        <v>28</v>
      </c>
      <c r="M251" s="497" t="s">
        <v>646</v>
      </c>
      <c r="N251" s="497"/>
      <c r="O251" s="497"/>
      <c r="P251" s="497" t="s">
        <v>643</v>
      </c>
      <c r="Q251" s="497" t="s">
        <v>650</v>
      </c>
      <c r="R251" s="497" t="s">
        <v>652</v>
      </c>
      <c r="S251" s="497" t="s">
        <v>649</v>
      </c>
      <c r="T251" s="497"/>
      <c r="U251" s="497"/>
      <c r="V251" s="497" t="s">
        <v>683</v>
      </c>
      <c r="W251" s="497" t="s">
        <v>677</v>
      </c>
      <c r="X251" s="499">
        <v>42552</v>
      </c>
      <c r="Y251" s="499">
        <v>43642</v>
      </c>
      <c r="Z251" s="500">
        <v>2019</v>
      </c>
      <c r="AA251" s="497" t="s">
        <v>676</v>
      </c>
      <c r="AB251" s="497" t="s">
        <v>675</v>
      </c>
      <c r="AC251" s="497" t="s">
        <v>663</v>
      </c>
      <c r="AD251" s="501"/>
      <c r="AE251" s="501"/>
      <c r="AF251" s="501"/>
      <c r="AG251" s="501"/>
      <c r="AH251" s="501"/>
      <c r="AI251" s="501"/>
      <c r="AJ251" s="501"/>
      <c r="AK251" s="501"/>
      <c r="AL251" s="501"/>
      <c r="AM251" s="501"/>
      <c r="AN251" s="501"/>
      <c r="AO251" s="501"/>
      <c r="AP251" s="501"/>
      <c r="AQ251" s="501"/>
      <c r="AR251" s="501"/>
      <c r="AS251" s="501"/>
      <c r="AT251" s="501"/>
      <c r="AU251" s="501"/>
      <c r="AV251" s="501">
        <v>171000.00000000012</v>
      </c>
      <c r="AW251" s="501">
        <v>1629000.0000000014</v>
      </c>
      <c r="AX251" s="501"/>
      <c r="AY251" s="501"/>
      <c r="AZ251" s="501"/>
      <c r="BA251" s="501"/>
      <c r="BB251" s="483"/>
      <c r="BC251" s="483"/>
      <c r="BD251" s="483"/>
      <c r="BE251" s="483"/>
      <c r="BF251" s="483"/>
      <c r="BG251" s="483"/>
      <c r="BH251" s="483"/>
      <c r="BI251" s="483"/>
      <c r="BJ251" s="483"/>
      <c r="BK251" s="483"/>
      <c r="BL251" s="483"/>
      <c r="BM251" s="483"/>
      <c r="BN251" s="483"/>
      <c r="BO251" s="483"/>
      <c r="BP251" s="483"/>
      <c r="BQ251" s="483"/>
      <c r="BR251" s="483">
        <v>1800000.0000000016</v>
      </c>
      <c r="BS251" s="484">
        <f t="shared" si="53"/>
        <v>1800000.0000000014</v>
      </c>
      <c r="BT251" s="485">
        <f t="shared" si="61"/>
        <v>0</v>
      </c>
      <c r="BU251" s="485">
        <f t="shared" si="61"/>
        <v>0</v>
      </c>
      <c r="BV251" s="485">
        <f t="shared" si="61"/>
        <v>0</v>
      </c>
      <c r="BW251" s="485">
        <f t="shared" si="61"/>
        <v>1</v>
      </c>
      <c r="BX251" s="485">
        <f t="shared" si="61"/>
        <v>0</v>
      </c>
      <c r="BY251" s="485">
        <f t="shared" si="61"/>
        <v>0</v>
      </c>
      <c r="BZ251" s="485">
        <f t="shared" si="61"/>
        <v>0</v>
      </c>
      <c r="CA251" s="485">
        <f t="shared" si="61"/>
        <v>0</v>
      </c>
      <c r="CB251" s="485">
        <f t="shared" si="61"/>
        <v>0</v>
      </c>
      <c r="CC251" s="485">
        <f t="shared" si="61"/>
        <v>0</v>
      </c>
      <c r="CD251" s="485">
        <f t="shared" si="62"/>
        <v>0</v>
      </c>
      <c r="CE251" s="485">
        <f t="shared" si="62"/>
        <v>0</v>
      </c>
      <c r="CF251" s="485">
        <f t="shared" si="62"/>
        <v>0</v>
      </c>
      <c r="CG251" s="485">
        <f t="shared" si="62"/>
        <v>0</v>
      </c>
      <c r="CH251" s="485">
        <f t="shared" si="62"/>
        <v>0</v>
      </c>
      <c r="CI251" s="485">
        <f t="shared" si="62"/>
        <v>0</v>
      </c>
      <c r="CJ251" s="485">
        <f t="shared" si="62"/>
        <v>0</v>
      </c>
      <c r="CK251" s="485">
        <f t="shared" si="62"/>
        <v>0</v>
      </c>
      <c r="CL251" s="485">
        <f t="shared" si="62"/>
        <v>0</v>
      </c>
      <c r="CM251" s="486">
        <f t="shared" si="54"/>
        <v>1</v>
      </c>
    </row>
    <row r="252" spans="1:91" s="487" customFormat="1" ht="38.25" x14ac:dyDescent="0.25">
      <c r="A252" s="497" t="s">
        <v>324</v>
      </c>
      <c r="B252" s="498" t="s">
        <v>1998</v>
      </c>
      <c r="C252" s="497" t="s">
        <v>830</v>
      </c>
      <c r="D252" s="498"/>
      <c r="E252" s="497"/>
      <c r="F252" s="498"/>
      <c r="G252" s="497"/>
      <c r="H252" s="497" t="s">
        <v>654</v>
      </c>
      <c r="I252" s="497" t="s">
        <v>647</v>
      </c>
      <c r="J252" s="497" t="s">
        <v>641</v>
      </c>
      <c r="K252" s="497" t="s">
        <v>649</v>
      </c>
      <c r="L252" s="497" t="s">
        <v>55</v>
      </c>
      <c r="M252" s="497" t="s">
        <v>646</v>
      </c>
      <c r="N252" s="497" t="s">
        <v>645</v>
      </c>
      <c r="O252" s="497" t="s">
        <v>721</v>
      </c>
      <c r="P252" s="497" t="s">
        <v>823</v>
      </c>
      <c r="Q252" s="497" t="s">
        <v>642</v>
      </c>
      <c r="R252" s="497" t="s">
        <v>652</v>
      </c>
      <c r="S252" s="497" t="s">
        <v>649</v>
      </c>
      <c r="T252" s="497"/>
      <c r="U252" s="497"/>
      <c r="V252" s="497" t="s">
        <v>685</v>
      </c>
      <c r="W252" s="497" t="s">
        <v>677</v>
      </c>
      <c r="X252" s="499">
        <v>41401</v>
      </c>
      <c r="Y252" s="499">
        <v>43322</v>
      </c>
      <c r="Z252" s="500">
        <v>2017</v>
      </c>
      <c r="AA252" s="497" t="s">
        <v>663</v>
      </c>
      <c r="AB252" s="497"/>
      <c r="AC252" s="497"/>
      <c r="AD252" s="501"/>
      <c r="AE252" s="501"/>
      <c r="AF252" s="501"/>
      <c r="AG252" s="501"/>
      <c r="AH252" s="501"/>
      <c r="AI252" s="501"/>
      <c r="AJ252" s="501"/>
      <c r="AK252" s="501"/>
      <c r="AL252" s="501">
        <v>122000</v>
      </c>
      <c r="AM252" s="501"/>
      <c r="AN252" s="501"/>
      <c r="AO252" s="501"/>
      <c r="AP252" s="501"/>
      <c r="AQ252" s="501">
        <v>4336000</v>
      </c>
      <c r="AR252" s="501">
        <v>967999.75320000004</v>
      </c>
      <c r="AS252" s="501"/>
      <c r="AT252" s="501"/>
      <c r="AU252" s="501"/>
      <c r="AV252" s="501">
        <v>2714667.6199999996</v>
      </c>
      <c r="AW252" s="501">
        <v>96651.999999999985</v>
      </c>
      <c r="AX252" s="501"/>
      <c r="AY252" s="501"/>
      <c r="AZ252" s="501"/>
      <c r="BA252" s="501"/>
      <c r="BB252" s="483">
        <v>813899.99999999988</v>
      </c>
      <c r="BC252" s="483">
        <v>542600</v>
      </c>
      <c r="BD252" s="483">
        <v>915637.5</v>
      </c>
      <c r="BE252" s="483">
        <v>1862.9999999999998</v>
      </c>
      <c r="BF252" s="483"/>
      <c r="BG252" s="483">
        <v>2421787.0999999996</v>
      </c>
      <c r="BH252" s="483"/>
      <c r="BI252" s="483"/>
      <c r="BJ252" s="483"/>
      <c r="BK252" s="483"/>
      <c r="BL252" s="483"/>
      <c r="BM252" s="483"/>
      <c r="BN252" s="483">
        <v>819999.99999999977</v>
      </c>
      <c r="BO252" s="483"/>
      <c r="BP252" s="483"/>
      <c r="BQ252" s="483"/>
      <c r="BR252" s="483">
        <v>13753106.973199993</v>
      </c>
      <c r="BS252" s="484">
        <f t="shared" si="53"/>
        <v>8237319.3731999993</v>
      </c>
      <c r="BT252" s="485">
        <f t="shared" si="61"/>
        <v>0</v>
      </c>
      <c r="BU252" s="485">
        <f t="shared" si="61"/>
        <v>0.11751392769222635</v>
      </c>
      <c r="BV252" s="485">
        <f t="shared" si="61"/>
        <v>0.52638483510875078</v>
      </c>
      <c r="BW252" s="485">
        <f t="shared" si="61"/>
        <v>0.3412905937757601</v>
      </c>
      <c r="BX252" s="485">
        <f t="shared" si="61"/>
        <v>0</v>
      </c>
      <c r="BY252" s="485">
        <f t="shared" si="61"/>
        <v>0</v>
      </c>
      <c r="BZ252" s="485">
        <f t="shared" si="61"/>
        <v>0</v>
      </c>
      <c r="CA252" s="485">
        <f t="shared" si="61"/>
        <v>0</v>
      </c>
      <c r="CB252" s="485">
        <f t="shared" si="61"/>
        <v>0</v>
      </c>
      <c r="CC252" s="485">
        <f t="shared" si="61"/>
        <v>0</v>
      </c>
      <c r="CD252" s="485">
        <f t="shared" si="62"/>
        <v>0</v>
      </c>
      <c r="CE252" s="485">
        <f t="shared" si="62"/>
        <v>0</v>
      </c>
      <c r="CF252" s="485">
        <f t="shared" si="62"/>
        <v>0</v>
      </c>
      <c r="CG252" s="485">
        <f t="shared" si="62"/>
        <v>0</v>
      </c>
      <c r="CH252" s="485">
        <f t="shared" si="62"/>
        <v>1.4810643423262822E-2</v>
      </c>
      <c r="CI252" s="485">
        <f t="shared" si="62"/>
        <v>0</v>
      </c>
      <c r="CJ252" s="485">
        <f t="shared" si="62"/>
        <v>0</v>
      </c>
      <c r="CK252" s="485">
        <f t="shared" si="62"/>
        <v>0</v>
      </c>
      <c r="CL252" s="485">
        <f t="shared" si="62"/>
        <v>0</v>
      </c>
      <c r="CM252" s="486">
        <f t="shared" si="54"/>
        <v>1</v>
      </c>
    </row>
    <row r="253" spans="1:91" s="487" customFormat="1" ht="25.5" x14ac:dyDescent="0.25">
      <c r="A253" s="497" t="s">
        <v>326</v>
      </c>
      <c r="B253" s="498" t="s">
        <v>2000</v>
      </c>
      <c r="C253" s="497" t="s">
        <v>829</v>
      </c>
      <c r="D253" s="498"/>
      <c r="E253" s="497" t="s">
        <v>56</v>
      </c>
      <c r="F253" s="498"/>
      <c r="G253" s="497" t="s">
        <v>804</v>
      </c>
      <c r="H253" s="497" t="s">
        <v>654</v>
      </c>
      <c r="I253" s="497" t="s">
        <v>647</v>
      </c>
      <c r="J253" s="497" t="s">
        <v>641</v>
      </c>
      <c r="K253" s="497" t="s">
        <v>649</v>
      </c>
      <c r="L253" s="497" t="s">
        <v>40</v>
      </c>
      <c r="M253" s="497" t="s">
        <v>646</v>
      </c>
      <c r="N253" s="497"/>
      <c r="O253" s="497"/>
      <c r="P253" s="497" t="s">
        <v>643</v>
      </c>
      <c r="Q253" s="497" t="s">
        <v>642</v>
      </c>
      <c r="R253" s="497" t="s">
        <v>652</v>
      </c>
      <c r="S253" s="497" t="s">
        <v>649</v>
      </c>
      <c r="T253" s="497"/>
      <c r="U253" s="497"/>
      <c r="V253" s="497" t="s">
        <v>685</v>
      </c>
      <c r="W253" s="497" t="s">
        <v>640</v>
      </c>
      <c r="X253" s="499">
        <v>40990</v>
      </c>
      <c r="Y253" s="499">
        <v>42221</v>
      </c>
      <c r="Z253" s="500">
        <v>2015</v>
      </c>
      <c r="AA253" s="497"/>
      <c r="AB253" s="497" t="s">
        <v>675</v>
      </c>
      <c r="AC253" s="497" t="s">
        <v>663</v>
      </c>
      <c r="AD253" s="501"/>
      <c r="AE253" s="501"/>
      <c r="AF253" s="501"/>
      <c r="AG253" s="501"/>
      <c r="AH253" s="501"/>
      <c r="AI253" s="501"/>
      <c r="AJ253" s="501">
        <v>247702.85935000022</v>
      </c>
      <c r="AK253" s="501"/>
      <c r="AL253" s="501"/>
      <c r="AM253" s="501"/>
      <c r="AN253" s="501"/>
      <c r="AO253" s="501"/>
      <c r="AP253" s="501"/>
      <c r="AQ253" s="501">
        <v>1377059.7368317014</v>
      </c>
      <c r="AR253" s="501">
        <v>1487596.2020510011</v>
      </c>
      <c r="AS253" s="501"/>
      <c r="AT253" s="501"/>
      <c r="AU253" s="501"/>
      <c r="AV253" s="501"/>
      <c r="AW253" s="501"/>
      <c r="AX253" s="501"/>
      <c r="AY253" s="501"/>
      <c r="AZ253" s="501"/>
      <c r="BA253" s="501"/>
      <c r="BB253" s="483"/>
      <c r="BC253" s="483"/>
      <c r="BD253" s="483"/>
      <c r="BE253" s="483"/>
      <c r="BF253" s="483"/>
      <c r="BG253" s="483">
        <v>389044.84977908782</v>
      </c>
      <c r="BH253" s="483">
        <v>373483.05578792433</v>
      </c>
      <c r="BI253" s="483">
        <v>31123.587982327022</v>
      </c>
      <c r="BJ253" s="483">
        <v>93370.763946981082</v>
      </c>
      <c r="BK253" s="483">
        <v>46685.381973490534</v>
      </c>
      <c r="BL253" s="483">
        <v>93370.763946981067</v>
      </c>
      <c r="BM253" s="483">
        <v>62247.175964654045</v>
      </c>
      <c r="BN253" s="483"/>
      <c r="BO253" s="483"/>
      <c r="BP253" s="483"/>
      <c r="BQ253" s="483"/>
      <c r="BR253" s="483">
        <v>4201684.377614148</v>
      </c>
      <c r="BS253" s="484">
        <f t="shared" si="53"/>
        <v>3112358.7982327025</v>
      </c>
      <c r="BT253" s="485">
        <f t="shared" si="61"/>
        <v>0</v>
      </c>
      <c r="BU253" s="485">
        <f t="shared" si="61"/>
        <v>0.477964238215628</v>
      </c>
      <c r="BV253" s="485">
        <f t="shared" si="61"/>
        <v>0.44244890326065239</v>
      </c>
      <c r="BW253" s="485">
        <f t="shared" si="61"/>
        <v>0</v>
      </c>
      <c r="BX253" s="485">
        <f t="shared" si="61"/>
        <v>0</v>
      </c>
      <c r="BY253" s="485">
        <f t="shared" si="61"/>
        <v>0</v>
      </c>
      <c r="BZ253" s="485">
        <f t="shared" si="61"/>
        <v>0</v>
      </c>
      <c r="CA253" s="485">
        <f t="shared" si="61"/>
        <v>0</v>
      </c>
      <c r="CB253" s="485">
        <f t="shared" si="61"/>
        <v>0</v>
      </c>
      <c r="CC253" s="485">
        <f t="shared" si="61"/>
        <v>0</v>
      </c>
      <c r="CD253" s="485">
        <f t="shared" si="62"/>
        <v>7.9586858523719647E-2</v>
      </c>
      <c r="CE253" s="485">
        <f t="shared" si="62"/>
        <v>0</v>
      </c>
      <c r="CF253" s="485">
        <f t="shared" si="62"/>
        <v>0</v>
      </c>
      <c r="CG253" s="485">
        <f t="shared" si="62"/>
        <v>0</v>
      </c>
      <c r="CH253" s="485">
        <f t="shared" si="62"/>
        <v>0</v>
      </c>
      <c r="CI253" s="485">
        <f t="shared" si="62"/>
        <v>0</v>
      </c>
      <c r="CJ253" s="485">
        <f t="shared" si="62"/>
        <v>0</v>
      </c>
      <c r="CK253" s="485">
        <f t="shared" si="62"/>
        <v>0</v>
      </c>
      <c r="CL253" s="485">
        <f t="shared" si="62"/>
        <v>0</v>
      </c>
      <c r="CM253" s="486">
        <f t="shared" si="54"/>
        <v>1</v>
      </c>
    </row>
    <row r="254" spans="1:91" s="487" customFormat="1" ht="25.5" x14ac:dyDescent="0.25">
      <c r="A254" s="497" t="s">
        <v>327</v>
      </c>
      <c r="B254" s="498" t="s">
        <v>2004</v>
      </c>
      <c r="C254" s="497" t="s">
        <v>828</v>
      </c>
      <c r="D254" s="498"/>
      <c r="E254" s="497" t="s">
        <v>827</v>
      </c>
      <c r="F254" s="498"/>
      <c r="G254" s="497"/>
      <c r="H254" s="497" t="s">
        <v>654</v>
      </c>
      <c r="I254" s="497" t="s">
        <v>647</v>
      </c>
      <c r="J254" s="497" t="s">
        <v>641</v>
      </c>
      <c r="K254" s="497" t="s">
        <v>649</v>
      </c>
      <c r="L254" s="497" t="s">
        <v>28</v>
      </c>
      <c r="M254" s="497" t="s">
        <v>646</v>
      </c>
      <c r="N254" s="497" t="s">
        <v>668</v>
      </c>
      <c r="O254" s="497"/>
      <c r="P254" s="497" t="s">
        <v>643</v>
      </c>
      <c r="Q254" s="497" t="s">
        <v>656</v>
      </c>
      <c r="R254" s="497" t="s">
        <v>652</v>
      </c>
      <c r="S254" s="497"/>
      <c r="T254" s="497"/>
      <c r="U254" s="497"/>
      <c r="V254" s="497" t="s">
        <v>641</v>
      </c>
      <c r="W254" s="497"/>
      <c r="X254" s="499">
        <v>41456</v>
      </c>
      <c r="Y254" s="499">
        <v>42479</v>
      </c>
      <c r="Z254" s="500">
        <v>2016</v>
      </c>
      <c r="AA254" s="497"/>
      <c r="AB254" s="497" t="s">
        <v>675</v>
      </c>
      <c r="AC254" s="497" t="s">
        <v>663</v>
      </c>
      <c r="AD254" s="501"/>
      <c r="AE254" s="501"/>
      <c r="AF254" s="501"/>
      <c r="AG254" s="501"/>
      <c r="AH254" s="501"/>
      <c r="AI254" s="501">
        <v>372600.02173499996</v>
      </c>
      <c r="AJ254" s="501"/>
      <c r="AK254" s="501"/>
      <c r="AL254" s="501">
        <v>1452464.9999999998</v>
      </c>
      <c r="AM254" s="501"/>
      <c r="AN254" s="501"/>
      <c r="AO254" s="501"/>
      <c r="AP254" s="501"/>
      <c r="AQ254" s="501">
        <v>410000.00000099995</v>
      </c>
      <c r="AR254" s="501"/>
      <c r="AS254" s="501">
        <v>10000</v>
      </c>
      <c r="AT254" s="501"/>
      <c r="AU254" s="501"/>
      <c r="AV254" s="501"/>
      <c r="AW254" s="501"/>
      <c r="AX254" s="501"/>
      <c r="AY254" s="501"/>
      <c r="AZ254" s="501"/>
      <c r="BA254" s="501"/>
      <c r="BB254" s="483">
        <v>245822.25326039986</v>
      </c>
      <c r="BC254" s="483"/>
      <c r="BD254" s="483"/>
      <c r="BE254" s="483">
        <v>6822.4400062400991</v>
      </c>
      <c r="BF254" s="483"/>
      <c r="BG254" s="483">
        <v>62192.742875065989</v>
      </c>
      <c r="BH254" s="483">
        <v>49754.194300052797</v>
      </c>
      <c r="BI254" s="483">
        <v>24877.097150026395</v>
      </c>
      <c r="BJ254" s="483">
        <v>74631.291450079181</v>
      </c>
      <c r="BK254" s="483">
        <v>37315.645725039591</v>
      </c>
      <c r="BL254" s="483">
        <v>74631.291450079181</v>
      </c>
      <c r="BM254" s="483">
        <v>49754.194300052797</v>
      </c>
      <c r="BN254" s="483">
        <v>280000</v>
      </c>
      <c r="BO254" s="483"/>
      <c r="BP254" s="483"/>
      <c r="BQ254" s="483">
        <v>200000</v>
      </c>
      <c r="BR254" s="483">
        <v>3350866.1722530355</v>
      </c>
      <c r="BS254" s="484">
        <f t="shared" si="53"/>
        <v>2245065.0217359997</v>
      </c>
      <c r="BT254" s="485">
        <f t="shared" si="61"/>
        <v>0</v>
      </c>
      <c r="BU254" s="485">
        <f t="shared" si="61"/>
        <v>0</v>
      </c>
      <c r="BV254" s="485">
        <f t="shared" si="61"/>
        <v>0.18262277307405861</v>
      </c>
      <c r="BW254" s="485">
        <f t="shared" si="61"/>
        <v>0</v>
      </c>
      <c r="BX254" s="485">
        <f t="shared" si="61"/>
        <v>0</v>
      </c>
      <c r="BY254" s="485">
        <f t="shared" si="61"/>
        <v>4.4542139774052004E-3</v>
      </c>
      <c r="BZ254" s="485">
        <f t="shared" si="61"/>
        <v>0</v>
      </c>
      <c r="CA254" s="485">
        <f t="shared" si="61"/>
        <v>0</v>
      </c>
      <c r="CB254" s="485">
        <f t="shared" si="61"/>
        <v>0</v>
      </c>
      <c r="CC254" s="485">
        <f t="shared" si="61"/>
        <v>0</v>
      </c>
      <c r="CD254" s="485">
        <f t="shared" si="62"/>
        <v>0</v>
      </c>
      <c r="CE254" s="485">
        <f t="shared" si="62"/>
        <v>0.16596402247935182</v>
      </c>
      <c r="CF254" s="485">
        <f t="shared" si="62"/>
        <v>0</v>
      </c>
      <c r="CG254" s="485">
        <f t="shared" si="62"/>
        <v>0</v>
      </c>
      <c r="CH254" s="485">
        <f t="shared" si="62"/>
        <v>0.64695899046918437</v>
      </c>
      <c r="CI254" s="485">
        <f t="shared" si="62"/>
        <v>0</v>
      </c>
      <c r="CJ254" s="485">
        <f t="shared" si="62"/>
        <v>0</v>
      </c>
      <c r="CK254" s="485">
        <f t="shared" si="62"/>
        <v>0</v>
      </c>
      <c r="CL254" s="485">
        <f t="shared" si="62"/>
        <v>0</v>
      </c>
      <c r="CM254" s="486">
        <f t="shared" si="54"/>
        <v>1</v>
      </c>
    </row>
    <row r="255" spans="1:91" s="487" customFormat="1" ht="25.5" customHeight="1" x14ac:dyDescent="0.25">
      <c r="A255" s="497" t="s">
        <v>826</v>
      </c>
      <c r="B255" s="498" t="s">
        <v>2006</v>
      </c>
      <c r="C255" s="497" t="s">
        <v>825</v>
      </c>
      <c r="D255" s="498"/>
      <c r="E255" s="497" t="s">
        <v>779</v>
      </c>
      <c r="F255" s="498"/>
      <c r="G255" s="497" t="s">
        <v>722</v>
      </c>
      <c r="H255" s="497" t="s">
        <v>654</v>
      </c>
      <c r="I255" s="497" t="s">
        <v>647</v>
      </c>
      <c r="J255" s="497" t="s">
        <v>641</v>
      </c>
      <c r="K255" s="497" t="s">
        <v>649</v>
      </c>
      <c r="L255" s="497" t="s">
        <v>54</v>
      </c>
      <c r="M255" s="497" t="s">
        <v>646</v>
      </c>
      <c r="N255" s="497" t="s">
        <v>821</v>
      </c>
      <c r="O255" s="497"/>
      <c r="P255" s="497" t="s">
        <v>643</v>
      </c>
      <c r="Q255" s="497" t="s">
        <v>656</v>
      </c>
      <c r="R255" s="497" t="s">
        <v>652</v>
      </c>
      <c r="S255" s="497" t="s">
        <v>649</v>
      </c>
      <c r="T255" s="497"/>
      <c r="U255" s="497"/>
      <c r="V255" s="497" t="s">
        <v>641</v>
      </c>
      <c r="W255" s="497" t="s">
        <v>688</v>
      </c>
      <c r="X255" s="499">
        <v>42064</v>
      </c>
      <c r="Y255" s="499">
        <v>43066</v>
      </c>
      <c r="Z255" s="500">
        <v>2017</v>
      </c>
      <c r="AA255" s="497" t="s">
        <v>663</v>
      </c>
      <c r="AB255" s="497" t="s">
        <v>675</v>
      </c>
      <c r="AC255" s="497" t="s">
        <v>663</v>
      </c>
      <c r="AD255" s="501"/>
      <c r="AE255" s="501"/>
      <c r="AF255" s="501"/>
      <c r="AG255" s="501">
        <v>3550100</v>
      </c>
      <c r="AH255" s="501"/>
      <c r="AI255" s="501"/>
      <c r="AJ255" s="501"/>
      <c r="AK255" s="501"/>
      <c r="AL255" s="501"/>
      <c r="AM255" s="501"/>
      <c r="AN255" s="501"/>
      <c r="AO255" s="501"/>
      <c r="AP255" s="501"/>
      <c r="AQ255" s="501"/>
      <c r="AR255" s="501"/>
      <c r="AS255" s="501"/>
      <c r="AT255" s="501"/>
      <c r="AU255" s="501"/>
      <c r="AV255" s="501"/>
      <c r="AW255" s="501"/>
      <c r="AX255" s="501"/>
      <c r="AY255" s="501"/>
      <c r="AZ255" s="501"/>
      <c r="BA255" s="501"/>
      <c r="BB255" s="483"/>
      <c r="BC255" s="483"/>
      <c r="BD255" s="483"/>
      <c r="BE255" s="483">
        <v>137.50000000000003</v>
      </c>
      <c r="BF255" s="483"/>
      <c r="BG255" s="483">
        <v>1253.4375</v>
      </c>
      <c r="BH255" s="483">
        <v>1002.7499999999999</v>
      </c>
      <c r="BI255" s="483">
        <v>501.375</v>
      </c>
      <c r="BJ255" s="483">
        <v>1504.125</v>
      </c>
      <c r="BK255" s="483">
        <v>752.0625</v>
      </c>
      <c r="BL255" s="483">
        <v>1504.125</v>
      </c>
      <c r="BM255" s="483">
        <v>1002.75</v>
      </c>
      <c r="BN255" s="483"/>
      <c r="BO255" s="483"/>
      <c r="BP255" s="483"/>
      <c r="BQ255" s="483"/>
      <c r="BR255" s="483">
        <v>3557758.125</v>
      </c>
      <c r="BS255" s="484">
        <f t="shared" si="53"/>
        <v>3550100</v>
      </c>
      <c r="BT255" s="485">
        <f t="shared" si="61"/>
        <v>0</v>
      </c>
      <c r="BU255" s="485">
        <f t="shared" si="61"/>
        <v>0</v>
      </c>
      <c r="BV255" s="485">
        <f t="shared" si="61"/>
        <v>0</v>
      </c>
      <c r="BW255" s="485">
        <f t="shared" si="61"/>
        <v>0</v>
      </c>
      <c r="BX255" s="485">
        <f t="shared" si="61"/>
        <v>0</v>
      </c>
      <c r="BY255" s="485">
        <f t="shared" si="61"/>
        <v>0</v>
      </c>
      <c r="BZ255" s="485">
        <f t="shared" si="61"/>
        <v>0</v>
      </c>
      <c r="CA255" s="485">
        <f t="shared" si="61"/>
        <v>0</v>
      </c>
      <c r="CB255" s="485">
        <f t="shared" si="61"/>
        <v>0</v>
      </c>
      <c r="CC255" s="485">
        <f t="shared" si="61"/>
        <v>1</v>
      </c>
      <c r="CD255" s="485">
        <f t="shared" si="62"/>
        <v>0</v>
      </c>
      <c r="CE255" s="485">
        <f t="shared" si="62"/>
        <v>0</v>
      </c>
      <c r="CF255" s="485">
        <f t="shared" si="62"/>
        <v>0</v>
      </c>
      <c r="CG255" s="485">
        <f t="shared" si="62"/>
        <v>0</v>
      </c>
      <c r="CH255" s="485">
        <f t="shared" si="62"/>
        <v>0</v>
      </c>
      <c r="CI255" s="485">
        <f t="shared" si="62"/>
        <v>0</v>
      </c>
      <c r="CJ255" s="485">
        <f t="shared" si="62"/>
        <v>0</v>
      </c>
      <c r="CK255" s="485">
        <f t="shared" si="62"/>
        <v>0</v>
      </c>
      <c r="CL255" s="485">
        <f t="shared" si="62"/>
        <v>0</v>
      </c>
      <c r="CM255" s="486">
        <f t="shared" si="54"/>
        <v>1</v>
      </c>
    </row>
    <row r="256" spans="1:91" s="487" customFormat="1" ht="38.25" x14ac:dyDescent="0.25">
      <c r="A256" s="497" t="s">
        <v>329</v>
      </c>
      <c r="B256" s="498" t="s">
        <v>2008</v>
      </c>
      <c r="C256" s="497" t="s">
        <v>824</v>
      </c>
      <c r="D256" s="498"/>
      <c r="E256" s="497"/>
      <c r="F256" s="498"/>
      <c r="G256" s="497" t="s">
        <v>686</v>
      </c>
      <c r="H256" s="497" t="s">
        <v>654</v>
      </c>
      <c r="I256" s="497" t="s">
        <v>647</v>
      </c>
      <c r="J256" s="497" t="s">
        <v>641</v>
      </c>
      <c r="K256" s="497" t="s">
        <v>649</v>
      </c>
      <c r="L256" s="497" t="s">
        <v>28</v>
      </c>
      <c r="M256" s="497" t="s">
        <v>646</v>
      </c>
      <c r="N256" s="497" t="s">
        <v>680</v>
      </c>
      <c r="O256" s="497" t="s">
        <v>644</v>
      </c>
      <c r="P256" s="497" t="s">
        <v>823</v>
      </c>
      <c r="Q256" s="497" t="s">
        <v>642</v>
      </c>
      <c r="R256" s="497" t="s">
        <v>652</v>
      </c>
      <c r="S256" s="497" t="s">
        <v>649</v>
      </c>
      <c r="T256" s="497"/>
      <c r="U256" s="497" t="s">
        <v>689</v>
      </c>
      <c r="V256" s="497" t="s">
        <v>641</v>
      </c>
      <c r="W256" s="497" t="s">
        <v>822</v>
      </c>
      <c r="X256" s="499"/>
      <c r="Y256" s="499"/>
      <c r="Z256" s="500">
        <v>2016</v>
      </c>
      <c r="AA256" s="497" t="s">
        <v>663</v>
      </c>
      <c r="AB256" s="497"/>
      <c r="AC256" s="497" t="s">
        <v>663</v>
      </c>
      <c r="AD256" s="501"/>
      <c r="AE256" s="501"/>
      <c r="AF256" s="501"/>
      <c r="AG256" s="501"/>
      <c r="AH256" s="501"/>
      <c r="AI256" s="501"/>
      <c r="AJ256" s="501"/>
      <c r="AK256" s="501"/>
      <c r="AL256" s="501"/>
      <c r="AM256" s="501"/>
      <c r="AN256" s="501"/>
      <c r="AO256" s="501"/>
      <c r="AP256" s="501"/>
      <c r="AQ256" s="501"/>
      <c r="AR256" s="501"/>
      <c r="AS256" s="501"/>
      <c r="AT256" s="501"/>
      <c r="AU256" s="501"/>
      <c r="AV256" s="501"/>
      <c r="AW256" s="501"/>
      <c r="AX256" s="501"/>
      <c r="AY256" s="501"/>
      <c r="AZ256" s="501"/>
      <c r="BA256" s="501"/>
      <c r="BB256" s="483"/>
      <c r="BC256" s="483"/>
      <c r="BD256" s="483"/>
      <c r="BE256" s="483"/>
      <c r="BF256" s="483"/>
      <c r="BG256" s="483"/>
      <c r="BH256" s="483"/>
      <c r="BI256" s="483"/>
      <c r="BJ256" s="483"/>
      <c r="BK256" s="483"/>
      <c r="BL256" s="483"/>
      <c r="BM256" s="483"/>
      <c r="BN256" s="483"/>
      <c r="BO256" s="483"/>
      <c r="BP256" s="483"/>
      <c r="BQ256" s="483"/>
      <c r="BR256" s="483"/>
      <c r="BS256" s="484">
        <f t="shared" si="53"/>
        <v>0</v>
      </c>
      <c r="BT256" s="485">
        <v>0</v>
      </c>
      <c r="BU256" s="485">
        <v>3.9925960539177836E-3</v>
      </c>
      <c r="BV256" s="485">
        <v>1.3616127541060563E-2</v>
      </c>
      <c r="BW256" s="485">
        <v>0</v>
      </c>
      <c r="BX256" s="485">
        <v>0</v>
      </c>
      <c r="BY256" s="485">
        <v>1.5922388746142845E-2</v>
      </c>
      <c r="BZ256" s="485">
        <v>0</v>
      </c>
      <c r="CA256" s="485">
        <v>0</v>
      </c>
      <c r="CB256" s="485">
        <v>0</v>
      </c>
      <c r="CC256" s="485">
        <v>0.50709511173172517</v>
      </c>
      <c r="CD256" s="485">
        <v>6.7729564069964948E-3</v>
      </c>
      <c r="CE256" s="485">
        <v>0.15305726565830502</v>
      </c>
      <c r="CF256" s="485">
        <v>1.7864563701651726E-2</v>
      </c>
      <c r="CG256" s="485">
        <v>0</v>
      </c>
      <c r="CH256" s="485">
        <v>0.22881428304707402</v>
      </c>
      <c r="CI256" s="485">
        <v>8.5553133561364538E-3</v>
      </c>
      <c r="CJ256" s="485">
        <v>4.4309393756990056E-2</v>
      </c>
      <c r="CK256" s="485">
        <v>0</v>
      </c>
      <c r="CL256" s="485">
        <v>0</v>
      </c>
      <c r="CM256" s="486">
        <f t="shared" si="54"/>
        <v>1</v>
      </c>
    </row>
    <row r="257" spans="1:91" s="487" customFormat="1" ht="25.5" customHeight="1" x14ac:dyDescent="0.25">
      <c r="A257" s="497" t="s">
        <v>332</v>
      </c>
      <c r="B257" s="498" t="s">
        <v>2012</v>
      </c>
      <c r="C257" s="497" t="s">
        <v>2447</v>
      </c>
      <c r="D257" s="498"/>
      <c r="E257" s="497" t="s">
        <v>779</v>
      </c>
      <c r="F257" s="498"/>
      <c r="G257" s="497" t="s">
        <v>686</v>
      </c>
      <c r="H257" s="497" t="s">
        <v>654</v>
      </c>
      <c r="I257" s="497" t="s">
        <v>647</v>
      </c>
      <c r="J257" s="497" t="s">
        <v>641</v>
      </c>
      <c r="K257" s="497" t="s">
        <v>649</v>
      </c>
      <c r="L257" s="497" t="s">
        <v>54</v>
      </c>
      <c r="M257" s="497" t="s">
        <v>646</v>
      </c>
      <c r="N257" s="497" t="s">
        <v>699</v>
      </c>
      <c r="O257" s="497"/>
      <c r="P257" s="497" t="s">
        <v>643</v>
      </c>
      <c r="Q257" s="497"/>
      <c r="R257" s="497" t="s">
        <v>652</v>
      </c>
      <c r="S257" s="497" t="s">
        <v>649</v>
      </c>
      <c r="T257" s="497"/>
      <c r="U257" s="497"/>
      <c r="V257" s="497" t="s">
        <v>641</v>
      </c>
      <c r="W257" s="497" t="s">
        <v>766</v>
      </c>
      <c r="X257" s="499">
        <v>42675</v>
      </c>
      <c r="Y257" s="499">
        <v>43160</v>
      </c>
      <c r="Z257" s="500">
        <v>2018</v>
      </c>
      <c r="AA257" s="497" t="s">
        <v>663</v>
      </c>
      <c r="AB257" s="497" t="s">
        <v>675</v>
      </c>
      <c r="AC257" s="497" t="s">
        <v>663</v>
      </c>
      <c r="AD257" s="501"/>
      <c r="AE257" s="501"/>
      <c r="AF257" s="501"/>
      <c r="AG257" s="501"/>
      <c r="AH257" s="501"/>
      <c r="AI257" s="501"/>
      <c r="AJ257" s="501"/>
      <c r="AK257" s="501"/>
      <c r="AL257" s="501"/>
      <c r="AM257" s="501"/>
      <c r="AN257" s="501"/>
      <c r="AO257" s="501"/>
      <c r="AP257" s="501"/>
      <c r="AQ257" s="501"/>
      <c r="AR257" s="501"/>
      <c r="AS257" s="501"/>
      <c r="AT257" s="501"/>
      <c r="AU257" s="501"/>
      <c r="AV257" s="501"/>
      <c r="AW257" s="501"/>
      <c r="AX257" s="501"/>
      <c r="AY257" s="501"/>
      <c r="AZ257" s="501"/>
      <c r="BA257" s="501"/>
      <c r="BB257" s="483"/>
      <c r="BC257" s="483"/>
      <c r="BD257" s="483"/>
      <c r="BE257" s="483"/>
      <c r="BF257" s="483"/>
      <c r="BG257" s="483"/>
      <c r="BH257" s="483"/>
      <c r="BI257" s="483"/>
      <c r="BJ257" s="483"/>
      <c r="BK257" s="483"/>
      <c r="BL257" s="483"/>
      <c r="BM257" s="483"/>
      <c r="BN257" s="483"/>
      <c r="BO257" s="483"/>
      <c r="BP257" s="483"/>
      <c r="BQ257" s="483"/>
      <c r="BR257" s="483"/>
      <c r="BS257" s="484">
        <f t="shared" si="53"/>
        <v>0</v>
      </c>
      <c r="BT257" s="485">
        <v>0</v>
      </c>
      <c r="BU257" s="485">
        <v>0</v>
      </c>
      <c r="BV257" s="485">
        <v>0</v>
      </c>
      <c r="BW257" s="485">
        <v>0</v>
      </c>
      <c r="BX257" s="485">
        <v>0</v>
      </c>
      <c r="BY257" s="485">
        <v>0</v>
      </c>
      <c r="BZ257" s="485">
        <v>0</v>
      </c>
      <c r="CA257" s="485">
        <v>0</v>
      </c>
      <c r="CB257" s="485">
        <v>0</v>
      </c>
      <c r="CC257" s="485">
        <v>0</v>
      </c>
      <c r="CD257" s="485">
        <v>0</v>
      </c>
      <c r="CE257" s="485">
        <v>4.4818930827109207E-2</v>
      </c>
      <c r="CF257" s="485">
        <v>0</v>
      </c>
      <c r="CG257" s="485">
        <v>0</v>
      </c>
      <c r="CH257" s="485">
        <v>0.95518106917289081</v>
      </c>
      <c r="CI257" s="485">
        <v>0</v>
      </c>
      <c r="CJ257" s="485">
        <v>0</v>
      </c>
      <c r="CK257" s="485">
        <v>0</v>
      </c>
      <c r="CL257" s="485">
        <v>0</v>
      </c>
      <c r="CM257" s="486">
        <f t="shared" si="54"/>
        <v>1</v>
      </c>
    </row>
    <row r="258" spans="1:91" s="487" customFormat="1" ht="25.5" customHeight="1" x14ac:dyDescent="0.25">
      <c r="A258" s="497" t="s">
        <v>820</v>
      </c>
      <c r="B258" s="498" t="s">
        <v>2028</v>
      </c>
      <c r="C258" s="497" t="s">
        <v>819</v>
      </c>
      <c r="D258" s="498"/>
      <c r="E258" s="497" t="s">
        <v>55</v>
      </c>
      <c r="F258" s="498"/>
      <c r="G258" s="497" t="s">
        <v>648</v>
      </c>
      <c r="H258" s="497" t="s">
        <v>654</v>
      </c>
      <c r="I258" s="497" t="s">
        <v>647</v>
      </c>
      <c r="J258" s="497" t="s">
        <v>641</v>
      </c>
      <c r="K258" s="497" t="s">
        <v>649</v>
      </c>
      <c r="L258" s="497" t="s">
        <v>55</v>
      </c>
      <c r="M258" s="497" t="s">
        <v>646</v>
      </c>
      <c r="N258" s="497"/>
      <c r="O258" s="497"/>
      <c r="P258" s="497" t="s">
        <v>643</v>
      </c>
      <c r="Q258" s="497" t="s">
        <v>650</v>
      </c>
      <c r="R258" s="497" t="s">
        <v>652</v>
      </c>
      <c r="S258" s="497" t="s">
        <v>649</v>
      </c>
      <c r="T258" s="497"/>
      <c r="U258" s="497"/>
      <c r="V258" s="497" t="s">
        <v>683</v>
      </c>
      <c r="W258" s="497" t="s">
        <v>677</v>
      </c>
      <c r="X258" s="499">
        <v>43252</v>
      </c>
      <c r="Y258" s="499">
        <v>43797</v>
      </c>
      <c r="Z258" s="500">
        <v>2019</v>
      </c>
      <c r="AA258" s="497" t="s">
        <v>676</v>
      </c>
      <c r="AB258" s="497" t="s">
        <v>675</v>
      </c>
      <c r="AC258" s="497" t="s">
        <v>663</v>
      </c>
      <c r="AD258" s="501"/>
      <c r="AE258" s="501"/>
      <c r="AF258" s="501"/>
      <c r="AG258" s="501"/>
      <c r="AH258" s="501"/>
      <c r="AI258" s="501"/>
      <c r="AJ258" s="501"/>
      <c r="AK258" s="501"/>
      <c r="AL258" s="501"/>
      <c r="AM258" s="501"/>
      <c r="AN258" s="501"/>
      <c r="AO258" s="501"/>
      <c r="AP258" s="501"/>
      <c r="AQ258" s="501"/>
      <c r="AR258" s="501"/>
      <c r="AS258" s="501"/>
      <c r="AT258" s="501"/>
      <c r="AU258" s="501"/>
      <c r="AV258" s="501">
        <v>33250.000000000022</v>
      </c>
      <c r="AW258" s="501">
        <v>316750.00000000017</v>
      </c>
      <c r="AX258" s="501"/>
      <c r="AY258" s="501"/>
      <c r="AZ258" s="501"/>
      <c r="BA258" s="501"/>
      <c r="BB258" s="483"/>
      <c r="BC258" s="483"/>
      <c r="BD258" s="483"/>
      <c r="BE258" s="483"/>
      <c r="BF258" s="483"/>
      <c r="BG258" s="483"/>
      <c r="BH258" s="483"/>
      <c r="BI258" s="483"/>
      <c r="BJ258" s="483"/>
      <c r="BK258" s="483"/>
      <c r="BL258" s="483"/>
      <c r="BM258" s="483"/>
      <c r="BN258" s="483"/>
      <c r="BO258" s="483"/>
      <c r="BP258" s="483"/>
      <c r="BQ258" s="483"/>
      <c r="BR258" s="483">
        <v>350000.00000000023</v>
      </c>
      <c r="BS258" s="484">
        <f t="shared" si="53"/>
        <v>350000.00000000017</v>
      </c>
      <c r="BT258" s="485">
        <f t="shared" ref="BT258:CC267" si="63">SUMIFS($AD258:$BA258,$AD$11:$BA$11,BT$21)/$BS258</f>
        <v>0</v>
      </c>
      <c r="BU258" s="485">
        <f t="shared" si="63"/>
        <v>0</v>
      </c>
      <c r="BV258" s="485">
        <f t="shared" si="63"/>
        <v>0</v>
      </c>
      <c r="BW258" s="485">
        <f t="shared" si="63"/>
        <v>1</v>
      </c>
      <c r="BX258" s="485">
        <f t="shared" si="63"/>
        <v>0</v>
      </c>
      <c r="BY258" s="485">
        <f t="shared" si="63"/>
        <v>0</v>
      </c>
      <c r="BZ258" s="485">
        <f t="shared" si="63"/>
        <v>0</v>
      </c>
      <c r="CA258" s="485">
        <f t="shared" si="63"/>
        <v>0</v>
      </c>
      <c r="CB258" s="485">
        <f t="shared" si="63"/>
        <v>0</v>
      </c>
      <c r="CC258" s="485">
        <f t="shared" si="63"/>
        <v>0</v>
      </c>
      <c r="CD258" s="485">
        <f t="shared" ref="CD258:CL267" si="64">SUMIFS($AD258:$BA258,$AD$11:$BA$11,CD$21)/$BS258</f>
        <v>0</v>
      </c>
      <c r="CE258" s="485">
        <f t="shared" si="64"/>
        <v>0</v>
      </c>
      <c r="CF258" s="485">
        <f t="shared" si="64"/>
        <v>0</v>
      </c>
      <c r="CG258" s="485">
        <f t="shared" si="64"/>
        <v>0</v>
      </c>
      <c r="CH258" s="485">
        <f t="shared" si="64"/>
        <v>0</v>
      </c>
      <c r="CI258" s="485">
        <f t="shared" si="64"/>
        <v>0</v>
      </c>
      <c r="CJ258" s="485">
        <f t="shared" si="64"/>
        <v>0</v>
      </c>
      <c r="CK258" s="485">
        <f t="shared" si="64"/>
        <v>0</v>
      </c>
      <c r="CL258" s="485">
        <f t="shared" si="64"/>
        <v>0</v>
      </c>
      <c r="CM258" s="486">
        <f t="shared" si="54"/>
        <v>1</v>
      </c>
    </row>
    <row r="259" spans="1:91" s="487" customFormat="1" ht="25.5" x14ac:dyDescent="0.25">
      <c r="A259" s="497" t="s">
        <v>817</v>
      </c>
      <c r="B259" s="498" t="s">
        <v>2030</v>
      </c>
      <c r="C259" s="497" t="s">
        <v>816</v>
      </c>
      <c r="D259" s="498"/>
      <c r="E259" s="497" t="s">
        <v>56</v>
      </c>
      <c r="F259" s="498"/>
      <c r="G259" s="497" t="s">
        <v>722</v>
      </c>
      <c r="H259" s="497" t="s">
        <v>654</v>
      </c>
      <c r="I259" s="497" t="s">
        <v>647</v>
      </c>
      <c r="J259" s="497" t="s">
        <v>671</v>
      </c>
      <c r="K259" s="497" t="s">
        <v>649</v>
      </c>
      <c r="L259" s="497" t="s">
        <v>54</v>
      </c>
      <c r="M259" s="497" t="s">
        <v>646</v>
      </c>
      <c r="N259" s="497"/>
      <c r="O259" s="497"/>
      <c r="P259" s="497" t="s">
        <v>643</v>
      </c>
      <c r="Q259" s="497" t="s">
        <v>642</v>
      </c>
      <c r="R259" s="497" t="s">
        <v>652</v>
      </c>
      <c r="S259" s="497" t="s">
        <v>649</v>
      </c>
      <c r="T259" s="497"/>
      <c r="U259" s="497"/>
      <c r="V259" s="497" t="s">
        <v>685</v>
      </c>
      <c r="W259" s="497" t="s">
        <v>677</v>
      </c>
      <c r="X259" s="499">
        <v>42036</v>
      </c>
      <c r="Y259" s="499">
        <v>43249</v>
      </c>
      <c r="Z259" s="500">
        <v>2018</v>
      </c>
      <c r="AA259" s="497"/>
      <c r="AB259" s="497" t="s">
        <v>675</v>
      </c>
      <c r="AC259" s="497" t="s">
        <v>663</v>
      </c>
      <c r="AD259" s="501"/>
      <c r="AE259" s="501"/>
      <c r="AF259" s="501"/>
      <c r="AG259" s="501"/>
      <c r="AH259" s="501"/>
      <c r="AI259" s="501"/>
      <c r="AJ259" s="501"/>
      <c r="AK259" s="501"/>
      <c r="AL259" s="501"/>
      <c r="AM259" s="501"/>
      <c r="AN259" s="501"/>
      <c r="AO259" s="501"/>
      <c r="AP259" s="501"/>
      <c r="AQ259" s="501"/>
      <c r="AR259" s="501"/>
      <c r="AS259" s="501"/>
      <c r="AT259" s="501"/>
      <c r="AU259" s="501"/>
      <c r="AV259" s="501"/>
      <c r="AW259" s="501">
        <v>649999.99999999953</v>
      </c>
      <c r="AX259" s="501"/>
      <c r="AY259" s="501"/>
      <c r="AZ259" s="501"/>
      <c r="BA259" s="501"/>
      <c r="BB259" s="483"/>
      <c r="BC259" s="483"/>
      <c r="BD259" s="483"/>
      <c r="BE259" s="483"/>
      <c r="BF259" s="483"/>
      <c r="BG259" s="483"/>
      <c r="BH259" s="483"/>
      <c r="BI259" s="483"/>
      <c r="BJ259" s="483"/>
      <c r="BK259" s="483"/>
      <c r="BL259" s="483"/>
      <c r="BM259" s="483"/>
      <c r="BN259" s="483"/>
      <c r="BO259" s="483"/>
      <c r="BP259" s="483"/>
      <c r="BQ259" s="483"/>
      <c r="BR259" s="483">
        <v>649999.99999999953</v>
      </c>
      <c r="BS259" s="484">
        <f t="shared" si="53"/>
        <v>649999.99999999953</v>
      </c>
      <c r="BT259" s="485">
        <f t="shared" si="63"/>
        <v>0</v>
      </c>
      <c r="BU259" s="485">
        <f t="shared" si="63"/>
        <v>0</v>
      </c>
      <c r="BV259" s="485">
        <f t="shared" si="63"/>
        <v>0</v>
      </c>
      <c r="BW259" s="485">
        <f t="shared" si="63"/>
        <v>1</v>
      </c>
      <c r="BX259" s="485">
        <f t="shared" si="63"/>
        <v>0</v>
      </c>
      <c r="BY259" s="485">
        <f t="shared" si="63"/>
        <v>0</v>
      </c>
      <c r="BZ259" s="485">
        <f t="shared" si="63"/>
        <v>0</v>
      </c>
      <c r="CA259" s="485">
        <f t="shared" si="63"/>
        <v>0</v>
      </c>
      <c r="CB259" s="485">
        <f t="shared" si="63"/>
        <v>0</v>
      </c>
      <c r="CC259" s="485">
        <f t="shared" si="63"/>
        <v>0</v>
      </c>
      <c r="CD259" s="485">
        <f t="shared" si="64"/>
        <v>0</v>
      </c>
      <c r="CE259" s="485">
        <f t="shared" si="64"/>
        <v>0</v>
      </c>
      <c r="CF259" s="485">
        <f t="shared" si="64"/>
        <v>0</v>
      </c>
      <c r="CG259" s="485">
        <f t="shared" si="64"/>
        <v>0</v>
      </c>
      <c r="CH259" s="485">
        <f t="shared" si="64"/>
        <v>0</v>
      </c>
      <c r="CI259" s="485">
        <f t="shared" si="64"/>
        <v>0</v>
      </c>
      <c r="CJ259" s="485">
        <f t="shared" si="64"/>
        <v>0</v>
      </c>
      <c r="CK259" s="485">
        <f t="shared" si="64"/>
        <v>0</v>
      </c>
      <c r="CL259" s="485">
        <f t="shared" si="64"/>
        <v>0</v>
      </c>
      <c r="CM259" s="486">
        <f t="shared" si="54"/>
        <v>1</v>
      </c>
    </row>
    <row r="260" spans="1:91" s="487" customFormat="1" ht="25.5" x14ac:dyDescent="0.25">
      <c r="A260" s="497" t="s">
        <v>338</v>
      </c>
      <c r="B260" s="498" t="s">
        <v>2032</v>
      </c>
      <c r="C260" s="497" t="s">
        <v>2448</v>
      </c>
      <c r="D260" s="498"/>
      <c r="E260" s="497"/>
      <c r="F260" s="498"/>
      <c r="G260" s="497"/>
      <c r="H260" s="497" t="s">
        <v>654</v>
      </c>
      <c r="I260" s="497" t="s">
        <v>647</v>
      </c>
      <c r="J260" s="497" t="s">
        <v>641</v>
      </c>
      <c r="K260" s="497" t="s">
        <v>649</v>
      </c>
      <c r="L260" s="497" t="s">
        <v>40</v>
      </c>
      <c r="M260" s="497" t="s">
        <v>646</v>
      </c>
      <c r="N260" s="497" t="s">
        <v>645</v>
      </c>
      <c r="O260" s="497" t="s">
        <v>908</v>
      </c>
      <c r="P260" s="497" t="s">
        <v>720</v>
      </c>
      <c r="Q260" s="497" t="s">
        <v>656</v>
      </c>
      <c r="R260" s="497" t="s">
        <v>652</v>
      </c>
      <c r="S260" s="497" t="s">
        <v>649</v>
      </c>
      <c r="T260" s="497"/>
      <c r="U260" s="497"/>
      <c r="V260" s="497" t="s">
        <v>685</v>
      </c>
      <c r="W260" s="497"/>
      <c r="X260" s="499">
        <v>41821</v>
      </c>
      <c r="Y260" s="499">
        <v>43165</v>
      </c>
      <c r="Z260" s="500">
        <v>2018</v>
      </c>
      <c r="AA260" s="497" t="s">
        <v>663</v>
      </c>
      <c r="AB260" s="497"/>
      <c r="AC260" s="497"/>
      <c r="AD260" s="501"/>
      <c r="AE260" s="501"/>
      <c r="AF260" s="501"/>
      <c r="AG260" s="501"/>
      <c r="AH260" s="501"/>
      <c r="AI260" s="501"/>
      <c r="AJ260" s="501"/>
      <c r="AK260" s="501"/>
      <c r="AL260" s="501"/>
      <c r="AM260" s="501"/>
      <c r="AN260" s="501"/>
      <c r="AO260" s="501"/>
      <c r="AP260" s="501"/>
      <c r="AQ260" s="501">
        <v>5624778.6299999971</v>
      </c>
      <c r="AR260" s="501"/>
      <c r="AS260" s="501"/>
      <c r="AT260" s="501"/>
      <c r="AU260" s="501"/>
      <c r="AV260" s="501">
        <f>5624778.63*0</f>
        <v>0</v>
      </c>
      <c r="AW260" s="501"/>
      <c r="AX260" s="501"/>
      <c r="AY260" s="501"/>
      <c r="AZ260" s="501"/>
      <c r="BA260" s="501"/>
      <c r="BB260" s="483"/>
      <c r="BC260" s="483"/>
      <c r="BD260" s="483"/>
      <c r="BE260" s="483"/>
      <c r="BF260" s="483"/>
      <c r="BG260" s="483">
        <v>698999.35999999964</v>
      </c>
      <c r="BH260" s="483"/>
      <c r="BI260" s="483"/>
      <c r="BJ260" s="483"/>
      <c r="BK260" s="483"/>
      <c r="BL260" s="483"/>
      <c r="BM260" s="483"/>
      <c r="BN260" s="483">
        <v>219999.99999999991</v>
      </c>
      <c r="BO260" s="483"/>
      <c r="BP260" s="483"/>
      <c r="BQ260" s="483"/>
      <c r="BR260" s="483">
        <v>6543777.9899999974</v>
      </c>
      <c r="BS260" s="484">
        <f t="shared" si="53"/>
        <v>5624778.6299999971</v>
      </c>
      <c r="BT260" s="485">
        <f t="shared" si="63"/>
        <v>0</v>
      </c>
      <c r="BU260" s="485">
        <f t="shared" si="63"/>
        <v>0</v>
      </c>
      <c r="BV260" s="485">
        <f t="shared" si="63"/>
        <v>1</v>
      </c>
      <c r="BW260" s="485">
        <f t="shared" si="63"/>
        <v>0</v>
      </c>
      <c r="BX260" s="485">
        <f t="shared" si="63"/>
        <v>0</v>
      </c>
      <c r="BY260" s="485">
        <f t="shared" si="63"/>
        <v>0</v>
      </c>
      <c r="BZ260" s="485">
        <f t="shared" si="63"/>
        <v>0</v>
      </c>
      <c r="CA260" s="485">
        <f t="shared" si="63"/>
        <v>0</v>
      </c>
      <c r="CB260" s="485">
        <f t="shared" si="63"/>
        <v>0</v>
      </c>
      <c r="CC260" s="485">
        <f t="shared" si="63"/>
        <v>0</v>
      </c>
      <c r="CD260" s="485">
        <f t="shared" si="64"/>
        <v>0</v>
      </c>
      <c r="CE260" s="485">
        <f t="shared" si="64"/>
        <v>0</v>
      </c>
      <c r="CF260" s="485">
        <f t="shared" si="64"/>
        <v>0</v>
      </c>
      <c r="CG260" s="485">
        <f t="shared" si="64"/>
        <v>0</v>
      </c>
      <c r="CH260" s="485">
        <f t="shared" si="64"/>
        <v>0</v>
      </c>
      <c r="CI260" s="485">
        <f t="shared" si="64"/>
        <v>0</v>
      </c>
      <c r="CJ260" s="485">
        <f t="shared" si="64"/>
        <v>0</v>
      </c>
      <c r="CK260" s="485">
        <f t="shared" si="64"/>
        <v>0</v>
      </c>
      <c r="CL260" s="485">
        <f t="shared" si="64"/>
        <v>0</v>
      </c>
      <c r="CM260" s="486">
        <f t="shared" si="54"/>
        <v>1</v>
      </c>
    </row>
    <row r="261" spans="1:91" s="487" customFormat="1" ht="25.5" x14ac:dyDescent="0.25">
      <c r="A261" s="497" t="s">
        <v>815</v>
      </c>
      <c r="B261" s="498" t="s">
        <v>2034</v>
      </c>
      <c r="C261" s="497" t="s">
        <v>814</v>
      </c>
      <c r="D261" s="498"/>
      <c r="E261" s="497" t="s">
        <v>56</v>
      </c>
      <c r="F261" s="498"/>
      <c r="G261" s="497" t="s">
        <v>705</v>
      </c>
      <c r="H261" s="497" t="s">
        <v>654</v>
      </c>
      <c r="I261" s="497" t="s">
        <v>647</v>
      </c>
      <c r="J261" s="497" t="s">
        <v>641</v>
      </c>
      <c r="K261" s="497" t="s">
        <v>649</v>
      </c>
      <c r="L261" s="497" t="s">
        <v>40</v>
      </c>
      <c r="M261" s="497" t="s">
        <v>646</v>
      </c>
      <c r="N261" s="497"/>
      <c r="O261" s="497"/>
      <c r="P261" s="497" t="s">
        <v>643</v>
      </c>
      <c r="Q261" s="497" t="s">
        <v>656</v>
      </c>
      <c r="R261" s="497" t="s">
        <v>652</v>
      </c>
      <c r="S261" s="497" t="s">
        <v>649</v>
      </c>
      <c r="T261" s="497"/>
      <c r="U261" s="497"/>
      <c r="V261" s="497" t="s">
        <v>685</v>
      </c>
      <c r="W261" s="497" t="s">
        <v>684</v>
      </c>
      <c r="X261" s="499">
        <v>42095</v>
      </c>
      <c r="Y261" s="499">
        <v>43034</v>
      </c>
      <c r="Z261" s="500">
        <v>2016</v>
      </c>
      <c r="AA261" s="497"/>
      <c r="AB261" s="497" t="s">
        <v>675</v>
      </c>
      <c r="AC261" s="497" t="s">
        <v>663</v>
      </c>
      <c r="AD261" s="501"/>
      <c r="AE261" s="501"/>
      <c r="AF261" s="501"/>
      <c r="AG261" s="501"/>
      <c r="AH261" s="501"/>
      <c r="AI261" s="501"/>
      <c r="AJ261" s="501"/>
      <c r="AK261" s="501"/>
      <c r="AL261" s="501"/>
      <c r="AM261" s="501"/>
      <c r="AN261" s="501"/>
      <c r="AO261" s="501"/>
      <c r="AP261" s="501"/>
      <c r="AQ261" s="501">
        <v>1121000</v>
      </c>
      <c r="AR261" s="501"/>
      <c r="AS261" s="501"/>
      <c r="AT261" s="501"/>
      <c r="AU261" s="501"/>
      <c r="AV261" s="501"/>
      <c r="AW261" s="501"/>
      <c r="AX261" s="501"/>
      <c r="AY261" s="501"/>
      <c r="AZ261" s="501"/>
      <c r="BA261" s="501"/>
      <c r="BB261" s="483"/>
      <c r="BC261" s="483"/>
      <c r="BD261" s="483"/>
      <c r="BE261" s="483"/>
      <c r="BF261" s="483"/>
      <c r="BG261" s="483"/>
      <c r="BH261" s="483"/>
      <c r="BI261" s="483"/>
      <c r="BJ261" s="483"/>
      <c r="BK261" s="483"/>
      <c r="BL261" s="483"/>
      <c r="BM261" s="483"/>
      <c r="BN261" s="483"/>
      <c r="BO261" s="483"/>
      <c r="BP261" s="483"/>
      <c r="BQ261" s="483"/>
      <c r="BR261" s="483">
        <v>1121000</v>
      </c>
      <c r="BS261" s="484">
        <f t="shared" si="53"/>
        <v>1121000</v>
      </c>
      <c r="BT261" s="485">
        <f t="shared" si="63"/>
        <v>0</v>
      </c>
      <c r="BU261" s="485">
        <f t="shared" si="63"/>
        <v>0</v>
      </c>
      <c r="BV261" s="485">
        <f t="shared" si="63"/>
        <v>1</v>
      </c>
      <c r="BW261" s="485">
        <f t="shared" si="63"/>
        <v>0</v>
      </c>
      <c r="BX261" s="485">
        <f t="shared" si="63"/>
        <v>0</v>
      </c>
      <c r="BY261" s="485">
        <f t="shared" si="63"/>
        <v>0</v>
      </c>
      <c r="BZ261" s="485">
        <f t="shared" si="63"/>
        <v>0</v>
      </c>
      <c r="CA261" s="485">
        <f t="shared" si="63"/>
        <v>0</v>
      </c>
      <c r="CB261" s="485">
        <f t="shared" si="63"/>
        <v>0</v>
      </c>
      <c r="CC261" s="485">
        <f t="shared" si="63"/>
        <v>0</v>
      </c>
      <c r="CD261" s="485">
        <f t="shared" si="64"/>
        <v>0</v>
      </c>
      <c r="CE261" s="485">
        <f t="shared" si="64"/>
        <v>0</v>
      </c>
      <c r="CF261" s="485">
        <f t="shared" si="64"/>
        <v>0</v>
      </c>
      <c r="CG261" s="485">
        <f t="shared" si="64"/>
        <v>0</v>
      </c>
      <c r="CH261" s="485">
        <f t="shared" si="64"/>
        <v>0</v>
      </c>
      <c r="CI261" s="485">
        <f t="shared" si="64"/>
        <v>0</v>
      </c>
      <c r="CJ261" s="485">
        <f t="shared" si="64"/>
        <v>0</v>
      </c>
      <c r="CK261" s="485">
        <f t="shared" si="64"/>
        <v>0</v>
      </c>
      <c r="CL261" s="485">
        <f t="shared" si="64"/>
        <v>0</v>
      </c>
      <c r="CM261" s="486">
        <f t="shared" si="54"/>
        <v>1</v>
      </c>
    </row>
    <row r="262" spans="1:91" s="487" customFormat="1" ht="25.5" x14ac:dyDescent="0.25">
      <c r="A262" s="497" t="s">
        <v>813</v>
      </c>
      <c r="B262" s="498" t="s">
        <v>2036</v>
      </c>
      <c r="C262" s="497" t="s">
        <v>812</v>
      </c>
      <c r="D262" s="498"/>
      <c r="E262" s="497" t="s">
        <v>56</v>
      </c>
      <c r="F262" s="498"/>
      <c r="G262" s="497" t="s">
        <v>686</v>
      </c>
      <c r="H262" s="497" t="s">
        <v>654</v>
      </c>
      <c r="I262" s="497" t="s">
        <v>647</v>
      </c>
      <c r="J262" s="497" t="s">
        <v>641</v>
      </c>
      <c r="K262" s="497" t="s">
        <v>649</v>
      </c>
      <c r="L262" s="497" t="s">
        <v>40</v>
      </c>
      <c r="M262" s="497" t="s">
        <v>646</v>
      </c>
      <c r="N262" s="497"/>
      <c r="O262" s="497"/>
      <c r="P262" s="497" t="s">
        <v>643</v>
      </c>
      <c r="Q262" s="497" t="s">
        <v>656</v>
      </c>
      <c r="R262" s="497" t="s">
        <v>652</v>
      </c>
      <c r="S262" s="497" t="s">
        <v>649</v>
      </c>
      <c r="T262" s="497"/>
      <c r="U262" s="497"/>
      <c r="V262" s="497" t="s">
        <v>685</v>
      </c>
      <c r="W262" s="497" t="s">
        <v>684</v>
      </c>
      <c r="X262" s="499">
        <v>42095</v>
      </c>
      <c r="Y262" s="499">
        <v>43034</v>
      </c>
      <c r="Z262" s="500">
        <v>2017</v>
      </c>
      <c r="AA262" s="497"/>
      <c r="AB262" s="497" t="s">
        <v>675</v>
      </c>
      <c r="AC262" s="497" t="s">
        <v>663</v>
      </c>
      <c r="AD262" s="501"/>
      <c r="AE262" s="501"/>
      <c r="AF262" s="501"/>
      <c r="AG262" s="501"/>
      <c r="AH262" s="501"/>
      <c r="AI262" s="501"/>
      <c r="AJ262" s="501"/>
      <c r="AK262" s="501"/>
      <c r="AL262" s="501"/>
      <c r="AM262" s="501"/>
      <c r="AN262" s="501"/>
      <c r="AO262" s="501"/>
      <c r="AP262" s="501"/>
      <c r="AQ262" s="501">
        <v>3124160</v>
      </c>
      <c r="AR262" s="501"/>
      <c r="AS262" s="501"/>
      <c r="AT262" s="501"/>
      <c r="AU262" s="501"/>
      <c r="AV262" s="501"/>
      <c r="AW262" s="501"/>
      <c r="AX262" s="501"/>
      <c r="AY262" s="501"/>
      <c r="AZ262" s="501"/>
      <c r="BA262" s="501"/>
      <c r="BB262" s="483"/>
      <c r="BC262" s="483"/>
      <c r="BD262" s="483"/>
      <c r="BE262" s="483"/>
      <c r="BF262" s="483"/>
      <c r="BG262" s="483"/>
      <c r="BH262" s="483"/>
      <c r="BI262" s="483"/>
      <c r="BJ262" s="483"/>
      <c r="BK262" s="483"/>
      <c r="BL262" s="483"/>
      <c r="BM262" s="483"/>
      <c r="BN262" s="483"/>
      <c r="BO262" s="483"/>
      <c r="BP262" s="483"/>
      <c r="BQ262" s="483"/>
      <c r="BR262" s="483">
        <v>3124160</v>
      </c>
      <c r="BS262" s="484">
        <f t="shared" si="53"/>
        <v>3124160</v>
      </c>
      <c r="BT262" s="485">
        <f t="shared" si="63"/>
        <v>0</v>
      </c>
      <c r="BU262" s="485">
        <f t="shared" si="63"/>
        <v>0</v>
      </c>
      <c r="BV262" s="485">
        <f t="shared" si="63"/>
        <v>1</v>
      </c>
      <c r="BW262" s="485">
        <f t="shared" si="63"/>
        <v>0</v>
      </c>
      <c r="BX262" s="485">
        <f t="shared" si="63"/>
        <v>0</v>
      </c>
      <c r="BY262" s="485">
        <f t="shared" si="63"/>
        <v>0</v>
      </c>
      <c r="BZ262" s="485">
        <f t="shared" si="63"/>
        <v>0</v>
      </c>
      <c r="CA262" s="485">
        <f t="shared" si="63"/>
        <v>0</v>
      </c>
      <c r="CB262" s="485">
        <f t="shared" si="63"/>
        <v>0</v>
      </c>
      <c r="CC262" s="485">
        <f t="shared" si="63"/>
        <v>0</v>
      </c>
      <c r="CD262" s="485">
        <f t="shared" si="64"/>
        <v>0</v>
      </c>
      <c r="CE262" s="485">
        <f t="shared" si="64"/>
        <v>0</v>
      </c>
      <c r="CF262" s="485">
        <f t="shared" si="64"/>
        <v>0</v>
      </c>
      <c r="CG262" s="485">
        <f t="shared" si="64"/>
        <v>0</v>
      </c>
      <c r="CH262" s="485">
        <f t="shared" si="64"/>
        <v>0</v>
      </c>
      <c r="CI262" s="485">
        <f t="shared" si="64"/>
        <v>0</v>
      </c>
      <c r="CJ262" s="485">
        <f t="shared" si="64"/>
        <v>0</v>
      </c>
      <c r="CK262" s="485">
        <f t="shared" si="64"/>
        <v>0</v>
      </c>
      <c r="CL262" s="485">
        <f t="shared" si="64"/>
        <v>0</v>
      </c>
      <c r="CM262" s="486">
        <f t="shared" si="54"/>
        <v>1</v>
      </c>
    </row>
    <row r="263" spans="1:91" s="487" customFormat="1" ht="25.5" x14ac:dyDescent="0.25">
      <c r="A263" s="497" t="s">
        <v>811</v>
      </c>
      <c r="B263" s="498" t="s">
        <v>2038</v>
      </c>
      <c r="C263" s="497" t="s">
        <v>810</v>
      </c>
      <c r="D263" s="498"/>
      <c r="E263" s="497" t="s">
        <v>56</v>
      </c>
      <c r="F263" s="498"/>
      <c r="G263" s="497" t="s">
        <v>681</v>
      </c>
      <c r="H263" s="497" t="s">
        <v>654</v>
      </c>
      <c r="I263" s="497" t="s">
        <v>647</v>
      </c>
      <c r="J263" s="497" t="s">
        <v>641</v>
      </c>
      <c r="K263" s="497" t="s">
        <v>649</v>
      </c>
      <c r="L263" s="497" t="s">
        <v>40</v>
      </c>
      <c r="M263" s="497" t="s">
        <v>646</v>
      </c>
      <c r="N263" s="497"/>
      <c r="O263" s="497"/>
      <c r="P263" s="497" t="s">
        <v>643</v>
      </c>
      <c r="Q263" s="497" t="s">
        <v>656</v>
      </c>
      <c r="R263" s="497" t="s">
        <v>652</v>
      </c>
      <c r="S263" s="497" t="s">
        <v>649</v>
      </c>
      <c r="T263" s="497"/>
      <c r="U263" s="497"/>
      <c r="V263" s="497" t="s">
        <v>685</v>
      </c>
      <c r="W263" s="497" t="s">
        <v>694</v>
      </c>
      <c r="X263" s="499">
        <v>43556</v>
      </c>
      <c r="Y263" s="499">
        <v>44495</v>
      </c>
      <c r="Z263" s="500">
        <v>2021</v>
      </c>
      <c r="AA263" s="497"/>
      <c r="AB263" s="497" t="s">
        <v>675</v>
      </c>
      <c r="AC263" s="497" t="s">
        <v>663</v>
      </c>
      <c r="AD263" s="501"/>
      <c r="AE263" s="501"/>
      <c r="AF263" s="501"/>
      <c r="AG263" s="501"/>
      <c r="AH263" s="501"/>
      <c r="AI263" s="501"/>
      <c r="AJ263" s="501"/>
      <c r="AK263" s="501"/>
      <c r="AL263" s="501"/>
      <c r="AM263" s="501"/>
      <c r="AN263" s="501"/>
      <c r="AO263" s="501"/>
      <c r="AP263" s="501"/>
      <c r="AQ263" s="501">
        <v>1564852</v>
      </c>
      <c r="AR263" s="501"/>
      <c r="AS263" s="501"/>
      <c r="AT263" s="501"/>
      <c r="AU263" s="501"/>
      <c r="AV263" s="501"/>
      <c r="AW263" s="501"/>
      <c r="AX263" s="501"/>
      <c r="AY263" s="501"/>
      <c r="AZ263" s="501"/>
      <c r="BA263" s="501"/>
      <c r="BB263" s="483"/>
      <c r="BC263" s="483"/>
      <c r="BD263" s="483"/>
      <c r="BE263" s="483"/>
      <c r="BF263" s="483"/>
      <c r="BG263" s="483"/>
      <c r="BH263" s="483"/>
      <c r="BI263" s="483"/>
      <c r="BJ263" s="483"/>
      <c r="BK263" s="483"/>
      <c r="BL263" s="483"/>
      <c r="BM263" s="483"/>
      <c r="BN263" s="483"/>
      <c r="BO263" s="483"/>
      <c r="BP263" s="483"/>
      <c r="BQ263" s="483">
        <v>79200</v>
      </c>
      <c r="BR263" s="483">
        <v>1644052</v>
      </c>
      <c r="BS263" s="484">
        <f t="shared" si="53"/>
        <v>1564852</v>
      </c>
      <c r="BT263" s="485">
        <f t="shared" si="63"/>
        <v>0</v>
      </c>
      <c r="BU263" s="485">
        <f t="shared" si="63"/>
        <v>0</v>
      </c>
      <c r="BV263" s="485">
        <f t="shared" si="63"/>
        <v>1</v>
      </c>
      <c r="BW263" s="485">
        <f t="shared" si="63"/>
        <v>0</v>
      </c>
      <c r="BX263" s="485">
        <f t="shared" si="63"/>
        <v>0</v>
      </c>
      <c r="BY263" s="485">
        <f t="shared" si="63"/>
        <v>0</v>
      </c>
      <c r="BZ263" s="485">
        <f t="shared" si="63"/>
        <v>0</v>
      </c>
      <c r="CA263" s="485">
        <f t="shared" si="63"/>
        <v>0</v>
      </c>
      <c r="CB263" s="485">
        <f t="shared" si="63"/>
        <v>0</v>
      </c>
      <c r="CC263" s="485">
        <f t="shared" si="63"/>
        <v>0</v>
      </c>
      <c r="CD263" s="485">
        <f t="shared" si="64"/>
        <v>0</v>
      </c>
      <c r="CE263" s="485">
        <f t="shared" si="64"/>
        <v>0</v>
      </c>
      <c r="CF263" s="485">
        <f t="shared" si="64"/>
        <v>0</v>
      </c>
      <c r="CG263" s="485">
        <f t="shared" si="64"/>
        <v>0</v>
      </c>
      <c r="CH263" s="485">
        <f t="shared" si="64"/>
        <v>0</v>
      </c>
      <c r="CI263" s="485">
        <f t="shared" si="64"/>
        <v>0</v>
      </c>
      <c r="CJ263" s="485">
        <f t="shared" si="64"/>
        <v>0</v>
      </c>
      <c r="CK263" s="485">
        <f t="shared" si="64"/>
        <v>0</v>
      </c>
      <c r="CL263" s="485">
        <f t="shared" si="64"/>
        <v>0</v>
      </c>
      <c r="CM263" s="486">
        <f t="shared" si="54"/>
        <v>1</v>
      </c>
    </row>
    <row r="264" spans="1:91" s="487" customFormat="1" ht="25.5" x14ac:dyDescent="0.25">
      <c r="A264" s="497" t="s">
        <v>809</v>
      </c>
      <c r="B264" s="498" t="s">
        <v>2040</v>
      </c>
      <c r="C264" s="497" t="s">
        <v>808</v>
      </c>
      <c r="D264" s="498"/>
      <c r="E264" s="497" t="s">
        <v>56</v>
      </c>
      <c r="F264" s="498"/>
      <c r="G264" s="497" t="s">
        <v>807</v>
      </c>
      <c r="H264" s="497" t="s">
        <v>654</v>
      </c>
      <c r="I264" s="497" t="s">
        <v>647</v>
      </c>
      <c r="J264" s="497" t="s">
        <v>641</v>
      </c>
      <c r="K264" s="497" t="s">
        <v>649</v>
      </c>
      <c r="L264" s="497" t="s">
        <v>40</v>
      </c>
      <c r="M264" s="497" t="s">
        <v>646</v>
      </c>
      <c r="N264" s="497"/>
      <c r="O264" s="497"/>
      <c r="P264" s="497" t="s">
        <v>643</v>
      </c>
      <c r="Q264" s="497" t="s">
        <v>656</v>
      </c>
      <c r="R264" s="497" t="s">
        <v>652</v>
      </c>
      <c r="S264" s="497" t="s">
        <v>649</v>
      </c>
      <c r="T264" s="497"/>
      <c r="U264" s="497"/>
      <c r="V264" s="497" t="s">
        <v>685</v>
      </c>
      <c r="W264" s="497" t="s">
        <v>684</v>
      </c>
      <c r="X264" s="499">
        <v>43009</v>
      </c>
      <c r="Y264" s="499">
        <v>43945</v>
      </c>
      <c r="Z264" s="500">
        <v>2020</v>
      </c>
      <c r="AA264" s="497"/>
      <c r="AB264" s="497" t="s">
        <v>675</v>
      </c>
      <c r="AC264" s="497" t="s">
        <v>663</v>
      </c>
      <c r="AD264" s="501"/>
      <c r="AE264" s="501"/>
      <c r="AF264" s="501"/>
      <c r="AG264" s="501"/>
      <c r="AH264" s="501"/>
      <c r="AI264" s="501"/>
      <c r="AJ264" s="501"/>
      <c r="AK264" s="501"/>
      <c r="AL264" s="501"/>
      <c r="AM264" s="501"/>
      <c r="AN264" s="501"/>
      <c r="AO264" s="501"/>
      <c r="AP264" s="501"/>
      <c r="AQ264" s="501">
        <v>1877070</v>
      </c>
      <c r="AR264" s="501"/>
      <c r="AS264" s="501"/>
      <c r="AT264" s="501"/>
      <c r="AU264" s="501"/>
      <c r="AV264" s="501"/>
      <c r="AW264" s="501"/>
      <c r="AX264" s="501"/>
      <c r="AY264" s="501"/>
      <c r="AZ264" s="501"/>
      <c r="BA264" s="501"/>
      <c r="BB264" s="483"/>
      <c r="BC264" s="483"/>
      <c r="BD264" s="483"/>
      <c r="BE264" s="483"/>
      <c r="BF264" s="483"/>
      <c r="BG264" s="483"/>
      <c r="BH264" s="483"/>
      <c r="BI264" s="483"/>
      <c r="BJ264" s="483"/>
      <c r="BK264" s="483"/>
      <c r="BL264" s="483"/>
      <c r="BM264" s="483"/>
      <c r="BN264" s="483"/>
      <c r="BO264" s="483"/>
      <c r="BP264" s="483"/>
      <c r="BQ264" s="483"/>
      <c r="BR264" s="483">
        <v>1877070</v>
      </c>
      <c r="BS264" s="484">
        <f t="shared" si="53"/>
        <v>1877070</v>
      </c>
      <c r="BT264" s="485">
        <f t="shared" si="63"/>
        <v>0</v>
      </c>
      <c r="BU264" s="485">
        <f t="shared" si="63"/>
        <v>0</v>
      </c>
      <c r="BV264" s="485">
        <f t="shared" si="63"/>
        <v>1</v>
      </c>
      <c r="BW264" s="485">
        <f t="shared" si="63"/>
        <v>0</v>
      </c>
      <c r="BX264" s="485">
        <f t="shared" si="63"/>
        <v>0</v>
      </c>
      <c r="BY264" s="485">
        <f t="shared" si="63"/>
        <v>0</v>
      </c>
      <c r="BZ264" s="485">
        <f t="shared" si="63"/>
        <v>0</v>
      </c>
      <c r="CA264" s="485">
        <f t="shared" si="63"/>
        <v>0</v>
      </c>
      <c r="CB264" s="485">
        <f t="shared" si="63"/>
        <v>0</v>
      </c>
      <c r="CC264" s="485">
        <f t="shared" si="63"/>
        <v>0</v>
      </c>
      <c r="CD264" s="485">
        <f t="shared" si="64"/>
        <v>0</v>
      </c>
      <c r="CE264" s="485">
        <f t="shared" si="64"/>
        <v>0</v>
      </c>
      <c r="CF264" s="485">
        <f t="shared" si="64"/>
        <v>0</v>
      </c>
      <c r="CG264" s="485">
        <f t="shared" si="64"/>
        <v>0</v>
      </c>
      <c r="CH264" s="485">
        <f t="shared" si="64"/>
        <v>0</v>
      </c>
      <c r="CI264" s="485">
        <f t="shared" si="64"/>
        <v>0</v>
      </c>
      <c r="CJ264" s="485">
        <f t="shared" si="64"/>
        <v>0</v>
      </c>
      <c r="CK264" s="485">
        <f t="shared" si="64"/>
        <v>0</v>
      </c>
      <c r="CL264" s="485">
        <f t="shared" si="64"/>
        <v>0</v>
      </c>
      <c r="CM264" s="486">
        <f t="shared" si="54"/>
        <v>1</v>
      </c>
    </row>
    <row r="265" spans="1:91" s="487" customFormat="1" ht="25.5" x14ac:dyDescent="0.25">
      <c r="A265" s="497" t="s">
        <v>806</v>
      </c>
      <c r="B265" s="498" t="s">
        <v>2042</v>
      </c>
      <c r="C265" s="497" t="s">
        <v>805</v>
      </c>
      <c r="D265" s="498"/>
      <c r="E265" s="497" t="s">
        <v>56</v>
      </c>
      <c r="F265" s="498"/>
      <c r="G265" s="497" t="s">
        <v>804</v>
      </c>
      <c r="H265" s="497" t="s">
        <v>654</v>
      </c>
      <c r="I265" s="497" t="s">
        <v>647</v>
      </c>
      <c r="J265" s="497" t="s">
        <v>641</v>
      </c>
      <c r="K265" s="497" t="s">
        <v>649</v>
      </c>
      <c r="L265" s="497" t="s">
        <v>40</v>
      </c>
      <c r="M265" s="497" t="s">
        <v>646</v>
      </c>
      <c r="N265" s="497"/>
      <c r="O265" s="497"/>
      <c r="P265" s="497"/>
      <c r="Q265" s="497" t="s">
        <v>656</v>
      </c>
      <c r="R265" s="497" t="s">
        <v>652</v>
      </c>
      <c r="S265" s="497" t="s">
        <v>649</v>
      </c>
      <c r="T265" s="497"/>
      <c r="U265" s="497"/>
      <c r="V265" s="497" t="s">
        <v>685</v>
      </c>
      <c r="W265" s="497" t="s">
        <v>684</v>
      </c>
      <c r="X265" s="499">
        <v>41640</v>
      </c>
      <c r="Y265" s="499">
        <v>42598</v>
      </c>
      <c r="Z265" s="500">
        <v>2016</v>
      </c>
      <c r="AA265" s="497"/>
      <c r="AB265" s="497" t="s">
        <v>675</v>
      </c>
      <c r="AC265" s="497" t="s">
        <v>663</v>
      </c>
      <c r="AD265" s="501"/>
      <c r="AE265" s="501"/>
      <c r="AF265" s="501"/>
      <c r="AG265" s="501"/>
      <c r="AH265" s="501"/>
      <c r="AI265" s="501"/>
      <c r="AJ265" s="501"/>
      <c r="AK265" s="501"/>
      <c r="AL265" s="501"/>
      <c r="AM265" s="501"/>
      <c r="AN265" s="501"/>
      <c r="AO265" s="501"/>
      <c r="AP265" s="501"/>
      <c r="AQ265" s="501">
        <v>588359.99999999977</v>
      </c>
      <c r="AR265" s="501"/>
      <c r="AS265" s="501"/>
      <c r="AT265" s="501"/>
      <c r="AU265" s="501"/>
      <c r="AV265" s="501"/>
      <c r="AW265" s="501"/>
      <c r="AX265" s="501"/>
      <c r="AY265" s="501"/>
      <c r="AZ265" s="501"/>
      <c r="BA265" s="501"/>
      <c r="BB265" s="483"/>
      <c r="BC265" s="483"/>
      <c r="BD265" s="483"/>
      <c r="BE265" s="483"/>
      <c r="BF265" s="483"/>
      <c r="BG265" s="483"/>
      <c r="BH265" s="483"/>
      <c r="BI265" s="483"/>
      <c r="BJ265" s="483"/>
      <c r="BK265" s="483"/>
      <c r="BL265" s="483"/>
      <c r="BM265" s="483"/>
      <c r="BN265" s="483"/>
      <c r="BO265" s="483"/>
      <c r="BP265" s="483"/>
      <c r="BQ265" s="483"/>
      <c r="BR265" s="483">
        <v>588359.99999999977</v>
      </c>
      <c r="BS265" s="484">
        <f t="shared" si="53"/>
        <v>588359.99999999977</v>
      </c>
      <c r="BT265" s="485">
        <f t="shared" si="63"/>
        <v>0</v>
      </c>
      <c r="BU265" s="485">
        <f t="shared" si="63"/>
        <v>0</v>
      </c>
      <c r="BV265" s="485">
        <f t="shared" si="63"/>
        <v>1</v>
      </c>
      <c r="BW265" s="485">
        <f t="shared" si="63"/>
        <v>0</v>
      </c>
      <c r="BX265" s="485">
        <f t="shared" si="63"/>
        <v>0</v>
      </c>
      <c r="BY265" s="485">
        <f t="shared" si="63"/>
        <v>0</v>
      </c>
      <c r="BZ265" s="485">
        <f t="shared" si="63"/>
        <v>0</v>
      </c>
      <c r="CA265" s="485">
        <f t="shared" si="63"/>
        <v>0</v>
      </c>
      <c r="CB265" s="485">
        <f t="shared" si="63"/>
        <v>0</v>
      </c>
      <c r="CC265" s="485">
        <f t="shared" si="63"/>
        <v>0</v>
      </c>
      <c r="CD265" s="485">
        <f t="shared" si="64"/>
        <v>0</v>
      </c>
      <c r="CE265" s="485">
        <f t="shared" si="64"/>
        <v>0</v>
      </c>
      <c r="CF265" s="485">
        <f t="shared" si="64"/>
        <v>0</v>
      </c>
      <c r="CG265" s="485">
        <f t="shared" si="64"/>
        <v>0</v>
      </c>
      <c r="CH265" s="485">
        <f t="shared" si="64"/>
        <v>0</v>
      </c>
      <c r="CI265" s="485">
        <f t="shared" si="64"/>
        <v>0</v>
      </c>
      <c r="CJ265" s="485">
        <f t="shared" si="64"/>
        <v>0</v>
      </c>
      <c r="CK265" s="485">
        <f t="shared" si="64"/>
        <v>0</v>
      </c>
      <c r="CL265" s="485">
        <f t="shared" si="64"/>
        <v>0</v>
      </c>
      <c r="CM265" s="486">
        <f t="shared" si="54"/>
        <v>1</v>
      </c>
    </row>
    <row r="266" spans="1:91" s="487" customFormat="1" ht="25.5" x14ac:dyDescent="0.25">
      <c r="A266" s="497" t="s">
        <v>803</v>
      </c>
      <c r="B266" s="498" t="s">
        <v>2044</v>
      </c>
      <c r="C266" s="497" t="s">
        <v>802</v>
      </c>
      <c r="D266" s="498"/>
      <c r="E266" s="497" t="s">
        <v>56</v>
      </c>
      <c r="F266" s="498"/>
      <c r="G266" s="497" t="s">
        <v>691</v>
      </c>
      <c r="H266" s="497" t="s">
        <v>654</v>
      </c>
      <c r="I266" s="497" t="s">
        <v>647</v>
      </c>
      <c r="J266" s="497" t="s">
        <v>641</v>
      </c>
      <c r="K266" s="497" t="s">
        <v>649</v>
      </c>
      <c r="L266" s="497" t="s">
        <v>40</v>
      </c>
      <c r="M266" s="497" t="s">
        <v>646</v>
      </c>
      <c r="N266" s="497"/>
      <c r="O266" s="497"/>
      <c r="P266" s="497" t="s">
        <v>643</v>
      </c>
      <c r="Q266" s="497" t="s">
        <v>656</v>
      </c>
      <c r="R266" s="497" t="s">
        <v>652</v>
      </c>
      <c r="S266" s="497" t="s">
        <v>649</v>
      </c>
      <c r="T266" s="497"/>
      <c r="U266" s="497"/>
      <c r="V266" s="497" t="s">
        <v>685</v>
      </c>
      <c r="W266" s="497" t="s">
        <v>684</v>
      </c>
      <c r="X266" s="499">
        <v>42095</v>
      </c>
      <c r="Y266" s="499">
        <v>43034</v>
      </c>
      <c r="Z266" s="500">
        <v>2017</v>
      </c>
      <c r="AA266" s="497"/>
      <c r="AB266" s="497" t="s">
        <v>675</v>
      </c>
      <c r="AC266" s="497" t="s">
        <v>663</v>
      </c>
      <c r="AD266" s="501"/>
      <c r="AE266" s="501"/>
      <c r="AF266" s="501"/>
      <c r="AG266" s="501"/>
      <c r="AH266" s="501"/>
      <c r="AI266" s="501"/>
      <c r="AJ266" s="501"/>
      <c r="AK266" s="501"/>
      <c r="AL266" s="501"/>
      <c r="AM266" s="501"/>
      <c r="AN266" s="501"/>
      <c r="AO266" s="501"/>
      <c r="AP266" s="501"/>
      <c r="AQ266" s="501">
        <v>2365442</v>
      </c>
      <c r="AR266" s="501"/>
      <c r="AS266" s="501"/>
      <c r="AT266" s="501"/>
      <c r="AU266" s="501"/>
      <c r="AV266" s="501"/>
      <c r="AW266" s="501"/>
      <c r="AX266" s="501"/>
      <c r="AY266" s="501"/>
      <c r="AZ266" s="501"/>
      <c r="BA266" s="501"/>
      <c r="BB266" s="483"/>
      <c r="BC266" s="483"/>
      <c r="BD266" s="483"/>
      <c r="BE266" s="483"/>
      <c r="BF266" s="483"/>
      <c r="BG266" s="483"/>
      <c r="BH266" s="483"/>
      <c r="BI266" s="483"/>
      <c r="BJ266" s="483"/>
      <c r="BK266" s="483"/>
      <c r="BL266" s="483"/>
      <c r="BM266" s="483"/>
      <c r="BN266" s="483"/>
      <c r="BO266" s="483"/>
      <c r="BP266" s="483"/>
      <c r="BQ266" s="483"/>
      <c r="BR266" s="483">
        <v>2365442</v>
      </c>
      <c r="BS266" s="484">
        <f t="shared" si="53"/>
        <v>2365442</v>
      </c>
      <c r="BT266" s="485">
        <f t="shared" si="63"/>
        <v>0</v>
      </c>
      <c r="BU266" s="485">
        <f t="shared" si="63"/>
        <v>0</v>
      </c>
      <c r="BV266" s="485">
        <f t="shared" si="63"/>
        <v>1</v>
      </c>
      <c r="BW266" s="485">
        <f t="shared" si="63"/>
        <v>0</v>
      </c>
      <c r="BX266" s="485">
        <f t="shared" si="63"/>
        <v>0</v>
      </c>
      <c r="BY266" s="485">
        <f t="shared" si="63"/>
        <v>0</v>
      </c>
      <c r="BZ266" s="485">
        <f t="shared" si="63"/>
        <v>0</v>
      </c>
      <c r="CA266" s="485">
        <f t="shared" si="63"/>
        <v>0</v>
      </c>
      <c r="CB266" s="485">
        <f t="shared" si="63"/>
        <v>0</v>
      </c>
      <c r="CC266" s="485">
        <f t="shared" si="63"/>
        <v>0</v>
      </c>
      <c r="CD266" s="485">
        <f t="shared" si="64"/>
        <v>0</v>
      </c>
      <c r="CE266" s="485">
        <f t="shared" si="64"/>
        <v>0</v>
      </c>
      <c r="CF266" s="485">
        <f t="shared" si="64"/>
        <v>0</v>
      </c>
      <c r="CG266" s="485">
        <f t="shared" si="64"/>
        <v>0</v>
      </c>
      <c r="CH266" s="485">
        <f t="shared" si="64"/>
        <v>0</v>
      </c>
      <c r="CI266" s="485">
        <f t="shared" si="64"/>
        <v>0</v>
      </c>
      <c r="CJ266" s="485">
        <f t="shared" si="64"/>
        <v>0</v>
      </c>
      <c r="CK266" s="485">
        <f t="shared" si="64"/>
        <v>0</v>
      </c>
      <c r="CL266" s="485">
        <f t="shared" si="64"/>
        <v>0</v>
      </c>
      <c r="CM266" s="486">
        <f t="shared" si="54"/>
        <v>1</v>
      </c>
    </row>
    <row r="267" spans="1:91" s="487" customFormat="1" ht="25.5" x14ac:dyDescent="0.25">
      <c r="A267" s="497" t="s">
        <v>340</v>
      </c>
      <c r="B267" s="498" t="s">
        <v>2046</v>
      </c>
      <c r="C267" s="497" t="s">
        <v>801</v>
      </c>
      <c r="D267" s="498"/>
      <c r="E267" s="497" t="s">
        <v>56</v>
      </c>
      <c r="F267" s="498"/>
      <c r="G267" s="497" t="s">
        <v>722</v>
      </c>
      <c r="H267" s="497" t="s">
        <v>654</v>
      </c>
      <c r="I267" s="497" t="s">
        <v>647</v>
      </c>
      <c r="J267" s="497" t="s">
        <v>641</v>
      </c>
      <c r="K267" s="497" t="s">
        <v>649</v>
      </c>
      <c r="L267" s="497" t="s">
        <v>28</v>
      </c>
      <c r="M267" s="497" t="s">
        <v>646</v>
      </c>
      <c r="N267" s="497"/>
      <c r="O267" s="497"/>
      <c r="P267" s="497" t="s">
        <v>643</v>
      </c>
      <c r="Q267" s="497" t="s">
        <v>656</v>
      </c>
      <c r="R267" s="497" t="s">
        <v>652</v>
      </c>
      <c r="S267" s="497" t="s">
        <v>649</v>
      </c>
      <c r="T267" s="497"/>
      <c r="U267" s="497"/>
      <c r="V267" s="497" t="s">
        <v>685</v>
      </c>
      <c r="W267" s="497" t="s">
        <v>684</v>
      </c>
      <c r="X267" s="499">
        <v>41361</v>
      </c>
      <c r="Y267" s="499">
        <v>42999</v>
      </c>
      <c r="Z267" s="500">
        <v>2017</v>
      </c>
      <c r="AA267" s="497"/>
      <c r="AB267" s="497" t="s">
        <v>675</v>
      </c>
      <c r="AC267" s="497" t="s">
        <v>663</v>
      </c>
      <c r="AD267" s="501"/>
      <c r="AE267" s="501"/>
      <c r="AF267" s="501"/>
      <c r="AG267" s="501"/>
      <c r="AH267" s="501"/>
      <c r="AI267" s="501"/>
      <c r="AJ267" s="501"/>
      <c r="AK267" s="501"/>
      <c r="AL267" s="501"/>
      <c r="AM267" s="501"/>
      <c r="AN267" s="501"/>
      <c r="AO267" s="501"/>
      <c r="AP267" s="501"/>
      <c r="AQ267" s="501">
        <v>1436800</v>
      </c>
      <c r="AR267" s="501"/>
      <c r="AS267" s="501"/>
      <c r="AT267" s="501"/>
      <c r="AU267" s="501"/>
      <c r="AV267" s="501"/>
      <c r="AW267" s="501"/>
      <c r="AX267" s="501"/>
      <c r="AY267" s="501"/>
      <c r="AZ267" s="501"/>
      <c r="BA267" s="501"/>
      <c r="BB267" s="483"/>
      <c r="BC267" s="483"/>
      <c r="BD267" s="483"/>
      <c r="BE267" s="483"/>
      <c r="BF267" s="483"/>
      <c r="BG267" s="483"/>
      <c r="BH267" s="483"/>
      <c r="BI267" s="483"/>
      <c r="BJ267" s="483"/>
      <c r="BK267" s="483"/>
      <c r="BL267" s="483"/>
      <c r="BM267" s="483"/>
      <c r="BN267" s="483"/>
      <c r="BO267" s="483"/>
      <c r="BP267" s="483"/>
      <c r="BQ267" s="483"/>
      <c r="BR267" s="483">
        <v>1436800</v>
      </c>
      <c r="BS267" s="484">
        <f t="shared" si="53"/>
        <v>1436800</v>
      </c>
      <c r="BT267" s="485">
        <f t="shared" si="63"/>
        <v>0</v>
      </c>
      <c r="BU267" s="485">
        <f t="shared" si="63"/>
        <v>0</v>
      </c>
      <c r="BV267" s="485">
        <f t="shared" si="63"/>
        <v>1</v>
      </c>
      <c r="BW267" s="485">
        <f t="shared" si="63"/>
        <v>0</v>
      </c>
      <c r="BX267" s="485">
        <f t="shared" si="63"/>
        <v>0</v>
      </c>
      <c r="BY267" s="485">
        <f t="shared" si="63"/>
        <v>0</v>
      </c>
      <c r="BZ267" s="485">
        <f t="shared" si="63"/>
        <v>0</v>
      </c>
      <c r="CA267" s="485">
        <f t="shared" si="63"/>
        <v>0</v>
      </c>
      <c r="CB267" s="485">
        <f t="shared" si="63"/>
        <v>0</v>
      </c>
      <c r="CC267" s="485">
        <f t="shared" si="63"/>
        <v>0</v>
      </c>
      <c r="CD267" s="485">
        <f t="shared" si="64"/>
        <v>0</v>
      </c>
      <c r="CE267" s="485">
        <f t="shared" si="64"/>
        <v>0</v>
      </c>
      <c r="CF267" s="485">
        <f t="shared" si="64"/>
        <v>0</v>
      </c>
      <c r="CG267" s="485">
        <f t="shared" si="64"/>
        <v>0</v>
      </c>
      <c r="CH267" s="485">
        <f t="shared" si="64"/>
        <v>0</v>
      </c>
      <c r="CI267" s="485">
        <f t="shared" si="64"/>
        <v>0</v>
      </c>
      <c r="CJ267" s="485">
        <f t="shared" si="64"/>
        <v>0</v>
      </c>
      <c r="CK267" s="485">
        <f t="shared" si="64"/>
        <v>0</v>
      </c>
      <c r="CL267" s="485">
        <f t="shared" si="64"/>
        <v>0</v>
      </c>
      <c r="CM267" s="486">
        <f t="shared" si="54"/>
        <v>1</v>
      </c>
    </row>
    <row r="268" spans="1:91" s="487" customFormat="1" ht="25.5" x14ac:dyDescent="0.25">
      <c r="A268" s="497" t="s">
        <v>341</v>
      </c>
      <c r="B268" s="498" t="s">
        <v>2048</v>
      </c>
      <c r="C268" s="497" t="s">
        <v>2798</v>
      </c>
      <c r="D268" s="498"/>
      <c r="E268" s="497" t="s">
        <v>56</v>
      </c>
      <c r="F268" s="498"/>
      <c r="G268" s="497"/>
      <c r="H268" s="497" t="s">
        <v>654</v>
      </c>
      <c r="I268" s="497" t="s">
        <v>647</v>
      </c>
      <c r="J268" s="497" t="s">
        <v>641</v>
      </c>
      <c r="K268" s="497" t="s">
        <v>649</v>
      </c>
      <c r="L268" s="497" t="s">
        <v>40</v>
      </c>
      <c r="M268" s="497" t="s">
        <v>646</v>
      </c>
      <c r="N268" s="497" t="s">
        <v>645</v>
      </c>
      <c r="O268" s="497" t="s">
        <v>721</v>
      </c>
      <c r="P268" s="497" t="s">
        <v>971</v>
      </c>
      <c r="Q268" s="497" t="s">
        <v>650</v>
      </c>
      <c r="R268" s="497" t="s">
        <v>652</v>
      </c>
      <c r="S268" s="497" t="s">
        <v>649</v>
      </c>
      <c r="T268" s="497"/>
      <c r="U268" s="497"/>
      <c r="V268" s="497" t="s">
        <v>685</v>
      </c>
      <c r="W268" s="497" t="s">
        <v>2799</v>
      </c>
      <c r="X268" s="499">
        <v>42452</v>
      </c>
      <c r="Y268" s="499">
        <v>43336</v>
      </c>
      <c r="Z268" s="500">
        <v>2018</v>
      </c>
      <c r="AA268" s="497"/>
      <c r="AB268" s="497"/>
      <c r="AC268" s="497"/>
      <c r="AD268" s="501"/>
      <c r="AE268" s="501"/>
      <c r="AF268" s="501"/>
      <c r="AG268" s="501"/>
      <c r="AH268" s="501"/>
      <c r="AI268" s="501"/>
      <c r="AJ268" s="501"/>
      <c r="AK268" s="501"/>
      <c r="AL268" s="501"/>
      <c r="AM268" s="501"/>
      <c r="AN268" s="501"/>
      <c r="AO268" s="501"/>
      <c r="AP268" s="501"/>
      <c r="AQ268" s="501"/>
      <c r="AR268" s="501"/>
      <c r="AS268" s="501"/>
      <c r="AT268" s="501"/>
      <c r="AU268" s="501"/>
      <c r="AV268" s="501"/>
      <c r="AW268" s="501"/>
      <c r="AX268" s="501"/>
      <c r="AY268" s="501"/>
      <c r="AZ268" s="501"/>
      <c r="BA268" s="501"/>
      <c r="BB268" s="483"/>
      <c r="BC268" s="483"/>
      <c r="BD268" s="483"/>
      <c r="BE268" s="483"/>
      <c r="BF268" s="483"/>
      <c r="BG268" s="483">
        <v>1340007.9999999991</v>
      </c>
      <c r="BH268" s="483"/>
      <c r="BI268" s="483"/>
      <c r="BJ268" s="483"/>
      <c r="BK268" s="483"/>
      <c r="BL268" s="483"/>
      <c r="BM268" s="483"/>
      <c r="BN268" s="483"/>
      <c r="BO268" s="483"/>
      <c r="BP268" s="483"/>
      <c r="BQ268" s="483"/>
      <c r="BR268" s="483">
        <v>1340007.9999999991</v>
      </c>
      <c r="BS268" s="484">
        <f t="shared" si="53"/>
        <v>0</v>
      </c>
      <c r="BT268" s="485">
        <v>0</v>
      </c>
      <c r="BU268" s="485">
        <v>0</v>
      </c>
      <c r="BV268" s="485">
        <v>0</v>
      </c>
      <c r="BW268" s="485">
        <v>1</v>
      </c>
      <c r="BX268" s="485">
        <v>0</v>
      </c>
      <c r="BY268" s="485">
        <v>0</v>
      </c>
      <c r="BZ268" s="485">
        <v>0</v>
      </c>
      <c r="CA268" s="485">
        <v>0</v>
      </c>
      <c r="CB268" s="485">
        <v>0</v>
      </c>
      <c r="CC268" s="485">
        <v>0</v>
      </c>
      <c r="CD268" s="485">
        <v>0</v>
      </c>
      <c r="CE268" s="485">
        <v>0</v>
      </c>
      <c r="CF268" s="485">
        <v>0</v>
      </c>
      <c r="CG268" s="485">
        <v>0</v>
      </c>
      <c r="CH268" s="485">
        <v>0</v>
      </c>
      <c r="CI268" s="485">
        <v>0</v>
      </c>
      <c r="CJ268" s="485">
        <v>0</v>
      </c>
      <c r="CK268" s="485">
        <v>0</v>
      </c>
      <c r="CL268" s="485">
        <v>0</v>
      </c>
      <c r="CM268" s="486">
        <f t="shared" si="54"/>
        <v>1</v>
      </c>
    </row>
    <row r="269" spans="1:91" s="487" customFormat="1" ht="25.5" x14ac:dyDescent="0.25">
      <c r="A269" s="497" t="s">
        <v>345</v>
      </c>
      <c r="B269" s="498" t="s">
        <v>2060</v>
      </c>
      <c r="C269" s="497" t="s">
        <v>799</v>
      </c>
      <c r="D269" s="498"/>
      <c r="E269" s="497" t="s">
        <v>692</v>
      </c>
      <c r="F269" s="498"/>
      <c r="G269" s="497"/>
      <c r="H269" s="497" t="s">
        <v>654</v>
      </c>
      <c r="I269" s="497" t="s">
        <v>647</v>
      </c>
      <c r="J269" s="497" t="s">
        <v>671</v>
      </c>
      <c r="K269" s="497" t="s">
        <v>649</v>
      </c>
      <c r="L269" s="497" t="s">
        <v>55</v>
      </c>
      <c r="M269" s="497" t="s">
        <v>646</v>
      </c>
      <c r="N269" s="497" t="s">
        <v>645</v>
      </c>
      <c r="O269" s="497"/>
      <c r="P269" s="497"/>
      <c r="Q269" s="497" t="s">
        <v>656</v>
      </c>
      <c r="R269" s="497" t="s">
        <v>652</v>
      </c>
      <c r="S269" s="497" t="s">
        <v>649</v>
      </c>
      <c r="T269" s="497"/>
      <c r="U269" s="497"/>
      <c r="V269" s="497" t="s">
        <v>683</v>
      </c>
      <c r="W269" s="497" t="s">
        <v>640</v>
      </c>
      <c r="X269" s="499">
        <v>42552</v>
      </c>
      <c r="Y269" s="499">
        <v>43430</v>
      </c>
      <c r="Z269" s="500">
        <v>2018</v>
      </c>
      <c r="AA269" s="497"/>
      <c r="AB269" s="497"/>
      <c r="AC269" s="497"/>
      <c r="AD269" s="501"/>
      <c r="AE269" s="501"/>
      <c r="AF269" s="501"/>
      <c r="AG269" s="501"/>
      <c r="AH269" s="501"/>
      <c r="AI269" s="501"/>
      <c r="AJ269" s="501"/>
      <c r="AK269" s="501"/>
      <c r="AL269" s="501"/>
      <c r="AM269" s="501"/>
      <c r="AN269" s="501"/>
      <c r="AO269" s="501"/>
      <c r="AP269" s="501"/>
      <c r="AQ269" s="501"/>
      <c r="AR269" s="501"/>
      <c r="AS269" s="501"/>
      <c r="AT269" s="501"/>
      <c r="AU269" s="501"/>
      <c r="AV269" s="501">
        <v>211832.99999999974</v>
      </c>
      <c r="AW269" s="501"/>
      <c r="AX269" s="501"/>
      <c r="AY269" s="501"/>
      <c r="AZ269" s="501"/>
      <c r="BA269" s="501"/>
      <c r="BB269" s="483"/>
      <c r="BC269" s="483"/>
      <c r="BD269" s="483"/>
      <c r="BE269" s="483"/>
      <c r="BF269" s="483"/>
      <c r="BG269" s="483">
        <v>671503.76799999957</v>
      </c>
      <c r="BH269" s="483"/>
      <c r="BI269" s="483"/>
      <c r="BJ269" s="483"/>
      <c r="BK269" s="483"/>
      <c r="BL269" s="483"/>
      <c r="BM269" s="483"/>
      <c r="BN269" s="483"/>
      <c r="BO269" s="483"/>
      <c r="BP269" s="483"/>
      <c r="BQ269" s="483"/>
      <c r="BR269" s="483">
        <v>883336.76799999923</v>
      </c>
      <c r="BS269" s="484">
        <f t="shared" si="53"/>
        <v>211832.99999999974</v>
      </c>
      <c r="BT269" s="485">
        <f t="shared" ref="BT269:CC278" si="65">SUMIFS($AD269:$BA269,$AD$11:$BA$11,BT$21)/$BS269</f>
        <v>0</v>
      </c>
      <c r="BU269" s="485">
        <f t="shared" si="65"/>
        <v>0</v>
      </c>
      <c r="BV269" s="485">
        <f t="shared" si="65"/>
        <v>0</v>
      </c>
      <c r="BW269" s="485">
        <f t="shared" si="65"/>
        <v>1</v>
      </c>
      <c r="BX269" s="485">
        <f t="shared" si="65"/>
        <v>0</v>
      </c>
      <c r="BY269" s="485">
        <f t="shared" si="65"/>
        <v>0</v>
      </c>
      <c r="BZ269" s="485">
        <f t="shared" si="65"/>
        <v>0</v>
      </c>
      <c r="CA269" s="485">
        <f t="shared" si="65"/>
        <v>0</v>
      </c>
      <c r="CB269" s="485">
        <f t="shared" si="65"/>
        <v>0</v>
      </c>
      <c r="CC269" s="485">
        <f t="shared" si="65"/>
        <v>0</v>
      </c>
      <c r="CD269" s="485">
        <f t="shared" ref="CD269:CL278" si="66">SUMIFS($AD269:$BA269,$AD$11:$BA$11,CD$21)/$BS269</f>
        <v>0</v>
      </c>
      <c r="CE269" s="485">
        <f t="shared" si="66"/>
        <v>0</v>
      </c>
      <c r="CF269" s="485">
        <f t="shared" si="66"/>
        <v>0</v>
      </c>
      <c r="CG269" s="485">
        <f t="shared" si="66"/>
        <v>0</v>
      </c>
      <c r="CH269" s="485">
        <f t="shared" si="66"/>
        <v>0</v>
      </c>
      <c r="CI269" s="485">
        <f t="shared" si="66"/>
        <v>0</v>
      </c>
      <c r="CJ269" s="485">
        <f t="shared" si="66"/>
        <v>0</v>
      </c>
      <c r="CK269" s="485">
        <f t="shared" si="66"/>
        <v>0</v>
      </c>
      <c r="CL269" s="485">
        <f t="shared" si="66"/>
        <v>0</v>
      </c>
      <c r="CM269" s="486">
        <f t="shared" si="54"/>
        <v>1</v>
      </c>
    </row>
    <row r="270" spans="1:91" s="487" customFormat="1" ht="25.5" x14ac:dyDescent="0.25">
      <c r="A270" s="497" t="s">
        <v>346</v>
      </c>
      <c r="B270" s="498" t="s">
        <v>2062</v>
      </c>
      <c r="C270" s="497" t="s">
        <v>798</v>
      </c>
      <c r="D270" s="498"/>
      <c r="E270" s="497" t="s">
        <v>692</v>
      </c>
      <c r="F270" s="498"/>
      <c r="G270" s="497"/>
      <c r="H270" s="497" t="s">
        <v>654</v>
      </c>
      <c r="I270" s="497" t="s">
        <v>647</v>
      </c>
      <c r="J270" s="497" t="s">
        <v>671</v>
      </c>
      <c r="K270" s="497" t="s">
        <v>649</v>
      </c>
      <c r="L270" s="497" t="s">
        <v>55</v>
      </c>
      <c r="M270" s="497" t="s">
        <v>646</v>
      </c>
      <c r="N270" s="497" t="s">
        <v>645</v>
      </c>
      <c r="O270" s="497"/>
      <c r="P270" s="497"/>
      <c r="Q270" s="497" t="s">
        <v>656</v>
      </c>
      <c r="R270" s="497" t="s">
        <v>652</v>
      </c>
      <c r="S270" s="497" t="s">
        <v>649</v>
      </c>
      <c r="T270" s="497"/>
      <c r="U270" s="497"/>
      <c r="V270" s="497" t="s">
        <v>683</v>
      </c>
      <c r="W270" s="497" t="s">
        <v>640</v>
      </c>
      <c r="X270" s="499">
        <v>42536</v>
      </c>
      <c r="Y270" s="499">
        <v>43388</v>
      </c>
      <c r="Z270" s="500">
        <v>2018</v>
      </c>
      <c r="AA270" s="497"/>
      <c r="AB270" s="497"/>
      <c r="AC270" s="497"/>
      <c r="AD270" s="501"/>
      <c r="AE270" s="501"/>
      <c r="AF270" s="501"/>
      <c r="AG270" s="501"/>
      <c r="AH270" s="501"/>
      <c r="AI270" s="501"/>
      <c r="AJ270" s="501"/>
      <c r="AK270" s="501"/>
      <c r="AL270" s="501"/>
      <c r="AM270" s="501"/>
      <c r="AN270" s="501"/>
      <c r="AO270" s="501"/>
      <c r="AP270" s="501"/>
      <c r="AQ270" s="501"/>
      <c r="AR270" s="501"/>
      <c r="AS270" s="501"/>
      <c r="AT270" s="501"/>
      <c r="AU270" s="501"/>
      <c r="AV270" s="501">
        <v>449800.00000000058</v>
      </c>
      <c r="AW270" s="501"/>
      <c r="AX270" s="501"/>
      <c r="AY270" s="501"/>
      <c r="AZ270" s="501"/>
      <c r="BA270" s="501"/>
      <c r="BB270" s="483"/>
      <c r="BC270" s="483"/>
      <c r="BD270" s="483"/>
      <c r="BE270" s="483"/>
      <c r="BF270" s="483"/>
      <c r="BG270" s="483">
        <v>1799200.0000000019</v>
      </c>
      <c r="BH270" s="483"/>
      <c r="BI270" s="483"/>
      <c r="BJ270" s="483"/>
      <c r="BK270" s="483"/>
      <c r="BL270" s="483"/>
      <c r="BM270" s="483"/>
      <c r="BN270" s="483"/>
      <c r="BO270" s="483"/>
      <c r="BP270" s="483"/>
      <c r="BQ270" s="483"/>
      <c r="BR270" s="483">
        <v>2249000.0000000023</v>
      </c>
      <c r="BS270" s="484">
        <f t="shared" si="53"/>
        <v>449800.00000000058</v>
      </c>
      <c r="BT270" s="485">
        <f t="shared" si="65"/>
        <v>0</v>
      </c>
      <c r="BU270" s="485">
        <f t="shared" si="65"/>
        <v>0</v>
      </c>
      <c r="BV270" s="485">
        <f t="shared" si="65"/>
        <v>0</v>
      </c>
      <c r="BW270" s="485">
        <f t="shared" si="65"/>
        <v>1</v>
      </c>
      <c r="BX270" s="485">
        <f t="shared" si="65"/>
        <v>0</v>
      </c>
      <c r="BY270" s="485">
        <f t="shared" si="65"/>
        <v>0</v>
      </c>
      <c r="BZ270" s="485">
        <f t="shared" si="65"/>
        <v>0</v>
      </c>
      <c r="CA270" s="485">
        <f t="shared" si="65"/>
        <v>0</v>
      </c>
      <c r="CB270" s="485">
        <f t="shared" si="65"/>
        <v>0</v>
      </c>
      <c r="CC270" s="485">
        <f t="shared" si="65"/>
        <v>0</v>
      </c>
      <c r="CD270" s="485">
        <f t="shared" si="66"/>
        <v>0</v>
      </c>
      <c r="CE270" s="485">
        <f t="shared" si="66"/>
        <v>0</v>
      </c>
      <c r="CF270" s="485">
        <f t="shared" si="66"/>
        <v>0</v>
      </c>
      <c r="CG270" s="485">
        <f t="shared" si="66"/>
        <v>0</v>
      </c>
      <c r="CH270" s="485">
        <f t="shared" si="66"/>
        <v>0</v>
      </c>
      <c r="CI270" s="485">
        <f t="shared" si="66"/>
        <v>0</v>
      </c>
      <c r="CJ270" s="485">
        <f t="shared" si="66"/>
        <v>0</v>
      </c>
      <c r="CK270" s="485">
        <f t="shared" si="66"/>
        <v>0</v>
      </c>
      <c r="CL270" s="485">
        <f t="shared" si="66"/>
        <v>0</v>
      </c>
      <c r="CM270" s="486">
        <f t="shared" si="54"/>
        <v>1</v>
      </c>
    </row>
    <row r="271" spans="1:91" s="487" customFormat="1" ht="25.5" x14ac:dyDescent="0.25">
      <c r="A271" s="497" t="s">
        <v>347</v>
      </c>
      <c r="B271" s="498" t="s">
        <v>2064</v>
      </c>
      <c r="C271" s="497" t="s">
        <v>797</v>
      </c>
      <c r="D271" s="498"/>
      <c r="E271" s="497" t="s">
        <v>692</v>
      </c>
      <c r="F271" s="498"/>
      <c r="G271" s="497"/>
      <c r="H271" s="497" t="s">
        <v>654</v>
      </c>
      <c r="I271" s="497" t="s">
        <v>647</v>
      </c>
      <c r="J271" s="497" t="s">
        <v>671</v>
      </c>
      <c r="K271" s="497" t="s">
        <v>649</v>
      </c>
      <c r="L271" s="497" t="s">
        <v>55</v>
      </c>
      <c r="M271" s="497" t="s">
        <v>646</v>
      </c>
      <c r="N271" s="497" t="s">
        <v>645</v>
      </c>
      <c r="O271" s="497"/>
      <c r="P271" s="497"/>
      <c r="Q271" s="497" t="s">
        <v>656</v>
      </c>
      <c r="R271" s="497" t="s">
        <v>652</v>
      </c>
      <c r="S271" s="497" t="s">
        <v>649</v>
      </c>
      <c r="T271" s="497"/>
      <c r="U271" s="497"/>
      <c r="V271" s="497" t="s">
        <v>683</v>
      </c>
      <c r="W271" s="497" t="s">
        <v>684</v>
      </c>
      <c r="X271" s="499">
        <v>42795</v>
      </c>
      <c r="Y271" s="499">
        <v>43537</v>
      </c>
      <c r="Z271" s="500">
        <v>2019</v>
      </c>
      <c r="AA271" s="497"/>
      <c r="AB271" s="497"/>
      <c r="AC271" s="497"/>
      <c r="AD271" s="501"/>
      <c r="AE271" s="501"/>
      <c r="AF271" s="501"/>
      <c r="AG271" s="501"/>
      <c r="AH271" s="501"/>
      <c r="AI271" s="501"/>
      <c r="AJ271" s="501"/>
      <c r="AK271" s="501"/>
      <c r="AL271" s="501"/>
      <c r="AM271" s="501"/>
      <c r="AN271" s="501"/>
      <c r="AO271" s="501"/>
      <c r="AP271" s="501"/>
      <c r="AQ271" s="501"/>
      <c r="AR271" s="501"/>
      <c r="AS271" s="501"/>
      <c r="AT271" s="501"/>
      <c r="AU271" s="501"/>
      <c r="AV271" s="501">
        <v>242337</v>
      </c>
      <c r="AW271" s="501"/>
      <c r="AX271" s="501"/>
      <c r="AY271" s="501"/>
      <c r="AZ271" s="501"/>
      <c r="BA271" s="501"/>
      <c r="BB271" s="483"/>
      <c r="BC271" s="483"/>
      <c r="BD271" s="483"/>
      <c r="BE271" s="483"/>
      <c r="BF271" s="483"/>
      <c r="BG271" s="483">
        <v>969699.27550000069</v>
      </c>
      <c r="BH271" s="483"/>
      <c r="BI271" s="483"/>
      <c r="BJ271" s="483"/>
      <c r="BK271" s="483"/>
      <c r="BL271" s="483"/>
      <c r="BM271" s="483"/>
      <c r="BN271" s="483"/>
      <c r="BO271" s="483"/>
      <c r="BP271" s="483"/>
      <c r="BQ271" s="483"/>
      <c r="BR271" s="483">
        <v>1212036.2755000007</v>
      </c>
      <c r="BS271" s="484">
        <f t="shared" si="53"/>
        <v>242337</v>
      </c>
      <c r="BT271" s="485">
        <f t="shared" si="65"/>
        <v>0</v>
      </c>
      <c r="BU271" s="485">
        <f t="shared" si="65"/>
        <v>0</v>
      </c>
      <c r="BV271" s="485">
        <f t="shared" si="65"/>
        <v>0</v>
      </c>
      <c r="BW271" s="485">
        <f t="shared" si="65"/>
        <v>1</v>
      </c>
      <c r="BX271" s="485">
        <f t="shared" si="65"/>
        <v>0</v>
      </c>
      <c r="BY271" s="485">
        <f t="shared" si="65"/>
        <v>0</v>
      </c>
      <c r="BZ271" s="485">
        <f t="shared" si="65"/>
        <v>0</v>
      </c>
      <c r="CA271" s="485">
        <f t="shared" si="65"/>
        <v>0</v>
      </c>
      <c r="CB271" s="485">
        <f t="shared" si="65"/>
        <v>0</v>
      </c>
      <c r="CC271" s="485">
        <f t="shared" si="65"/>
        <v>0</v>
      </c>
      <c r="CD271" s="485">
        <f t="shared" si="66"/>
        <v>0</v>
      </c>
      <c r="CE271" s="485">
        <f t="shared" si="66"/>
        <v>0</v>
      </c>
      <c r="CF271" s="485">
        <f t="shared" si="66"/>
        <v>0</v>
      </c>
      <c r="CG271" s="485">
        <f t="shared" si="66"/>
        <v>0</v>
      </c>
      <c r="CH271" s="485">
        <f t="shared" si="66"/>
        <v>0</v>
      </c>
      <c r="CI271" s="485">
        <f t="shared" si="66"/>
        <v>0</v>
      </c>
      <c r="CJ271" s="485">
        <f t="shared" si="66"/>
        <v>0</v>
      </c>
      <c r="CK271" s="485">
        <f t="shared" si="66"/>
        <v>0</v>
      </c>
      <c r="CL271" s="485">
        <f t="shared" si="66"/>
        <v>0</v>
      </c>
      <c r="CM271" s="486">
        <f t="shared" si="54"/>
        <v>1</v>
      </c>
    </row>
    <row r="272" spans="1:91" s="487" customFormat="1" ht="25.5" x14ac:dyDescent="0.25">
      <c r="A272" s="497" t="s">
        <v>348</v>
      </c>
      <c r="B272" s="498" t="s">
        <v>2066</v>
      </c>
      <c r="C272" s="497" t="s">
        <v>796</v>
      </c>
      <c r="D272" s="498"/>
      <c r="E272" s="497" t="s">
        <v>692</v>
      </c>
      <c r="F272" s="498"/>
      <c r="G272" s="497"/>
      <c r="H272" s="497" t="s">
        <v>654</v>
      </c>
      <c r="I272" s="497" t="s">
        <v>647</v>
      </c>
      <c r="J272" s="497" t="s">
        <v>671</v>
      </c>
      <c r="K272" s="497" t="s">
        <v>649</v>
      </c>
      <c r="L272" s="497" t="s">
        <v>55</v>
      </c>
      <c r="M272" s="497" t="s">
        <v>646</v>
      </c>
      <c r="N272" s="497" t="s">
        <v>645</v>
      </c>
      <c r="O272" s="497"/>
      <c r="P272" s="497"/>
      <c r="Q272" s="497" t="s">
        <v>656</v>
      </c>
      <c r="R272" s="497" t="s">
        <v>652</v>
      </c>
      <c r="S272" s="497" t="s">
        <v>649</v>
      </c>
      <c r="T272" s="497"/>
      <c r="U272" s="497"/>
      <c r="V272" s="497" t="s">
        <v>683</v>
      </c>
      <c r="W272" s="497" t="s">
        <v>684</v>
      </c>
      <c r="X272" s="499">
        <v>42738</v>
      </c>
      <c r="Y272" s="499">
        <v>43374</v>
      </c>
      <c r="Z272" s="500">
        <v>2018</v>
      </c>
      <c r="AA272" s="497"/>
      <c r="AB272" s="497"/>
      <c r="AC272" s="497"/>
      <c r="AD272" s="501"/>
      <c r="AE272" s="501"/>
      <c r="AF272" s="501"/>
      <c r="AG272" s="501"/>
      <c r="AH272" s="501"/>
      <c r="AI272" s="501"/>
      <c r="AJ272" s="501"/>
      <c r="AK272" s="501"/>
      <c r="AL272" s="501"/>
      <c r="AM272" s="501"/>
      <c r="AN272" s="501"/>
      <c r="AO272" s="501"/>
      <c r="AP272" s="501"/>
      <c r="AQ272" s="501"/>
      <c r="AR272" s="501"/>
      <c r="AS272" s="501"/>
      <c r="AT272" s="501"/>
      <c r="AU272" s="501"/>
      <c r="AV272" s="501">
        <v>210000.00000000023</v>
      </c>
      <c r="AW272" s="501"/>
      <c r="AX272" s="501"/>
      <c r="AY272" s="501"/>
      <c r="AZ272" s="501"/>
      <c r="BA272" s="501"/>
      <c r="BB272" s="483"/>
      <c r="BC272" s="483"/>
      <c r="BD272" s="483"/>
      <c r="BE272" s="483"/>
      <c r="BF272" s="483"/>
      <c r="BG272" s="483">
        <v>1889594.0907738125</v>
      </c>
      <c r="BH272" s="483"/>
      <c r="BI272" s="483"/>
      <c r="BJ272" s="483"/>
      <c r="BK272" s="483"/>
      <c r="BL272" s="483"/>
      <c r="BM272" s="483"/>
      <c r="BN272" s="483"/>
      <c r="BO272" s="483"/>
      <c r="BP272" s="483"/>
      <c r="BQ272" s="483"/>
      <c r="BR272" s="483">
        <v>2099594.090773813</v>
      </c>
      <c r="BS272" s="484">
        <f t="shared" si="53"/>
        <v>210000.00000000023</v>
      </c>
      <c r="BT272" s="485">
        <f t="shared" si="65"/>
        <v>0</v>
      </c>
      <c r="BU272" s="485">
        <f t="shared" si="65"/>
        <v>0</v>
      </c>
      <c r="BV272" s="485">
        <f t="shared" si="65"/>
        <v>0</v>
      </c>
      <c r="BW272" s="485">
        <f t="shared" si="65"/>
        <v>1</v>
      </c>
      <c r="BX272" s="485">
        <f t="shared" si="65"/>
        <v>0</v>
      </c>
      <c r="BY272" s="485">
        <f t="shared" si="65"/>
        <v>0</v>
      </c>
      <c r="BZ272" s="485">
        <f t="shared" si="65"/>
        <v>0</v>
      </c>
      <c r="CA272" s="485">
        <f t="shared" si="65"/>
        <v>0</v>
      </c>
      <c r="CB272" s="485">
        <f t="shared" si="65"/>
        <v>0</v>
      </c>
      <c r="CC272" s="485">
        <f t="shared" si="65"/>
        <v>0</v>
      </c>
      <c r="CD272" s="485">
        <f t="shared" si="66"/>
        <v>0</v>
      </c>
      <c r="CE272" s="485">
        <f t="shared" si="66"/>
        <v>0</v>
      </c>
      <c r="CF272" s="485">
        <f t="shared" si="66"/>
        <v>0</v>
      </c>
      <c r="CG272" s="485">
        <f t="shared" si="66"/>
        <v>0</v>
      </c>
      <c r="CH272" s="485">
        <f t="shared" si="66"/>
        <v>0</v>
      </c>
      <c r="CI272" s="485">
        <f t="shared" si="66"/>
        <v>0</v>
      </c>
      <c r="CJ272" s="485">
        <f t="shared" si="66"/>
        <v>0</v>
      </c>
      <c r="CK272" s="485">
        <f t="shared" si="66"/>
        <v>0</v>
      </c>
      <c r="CL272" s="485">
        <f t="shared" si="66"/>
        <v>0</v>
      </c>
      <c r="CM272" s="486">
        <f t="shared" si="54"/>
        <v>1</v>
      </c>
    </row>
    <row r="273" spans="1:91" s="487" customFormat="1" ht="25.5" customHeight="1" x14ac:dyDescent="0.25">
      <c r="A273" s="497" t="s">
        <v>352</v>
      </c>
      <c r="B273" s="498" t="s">
        <v>2070</v>
      </c>
      <c r="C273" s="497" t="s">
        <v>793</v>
      </c>
      <c r="D273" s="498"/>
      <c r="E273" s="497" t="s">
        <v>779</v>
      </c>
      <c r="F273" s="498"/>
      <c r="G273" s="497" t="s">
        <v>648</v>
      </c>
      <c r="H273" s="497" t="s">
        <v>654</v>
      </c>
      <c r="I273" s="497" t="s">
        <v>647</v>
      </c>
      <c r="J273" s="497" t="s">
        <v>671</v>
      </c>
      <c r="K273" s="497" t="s">
        <v>649</v>
      </c>
      <c r="L273" s="497" t="s">
        <v>36</v>
      </c>
      <c r="M273" s="497" t="s">
        <v>646</v>
      </c>
      <c r="N273" s="497" t="s">
        <v>680</v>
      </c>
      <c r="O273" s="497"/>
      <c r="P273" s="497" t="s">
        <v>643</v>
      </c>
      <c r="Q273" s="497" t="s">
        <v>650</v>
      </c>
      <c r="R273" s="497" t="s">
        <v>652</v>
      </c>
      <c r="S273" s="497" t="s">
        <v>649</v>
      </c>
      <c r="T273" s="497"/>
      <c r="U273" s="497"/>
      <c r="V273" s="497" t="s">
        <v>36</v>
      </c>
      <c r="W273" s="497" t="s">
        <v>640</v>
      </c>
      <c r="X273" s="499">
        <v>42917</v>
      </c>
      <c r="Y273" s="499">
        <v>43250</v>
      </c>
      <c r="Z273" s="500">
        <v>2018</v>
      </c>
      <c r="AA273" s="497" t="s">
        <v>676</v>
      </c>
      <c r="AB273" s="497" t="s">
        <v>675</v>
      </c>
      <c r="AC273" s="497" t="s">
        <v>663</v>
      </c>
      <c r="AD273" s="501"/>
      <c r="AE273" s="501"/>
      <c r="AF273" s="501"/>
      <c r="AG273" s="501"/>
      <c r="AH273" s="501"/>
      <c r="AI273" s="501"/>
      <c r="AJ273" s="501"/>
      <c r="AK273" s="501"/>
      <c r="AL273" s="501"/>
      <c r="AM273" s="501"/>
      <c r="AN273" s="501"/>
      <c r="AO273" s="501"/>
      <c r="AP273" s="501"/>
      <c r="AQ273" s="501"/>
      <c r="AR273" s="501"/>
      <c r="AS273" s="501"/>
      <c r="AT273" s="501"/>
      <c r="AU273" s="501">
        <v>100499.99999999997</v>
      </c>
      <c r="AV273" s="501"/>
      <c r="AW273" s="501"/>
      <c r="AX273" s="501"/>
      <c r="AY273" s="501"/>
      <c r="AZ273" s="501"/>
      <c r="BA273" s="501"/>
      <c r="BB273" s="483">
        <v>2199.9999999999995</v>
      </c>
      <c r="BC273" s="483">
        <v>0</v>
      </c>
      <c r="BD273" s="483"/>
      <c r="BE273" s="483"/>
      <c r="BF273" s="483"/>
      <c r="BG273" s="483">
        <v>18519.925257032057</v>
      </c>
      <c r="BH273" s="483"/>
      <c r="BI273" s="483"/>
      <c r="BJ273" s="483"/>
      <c r="BK273" s="483"/>
      <c r="BL273" s="483"/>
      <c r="BM273" s="483"/>
      <c r="BN273" s="483"/>
      <c r="BO273" s="483"/>
      <c r="BP273" s="483"/>
      <c r="BQ273" s="483"/>
      <c r="BR273" s="483">
        <v>121219.92525703202</v>
      </c>
      <c r="BS273" s="484">
        <f t="shared" si="53"/>
        <v>100499.99999999997</v>
      </c>
      <c r="BT273" s="485">
        <f t="shared" si="65"/>
        <v>1</v>
      </c>
      <c r="BU273" s="485">
        <f t="shared" si="65"/>
        <v>0</v>
      </c>
      <c r="BV273" s="485">
        <f t="shared" si="65"/>
        <v>0</v>
      </c>
      <c r="BW273" s="485">
        <f t="shared" si="65"/>
        <v>0</v>
      </c>
      <c r="BX273" s="485">
        <f t="shared" si="65"/>
        <v>0</v>
      </c>
      <c r="BY273" s="485">
        <f t="shared" si="65"/>
        <v>0</v>
      </c>
      <c r="BZ273" s="485">
        <f t="shared" si="65"/>
        <v>0</v>
      </c>
      <c r="CA273" s="485">
        <f t="shared" si="65"/>
        <v>0</v>
      </c>
      <c r="CB273" s="485">
        <f t="shared" si="65"/>
        <v>0</v>
      </c>
      <c r="CC273" s="485">
        <f t="shared" si="65"/>
        <v>0</v>
      </c>
      <c r="CD273" s="485">
        <f t="shared" si="66"/>
        <v>0</v>
      </c>
      <c r="CE273" s="485">
        <f t="shared" si="66"/>
        <v>0</v>
      </c>
      <c r="CF273" s="485">
        <f t="shared" si="66"/>
        <v>0</v>
      </c>
      <c r="CG273" s="485">
        <f t="shared" si="66"/>
        <v>0</v>
      </c>
      <c r="CH273" s="485">
        <f t="shared" si="66"/>
        <v>0</v>
      </c>
      <c r="CI273" s="485">
        <f t="shared" si="66"/>
        <v>0</v>
      </c>
      <c r="CJ273" s="485">
        <f t="shared" si="66"/>
        <v>0</v>
      </c>
      <c r="CK273" s="485">
        <f t="shared" si="66"/>
        <v>0</v>
      </c>
      <c r="CL273" s="485">
        <f t="shared" si="66"/>
        <v>0</v>
      </c>
      <c r="CM273" s="486">
        <f t="shared" si="54"/>
        <v>1</v>
      </c>
    </row>
    <row r="274" spans="1:91" s="487" customFormat="1" ht="25.5" customHeight="1" x14ac:dyDescent="0.25">
      <c r="A274" s="497" t="s">
        <v>354</v>
      </c>
      <c r="B274" s="498" t="s">
        <v>2072</v>
      </c>
      <c r="C274" s="497" t="s">
        <v>792</v>
      </c>
      <c r="D274" s="498"/>
      <c r="E274" s="497" t="s">
        <v>779</v>
      </c>
      <c r="F274" s="498"/>
      <c r="G274" s="497" t="s">
        <v>648</v>
      </c>
      <c r="H274" s="497" t="s">
        <v>654</v>
      </c>
      <c r="I274" s="497" t="s">
        <v>647</v>
      </c>
      <c r="J274" s="497" t="s">
        <v>671</v>
      </c>
      <c r="K274" s="497" t="s">
        <v>649</v>
      </c>
      <c r="L274" s="497" t="s">
        <v>36</v>
      </c>
      <c r="M274" s="497" t="s">
        <v>646</v>
      </c>
      <c r="N274" s="497" t="s">
        <v>680</v>
      </c>
      <c r="O274" s="497"/>
      <c r="P274" s="497" t="s">
        <v>643</v>
      </c>
      <c r="Q274" s="497" t="s">
        <v>650</v>
      </c>
      <c r="R274" s="497" t="s">
        <v>652</v>
      </c>
      <c r="S274" s="497" t="s">
        <v>649</v>
      </c>
      <c r="T274" s="497"/>
      <c r="U274" s="497"/>
      <c r="V274" s="497" t="s">
        <v>36</v>
      </c>
      <c r="W274" s="497" t="s">
        <v>640</v>
      </c>
      <c r="X274" s="499">
        <v>42917</v>
      </c>
      <c r="Y274" s="499">
        <v>43250</v>
      </c>
      <c r="Z274" s="500">
        <v>2018</v>
      </c>
      <c r="AA274" s="497" t="s">
        <v>676</v>
      </c>
      <c r="AB274" s="497" t="s">
        <v>675</v>
      </c>
      <c r="AC274" s="497" t="s">
        <v>663</v>
      </c>
      <c r="AD274" s="501"/>
      <c r="AE274" s="501"/>
      <c r="AF274" s="501"/>
      <c r="AG274" s="501"/>
      <c r="AH274" s="501"/>
      <c r="AI274" s="501"/>
      <c r="AJ274" s="501"/>
      <c r="AK274" s="501"/>
      <c r="AL274" s="501"/>
      <c r="AM274" s="501"/>
      <c r="AN274" s="501"/>
      <c r="AO274" s="501"/>
      <c r="AP274" s="501"/>
      <c r="AQ274" s="501"/>
      <c r="AR274" s="501"/>
      <c r="AS274" s="501"/>
      <c r="AT274" s="501"/>
      <c r="AU274" s="501">
        <v>52519.999999999985</v>
      </c>
      <c r="AV274" s="501"/>
      <c r="AW274" s="501"/>
      <c r="AX274" s="501">
        <v>121199.99999999997</v>
      </c>
      <c r="AY274" s="501"/>
      <c r="AZ274" s="501"/>
      <c r="BA274" s="501"/>
      <c r="BB274" s="483">
        <v>16159.999999999996</v>
      </c>
      <c r="BC274" s="483">
        <v>0</v>
      </c>
      <c r="BD274" s="483"/>
      <c r="BE274" s="483"/>
      <c r="BF274" s="483"/>
      <c r="BG274" s="483">
        <v>34241.123737149435</v>
      </c>
      <c r="BH274" s="483"/>
      <c r="BI274" s="483"/>
      <c r="BJ274" s="483"/>
      <c r="BK274" s="483"/>
      <c r="BL274" s="483"/>
      <c r="BM274" s="483"/>
      <c r="BN274" s="483"/>
      <c r="BO274" s="483"/>
      <c r="BP274" s="483"/>
      <c r="BQ274" s="483"/>
      <c r="BR274" s="483">
        <v>224121.12373714938</v>
      </c>
      <c r="BS274" s="484">
        <f t="shared" si="53"/>
        <v>173719.99999999994</v>
      </c>
      <c r="BT274" s="485">
        <f t="shared" si="65"/>
        <v>0.30232558139534887</v>
      </c>
      <c r="BU274" s="485">
        <f t="shared" si="65"/>
        <v>0</v>
      </c>
      <c r="BV274" s="485">
        <f t="shared" si="65"/>
        <v>0</v>
      </c>
      <c r="BW274" s="485">
        <f t="shared" si="65"/>
        <v>0</v>
      </c>
      <c r="BX274" s="485">
        <f t="shared" si="65"/>
        <v>0</v>
      </c>
      <c r="BY274" s="485">
        <f t="shared" si="65"/>
        <v>0</v>
      </c>
      <c r="BZ274" s="485">
        <f t="shared" si="65"/>
        <v>0</v>
      </c>
      <c r="CA274" s="485">
        <f t="shared" si="65"/>
        <v>0.69767441860465118</v>
      </c>
      <c r="CB274" s="485">
        <f t="shared" si="65"/>
        <v>0</v>
      </c>
      <c r="CC274" s="485">
        <f t="shared" si="65"/>
        <v>0</v>
      </c>
      <c r="CD274" s="485">
        <f t="shared" si="66"/>
        <v>0</v>
      </c>
      <c r="CE274" s="485">
        <f t="shared" si="66"/>
        <v>0</v>
      </c>
      <c r="CF274" s="485">
        <f t="shared" si="66"/>
        <v>0</v>
      </c>
      <c r="CG274" s="485">
        <f t="shared" si="66"/>
        <v>0</v>
      </c>
      <c r="CH274" s="485">
        <f t="shared" si="66"/>
        <v>0</v>
      </c>
      <c r="CI274" s="485">
        <f t="shared" si="66"/>
        <v>0</v>
      </c>
      <c r="CJ274" s="485">
        <f t="shared" si="66"/>
        <v>0</v>
      </c>
      <c r="CK274" s="485">
        <f t="shared" si="66"/>
        <v>0</v>
      </c>
      <c r="CL274" s="485">
        <f t="shared" si="66"/>
        <v>0</v>
      </c>
      <c r="CM274" s="486">
        <f t="shared" si="54"/>
        <v>1</v>
      </c>
    </row>
    <row r="275" spans="1:91" s="487" customFormat="1" ht="25.5" customHeight="1" x14ac:dyDescent="0.25">
      <c r="A275" s="497" t="s">
        <v>356</v>
      </c>
      <c r="B275" s="498" t="s">
        <v>2074</v>
      </c>
      <c r="C275" s="497" t="s">
        <v>791</v>
      </c>
      <c r="D275" s="498"/>
      <c r="E275" s="497" t="s">
        <v>790</v>
      </c>
      <c r="F275" s="498"/>
      <c r="G275" s="497" t="s">
        <v>648</v>
      </c>
      <c r="H275" s="497" t="s">
        <v>654</v>
      </c>
      <c r="I275" s="497" t="s">
        <v>647</v>
      </c>
      <c r="J275" s="497" t="s">
        <v>671</v>
      </c>
      <c r="K275" s="497" t="s">
        <v>649</v>
      </c>
      <c r="L275" s="497" t="s">
        <v>36</v>
      </c>
      <c r="M275" s="497" t="s">
        <v>646</v>
      </c>
      <c r="N275" s="497" t="s">
        <v>680</v>
      </c>
      <c r="O275" s="497"/>
      <c r="P275" s="497" t="s">
        <v>643</v>
      </c>
      <c r="Q275" s="497" t="s">
        <v>650</v>
      </c>
      <c r="R275" s="497" t="s">
        <v>652</v>
      </c>
      <c r="S275" s="497" t="s">
        <v>649</v>
      </c>
      <c r="T275" s="497"/>
      <c r="U275" s="497"/>
      <c r="V275" s="497" t="s">
        <v>36</v>
      </c>
      <c r="W275" s="497" t="s">
        <v>640</v>
      </c>
      <c r="X275" s="499">
        <v>42917</v>
      </c>
      <c r="Y275" s="499">
        <v>43250</v>
      </c>
      <c r="Z275" s="500">
        <v>2018</v>
      </c>
      <c r="AA275" s="497" t="s">
        <v>676</v>
      </c>
      <c r="AB275" s="497" t="s">
        <v>675</v>
      </c>
      <c r="AC275" s="497" t="s">
        <v>663</v>
      </c>
      <c r="AD275" s="501"/>
      <c r="AE275" s="501"/>
      <c r="AF275" s="501"/>
      <c r="AG275" s="501"/>
      <c r="AH275" s="501"/>
      <c r="AI275" s="501"/>
      <c r="AJ275" s="501"/>
      <c r="AK275" s="501"/>
      <c r="AL275" s="501"/>
      <c r="AM275" s="501"/>
      <c r="AN275" s="501"/>
      <c r="AO275" s="501"/>
      <c r="AP275" s="501"/>
      <c r="AQ275" s="501"/>
      <c r="AR275" s="501"/>
      <c r="AS275" s="501"/>
      <c r="AT275" s="501"/>
      <c r="AU275" s="501">
        <v>69439.999999999985</v>
      </c>
      <c r="AV275" s="501"/>
      <c r="AW275" s="501"/>
      <c r="AX275" s="501">
        <v>37199.999999999993</v>
      </c>
      <c r="AY275" s="501"/>
      <c r="AZ275" s="501"/>
      <c r="BA275" s="501"/>
      <c r="BB275" s="483">
        <v>9919.9999999999982</v>
      </c>
      <c r="BC275" s="483">
        <v>0</v>
      </c>
      <c r="BD275" s="483"/>
      <c r="BE275" s="483"/>
      <c r="BF275" s="483"/>
      <c r="BG275" s="483">
        <v>21019.303680230347</v>
      </c>
      <c r="BH275" s="483"/>
      <c r="BI275" s="483"/>
      <c r="BJ275" s="483"/>
      <c r="BK275" s="483"/>
      <c r="BL275" s="483"/>
      <c r="BM275" s="483"/>
      <c r="BN275" s="483"/>
      <c r="BO275" s="483"/>
      <c r="BP275" s="483"/>
      <c r="BQ275" s="483"/>
      <c r="BR275" s="483">
        <v>137579.30368023031</v>
      </c>
      <c r="BS275" s="484">
        <f t="shared" si="53"/>
        <v>106639.99999999997</v>
      </c>
      <c r="BT275" s="485">
        <f t="shared" si="65"/>
        <v>0.65116279069767447</v>
      </c>
      <c r="BU275" s="485">
        <f t="shared" si="65"/>
        <v>0</v>
      </c>
      <c r="BV275" s="485">
        <f t="shared" si="65"/>
        <v>0</v>
      </c>
      <c r="BW275" s="485">
        <f t="shared" si="65"/>
        <v>0</v>
      </c>
      <c r="BX275" s="485">
        <f t="shared" si="65"/>
        <v>0</v>
      </c>
      <c r="BY275" s="485">
        <f t="shared" si="65"/>
        <v>0</v>
      </c>
      <c r="BZ275" s="485">
        <f t="shared" si="65"/>
        <v>0</v>
      </c>
      <c r="CA275" s="485">
        <f t="shared" si="65"/>
        <v>0.34883720930232559</v>
      </c>
      <c r="CB275" s="485">
        <f t="shared" si="65"/>
        <v>0</v>
      </c>
      <c r="CC275" s="485">
        <f t="shared" si="65"/>
        <v>0</v>
      </c>
      <c r="CD275" s="485">
        <f t="shared" si="66"/>
        <v>0</v>
      </c>
      <c r="CE275" s="485">
        <f t="shared" si="66"/>
        <v>0</v>
      </c>
      <c r="CF275" s="485">
        <f t="shared" si="66"/>
        <v>0</v>
      </c>
      <c r="CG275" s="485">
        <f t="shared" si="66"/>
        <v>0</v>
      </c>
      <c r="CH275" s="485">
        <f t="shared" si="66"/>
        <v>0</v>
      </c>
      <c r="CI275" s="485">
        <f t="shared" si="66"/>
        <v>0</v>
      </c>
      <c r="CJ275" s="485">
        <f t="shared" si="66"/>
        <v>0</v>
      </c>
      <c r="CK275" s="485">
        <f t="shared" si="66"/>
        <v>0</v>
      </c>
      <c r="CL275" s="485">
        <f t="shared" si="66"/>
        <v>0</v>
      </c>
      <c r="CM275" s="486">
        <f t="shared" si="54"/>
        <v>1</v>
      </c>
    </row>
    <row r="276" spans="1:91" s="487" customFormat="1" ht="25.5" customHeight="1" x14ac:dyDescent="0.25">
      <c r="A276" s="497" t="s">
        <v>789</v>
      </c>
      <c r="B276" s="498" t="s">
        <v>2078</v>
      </c>
      <c r="C276" s="497" t="s">
        <v>788</v>
      </c>
      <c r="D276" s="498"/>
      <c r="E276" s="497" t="s">
        <v>779</v>
      </c>
      <c r="F276" s="498"/>
      <c r="G276" s="497" t="s">
        <v>648</v>
      </c>
      <c r="H276" s="497" t="s">
        <v>654</v>
      </c>
      <c r="I276" s="497" t="s">
        <v>647</v>
      </c>
      <c r="J276" s="497" t="s">
        <v>671</v>
      </c>
      <c r="K276" s="497" t="s">
        <v>649</v>
      </c>
      <c r="L276" s="497" t="s">
        <v>36</v>
      </c>
      <c r="M276" s="497" t="s">
        <v>646</v>
      </c>
      <c r="N276" s="497" t="s">
        <v>699</v>
      </c>
      <c r="O276" s="497"/>
      <c r="P276" s="497"/>
      <c r="Q276" s="497" t="s">
        <v>650</v>
      </c>
      <c r="R276" s="497" t="s">
        <v>652</v>
      </c>
      <c r="S276" s="497"/>
      <c r="T276" s="497"/>
      <c r="U276" s="497"/>
      <c r="V276" s="497" t="s">
        <v>36</v>
      </c>
      <c r="W276" s="497" t="s">
        <v>666</v>
      </c>
      <c r="X276" s="499">
        <v>42552</v>
      </c>
      <c r="Y276" s="499">
        <v>43007</v>
      </c>
      <c r="Z276" s="500">
        <v>2017</v>
      </c>
      <c r="AA276" s="497" t="s">
        <v>676</v>
      </c>
      <c r="AB276" s="497" t="s">
        <v>675</v>
      </c>
      <c r="AC276" s="497" t="s">
        <v>663</v>
      </c>
      <c r="AD276" s="501"/>
      <c r="AE276" s="501"/>
      <c r="AF276" s="501"/>
      <c r="AG276" s="501"/>
      <c r="AH276" s="501"/>
      <c r="AI276" s="501"/>
      <c r="AJ276" s="501"/>
      <c r="AK276" s="501"/>
      <c r="AL276" s="501"/>
      <c r="AM276" s="501"/>
      <c r="AN276" s="501"/>
      <c r="AO276" s="501"/>
      <c r="AP276" s="501"/>
      <c r="AQ276" s="501"/>
      <c r="AR276" s="501"/>
      <c r="AS276" s="501"/>
      <c r="AT276" s="501"/>
      <c r="AU276" s="501">
        <v>64999.999999999985</v>
      </c>
      <c r="AV276" s="501"/>
      <c r="AW276" s="501"/>
      <c r="AX276" s="501"/>
      <c r="AY276" s="501"/>
      <c r="AZ276" s="501"/>
      <c r="BA276" s="501"/>
      <c r="BB276" s="483"/>
      <c r="BC276" s="483"/>
      <c r="BD276" s="483"/>
      <c r="BE276" s="483"/>
      <c r="BF276" s="483"/>
      <c r="BG276" s="483"/>
      <c r="BH276" s="483"/>
      <c r="BI276" s="483"/>
      <c r="BJ276" s="483"/>
      <c r="BK276" s="483"/>
      <c r="BL276" s="483"/>
      <c r="BM276" s="483"/>
      <c r="BN276" s="483"/>
      <c r="BO276" s="483"/>
      <c r="BP276" s="483"/>
      <c r="BQ276" s="483"/>
      <c r="BR276" s="483">
        <v>64999.999999999985</v>
      </c>
      <c r="BS276" s="484">
        <f t="shared" si="53"/>
        <v>64999.999999999985</v>
      </c>
      <c r="BT276" s="485">
        <f t="shared" si="65"/>
        <v>1</v>
      </c>
      <c r="BU276" s="485">
        <f t="shared" si="65"/>
        <v>0</v>
      </c>
      <c r="BV276" s="485">
        <f t="shared" si="65"/>
        <v>0</v>
      </c>
      <c r="BW276" s="485">
        <f t="shared" si="65"/>
        <v>0</v>
      </c>
      <c r="BX276" s="485">
        <f t="shared" si="65"/>
        <v>0</v>
      </c>
      <c r="BY276" s="485">
        <f t="shared" si="65"/>
        <v>0</v>
      </c>
      <c r="BZ276" s="485">
        <f t="shared" si="65"/>
        <v>0</v>
      </c>
      <c r="CA276" s="485">
        <f t="shared" si="65"/>
        <v>0</v>
      </c>
      <c r="CB276" s="485">
        <f t="shared" si="65"/>
        <v>0</v>
      </c>
      <c r="CC276" s="485">
        <f t="shared" si="65"/>
        <v>0</v>
      </c>
      <c r="CD276" s="485">
        <f t="shared" si="66"/>
        <v>0</v>
      </c>
      <c r="CE276" s="485">
        <f t="shared" si="66"/>
        <v>0</v>
      </c>
      <c r="CF276" s="485">
        <f t="shared" si="66"/>
        <v>0</v>
      </c>
      <c r="CG276" s="485">
        <f t="shared" si="66"/>
        <v>0</v>
      </c>
      <c r="CH276" s="485">
        <f t="shared" si="66"/>
        <v>0</v>
      </c>
      <c r="CI276" s="485">
        <f t="shared" si="66"/>
        <v>0</v>
      </c>
      <c r="CJ276" s="485">
        <f t="shared" si="66"/>
        <v>0</v>
      </c>
      <c r="CK276" s="485">
        <f t="shared" si="66"/>
        <v>0</v>
      </c>
      <c r="CL276" s="485">
        <f t="shared" si="66"/>
        <v>0</v>
      </c>
      <c r="CM276" s="486">
        <f t="shared" si="54"/>
        <v>1</v>
      </c>
    </row>
    <row r="277" spans="1:91" s="487" customFormat="1" ht="25.5" x14ac:dyDescent="0.25">
      <c r="A277" s="497" t="s">
        <v>358</v>
      </c>
      <c r="B277" s="498" t="s">
        <v>2080</v>
      </c>
      <c r="C277" s="497" t="s">
        <v>787</v>
      </c>
      <c r="D277" s="498"/>
      <c r="E277" s="497"/>
      <c r="F277" s="498"/>
      <c r="G277" s="497"/>
      <c r="H277" s="497" t="s">
        <v>654</v>
      </c>
      <c r="I277" s="497" t="s">
        <v>647</v>
      </c>
      <c r="J277" s="497" t="s">
        <v>641</v>
      </c>
      <c r="K277" s="497" t="s">
        <v>649</v>
      </c>
      <c r="L277" s="497" t="s">
        <v>40</v>
      </c>
      <c r="M277" s="497" t="s">
        <v>646</v>
      </c>
      <c r="N277" s="497" t="s">
        <v>680</v>
      </c>
      <c r="O277" s="497" t="s">
        <v>786</v>
      </c>
      <c r="P277" s="497" t="s">
        <v>720</v>
      </c>
      <c r="Q277" s="497" t="s">
        <v>642</v>
      </c>
      <c r="R277" s="497" t="s">
        <v>652</v>
      </c>
      <c r="S277" s="497" t="s">
        <v>649</v>
      </c>
      <c r="T277" s="497" t="s">
        <v>785</v>
      </c>
      <c r="U277" s="497" t="s">
        <v>689</v>
      </c>
      <c r="V277" s="497" t="s">
        <v>641</v>
      </c>
      <c r="W277" s="497" t="s">
        <v>784</v>
      </c>
      <c r="X277" s="499">
        <v>42461</v>
      </c>
      <c r="Y277" s="499">
        <v>43281</v>
      </c>
      <c r="Z277" s="500">
        <v>2018</v>
      </c>
      <c r="AA277" s="497" t="s">
        <v>676</v>
      </c>
      <c r="AB277" s="497" t="s">
        <v>697</v>
      </c>
      <c r="AC277" s="497" t="s">
        <v>663</v>
      </c>
      <c r="AD277" s="501"/>
      <c r="AE277" s="501"/>
      <c r="AF277" s="501"/>
      <c r="AG277" s="501">
        <v>49095474.99999994</v>
      </c>
      <c r="AH277" s="501"/>
      <c r="AI277" s="501"/>
      <c r="AJ277" s="501"/>
      <c r="AK277" s="501"/>
      <c r="AL277" s="501"/>
      <c r="AM277" s="501"/>
      <c r="AN277" s="501"/>
      <c r="AO277" s="501"/>
      <c r="AP277" s="501"/>
      <c r="AQ277" s="501"/>
      <c r="AR277" s="501"/>
      <c r="AS277" s="501"/>
      <c r="AT277" s="501"/>
      <c r="AU277" s="501"/>
      <c r="AV277" s="501"/>
      <c r="AW277" s="501"/>
      <c r="AX277" s="501"/>
      <c r="AY277" s="501"/>
      <c r="AZ277" s="501"/>
      <c r="BA277" s="501"/>
      <c r="BB277" s="483"/>
      <c r="BC277" s="483"/>
      <c r="BD277" s="483"/>
      <c r="BE277" s="483"/>
      <c r="BF277" s="483"/>
      <c r="BG277" s="483"/>
      <c r="BH277" s="483"/>
      <c r="BI277" s="483"/>
      <c r="BJ277" s="483"/>
      <c r="BK277" s="483"/>
      <c r="BL277" s="483"/>
      <c r="BM277" s="483"/>
      <c r="BN277" s="483"/>
      <c r="BO277" s="483"/>
      <c r="BP277" s="483"/>
      <c r="BQ277" s="483"/>
      <c r="BR277" s="483">
        <v>49095474.99999994</v>
      </c>
      <c r="BS277" s="484">
        <f t="shared" si="53"/>
        <v>49095474.99999994</v>
      </c>
      <c r="BT277" s="485">
        <f t="shared" si="65"/>
        <v>0</v>
      </c>
      <c r="BU277" s="485">
        <f t="shared" si="65"/>
        <v>0</v>
      </c>
      <c r="BV277" s="485">
        <f t="shared" si="65"/>
        <v>0</v>
      </c>
      <c r="BW277" s="485">
        <f t="shared" si="65"/>
        <v>0</v>
      </c>
      <c r="BX277" s="485">
        <f t="shared" si="65"/>
        <v>0</v>
      </c>
      <c r="BY277" s="485">
        <f t="shared" si="65"/>
        <v>0</v>
      </c>
      <c r="BZ277" s="485">
        <f t="shared" si="65"/>
        <v>0</v>
      </c>
      <c r="CA277" s="485">
        <f t="shared" si="65"/>
        <v>0</v>
      </c>
      <c r="CB277" s="485">
        <f t="shared" si="65"/>
        <v>0</v>
      </c>
      <c r="CC277" s="485">
        <f t="shared" si="65"/>
        <v>1</v>
      </c>
      <c r="CD277" s="485">
        <f t="shared" si="66"/>
        <v>0</v>
      </c>
      <c r="CE277" s="485">
        <f t="shared" si="66"/>
        <v>0</v>
      </c>
      <c r="CF277" s="485">
        <f t="shared" si="66"/>
        <v>0</v>
      </c>
      <c r="CG277" s="485">
        <f t="shared" si="66"/>
        <v>0</v>
      </c>
      <c r="CH277" s="485">
        <f t="shared" si="66"/>
        <v>0</v>
      </c>
      <c r="CI277" s="485">
        <f t="shared" si="66"/>
        <v>0</v>
      </c>
      <c r="CJ277" s="485">
        <f t="shared" si="66"/>
        <v>0</v>
      </c>
      <c r="CK277" s="485">
        <f t="shared" si="66"/>
        <v>0</v>
      </c>
      <c r="CL277" s="485">
        <f t="shared" si="66"/>
        <v>0</v>
      </c>
      <c r="CM277" s="486">
        <f t="shared" si="54"/>
        <v>1</v>
      </c>
    </row>
    <row r="278" spans="1:91" s="487" customFormat="1" ht="25.5" x14ac:dyDescent="0.25">
      <c r="A278" s="497" t="s">
        <v>360</v>
      </c>
      <c r="B278" s="498" t="s">
        <v>2088</v>
      </c>
      <c r="C278" s="497" t="s">
        <v>783</v>
      </c>
      <c r="D278" s="498"/>
      <c r="E278" s="497"/>
      <c r="F278" s="498"/>
      <c r="G278" s="497" t="s">
        <v>722</v>
      </c>
      <c r="H278" s="497" t="s">
        <v>654</v>
      </c>
      <c r="I278" s="497" t="s">
        <v>647</v>
      </c>
      <c r="J278" s="497" t="s">
        <v>641</v>
      </c>
      <c r="K278" s="497" t="s">
        <v>649</v>
      </c>
      <c r="L278" s="497" t="s">
        <v>60</v>
      </c>
      <c r="M278" s="497" t="s">
        <v>646</v>
      </c>
      <c r="N278" s="497" t="s">
        <v>680</v>
      </c>
      <c r="O278" s="497"/>
      <c r="P278" s="497" t="s">
        <v>643</v>
      </c>
      <c r="Q278" s="497" t="s">
        <v>656</v>
      </c>
      <c r="R278" s="497" t="s">
        <v>652</v>
      </c>
      <c r="S278" s="497" t="s">
        <v>649</v>
      </c>
      <c r="T278" s="497"/>
      <c r="U278" s="497"/>
      <c r="V278" s="497" t="s">
        <v>641</v>
      </c>
      <c r="W278" s="497" t="s">
        <v>640</v>
      </c>
      <c r="X278" s="499">
        <v>42917</v>
      </c>
      <c r="Y278" s="499">
        <v>43342</v>
      </c>
      <c r="Z278" s="500">
        <v>2018</v>
      </c>
      <c r="AA278" s="497" t="s">
        <v>676</v>
      </c>
      <c r="AB278" s="497" t="s">
        <v>675</v>
      </c>
      <c r="AC278" s="497" t="s">
        <v>663</v>
      </c>
      <c r="AD278" s="501"/>
      <c r="AE278" s="501"/>
      <c r="AF278" s="501"/>
      <c r="AG278" s="501">
        <v>1962985.0000000005</v>
      </c>
      <c r="AH278" s="501"/>
      <c r="AI278" s="501"/>
      <c r="AJ278" s="501"/>
      <c r="AK278" s="501"/>
      <c r="AL278" s="501"/>
      <c r="AM278" s="501"/>
      <c r="AN278" s="501"/>
      <c r="AO278" s="501"/>
      <c r="AP278" s="501"/>
      <c r="AQ278" s="501"/>
      <c r="AR278" s="501"/>
      <c r="AS278" s="501"/>
      <c r="AT278" s="501"/>
      <c r="AU278" s="501"/>
      <c r="AV278" s="501"/>
      <c r="AW278" s="501"/>
      <c r="AX278" s="501"/>
      <c r="AY278" s="501"/>
      <c r="AZ278" s="501"/>
      <c r="BA278" s="501"/>
      <c r="BB278" s="483"/>
      <c r="BC278" s="483"/>
      <c r="BD278" s="483"/>
      <c r="BE278" s="483"/>
      <c r="BF278" s="483"/>
      <c r="BG278" s="483">
        <v>99015.497652297665</v>
      </c>
      <c r="BH278" s="483"/>
      <c r="BI278" s="483"/>
      <c r="BJ278" s="483"/>
      <c r="BK278" s="483"/>
      <c r="BL278" s="483"/>
      <c r="BM278" s="483"/>
      <c r="BN278" s="483"/>
      <c r="BO278" s="483"/>
      <c r="BP278" s="483"/>
      <c r="BQ278" s="483"/>
      <c r="BR278" s="483">
        <v>2062000.4976522983</v>
      </c>
      <c r="BS278" s="484">
        <f t="shared" si="53"/>
        <v>1962985.0000000005</v>
      </c>
      <c r="BT278" s="485">
        <f t="shared" si="65"/>
        <v>0</v>
      </c>
      <c r="BU278" s="485">
        <f t="shared" si="65"/>
        <v>0</v>
      </c>
      <c r="BV278" s="485">
        <f t="shared" si="65"/>
        <v>0</v>
      </c>
      <c r="BW278" s="485">
        <f t="shared" si="65"/>
        <v>0</v>
      </c>
      <c r="BX278" s="485">
        <f t="shared" si="65"/>
        <v>0</v>
      </c>
      <c r="BY278" s="485">
        <f t="shared" si="65"/>
        <v>0</v>
      </c>
      <c r="BZ278" s="485">
        <f t="shared" si="65"/>
        <v>0</v>
      </c>
      <c r="CA278" s="485">
        <f t="shared" si="65"/>
        <v>0</v>
      </c>
      <c r="CB278" s="485">
        <f t="shared" si="65"/>
        <v>0</v>
      </c>
      <c r="CC278" s="485">
        <f t="shared" si="65"/>
        <v>1</v>
      </c>
      <c r="CD278" s="485">
        <f t="shared" si="66"/>
        <v>0</v>
      </c>
      <c r="CE278" s="485">
        <f t="shared" si="66"/>
        <v>0</v>
      </c>
      <c r="CF278" s="485">
        <f t="shared" si="66"/>
        <v>0</v>
      </c>
      <c r="CG278" s="485">
        <f t="shared" si="66"/>
        <v>0</v>
      </c>
      <c r="CH278" s="485">
        <f t="shared" si="66"/>
        <v>0</v>
      </c>
      <c r="CI278" s="485">
        <f t="shared" si="66"/>
        <v>0</v>
      </c>
      <c r="CJ278" s="485">
        <f t="shared" si="66"/>
        <v>0</v>
      </c>
      <c r="CK278" s="485">
        <f t="shared" si="66"/>
        <v>0</v>
      </c>
      <c r="CL278" s="485">
        <f t="shared" si="66"/>
        <v>0</v>
      </c>
      <c r="CM278" s="486">
        <f t="shared" si="54"/>
        <v>1</v>
      </c>
    </row>
    <row r="279" spans="1:91" s="487" customFormat="1" ht="25.5" customHeight="1" x14ac:dyDescent="0.25">
      <c r="A279" s="497" t="s">
        <v>782</v>
      </c>
      <c r="B279" s="498" t="s">
        <v>2090</v>
      </c>
      <c r="C279" s="497" t="s">
        <v>781</v>
      </c>
      <c r="D279" s="498"/>
      <c r="E279" s="497" t="s">
        <v>779</v>
      </c>
      <c r="F279" s="498"/>
      <c r="G279" s="497" t="s">
        <v>648</v>
      </c>
      <c r="H279" s="497" t="s">
        <v>654</v>
      </c>
      <c r="I279" s="497" t="s">
        <v>647</v>
      </c>
      <c r="J279" s="497" t="s">
        <v>671</v>
      </c>
      <c r="K279" s="497" t="s">
        <v>649</v>
      </c>
      <c r="L279" s="497" t="s">
        <v>36</v>
      </c>
      <c r="M279" s="497" t="s">
        <v>646</v>
      </c>
      <c r="N279" s="497" t="s">
        <v>668</v>
      </c>
      <c r="O279" s="497"/>
      <c r="P279" s="497"/>
      <c r="Q279" s="497" t="s">
        <v>650</v>
      </c>
      <c r="R279" s="497" t="s">
        <v>652</v>
      </c>
      <c r="S279" s="497" t="s">
        <v>649</v>
      </c>
      <c r="T279" s="497"/>
      <c r="U279" s="497"/>
      <c r="V279" s="497" t="s">
        <v>36</v>
      </c>
      <c r="W279" s="497" t="s">
        <v>666</v>
      </c>
      <c r="X279" s="499">
        <v>42917</v>
      </c>
      <c r="Y279" s="499">
        <v>43250</v>
      </c>
      <c r="Z279" s="500">
        <v>2018</v>
      </c>
      <c r="AA279" s="497" t="s">
        <v>676</v>
      </c>
      <c r="AB279" s="497" t="s">
        <v>675</v>
      </c>
      <c r="AC279" s="497" t="s">
        <v>663</v>
      </c>
      <c r="AD279" s="501"/>
      <c r="AE279" s="501"/>
      <c r="AF279" s="501"/>
      <c r="AG279" s="501"/>
      <c r="AH279" s="501"/>
      <c r="AI279" s="501"/>
      <c r="AJ279" s="501"/>
      <c r="AK279" s="501"/>
      <c r="AL279" s="501"/>
      <c r="AM279" s="501"/>
      <c r="AN279" s="501"/>
      <c r="AO279" s="501"/>
      <c r="AP279" s="501"/>
      <c r="AQ279" s="501"/>
      <c r="AR279" s="501"/>
      <c r="AS279" s="501"/>
      <c r="AT279" s="501"/>
      <c r="AU279" s="501">
        <v>17099.999999999996</v>
      </c>
      <c r="AV279" s="501"/>
      <c r="AW279" s="501"/>
      <c r="AX279" s="501">
        <v>39899.999999999985</v>
      </c>
      <c r="AY279" s="501"/>
      <c r="AZ279" s="501"/>
      <c r="BA279" s="501"/>
      <c r="BB279" s="483"/>
      <c r="BC279" s="483"/>
      <c r="BD279" s="483"/>
      <c r="BE279" s="483"/>
      <c r="BF279" s="483"/>
      <c r="BG279" s="483"/>
      <c r="BH279" s="483"/>
      <c r="BI279" s="483"/>
      <c r="BJ279" s="483"/>
      <c r="BK279" s="483"/>
      <c r="BL279" s="483"/>
      <c r="BM279" s="483"/>
      <c r="BN279" s="483"/>
      <c r="BO279" s="483"/>
      <c r="BP279" s="483"/>
      <c r="BQ279" s="483"/>
      <c r="BR279" s="483">
        <v>56999.999999999985</v>
      </c>
      <c r="BS279" s="484">
        <f t="shared" si="53"/>
        <v>56999.999999999985</v>
      </c>
      <c r="BT279" s="485">
        <f t="shared" ref="BT279:CC287" si="67">SUMIFS($AD279:$BA279,$AD$11:$BA$11,BT$21)/$BS279</f>
        <v>0.3</v>
      </c>
      <c r="BU279" s="485">
        <f t="shared" si="67"/>
        <v>0</v>
      </c>
      <c r="BV279" s="485">
        <f t="shared" si="67"/>
        <v>0</v>
      </c>
      <c r="BW279" s="485">
        <f t="shared" si="67"/>
        <v>0</v>
      </c>
      <c r="BX279" s="485">
        <f t="shared" si="67"/>
        <v>0</v>
      </c>
      <c r="BY279" s="485">
        <f t="shared" si="67"/>
        <v>0</v>
      </c>
      <c r="BZ279" s="485">
        <f t="shared" si="67"/>
        <v>0</v>
      </c>
      <c r="CA279" s="485">
        <f t="shared" si="67"/>
        <v>0.7</v>
      </c>
      <c r="CB279" s="485">
        <f t="shared" si="67"/>
        <v>0</v>
      </c>
      <c r="CC279" s="485">
        <f t="shared" si="67"/>
        <v>0</v>
      </c>
      <c r="CD279" s="485">
        <f t="shared" ref="CD279:CL287" si="68">SUMIFS($AD279:$BA279,$AD$11:$BA$11,CD$21)/$BS279</f>
        <v>0</v>
      </c>
      <c r="CE279" s="485">
        <f t="shared" si="68"/>
        <v>0</v>
      </c>
      <c r="CF279" s="485">
        <f t="shared" si="68"/>
        <v>0</v>
      </c>
      <c r="CG279" s="485">
        <f t="shared" si="68"/>
        <v>0</v>
      </c>
      <c r="CH279" s="485">
        <f t="shared" si="68"/>
        <v>0</v>
      </c>
      <c r="CI279" s="485">
        <f t="shared" si="68"/>
        <v>0</v>
      </c>
      <c r="CJ279" s="485">
        <f t="shared" si="68"/>
        <v>0</v>
      </c>
      <c r="CK279" s="485">
        <f t="shared" si="68"/>
        <v>0</v>
      </c>
      <c r="CL279" s="485">
        <f t="shared" si="68"/>
        <v>0</v>
      </c>
      <c r="CM279" s="486">
        <f t="shared" si="54"/>
        <v>1</v>
      </c>
    </row>
    <row r="280" spans="1:91" s="487" customFormat="1" ht="25.5" customHeight="1" x14ac:dyDescent="0.25">
      <c r="A280" s="497" t="s">
        <v>364</v>
      </c>
      <c r="B280" s="498" t="s">
        <v>2094</v>
      </c>
      <c r="C280" s="497" t="s">
        <v>780</v>
      </c>
      <c r="D280" s="498"/>
      <c r="E280" s="497" t="s">
        <v>779</v>
      </c>
      <c r="F280" s="498"/>
      <c r="G280" s="497" t="s">
        <v>648</v>
      </c>
      <c r="H280" s="497" t="s">
        <v>654</v>
      </c>
      <c r="I280" s="497" t="s">
        <v>647</v>
      </c>
      <c r="J280" s="497" t="s">
        <v>671</v>
      </c>
      <c r="K280" s="497" t="s">
        <v>649</v>
      </c>
      <c r="L280" s="497" t="s">
        <v>36</v>
      </c>
      <c r="M280" s="497" t="s">
        <v>646</v>
      </c>
      <c r="N280" s="497" t="s">
        <v>680</v>
      </c>
      <c r="O280" s="497"/>
      <c r="P280" s="497" t="s">
        <v>643</v>
      </c>
      <c r="Q280" s="497" t="s">
        <v>650</v>
      </c>
      <c r="R280" s="497" t="s">
        <v>652</v>
      </c>
      <c r="S280" s="497" t="s">
        <v>649</v>
      </c>
      <c r="T280" s="497"/>
      <c r="U280" s="497"/>
      <c r="V280" s="497" t="s">
        <v>36</v>
      </c>
      <c r="W280" s="497" t="s">
        <v>640</v>
      </c>
      <c r="X280" s="499">
        <v>42917</v>
      </c>
      <c r="Y280" s="499">
        <v>43250</v>
      </c>
      <c r="Z280" s="500">
        <v>2018</v>
      </c>
      <c r="AA280" s="497" t="s">
        <v>676</v>
      </c>
      <c r="AB280" s="497" t="s">
        <v>675</v>
      </c>
      <c r="AC280" s="497" t="s">
        <v>663</v>
      </c>
      <c r="AD280" s="501"/>
      <c r="AE280" s="501"/>
      <c r="AF280" s="501"/>
      <c r="AG280" s="501"/>
      <c r="AH280" s="501"/>
      <c r="AI280" s="501"/>
      <c r="AJ280" s="501"/>
      <c r="AK280" s="501"/>
      <c r="AL280" s="501"/>
      <c r="AM280" s="501"/>
      <c r="AN280" s="501"/>
      <c r="AO280" s="501"/>
      <c r="AP280" s="501"/>
      <c r="AQ280" s="501"/>
      <c r="AR280" s="501"/>
      <c r="AS280" s="501"/>
      <c r="AT280" s="501"/>
      <c r="AU280" s="501"/>
      <c r="AV280" s="501"/>
      <c r="AW280" s="501"/>
      <c r="AX280" s="501"/>
      <c r="AY280" s="501"/>
      <c r="AZ280" s="501">
        <v>130559.99999999997</v>
      </c>
      <c r="BA280" s="501"/>
      <c r="BB280" s="483"/>
      <c r="BC280" s="483"/>
      <c r="BD280" s="483"/>
      <c r="BE280" s="483"/>
      <c r="BF280" s="483"/>
      <c r="BG280" s="483">
        <v>18759.2995623733</v>
      </c>
      <c r="BH280" s="483"/>
      <c r="BI280" s="483"/>
      <c r="BJ280" s="483"/>
      <c r="BK280" s="483"/>
      <c r="BL280" s="483"/>
      <c r="BM280" s="483"/>
      <c r="BN280" s="483"/>
      <c r="BO280" s="483"/>
      <c r="BP280" s="483"/>
      <c r="BQ280" s="483"/>
      <c r="BR280" s="483">
        <v>149319.29956237326</v>
      </c>
      <c r="BS280" s="484">
        <f t="shared" ref="BS280:BS325" si="69">SUM(AD280:BA280)</f>
        <v>130559.99999999997</v>
      </c>
      <c r="BT280" s="485">
        <f t="shared" si="67"/>
        <v>0</v>
      </c>
      <c r="BU280" s="485">
        <f t="shared" si="67"/>
        <v>0</v>
      </c>
      <c r="BV280" s="485">
        <f t="shared" si="67"/>
        <v>0</v>
      </c>
      <c r="BW280" s="485">
        <f t="shared" si="67"/>
        <v>0</v>
      </c>
      <c r="BX280" s="485">
        <f t="shared" si="67"/>
        <v>0</v>
      </c>
      <c r="BY280" s="485">
        <f t="shared" si="67"/>
        <v>0</v>
      </c>
      <c r="BZ280" s="485">
        <f t="shared" si="67"/>
        <v>0</v>
      </c>
      <c r="CA280" s="485">
        <f t="shared" si="67"/>
        <v>1</v>
      </c>
      <c r="CB280" s="485">
        <f t="shared" si="67"/>
        <v>0</v>
      </c>
      <c r="CC280" s="485">
        <f t="shared" si="67"/>
        <v>0</v>
      </c>
      <c r="CD280" s="485">
        <f t="shared" si="68"/>
        <v>0</v>
      </c>
      <c r="CE280" s="485">
        <f t="shared" si="68"/>
        <v>0</v>
      </c>
      <c r="CF280" s="485">
        <f t="shared" si="68"/>
        <v>0</v>
      </c>
      <c r="CG280" s="485">
        <f t="shared" si="68"/>
        <v>0</v>
      </c>
      <c r="CH280" s="485">
        <f t="shared" si="68"/>
        <v>0</v>
      </c>
      <c r="CI280" s="485">
        <f t="shared" si="68"/>
        <v>0</v>
      </c>
      <c r="CJ280" s="485">
        <f t="shared" si="68"/>
        <v>0</v>
      </c>
      <c r="CK280" s="485">
        <f t="shared" si="68"/>
        <v>0</v>
      </c>
      <c r="CL280" s="485">
        <f t="shared" si="68"/>
        <v>0</v>
      </c>
      <c r="CM280" s="486">
        <f t="shared" ref="CM280:CM325" si="70">SUM(BT280:CL280)</f>
        <v>1</v>
      </c>
    </row>
    <row r="281" spans="1:91" s="487" customFormat="1" ht="25.5" x14ac:dyDescent="0.25">
      <c r="A281" s="497" t="s">
        <v>366</v>
      </c>
      <c r="B281" s="498" t="s">
        <v>2841</v>
      </c>
      <c r="C281" s="497" t="s">
        <v>778</v>
      </c>
      <c r="D281" s="498"/>
      <c r="E281" s="497" t="s">
        <v>692</v>
      </c>
      <c r="F281" s="498"/>
      <c r="G281" s="497"/>
      <c r="H281" s="497" t="s">
        <v>654</v>
      </c>
      <c r="I281" s="497" t="s">
        <v>647</v>
      </c>
      <c r="J281" s="497" t="s">
        <v>671</v>
      </c>
      <c r="K281" s="497" t="s">
        <v>649</v>
      </c>
      <c r="L281" s="497" t="s">
        <v>55</v>
      </c>
      <c r="M281" s="497" t="s">
        <v>646</v>
      </c>
      <c r="N281" s="497" t="s">
        <v>645</v>
      </c>
      <c r="O281" s="497"/>
      <c r="P281" s="497"/>
      <c r="Q281" s="497" t="s">
        <v>650</v>
      </c>
      <c r="R281" s="497" t="s">
        <v>652</v>
      </c>
      <c r="S281" s="497" t="s">
        <v>649</v>
      </c>
      <c r="T281" s="497"/>
      <c r="U281" s="497"/>
      <c r="V281" s="497" t="s">
        <v>683</v>
      </c>
      <c r="W281" s="497"/>
      <c r="X281" s="499">
        <v>42430</v>
      </c>
      <c r="Y281" s="499">
        <v>42780</v>
      </c>
      <c r="Z281" s="500">
        <v>2017</v>
      </c>
      <c r="AA281" s="497"/>
      <c r="AB281" s="497"/>
      <c r="AC281" s="497"/>
      <c r="AD281" s="501"/>
      <c r="AE281" s="501"/>
      <c r="AF281" s="501"/>
      <c r="AG281" s="501"/>
      <c r="AH281" s="501"/>
      <c r="AI281" s="501"/>
      <c r="AJ281" s="501"/>
      <c r="AK281" s="501"/>
      <c r="AL281" s="501"/>
      <c r="AM281" s="501"/>
      <c r="AN281" s="501"/>
      <c r="AO281" s="501"/>
      <c r="AP281" s="501"/>
      <c r="AQ281" s="501"/>
      <c r="AR281" s="501"/>
      <c r="AS281" s="501"/>
      <c r="AT281" s="501"/>
      <c r="AU281" s="501"/>
      <c r="AV281" s="501">
        <v>37400.000000000029</v>
      </c>
      <c r="AW281" s="501"/>
      <c r="AX281" s="501"/>
      <c r="AY281" s="501"/>
      <c r="AZ281" s="501"/>
      <c r="BA281" s="501"/>
      <c r="BB281" s="483"/>
      <c r="BC281" s="483"/>
      <c r="BD281" s="483"/>
      <c r="BE281" s="483"/>
      <c r="BF281" s="483"/>
      <c r="BG281" s="483">
        <v>149600.00000000017</v>
      </c>
      <c r="BH281" s="483"/>
      <c r="BI281" s="483"/>
      <c r="BJ281" s="483"/>
      <c r="BK281" s="483"/>
      <c r="BL281" s="483"/>
      <c r="BM281" s="483"/>
      <c r="BN281" s="483"/>
      <c r="BO281" s="483"/>
      <c r="BP281" s="483"/>
      <c r="BQ281" s="483"/>
      <c r="BR281" s="483">
        <v>187000.00000000023</v>
      </c>
      <c r="BS281" s="484">
        <f t="shared" si="69"/>
        <v>37400.000000000029</v>
      </c>
      <c r="BT281" s="485">
        <f t="shared" si="67"/>
        <v>0</v>
      </c>
      <c r="BU281" s="485">
        <f t="shared" si="67"/>
        <v>0</v>
      </c>
      <c r="BV281" s="485">
        <f t="shared" si="67"/>
        <v>0</v>
      </c>
      <c r="BW281" s="485">
        <f t="shared" si="67"/>
        <v>1</v>
      </c>
      <c r="BX281" s="485">
        <f t="shared" si="67"/>
        <v>0</v>
      </c>
      <c r="BY281" s="485">
        <f t="shared" si="67"/>
        <v>0</v>
      </c>
      <c r="BZ281" s="485">
        <f t="shared" si="67"/>
        <v>0</v>
      </c>
      <c r="CA281" s="485">
        <f t="shared" si="67"/>
        <v>0</v>
      </c>
      <c r="CB281" s="485">
        <f t="shared" si="67"/>
        <v>0</v>
      </c>
      <c r="CC281" s="485">
        <f t="shared" si="67"/>
        <v>0</v>
      </c>
      <c r="CD281" s="485">
        <f t="shared" si="68"/>
        <v>0</v>
      </c>
      <c r="CE281" s="485">
        <f t="shared" si="68"/>
        <v>0</v>
      </c>
      <c r="CF281" s="485">
        <f t="shared" si="68"/>
        <v>0</v>
      </c>
      <c r="CG281" s="485">
        <f t="shared" si="68"/>
        <v>0</v>
      </c>
      <c r="CH281" s="485">
        <f t="shared" si="68"/>
        <v>0</v>
      </c>
      <c r="CI281" s="485">
        <f t="shared" si="68"/>
        <v>0</v>
      </c>
      <c r="CJ281" s="485">
        <f t="shared" si="68"/>
        <v>0</v>
      </c>
      <c r="CK281" s="485">
        <f t="shared" si="68"/>
        <v>0</v>
      </c>
      <c r="CL281" s="485">
        <f t="shared" si="68"/>
        <v>0</v>
      </c>
      <c r="CM281" s="486">
        <f t="shared" si="70"/>
        <v>1</v>
      </c>
    </row>
    <row r="282" spans="1:91" s="487" customFormat="1" ht="25.5" customHeight="1" x14ac:dyDescent="0.25">
      <c r="A282" s="497" t="s">
        <v>773</v>
      </c>
      <c r="B282" s="498" t="s">
        <v>2110</v>
      </c>
      <c r="C282" s="497" t="s">
        <v>772</v>
      </c>
      <c r="D282" s="498"/>
      <c r="E282" s="497" t="s">
        <v>55</v>
      </c>
      <c r="F282" s="498"/>
      <c r="G282" s="497" t="s">
        <v>648</v>
      </c>
      <c r="H282" s="497" t="s">
        <v>654</v>
      </c>
      <c r="I282" s="497" t="s">
        <v>647</v>
      </c>
      <c r="J282" s="497" t="s">
        <v>641</v>
      </c>
      <c r="K282" s="497" t="s">
        <v>649</v>
      </c>
      <c r="L282" s="497" t="s">
        <v>40</v>
      </c>
      <c r="M282" s="497" t="s">
        <v>646</v>
      </c>
      <c r="N282" s="497"/>
      <c r="O282" s="497"/>
      <c r="P282" s="497" t="s">
        <v>643</v>
      </c>
      <c r="Q282" s="497" t="s">
        <v>656</v>
      </c>
      <c r="R282" s="497" t="s">
        <v>652</v>
      </c>
      <c r="S282" s="497" t="s">
        <v>649</v>
      </c>
      <c r="T282" s="497"/>
      <c r="U282" s="497"/>
      <c r="V282" s="497" t="s">
        <v>683</v>
      </c>
      <c r="W282" s="497" t="s">
        <v>640</v>
      </c>
      <c r="X282" s="499">
        <v>42856</v>
      </c>
      <c r="Y282" s="499">
        <v>43642</v>
      </c>
      <c r="Z282" s="500">
        <v>2019</v>
      </c>
      <c r="AA282" s="497" t="s">
        <v>676</v>
      </c>
      <c r="AB282" s="497" t="s">
        <v>675</v>
      </c>
      <c r="AC282" s="497" t="s">
        <v>663</v>
      </c>
      <c r="AD282" s="501"/>
      <c r="AE282" s="501"/>
      <c r="AF282" s="501"/>
      <c r="AG282" s="501"/>
      <c r="AH282" s="501"/>
      <c r="AI282" s="501"/>
      <c r="AJ282" s="501"/>
      <c r="AK282" s="501"/>
      <c r="AL282" s="501"/>
      <c r="AM282" s="501"/>
      <c r="AN282" s="501"/>
      <c r="AO282" s="501"/>
      <c r="AP282" s="501"/>
      <c r="AQ282" s="501">
        <v>1100000.0000000009</v>
      </c>
      <c r="AR282" s="501"/>
      <c r="AS282" s="501"/>
      <c r="AT282" s="501"/>
      <c r="AU282" s="501"/>
      <c r="AV282" s="501"/>
      <c r="AW282" s="501"/>
      <c r="AX282" s="501"/>
      <c r="AY282" s="501"/>
      <c r="AZ282" s="501"/>
      <c r="BA282" s="501"/>
      <c r="BB282" s="483"/>
      <c r="BC282" s="483"/>
      <c r="BD282" s="483"/>
      <c r="BE282" s="483"/>
      <c r="BF282" s="483"/>
      <c r="BG282" s="483"/>
      <c r="BH282" s="483"/>
      <c r="BI282" s="483"/>
      <c r="BJ282" s="483"/>
      <c r="BK282" s="483"/>
      <c r="BL282" s="483"/>
      <c r="BM282" s="483"/>
      <c r="BN282" s="483"/>
      <c r="BO282" s="483"/>
      <c r="BP282" s="483"/>
      <c r="BQ282" s="483"/>
      <c r="BR282" s="483">
        <v>1100000.0000000009</v>
      </c>
      <c r="BS282" s="484">
        <f t="shared" si="69"/>
        <v>1100000.0000000009</v>
      </c>
      <c r="BT282" s="485">
        <f t="shared" si="67"/>
        <v>0</v>
      </c>
      <c r="BU282" s="485">
        <f t="shared" si="67"/>
        <v>0</v>
      </c>
      <c r="BV282" s="485">
        <f t="shared" si="67"/>
        <v>1</v>
      </c>
      <c r="BW282" s="485">
        <f t="shared" si="67"/>
        <v>0</v>
      </c>
      <c r="BX282" s="485">
        <f t="shared" si="67"/>
        <v>0</v>
      </c>
      <c r="BY282" s="485">
        <f t="shared" si="67"/>
        <v>0</v>
      </c>
      <c r="BZ282" s="485">
        <f t="shared" si="67"/>
        <v>0</v>
      </c>
      <c r="CA282" s="485">
        <f t="shared" si="67"/>
        <v>0</v>
      </c>
      <c r="CB282" s="485">
        <f t="shared" si="67"/>
        <v>0</v>
      </c>
      <c r="CC282" s="485">
        <f t="shared" si="67"/>
        <v>0</v>
      </c>
      <c r="CD282" s="485">
        <f t="shared" si="68"/>
        <v>0</v>
      </c>
      <c r="CE282" s="485">
        <f t="shared" si="68"/>
        <v>0</v>
      </c>
      <c r="CF282" s="485">
        <f t="shared" si="68"/>
        <v>0</v>
      </c>
      <c r="CG282" s="485">
        <f t="shared" si="68"/>
        <v>0</v>
      </c>
      <c r="CH282" s="485">
        <f t="shared" si="68"/>
        <v>0</v>
      </c>
      <c r="CI282" s="485">
        <f t="shared" si="68"/>
        <v>0</v>
      </c>
      <c r="CJ282" s="485">
        <f t="shared" si="68"/>
        <v>0</v>
      </c>
      <c r="CK282" s="485">
        <f t="shared" si="68"/>
        <v>0</v>
      </c>
      <c r="CL282" s="485">
        <f t="shared" si="68"/>
        <v>0</v>
      </c>
      <c r="CM282" s="486">
        <f t="shared" si="70"/>
        <v>1</v>
      </c>
    </row>
    <row r="283" spans="1:91" s="487" customFormat="1" ht="25.5" customHeight="1" x14ac:dyDescent="0.25">
      <c r="A283" s="497" t="s">
        <v>771</v>
      </c>
      <c r="B283" s="498" t="s">
        <v>2116</v>
      </c>
      <c r="C283" s="497" t="s">
        <v>770</v>
      </c>
      <c r="D283" s="498"/>
      <c r="E283" s="497" t="s">
        <v>769</v>
      </c>
      <c r="F283" s="498"/>
      <c r="G283" s="497" t="s">
        <v>648</v>
      </c>
      <c r="H283" s="497" t="s">
        <v>654</v>
      </c>
      <c r="I283" s="497" t="s">
        <v>647</v>
      </c>
      <c r="J283" s="497" t="s">
        <v>671</v>
      </c>
      <c r="K283" s="497" t="s">
        <v>649</v>
      </c>
      <c r="L283" s="497" t="s">
        <v>55</v>
      </c>
      <c r="M283" s="497" t="s">
        <v>646</v>
      </c>
      <c r="N283" s="497"/>
      <c r="O283" s="497"/>
      <c r="P283" s="497"/>
      <c r="Q283" s="497" t="s">
        <v>656</v>
      </c>
      <c r="R283" s="497" t="s">
        <v>652</v>
      </c>
      <c r="S283" s="497" t="s">
        <v>649</v>
      </c>
      <c r="T283" s="497"/>
      <c r="U283" s="497"/>
      <c r="V283" s="497" t="s">
        <v>683</v>
      </c>
      <c r="W283" s="497" t="s">
        <v>666</v>
      </c>
      <c r="X283" s="499">
        <v>41671</v>
      </c>
      <c r="Y283" s="499">
        <v>42429</v>
      </c>
      <c r="Z283" s="500">
        <v>2015</v>
      </c>
      <c r="AA283" s="497" t="s">
        <v>676</v>
      </c>
      <c r="AB283" s="497" t="s">
        <v>675</v>
      </c>
      <c r="AC283" s="497" t="s">
        <v>663</v>
      </c>
      <c r="AD283" s="501"/>
      <c r="AE283" s="501"/>
      <c r="AF283" s="501"/>
      <c r="AG283" s="501"/>
      <c r="AH283" s="501"/>
      <c r="AI283" s="501"/>
      <c r="AJ283" s="501"/>
      <c r="AK283" s="501"/>
      <c r="AL283" s="501"/>
      <c r="AM283" s="501"/>
      <c r="AN283" s="501"/>
      <c r="AO283" s="501"/>
      <c r="AP283" s="501"/>
      <c r="AQ283" s="501"/>
      <c r="AR283" s="501"/>
      <c r="AS283" s="501"/>
      <c r="AT283" s="501"/>
      <c r="AU283" s="501"/>
      <c r="AV283" s="501">
        <v>209232.00000000029</v>
      </c>
      <c r="AW283" s="501">
        <v>1993216.0000000028</v>
      </c>
      <c r="AX283" s="501"/>
      <c r="AY283" s="501"/>
      <c r="AZ283" s="501"/>
      <c r="BA283" s="501"/>
      <c r="BB283" s="483"/>
      <c r="BC283" s="483"/>
      <c r="BD283" s="483"/>
      <c r="BE283" s="483"/>
      <c r="BF283" s="483"/>
      <c r="BG283" s="483"/>
      <c r="BH283" s="483"/>
      <c r="BI283" s="483"/>
      <c r="BJ283" s="483"/>
      <c r="BK283" s="483"/>
      <c r="BL283" s="483"/>
      <c r="BM283" s="483"/>
      <c r="BN283" s="483"/>
      <c r="BO283" s="483"/>
      <c r="BP283" s="483"/>
      <c r="BQ283" s="483"/>
      <c r="BR283" s="483">
        <v>2202448.0000000033</v>
      </c>
      <c r="BS283" s="484">
        <f t="shared" si="69"/>
        <v>2202448.0000000033</v>
      </c>
      <c r="BT283" s="485">
        <f t="shared" si="67"/>
        <v>0</v>
      </c>
      <c r="BU283" s="485">
        <f t="shared" si="67"/>
        <v>0</v>
      </c>
      <c r="BV283" s="485">
        <f t="shared" si="67"/>
        <v>0</v>
      </c>
      <c r="BW283" s="485">
        <f t="shared" si="67"/>
        <v>1</v>
      </c>
      <c r="BX283" s="485">
        <f t="shared" si="67"/>
        <v>0</v>
      </c>
      <c r="BY283" s="485">
        <f t="shared" si="67"/>
        <v>0</v>
      </c>
      <c r="BZ283" s="485">
        <f t="shared" si="67"/>
        <v>0</v>
      </c>
      <c r="CA283" s="485">
        <f t="shared" si="67"/>
        <v>0</v>
      </c>
      <c r="CB283" s="485">
        <f t="shared" si="67"/>
        <v>0</v>
      </c>
      <c r="CC283" s="485">
        <f t="shared" si="67"/>
        <v>0</v>
      </c>
      <c r="CD283" s="485">
        <f t="shared" si="68"/>
        <v>0</v>
      </c>
      <c r="CE283" s="485">
        <f t="shared" si="68"/>
        <v>0</v>
      </c>
      <c r="CF283" s="485">
        <f t="shared" si="68"/>
        <v>0</v>
      </c>
      <c r="CG283" s="485">
        <f t="shared" si="68"/>
        <v>0</v>
      </c>
      <c r="CH283" s="485">
        <f t="shared" si="68"/>
        <v>0</v>
      </c>
      <c r="CI283" s="485">
        <f t="shared" si="68"/>
        <v>0</v>
      </c>
      <c r="CJ283" s="485">
        <f t="shared" si="68"/>
        <v>0</v>
      </c>
      <c r="CK283" s="485">
        <f t="shared" si="68"/>
        <v>0</v>
      </c>
      <c r="CL283" s="485">
        <f t="shared" si="68"/>
        <v>0</v>
      </c>
      <c r="CM283" s="486">
        <f t="shared" si="70"/>
        <v>1</v>
      </c>
    </row>
    <row r="284" spans="1:91" s="487" customFormat="1" ht="25.5" x14ac:dyDescent="0.25">
      <c r="A284" s="497" t="s">
        <v>387</v>
      </c>
      <c r="B284" s="498" t="s">
        <v>2121</v>
      </c>
      <c r="C284" s="497" t="s">
        <v>768</v>
      </c>
      <c r="D284" s="498"/>
      <c r="E284" s="497" t="s">
        <v>692</v>
      </c>
      <c r="F284" s="498"/>
      <c r="G284" s="497"/>
      <c r="H284" s="497" t="s">
        <v>654</v>
      </c>
      <c r="I284" s="497" t="s">
        <v>647</v>
      </c>
      <c r="J284" s="497" t="s">
        <v>671</v>
      </c>
      <c r="K284" s="497" t="s">
        <v>649</v>
      </c>
      <c r="L284" s="497" t="s">
        <v>55</v>
      </c>
      <c r="M284" s="497" t="s">
        <v>646</v>
      </c>
      <c r="N284" s="497" t="s">
        <v>645</v>
      </c>
      <c r="O284" s="497"/>
      <c r="P284" s="497"/>
      <c r="Q284" s="497" t="s">
        <v>650</v>
      </c>
      <c r="R284" s="497" t="s">
        <v>652</v>
      </c>
      <c r="S284" s="497" t="s">
        <v>649</v>
      </c>
      <c r="T284" s="497"/>
      <c r="U284" s="497"/>
      <c r="V284" s="497" t="s">
        <v>683</v>
      </c>
      <c r="W284" s="497" t="s">
        <v>640</v>
      </c>
      <c r="X284" s="499">
        <v>42552</v>
      </c>
      <c r="Y284" s="499">
        <v>43242</v>
      </c>
      <c r="Z284" s="500">
        <v>2018</v>
      </c>
      <c r="AA284" s="497"/>
      <c r="AB284" s="497"/>
      <c r="AC284" s="497"/>
      <c r="AD284" s="501"/>
      <c r="AE284" s="501"/>
      <c r="AF284" s="501"/>
      <c r="AG284" s="501"/>
      <c r="AH284" s="501"/>
      <c r="AI284" s="501"/>
      <c r="AJ284" s="501"/>
      <c r="AK284" s="501"/>
      <c r="AL284" s="501"/>
      <c r="AM284" s="501"/>
      <c r="AN284" s="501"/>
      <c r="AO284" s="501"/>
      <c r="AP284" s="501"/>
      <c r="AQ284" s="501"/>
      <c r="AR284" s="501"/>
      <c r="AS284" s="501"/>
      <c r="AT284" s="501"/>
      <c r="AU284" s="501"/>
      <c r="AV284" s="501">
        <v>43599.999999999971</v>
      </c>
      <c r="AW284" s="501"/>
      <c r="AX284" s="501"/>
      <c r="AY284" s="501"/>
      <c r="AZ284" s="501"/>
      <c r="BA284" s="501"/>
      <c r="BB284" s="483"/>
      <c r="BC284" s="483"/>
      <c r="BD284" s="483"/>
      <c r="BE284" s="483"/>
      <c r="BF284" s="483"/>
      <c r="BG284" s="483">
        <v>174400.00000000003</v>
      </c>
      <c r="BH284" s="483"/>
      <c r="BI284" s="483"/>
      <c r="BJ284" s="483"/>
      <c r="BK284" s="483"/>
      <c r="BL284" s="483"/>
      <c r="BM284" s="483"/>
      <c r="BN284" s="483"/>
      <c r="BO284" s="483"/>
      <c r="BP284" s="483"/>
      <c r="BQ284" s="483"/>
      <c r="BR284" s="483">
        <v>218000</v>
      </c>
      <c r="BS284" s="484">
        <f t="shared" si="69"/>
        <v>43599.999999999971</v>
      </c>
      <c r="BT284" s="485">
        <f t="shared" si="67"/>
        <v>0</v>
      </c>
      <c r="BU284" s="485">
        <f t="shared" si="67"/>
        <v>0</v>
      </c>
      <c r="BV284" s="485">
        <f t="shared" si="67"/>
        <v>0</v>
      </c>
      <c r="BW284" s="485">
        <f t="shared" si="67"/>
        <v>1</v>
      </c>
      <c r="BX284" s="485">
        <f t="shared" si="67"/>
        <v>0</v>
      </c>
      <c r="BY284" s="485">
        <f t="shared" si="67"/>
        <v>0</v>
      </c>
      <c r="BZ284" s="485">
        <f t="shared" si="67"/>
        <v>0</v>
      </c>
      <c r="CA284" s="485">
        <f t="shared" si="67"/>
        <v>0</v>
      </c>
      <c r="CB284" s="485">
        <f t="shared" si="67"/>
        <v>0</v>
      </c>
      <c r="CC284" s="485">
        <f t="shared" si="67"/>
        <v>0</v>
      </c>
      <c r="CD284" s="485">
        <f t="shared" si="68"/>
        <v>0</v>
      </c>
      <c r="CE284" s="485">
        <f t="shared" si="68"/>
        <v>0</v>
      </c>
      <c r="CF284" s="485">
        <f t="shared" si="68"/>
        <v>0</v>
      </c>
      <c r="CG284" s="485">
        <f t="shared" si="68"/>
        <v>0</v>
      </c>
      <c r="CH284" s="485">
        <f t="shared" si="68"/>
        <v>0</v>
      </c>
      <c r="CI284" s="485">
        <f t="shared" si="68"/>
        <v>0</v>
      </c>
      <c r="CJ284" s="485">
        <f t="shared" si="68"/>
        <v>0</v>
      </c>
      <c r="CK284" s="485">
        <f t="shared" si="68"/>
        <v>0</v>
      </c>
      <c r="CL284" s="485">
        <f t="shared" si="68"/>
        <v>0</v>
      </c>
      <c r="CM284" s="486">
        <f t="shared" si="70"/>
        <v>1</v>
      </c>
    </row>
    <row r="285" spans="1:91" s="487" customFormat="1" ht="25.5" x14ac:dyDescent="0.25">
      <c r="A285" s="497" t="s">
        <v>390</v>
      </c>
      <c r="B285" s="498" t="s">
        <v>2846</v>
      </c>
      <c r="C285" s="497" t="s">
        <v>767</v>
      </c>
      <c r="D285" s="498"/>
      <c r="E285" s="497" t="s">
        <v>655</v>
      </c>
      <c r="F285" s="498"/>
      <c r="G285" s="497"/>
      <c r="H285" s="497" t="s">
        <v>654</v>
      </c>
      <c r="I285" s="497" t="s">
        <v>647</v>
      </c>
      <c r="J285" s="497" t="s">
        <v>671</v>
      </c>
      <c r="K285" s="497" t="s">
        <v>649</v>
      </c>
      <c r="L285" s="497" t="s">
        <v>55</v>
      </c>
      <c r="M285" s="497" t="s">
        <v>646</v>
      </c>
      <c r="N285" s="497" t="s">
        <v>645</v>
      </c>
      <c r="O285" s="497"/>
      <c r="P285" s="497"/>
      <c r="Q285" s="497" t="s">
        <v>656</v>
      </c>
      <c r="R285" s="497" t="s">
        <v>652</v>
      </c>
      <c r="S285" s="497" t="s">
        <v>649</v>
      </c>
      <c r="T285" s="497"/>
      <c r="U285" s="497"/>
      <c r="V285" s="497" t="s">
        <v>683</v>
      </c>
      <c r="W285" s="497" t="s">
        <v>677</v>
      </c>
      <c r="X285" s="499">
        <v>42675</v>
      </c>
      <c r="Y285" s="499">
        <v>43839</v>
      </c>
      <c r="Z285" s="500">
        <v>2020</v>
      </c>
      <c r="AA285" s="497"/>
      <c r="AB285" s="497"/>
      <c r="AC285" s="497"/>
      <c r="AD285" s="501"/>
      <c r="AE285" s="501"/>
      <c r="AF285" s="501"/>
      <c r="AG285" s="501"/>
      <c r="AH285" s="501"/>
      <c r="AI285" s="501"/>
      <c r="AJ285" s="501"/>
      <c r="AK285" s="501"/>
      <c r="AL285" s="501"/>
      <c r="AM285" s="501"/>
      <c r="AN285" s="501"/>
      <c r="AO285" s="501"/>
      <c r="AP285" s="501"/>
      <c r="AQ285" s="501"/>
      <c r="AR285" s="501"/>
      <c r="AS285" s="501"/>
      <c r="AT285" s="501"/>
      <c r="AU285" s="501"/>
      <c r="AV285" s="501">
        <v>300000.00000000012</v>
      </c>
      <c r="AW285" s="501"/>
      <c r="AX285" s="501"/>
      <c r="AY285" s="501"/>
      <c r="AZ285" s="501"/>
      <c r="BA285" s="501"/>
      <c r="BB285" s="483"/>
      <c r="BC285" s="483"/>
      <c r="BD285" s="483"/>
      <c r="BE285" s="483"/>
      <c r="BF285" s="483"/>
      <c r="BG285" s="483">
        <v>1200000.0000000009</v>
      </c>
      <c r="BH285" s="483"/>
      <c r="BI285" s="483"/>
      <c r="BJ285" s="483"/>
      <c r="BK285" s="483"/>
      <c r="BL285" s="483"/>
      <c r="BM285" s="483"/>
      <c r="BN285" s="483"/>
      <c r="BO285" s="483"/>
      <c r="BP285" s="483"/>
      <c r="BQ285" s="483"/>
      <c r="BR285" s="483">
        <v>1500000.0000000012</v>
      </c>
      <c r="BS285" s="484">
        <f t="shared" si="69"/>
        <v>300000.00000000012</v>
      </c>
      <c r="BT285" s="485">
        <f t="shared" si="67"/>
        <v>0</v>
      </c>
      <c r="BU285" s="485">
        <f t="shared" si="67"/>
        <v>0</v>
      </c>
      <c r="BV285" s="485">
        <f t="shared" si="67"/>
        <v>0</v>
      </c>
      <c r="BW285" s="485">
        <f t="shared" si="67"/>
        <v>1</v>
      </c>
      <c r="BX285" s="485">
        <f t="shared" si="67"/>
        <v>0</v>
      </c>
      <c r="BY285" s="485">
        <f t="shared" si="67"/>
        <v>0</v>
      </c>
      <c r="BZ285" s="485">
        <f t="shared" si="67"/>
        <v>0</v>
      </c>
      <c r="CA285" s="485">
        <f t="shared" si="67"/>
        <v>0</v>
      </c>
      <c r="CB285" s="485">
        <f t="shared" si="67"/>
        <v>0</v>
      </c>
      <c r="CC285" s="485">
        <f t="shared" si="67"/>
        <v>0</v>
      </c>
      <c r="CD285" s="485">
        <f t="shared" si="68"/>
        <v>0</v>
      </c>
      <c r="CE285" s="485">
        <f t="shared" si="68"/>
        <v>0</v>
      </c>
      <c r="CF285" s="485">
        <f t="shared" si="68"/>
        <v>0</v>
      </c>
      <c r="CG285" s="485">
        <f t="shared" si="68"/>
        <v>0</v>
      </c>
      <c r="CH285" s="485">
        <f t="shared" si="68"/>
        <v>0</v>
      </c>
      <c r="CI285" s="485">
        <f t="shared" si="68"/>
        <v>0</v>
      </c>
      <c r="CJ285" s="485">
        <f t="shared" si="68"/>
        <v>0</v>
      </c>
      <c r="CK285" s="485">
        <f t="shared" si="68"/>
        <v>0</v>
      </c>
      <c r="CL285" s="485">
        <f t="shared" si="68"/>
        <v>0</v>
      </c>
      <c r="CM285" s="486">
        <f t="shared" si="70"/>
        <v>1</v>
      </c>
    </row>
    <row r="286" spans="1:91" s="487" customFormat="1" ht="25.5" x14ac:dyDescent="0.25">
      <c r="A286" s="497" t="s">
        <v>408</v>
      </c>
      <c r="B286" s="498" t="s">
        <v>2832</v>
      </c>
      <c r="C286" s="497" t="s">
        <v>761</v>
      </c>
      <c r="D286" s="498"/>
      <c r="E286" s="497" t="s">
        <v>692</v>
      </c>
      <c r="F286" s="498"/>
      <c r="G286" s="497"/>
      <c r="H286" s="497" t="s">
        <v>654</v>
      </c>
      <c r="I286" s="497" t="s">
        <v>647</v>
      </c>
      <c r="J286" s="497" t="s">
        <v>671</v>
      </c>
      <c r="K286" s="497" t="s">
        <v>649</v>
      </c>
      <c r="L286" s="497" t="s">
        <v>55</v>
      </c>
      <c r="M286" s="497" t="s">
        <v>646</v>
      </c>
      <c r="N286" s="497" t="s">
        <v>645</v>
      </c>
      <c r="O286" s="497"/>
      <c r="P286" s="497"/>
      <c r="Q286" s="497" t="s">
        <v>656</v>
      </c>
      <c r="R286" s="497" t="s">
        <v>652</v>
      </c>
      <c r="S286" s="497" t="s">
        <v>649</v>
      </c>
      <c r="T286" s="497"/>
      <c r="U286" s="497"/>
      <c r="V286" s="497" t="s">
        <v>683</v>
      </c>
      <c r="W286" s="497"/>
      <c r="X286" s="499">
        <v>42430</v>
      </c>
      <c r="Y286" s="499">
        <v>43339</v>
      </c>
      <c r="Z286" s="500">
        <v>2018</v>
      </c>
      <c r="AA286" s="497"/>
      <c r="AB286" s="497"/>
      <c r="AC286" s="497"/>
      <c r="AD286" s="501"/>
      <c r="AE286" s="501"/>
      <c r="AF286" s="501"/>
      <c r="AG286" s="501"/>
      <c r="AH286" s="501"/>
      <c r="AI286" s="501"/>
      <c r="AJ286" s="501"/>
      <c r="AK286" s="501"/>
      <c r="AL286" s="501"/>
      <c r="AM286" s="501"/>
      <c r="AN286" s="501"/>
      <c r="AO286" s="501"/>
      <c r="AP286" s="501"/>
      <c r="AQ286" s="501"/>
      <c r="AR286" s="501"/>
      <c r="AS286" s="501"/>
      <c r="AT286" s="501"/>
      <c r="AU286" s="501"/>
      <c r="AV286" s="501">
        <v>107250.0000000001</v>
      </c>
      <c r="AW286" s="501"/>
      <c r="AX286" s="501"/>
      <c r="AY286" s="501"/>
      <c r="AZ286" s="501"/>
      <c r="BA286" s="501"/>
      <c r="BB286" s="483"/>
      <c r="BC286" s="483"/>
      <c r="BD286" s="483"/>
      <c r="BE286" s="483"/>
      <c r="BF286" s="483"/>
      <c r="BG286" s="483">
        <v>2037750.0000000023</v>
      </c>
      <c r="BH286" s="483"/>
      <c r="BI286" s="483"/>
      <c r="BJ286" s="483"/>
      <c r="BK286" s="483"/>
      <c r="BL286" s="483"/>
      <c r="BM286" s="483"/>
      <c r="BN286" s="483"/>
      <c r="BO286" s="483"/>
      <c r="BP286" s="483"/>
      <c r="BQ286" s="483"/>
      <c r="BR286" s="483">
        <v>2145000.0000000023</v>
      </c>
      <c r="BS286" s="484">
        <f t="shared" si="69"/>
        <v>107250.0000000001</v>
      </c>
      <c r="BT286" s="485">
        <f t="shared" si="67"/>
        <v>0</v>
      </c>
      <c r="BU286" s="485">
        <f t="shared" si="67"/>
        <v>0</v>
      </c>
      <c r="BV286" s="485">
        <f t="shared" si="67"/>
        <v>0</v>
      </c>
      <c r="BW286" s="485">
        <f t="shared" si="67"/>
        <v>1</v>
      </c>
      <c r="BX286" s="485">
        <f t="shared" si="67"/>
        <v>0</v>
      </c>
      <c r="BY286" s="485">
        <f t="shared" si="67"/>
        <v>0</v>
      </c>
      <c r="BZ286" s="485">
        <f t="shared" si="67"/>
        <v>0</v>
      </c>
      <c r="CA286" s="485">
        <f t="shared" si="67"/>
        <v>0</v>
      </c>
      <c r="CB286" s="485">
        <f t="shared" si="67"/>
        <v>0</v>
      </c>
      <c r="CC286" s="485">
        <f t="shared" si="67"/>
        <v>0</v>
      </c>
      <c r="CD286" s="485">
        <f t="shared" si="68"/>
        <v>0</v>
      </c>
      <c r="CE286" s="485">
        <f t="shared" si="68"/>
        <v>0</v>
      </c>
      <c r="CF286" s="485">
        <f t="shared" si="68"/>
        <v>0</v>
      </c>
      <c r="CG286" s="485">
        <f t="shared" si="68"/>
        <v>0</v>
      </c>
      <c r="CH286" s="485">
        <f t="shared" si="68"/>
        <v>0</v>
      </c>
      <c r="CI286" s="485">
        <f t="shared" si="68"/>
        <v>0</v>
      </c>
      <c r="CJ286" s="485">
        <f t="shared" si="68"/>
        <v>0</v>
      </c>
      <c r="CK286" s="485">
        <f t="shared" si="68"/>
        <v>0</v>
      </c>
      <c r="CL286" s="485">
        <f t="shared" si="68"/>
        <v>0</v>
      </c>
      <c r="CM286" s="486">
        <f t="shared" si="70"/>
        <v>1</v>
      </c>
    </row>
    <row r="287" spans="1:91" s="487" customFormat="1" ht="25.5" customHeight="1" x14ac:dyDescent="0.25">
      <c r="A287" s="497" t="s">
        <v>754</v>
      </c>
      <c r="B287" s="498" t="s">
        <v>2157</v>
      </c>
      <c r="C287" s="497" t="s">
        <v>753</v>
      </c>
      <c r="D287" s="498"/>
      <c r="E287" s="497" t="s">
        <v>752</v>
      </c>
      <c r="F287" s="498"/>
      <c r="G287" s="497" t="s">
        <v>648</v>
      </c>
      <c r="H287" s="497" t="s">
        <v>654</v>
      </c>
      <c r="I287" s="497" t="s">
        <v>647</v>
      </c>
      <c r="J287" s="497" t="s">
        <v>671</v>
      </c>
      <c r="K287" s="497" t="s">
        <v>649</v>
      </c>
      <c r="L287" s="497" t="s">
        <v>28</v>
      </c>
      <c r="M287" s="497" t="s">
        <v>646</v>
      </c>
      <c r="N287" s="497"/>
      <c r="O287" s="497"/>
      <c r="P287" s="497"/>
      <c r="Q287" s="497" t="s">
        <v>650</v>
      </c>
      <c r="R287" s="497" t="s">
        <v>652</v>
      </c>
      <c r="S287" s="497" t="s">
        <v>649</v>
      </c>
      <c r="T287" s="497"/>
      <c r="U287" s="497"/>
      <c r="V287" s="497"/>
      <c r="W287" s="497" t="s">
        <v>666</v>
      </c>
      <c r="X287" s="499">
        <v>44256</v>
      </c>
      <c r="Y287" s="499">
        <v>44830</v>
      </c>
      <c r="Z287" s="500">
        <v>2022</v>
      </c>
      <c r="AA287" s="497"/>
      <c r="AB287" s="497" t="s">
        <v>675</v>
      </c>
      <c r="AC287" s="497" t="s">
        <v>663</v>
      </c>
      <c r="AD287" s="501"/>
      <c r="AE287" s="501"/>
      <c r="AF287" s="501"/>
      <c r="AG287" s="501"/>
      <c r="AH287" s="501"/>
      <c r="AI287" s="501"/>
      <c r="AJ287" s="501"/>
      <c r="AK287" s="501"/>
      <c r="AL287" s="501"/>
      <c r="AM287" s="501"/>
      <c r="AN287" s="501"/>
      <c r="AO287" s="501"/>
      <c r="AP287" s="501"/>
      <c r="AQ287" s="501"/>
      <c r="AR287" s="501"/>
      <c r="AS287" s="501"/>
      <c r="AT287" s="501"/>
      <c r="AU287" s="501"/>
      <c r="AV287" s="501">
        <v>75999.999999999971</v>
      </c>
      <c r="AW287" s="501">
        <v>723999.99999999977</v>
      </c>
      <c r="AX287" s="501"/>
      <c r="AY287" s="501"/>
      <c r="AZ287" s="501"/>
      <c r="BA287" s="501"/>
      <c r="BB287" s="483"/>
      <c r="BC287" s="483"/>
      <c r="BD287" s="483"/>
      <c r="BE287" s="483"/>
      <c r="BF287" s="483"/>
      <c r="BG287" s="483"/>
      <c r="BH287" s="483"/>
      <c r="BI287" s="483"/>
      <c r="BJ287" s="483"/>
      <c r="BK287" s="483"/>
      <c r="BL287" s="483"/>
      <c r="BM287" s="483"/>
      <c r="BN287" s="483"/>
      <c r="BO287" s="483"/>
      <c r="BP287" s="483"/>
      <c r="BQ287" s="483"/>
      <c r="BR287" s="483">
        <v>799999.99999999988</v>
      </c>
      <c r="BS287" s="484">
        <f t="shared" si="69"/>
        <v>799999.99999999977</v>
      </c>
      <c r="BT287" s="485">
        <f t="shared" si="67"/>
        <v>0</v>
      </c>
      <c r="BU287" s="485">
        <f t="shared" si="67"/>
        <v>0</v>
      </c>
      <c r="BV287" s="485">
        <f t="shared" si="67"/>
        <v>0</v>
      </c>
      <c r="BW287" s="485">
        <f t="shared" si="67"/>
        <v>1</v>
      </c>
      <c r="BX287" s="485">
        <f t="shared" si="67"/>
        <v>0</v>
      </c>
      <c r="BY287" s="485">
        <f t="shared" si="67"/>
        <v>0</v>
      </c>
      <c r="BZ287" s="485">
        <f t="shared" si="67"/>
        <v>0</v>
      </c>
      <c r="CA287" s="485">
        <f t="shared" si="67"/>
        <v>0</v>
      </c>
      <c r="CB287" s="485">
        <f t="shared" si="67"/>
        <v>0</v>
      </c>
      <c r="CC287" s="485">
        <f t="shared" si="67"/>
        <v>0</v>
      </c>
      <c r="CD287" s="485">
        <f t="shared" si="68"/>
        <v>0</v>
      </c>
      <c r="CE287" s="485">
        <f t="shared" si="68"/>
        <v>0</v>
      </c>
      <c r="CF287" s="485">
        <f t="shared" si="68"/>
        <v>0</v>
      </c>
      <c r="CG287" s="485">
        <f t="shared" si="68"/>
        <v>0</v>
      </c>
      <c r="CH287" s="485">
        <f t="shared" si="68"/>
        <v>0</v>
      </c>
      <c r="CI287" s="485">
        <f t="shared" si="68"/>
        <v>0</v>
      </c>
      <c r="CJ287" s="485">
        <f t="shared" si="68"/>
        <v>0</v>
      </c>
      <c r="CK287" s="485">
        <f t="shared" si="68"/>
        <v>0</v>
      </c>
      <c r="CL287" s="485">
        <f t="shared" si="68"/>
        <v>0</v>
      </c>
      <c r="CM287" s="486">
        <f t="shared" si="70"/>
        <v>1</v>
      </c>
    </row>
    <row r="288" spans="1:91" s="487" customFormat="1" ht="25.5" x14ac:dyDescent="0.25">
      <c r="A288" s="497" t="s">
        <v>457</v>
      </c>
      <c r="B288" s="498" t="s">
        <v>2244</v>
      </c>
      <c r="C288" s="497" t="s">
        <v>740</v>
      </c>
      <c r="D288" s="498"/>
      <c r="E288" s="497" t="s">
        <v>692</v>
      </c>
      <c r="F288" s="498"/>
      <c r="G288" s="497"/>
      <c r="H288" s="497" t="s">
        <v>654</v>
      </c>
      <c r="I288" s="497" t="s">
        <v>647</v>
      </c>
      <c r="J288" s="497" t="s">
        <v>671</v>
      </c>
      <c r="K288" s="497" t="s">
        <v>649</v>
      </c>
      <c r="L288" s="497" t="s">
        <v>55</v>
      </c>
      <c r="M288" s="497" t="s">
        <v>646</v>
      </c>
      <c r="N288" s="497" t="s">
        <v>645</v>
      </c>
      <c r="O288" s="497"/>
      <c r="P288" s="497"/>
      <c r="Q288" s="497" t="s">
        <v>650</v>
      </c>
      <c r="R288" s="497" t="s">
        <v>652</v>
      </c>
      <c r="S288" s="497" t="s">
        <v>649</v>
      </c>
      <c r="T288" s="497"/>
      <c r="U288" s="497"/>
      <c r="V288" s="497" t="s">
        <v>683</v>
      </c>
      <c r="W288" s="497"/>
      <c r="X288" s="499">
        <v>42552</v>
      </c>
      <c r="Y288" s="499">
        <v>43145</v>
      </c>
      <c r="Z288" s="500">
        <v>2018</v>
      </c>
      <c r="AA288" s="497"/>
      <c r="AB288" s="497"/>
      <c r="AC288" s="497"/>
      <c r="AD288" s="501"/>
      <c r="AE288" s="501"/>
      <c r="AF288" s="501"/>
      <c r="AG288" s="501"/>
      <c r="AH288" s="501"/>
      <c r="AI288" s="501"/>
      <c r="AJ288" s="501"/>
      <c r="AK288" s="501"/>
      <c r="AL288" s="501"/>
      <c r="AM288" s="501"/>
      <c r="AN288" s="501"/>
      <c r="AO288" s="501"/>
      <c r="AP288" s="501"/>
      <c r="AQ288" s="501"/>
      <c r="AR288" s="501"/>
      <c r="AS288" s="501"/>
      <c r="AT288" s="501"/>
      <c r="AU288" s="501"/>
      <c r="AV288" s="501">
        <v>0</v>
      </c>
      <c r="AW288" s="501"/>
      <c r="AX288" s="501"/>
      <c r="AY288" s="501"/>
      <c r="AZ288" s="501"/>
      <c r="BA288" s="501"/>
      <c r="BB288" s="483"/>
      <c r="BC288" s="483"/>
      <c r="BD288" s="483"/>
      <c r="BE288" s="483"/>
      <c r="BF288" s="483"/>
      <c r="BG288" s="483">
        <v>600000.00000000093</v>
      </c>
      <c r="BH288" s="483"/>
      <c r="BI288" s="483"/>
      <c r="BJ288" s="483"/>
      <c r="BK288" s="483"/>
      <c r="BL288" s="483"/>
      <c r="BM288" s="483"/>
      <c r="BN288" s="483"/>
      <c r="BO288" s="483"/>
      <c r="BP288" s="483"/>
      <c r="BQ288" s="483"/>
      <c r="BR288" s="483">
        <v>600000.00000000093</v>
      </c>
      <c r="BS288" s="484">
        <f t="shared" si="69"/>
        <v>0</v>
      </c>
      <c r="BT288" s="485">
        <v>0</v>
      </c>
      <c r="BU288" s="485">
        <v>0</v>
      </c>
      <c r="BV288" s="485">
        <v>0</v>
      </c>
      <c r="BW288" s="485">
        <v>1</v>
      </c>
      <c r="BX288" s="485">
        <v>0</v>
      </c>
      <c r="BY288" s="485">
        <v>0</v>
      </c>
      <c r="BZ288" s="485">
        <v>0</v>
      </c>
      <c r="CA288" s="485">
        <v>0</v>
      </c>
      <c r="CB288" s="485">
        <v>0</v>
      </c>
      <c r="CC288" s="485">
        <v>0</v>
      </c>
      <c r="CD288" s="485">
        <v>0</v>
      </c>
      <c r="CE288" s="485">
        <v>0</v>
      </c>
      <c r="CF288" s="485">
        <v>0</v>
      </c>
      <c r="CG288" s="485">
        <v>0</v>
      </c>
      <c r="CH288" s="485">
        <v>0</v>
      </c>
      <c r="CI288" s="485">
        <v>0</v>
      </c>
      <c r="CJ288" s="485">
        <v>0</v>
      </c>
      <c r="CK288" s="485">
        <v>0</v>
      </c>
      <c r="CL288" s="485">
        <v>0</v>
      </c>
      <c r="CM288" s="486">
        <f t="shared" si="70"/>
        <v>1</v>
      </c>
    </row>
    <row r="289" spans="1:91" s="487" customFormat="1" ht="25.5" x14ac:dyDescent="0.25">
      <c r="A289" s="497" t="s">
        <v>467</v>
      </c>
      <c r="B289" s="498" t="s">
        <v>2248</v>
      </c>
      <c r="C289" s="497" t="s">
        <v>736</v>
      </c>
      <c r="D289" s="498"/>
      <c r="E289" s="497" t="s">
        <v>692</v>
      </c>
      <c r="F289" s="498"/>
      <c r="G289" s="497"/>
      <c r="H289" s="497" t="s">
        <v>654</v>
      </c>
      <c r="I289" s="497" t="s">
        <v>647</v>
      </c>
      <c r="J289" s="497" t="s">
        <v>671</v>
      </c>
      <c r="K289" s="497" t="s">
        <v>649</v>
      </c>
      <c r="L289" s="497" t="s">
        <v>55</v>
      </c>
      <c r="M289" s="497" t="s">
        <v>646</v>
      </c>
      <c r="N289" s="497" t="s">
        <v>645</v>
      </c>
      <c r="O289" s="497"/>
      <c r="P289" s="497"/>
      <c r="Q289" s="497" t="s">
        <v>650</v>
      </c>
      <c r="R289" s="497" t="s">
        <v>652</v>
      </c>
      <c r="S289" s="497" t="s">
        <v>649</v>
      </c>
      <c r="T289" s="497"/>
      <c r="U289" s="497"/>
      <c r="V289" s="497" t="s">
        <v>683</v>
      </c>
      <c r="W289" s="497"/>
      <c r="X289" s="499">
        <v>42644</v>
      </c>
      <c r="Y289" s="499">
        <v>42993</v>
      </c>
      <c r="Z289" s="500">
        <v>2017</v>
      </c>
      <c r="AA289" s="497"/>
      <c r="AB289" s="497"/>
      <c r="AC289" s="497"/>
      <c r="AD289" s="501"/>
      <c r="AE289" s="501"/>
      <c r="AF289" s="501"/>
      <c r="AG289" s="501"/>
      <c r="AH289" s="501"/>
      <c r="AI289" s="501"/>
      <c r="AJ289" s="501"/>
      <c r="AK289" s="501"/>
      <c r="AL289" s="501"/>
      <c r="AM289" s="501"/>
      <c r="AN289" s="501"/>
      <c r="AO289" s="501"/>
      <c r="AP289" s="501"/>
      <c r="AQ289" s="501"/>
      <c r="AR289" s="501"/>
      <c r="AS289" s="501"/>
      <c r="AT289" s="501"/>
      <c r="AU289" s="501"/>
      <c r="AV289" s="501">
        <v>0</v>
      </c>
      <c r="AW289" s="501"/>
      <c r="AX289" s="501"/>
      <c r="AY289" s="501"/>
      <c r="AZ289" s="501"/>
      <c r="BA289" s="501"/>
      <c r="BB289" s="483"/>
      <c r="BC289" s="483"/>
      <c r="BD289" s="483"/>
      <c r="BE289" s="483"/>
      <c r="BF289" s="483"/>
      <c r="BG289" s="483">
        <v>323000.00000000012</v>
      </c>
      <c r="BH289" s="483"/>
      <c r="BI289" s="483"/>
      <c r="BJ289" s="483"/>
      <c r="BK289" s="483"/>
      <c r="BL289" s="483"/>
      <c r="BM289" s="483"/>
      <c r="BN289" s="483"/>
      <c r="BO289" s="483"/>
      <c r="BP289" s="483"/>
      <c r="BQ289" s="483"/>
      <c r="BR289" s="483">
        <v>323000.00000000012</v>
      </c>
      <c r="BS289" s="484">
        <f t="shared" si="69"/>
        <v>0</v>
      </c>
      <c r="BT289" s="485">
        <v>0</v>
      </c>
      <c r="BU289" s="485">
        <v>0</v>
      </c>
      <c r="BV289" s="485">
        <v>0</v>
      </c>
      <c r="BW289" s="485">
        <v>1</v>
      </c>
      <c r="BX289" s="485">
        <v>0</v>
      </c>
      <c r="BY289" s="485">
        <v>0</v>
      </c>
      <c r="BZ289" s="485">
        <v>0</v>
      </c>
      <c r="CA289" s="485">
        <v>0</v>
      </c>
      <c r="CB289" s="485">
        <v>0</v>
      </c>
      <c r="CC289" s="485">
        <v>0</v>
      </c>
      <c r="CD289" s="485">
        <v>0</v>
      </c>
      <c r="CE289" s="485">
        <v>0</v>
      </c>
      <c r="CF289" s="485">
        <v>0</v>
      </c>
      <c r="CG289" s="485">
        <v>0</v>
      </c>
      <c r="CH289" s="485">
        <v>0</v>
      </c>
      <c r="CI289" s="485">
        <v>0</v>
      </c>
      <c r="CJ289" s="485">
        <v>0</v>
      </c>
      <c r="CK289" s="485">
        <v>0</v>
      </c>
      <c r="CL289" s="485">
        <v>0</v>
      </c>
      <c r="CM289" s="486">
        <f t="shared" si="70"/>
        <v>1</v>
      </c>
    </row>
    <row r="290" spans="1:91" s="487" customFormat="1" ht="25.5" x14ac:dyDescent="0.25">
      <c r="A290" s="497" t="s">
        <v>472</v>
      </c>
      <c r="B290" s="498" t="s">
        <v>2250</v>
      </c>
      <c r="C290" s="497" t="s">
        <v>734</v>
      </c>
      <c r="D290" s="498"/>
      <c r="E290" s="497" t="s">
        <v>692</v>
      </c>
      <c r="F290" s="498"/>
      <c r="G290" s="497"/>
      <c r="H290" s="497" t="s">
        <v>654</v>
      </c>
      <c r="I290" s="497" t="s">
        <v>647</v>
      </c>
      <c r="J290" s="497" t="s">
        <v>671</v>
      </c>
      <c r="K290" s="497" t="s">
        <v>649</v>
      </c>
      <c r="L290" s="497" t="s">
        <v>55</v>
      </c>
      <c r="M290" s="497" t="s">
        <v>646</v>
      </c>
      <c r="N290" s="497" t="s">
        <v>645</v>
      </c>
      <c r="O290" s="497"/>
      <c r="P290" s="497"/>
      <c r="Q290" s="497" t="s">
        <v>650</v>
      </c>
      <c r="R290" s="497" t="s">
        <v>652</v>
      </c>
      <c r="S290" s="497" t="s">
        <v>649</v>
      </c>
      <c r="T290" s="497"/>
      <c r="U290" s="497"/>
      <c r="V290" s="497" t="s">
        <v>683</v>
      </c>
      <c r="W290" s="497"/>
      <c r="X290" s="499">
        <v>42491</v>
      </c>
      <c r="Y290" s="499">
        <v>43025</v>
      </c>
      <c r="Z290" s="500">
        <v>2017</v>
      </c>
      <c r="AA290" s="497"/>
      <c r="AB290" s="497"/>
      <c r="AC290" s="497"/>
      <c r="AD290" s="501"/>
      <c r="AE290" s="501"/>
      <c r="AF290" s="501"/>
      <c r="AG290" s="501"/>
      <c r="AH290" s="501"/>
      <c r="AI290" s="501"/>
      <c r="AJ290" s="501"/>
      <c r="AK290" s="501"/>
      <c r="AL290" s="501"/>
      <c r="AM290" s="501"/>
      <c r="AN290" s="501"/>
      <c r="AO290" s="501"/>
      <c r="AP290" s="501"/>
      <c r="AQ290" s="501"/>
      <c r="AR290" s="501"/>
      <c r="AS290" s="501"/>
      <c r="AT290" s="501"/>
      <c r="AU290" s="501"/>
      <c r="AV290" s="501">
        <v>0</v>
      </c>
      <c r="AW290" s="501"/>
      <c r="AX290" s="501"/>
      <c r="AY290" s="501"/>
      <c r="AZ290" s="501"/>
      <c r="BA290" s="501"/>
      <c r="BB290" s="483"/>
      <c r="BC290" s="483"/>
      <c r="BD290" s="483"/>
      <c r="BE290" s="483"/>
      <c r="BF290" s="483"/>
      <c r="BG290" s="483">
        <v>537999.99999999988</v>
      </c>
      <c r="BH290" s="483"/>
      <c r="BI290" s="483"/>
      <c r="BJ290" s="483"/>
      <c r="BK290" s="483"/>
      <c r="BL290" s="483"/>
      <c r="BM290" s="483"/>
      <c r="BN290" s="483"/>
      <c r="BO290" s="483"/>
      <c r="BP290" s="483"/>
      <c r="BQ290" s="483"/>
      <c r="BR290" s="483">
        <v>537999.99999999988</v>
      </c>
      <c r="BS290" s="484">
        <f t="shared" si="69"/>
        <v>0</v>
      </c>
      <c r="BT290" s="485">
        <v>0</v>
      </c>
      <c r="BU290" s="485">
        <v>0</v>
      </c>
      <c r="BV290" s="485">
        <v>0</v>
      </c>
      <c r="BW290" s="485">
        <v>1</v>
      </c>
      <c r="BX290" s="485">
        <v>0</v>
      </c>
      <c r="BY290" s="485">
        <v>0</v>
      </c>
      <c r="BZ290" s="485">
        <v>0</v>
      </c>
      <c r="CA290" s="485">
        <v>0</v>
      </c>
      <c r="CB290" s="485">
        <v>0</v>
      </c>
      <c r="CC290" s="485">
        <v>0</v>
      </c>
      <c r="CD290" s="485">
        <v>0</v>
      </c>
      <c r="CE290" s="485">
        <v>0</v>
      </c>
      <c r="CF290" s="485">
        <v>0</v>
      </c>
      <c r="CG290" s="485">
        <v>0</v>
      </c>
      <c r="CH290" s="485">
        <v>0</v>
      </c>
      <c r="CI290" s="485">
        <v>0</v>
      </c>
      <c r="CJ290" s="485">
        <v>0</v>
      </c>
      <c r="CK290" s="485">
        <v>0</v>
      </c>
      <c r="CL290" s="485">
        <v>0</v>
      </c>
      <c r="CM290" s="486">
        <f t="shared" si="70"/>
        <v>1</v>
      </c>
    </row>
    <row r="291" spans="1:91" s="487" customFormat="1" ht="25.5" x14ac:dyDescent="0.25">
      <c r="A291" s="497" t="s">
        <v>475</v>
      </c>
      <c r="B291" s="498" t="s">
        <v>2219</v>
      </c>
      <c r="C291" s="497" t="s">
        <v>733</v>
      </c>
      <c r="D291" s="498"/>
      <c r="E291" s="497" t="s">
        <v>692</v>
      </c>
      <c r="F291" s="498"/>
      <c r="G291" s="497"/>
      <c r="H291" s="497" t="s">
        <v>654</v>
      </c>
      <c r="I291" s="497" t="s">
        <v>647</v>
      </c>
      <c r="J291" s="497" t="s">
        <v>671</v>
      </c>
      <c r="K291" s="497" t="s">
        <v>649</v>
      </c>
      <c r="L291" s="497" t="s">
        <v>55</v>
      </c>
      <c r="M291" s="497" t="s">
        <v>646</v>
      </c>
      <c r="N291" s="497" t="s">
        <v>645</v>
      </c>
      <c r="O291" s="497"/>
      <c r="P291" s="497"/>
      <c r="Q291" s="497" t="s">
        <v>650</v>
      </c>
      <c r="R291" s="497" t="s">
        <v>652</v>
      </c>
      <c r="S291" s="497" t="s">
        <v>649</v>
      </c>
      <c r="T291" s="497"/>
      <c r="U291" s="497"/>
      <c r="V291" s="497" t="s">
        <v>683</v>
      </c>
      <c r="W291" s="497"/>
      <c r="X291" s="499">
        <v>42325</v>
      </c>
      <c r="Y291" s="499">
        <v>42709</v>
      </c>
      <c r="Z291" s="500">
        <v>2016</v>
      </c>
      <c r="AA291" s="497"/>
      <c r="AB291" s="497"/>
      <c r="AC291" s="497"/>
      <c r="AD291" s="501"/>
      <c r="AE291" s="501"/>
      <c r="AF291" s="501"/>
      <c r="AG291" s="501"/>
      <c r="AH291" s="501"/>
      <c r="AI291" s="501"/>
      <c r="AJ291" s="501"/>
      <c r="AK291" s="501"/>
      <c r="AL291" s="501"/>
      <c r="AM291" s="501"/>
      <c r="AN291" s="501"/>
      <c r="AO291" s="501"/>
      <c r="AP291" s="501"/>
      <c r="AQ291" s="501"/>
      <c r="AR291" s="501"/>
      <c r="AS291" s="501"/>
      <c r="AT291" s="501"/>
      <c r="AU291" s="501"/>
      <c r="AV291" s="501">
        <v>19950.000000000025</v>
      </c>
      <c r="AW291" s="501"/>
      <c r="AX291" s="501"/>
      <c r="AY291" s="501"/>
      <c r="AZ291" s="501"/>
      <c r="BA291" s="501"/>
      <c r="BB291" s="483"/>
      <c r="BC291" s="483"/>
      <c r="BD291" s="483"/>
      <c r="BE291" s="483"/>
      <c r="BF291" s="483"/>
      <c r="BG291" s="483">
        <v>379050.00000000064</v>
      </c>
      <c r="BH291" s="483"/>
      <c r="BI291" s="483"/>
      <c r="BJ291" s="483"/>
      <c r="BK291" s="483"/>
      <c r="BL291" s="483"/>
      <c r="BM291" s="483"/>
      <c r="BN291" s="483"/>
      <c r="BO291" s="483"/>
      <c r="BP291" s="483"/>
      <c r="BQ291" s="483"/>
      <c r="BR291" s="483">
        <v>399000.00000000064</v>
      </c>
      <c r="BS291" s="484">
        <f t="shared" si="69"/>
        <v>19950.000000000025</v>
      </c>
      <c r="BT291" s="485">
        <f t="shared" ref="BT291:CL291" si="71">SUMIFS($AD291:$BA291,$AD$11:$BA$11,BT$21)/$BS291</f>
        <v>0</v>
      </c>
      <c r="BU291" s="485">
        <f t="shared" si="71"/>
        <v>0</v>
      </c>
      <c r="BV291" s="485">
        <f t="shared" si="71"/>
        <v>0</v>
      </c>
      <c r="BW291" s="485">
        <f t="shared" si="71"/>
        <v>1</v>
      </c>
      <c r="BX291" s="485">
        <f t="shared" si="71"/>
        <v>0</v>
      </c>
      <c r="BY291" s="485">
        <f t="shared" si="71"/>
        <v>0</v>
      </c>
      <c r="BZ291" s="485">
        <f t="shared" si="71"/>
        <v>0</v>
      </c>
      <c r="CA291" s="485">
        <f t="shared" si="71"/>
        <v>0</v>
      </c>
      <c r="CB291" s="485">
        <f t="shared" si="71"/>
        <v>0</v>
      </c>
      <c r="CC291" s="485">
        <f t="shared" si="71"/>
        <v>0</v>
      </c>
      <c r="CD291" s="485">
        <f t="shared" si="71"/>
        <v>0</v>
      </c>
      <c r="CE291" s="485">
        <f t="shared" si="71"/>
        <v>0</v>
      </c>
      <c r="CF291" s="485">
        <f t="shared" si="71"/>
        <v>0</v>
      </c>
      <c r="CG291" s="485">
        <f t="shared" si="71"/>
        <v>0</v>
      </c>
      <c r="CH291" s="485">
        <f t="shared" si="71"/>
        <v>0</v>
      </c>
      <c r="CI291" s="485">
        <f t="shared" si="71"/>
        <v>0</v>
      </c>
      <c r="CJ291" s="485">
        <f t="shared" si="71"/>
        <v>0</v>
      </c>
      <c r="CK291" s="485">
        <f t="shared" si="71"/>
        <v>0</v>
      </c>
      <c r="CL291" s="485">
        <f t="shared" si="71"/>
        <v>0</v>
      </c>
      <c r="CM291" s="486">
        <f t="shared" si="70"/>
        <v>1</v>
      </c>
    </row>
    <row r="292" spans="1:91" s="487" customFormat="1" ht="25.5" x14ac:dyDescent="0.25">
      <c r="A292" s="497" t="s">
        <v>477</v>
      </c>
      <c r="B292" s="498" t="s">
        <v>2251</v>
      </c>
      <c r="C292" s="497" t="s">
        <v>732</v>
      </c>
      <c r="D292" s="498"/>
      <c r="E292" s="497" t="s">
        <v>692</v>
      </c>
      <c r="F292" s="498"/>
      <c r="G292" s="497"/>
      <c r="H292" s="497" t="s">
        <v>654</v>
      </c>
      <c r="I292" s="497" t="s">
        <v>647</v>
      </c>
      <c r="J292" s="497" t="s">
        <v>671</v>
      </c>
      <c r="K292" s="497" t="s">
        <v>649</v>
      </c>
      <c r="L292" s="497" t="s">
        <v>55</v>
      </c>
      <c r="M292" s="497" t="s">
        <v>646</v>
      </c>
      <c r="N292" s="497" t="s">
        <v>645</v>
      </c>
      <c r="O292" s="497"/>
      <c r="P292" s="497"/>
      <c r="Q292" s="497" t="s">
        <v>650</v>
      </c>
      <c r="R292" s="497" t="s">
        <v>652</v>
      </c>
      <c r="S292" s="497" t="s">
        <v>649</v>
      </c>
      <c r="T292" s="497"/>
      <c r="U292" s="497"/>
      <c r="V292" s="497" t="s">
        <v>683</v>
      </c>
      <c r="W292" s="497"/>
      <c r="X292" s="499">
        <v>42675</v>
      </c>
      <c r="Y292" s="499">
        <v>43271</v>
      </c>
      <c r="Z292" s="500">
        <v>2018</v>
      </c>
      <c r="AA292" s="497"/>
      <c r="AB292" s="497"/>
      <c r="AC292" s="497"/>
      <c r="AD292" s="501"/>
      <c r="AE292" s="501"/>
      <c r="AF292" s="501"/>
      <c r="AG292" s="501"/>
      <c r="AH292" s="501"/>
      <c r="AI292" s="501"/>
      <c r="AJ292" s="501"/>
      <c r="AK292" s="501"/>
      <c r="AL292" s="501"/>
      <c r="AM292" s="501"/>
      <c r="AN292" s="501"/>
      <c r="AO292" s="501"/>
      <c r="AP292" s="501"/>
      <c r="AQ292" s="501"/>
      <c r="AR292" s="501"/>
      <c r="AS292" s="501"/>
      <c r="AT292" s="501"/>
      <c r="AU292" s="501"/>
      <c r="AV292" s="501">
        <v>0</v>
      </c>
      <c r="AW292" s="501"/>
      <c r="AX292" s="501"/>
      <c r="AY292" s="501"/>
      <c r="AZ292" s="501"/>
      <c r="BA292" s="501"/>
      <c r="BB292" s="483"/>
      <c r="BC292" s="483"/>
      <c r="BD292" s="483"/>
      <c r="BE292" s="483"/>
      <c r="BF292" s="483"/>
      <c r="BG292" s="483">
        <v>274000.00000000006</v>
      </c>
      <c r="BH292" s="483"/>
      <c r="BI292" s="483"/>
      <c r="BJ292" s="483"/>
      <c r="BK292" s="483"/>
      <c r="BL292" s="483"/>
      <c r="BM292" s="483"/>
      <c r="BN292" s="483"/>
      <c r="BO292" s="483"/>
      <c r="BP292" s="483"/>
      <c r="BQ292" s="483"/>
      <c r="BR292" s="483">
        <v>274000.00000000006</v>
      </c>
      <c r="BS292" s="484">
        <f t="shared" si="69"/>
        <v>0</v>
      </c>
      <c r="BT292" s="485">
        <v>0</v>
      </c>
      <c r="BU292" s="485">
        <v>0</v>
      </c>
      <c r="BV292" s="485">
        <v>0</v>
      </c>
      <c r="BW292" s="485">
        <v>1</v>
      </c>
      <c r="BX292" s="485">
        <v>0</v>
      </c>
      <c r="BY292" s="485">
        <v>0</v>
      </c>
      <c r="BZ292" s="485">
        <v>0</v>
      </c>
      <c r="CA292" s="485">
        <v>0</v>
      </c>
      <c r="CB292" s="485">
        <v>0</v>
      </c>
      <c r="CC292" s="485">
        <v>0</v>
      </c>
      <c r="CD292" s="485">
        <v>0</v>
      </c>
      <c r="CE292" s="485">
        <v>0</v>
      </c>
      <c r="CF292" s="485">
        <v>0</v>
      </c>
      <c r="CG292" s="485">
        <v>0</v>
      </c>
      <c r="CH292" s="485">
        <v>0</v>
      </c>
      <c r="CI292" s="485">
        <v>0</v>
      </c>
      <c r="CJ292" s="485">
        <v>0</v>
      </c>
      <c r="CK292" s="485">
        <v>0</v>
      </c>
      <c r="CL292" s="485">
        <v>0</v>
      </c>
      <c r="CM292" s="486">
        <f t="shared" si="70"/>
        <v>1</v>
      </c>
    </row>
    <row r="293" spans="1:91" s="487" customFormat="1" ht="25.5" x14ac:dyDescent="0.25">
      <c r="A293" s="497" t="s">
        <v>479</v>
      </c>
      <c r="B293" s="498" t="s">
        <v>2252</v>
      </c>
      <c r="C293" s="497" t="s">
        <v>731</v>
      </c>
      <c r="D293" s="498"/>
      <c r="E293" s="497" t="s">
        <v>692</v>
      </c>
      <c r="F293" s="498"/>
      <c r="G293" s="497"/>
      <c r="H293" s="497" t="s">
        <v>654</v>
      </c>
      <c r="I293" s="497" t="s">
        <v>647</v>
      </c>
      <c r="J293" s="497" t="s">
        <v>671</v>
      </c>
      <c r="K293" s="497" t="s">
        <v>649</v>
      </c>
      <c r="L293" s="497" t="s">
        <v>55</v>
      </c>
      <c r="M293" s="497" t="s">
        <v>646</v>
      </c>
      <c r="N293" s="497" t="s">
        <v>645</v>
      </c>
      <c r="O293" s="497"/>
      <c r="P293" s="497"/>
      <c r="Q293" s="497" t="s">
        <v>650</v>
      </c>
      <c r="R293" s="497" t="s">
        <v>652</v>
      </c>
      <c r="S293" s="497" t="s">
        <v>649</v>
      </c>
      <c r="T293" s="497"/>
      <c r="U293" s="497"/>
      <c r="V293" s="497" t="s">
        <v>683</v>
      </c>
      <c r="W293" s="497"/>
      <c r="X293" s="499">
        <v>42461</v>
      </c>
      <c r="Y293" s="499">
        <v>43306</v>
      </c>
      <c r="Z293" s="500">
        <v>2018</v>
      </c>
      <c r="AA293" s="497"/>
      <c r="AB293" s="497"/>
      <c r="AC293" s="497"/>
      <c r="AD293" s="501"/>
      <c r="AE293" s="501"/>
      <c r="AF293" s="501"/>
      <c r="AG293" s="501"/>
      <c r="AH293" s="501"/>
      <c r="AI293" s="501"/>
      <c r="AJ293" s="501"/>
      <c r="AK293" s="501"/>
      <c r="AL293" s="501"/>
      <c r="AM293" s="501"/>
      <c r="AN293" s="501"/>
      <c r="AO293" s="501"/>
      <c r="AP293" s="501"/>
      <c r="AQ293" s="501"/>
      <c r="AR293" s="501"/>
      <c r="AS293" s="501"/>
      <c r="AT293" s="501"/>
      <c r="AU293" s="501"/>
      <c r="AV293" s="501">
        <v>0</v>
      </c>
      <c r="AW293" s="501"/>
      <c r="AX293" s="501"/>
      <c r="AY293" s="501"/>
      <c r="AZ293" s="501"/>
      <c r="BA293" s="501"/>
      <c r="BB293" s="483"/>
      <c r="BC293" s="483"/>
      <c r="BD293" s="483"/>
      <c r="BE293" s="483"/>
      <c r="BF293" s="483"/>
      <c r="BG293" s="483">
        <v>699999.99999999884</v>
      </c>
      <c r="BH293" s="483"/>
      <c r="BI293" s="483"/>
      <c r="BJ293" s="483"/>
      <c r="BK293" s="483"/>
      <c r="BL293" s="483"/>
      <c r="BM293" s="483"/>
      <c r="BN293" s="483"/>
      <c r="BO293" s="483"/>
      <c r="BP293" s="483"/>
      <c r="BQ293" s="483"/>
      <c r="BR293" s="483">
        <v>699999.99999999884</v>
      </c>
      <c r="BS293" s="484">
        <f t="shared" si="69"/>
        <v>0</v>
      </c>
      <c r="BT293" s="485">
        <v>0</v>
      </c>
      <c r="BU293" s="485">
        <v>0</v>
      </c>
      <c r="BV293" s="485">
        <v>0</v>
      </c>
      <c r="BW293" s="485">
        <v>1</v>
      </c>
      <c r="BX293" s="485">
        <v>0</v>
      </c>
      <c r="BY293" s="485">
        <v>0</v>
      </c>
      <c r="BZ293" s="485">
        <v>0</v>
      </c>
      <c r="CA293" s="485">
        <v>0</v>
      </c>
      <c r="CB293" s="485">
        <v>0</v>
      </c>
      <c r="CC293" s="485">
        <v>0</v>
      </c>
      <c r="CD293" s="485">
        <v>0</v>
      </c>
      <c r="CE293" s="485">
        <v>0</v>
      </c>
      <c r="CF293" s="485">
        <v>0</v>
      </c>
      <c r="CG293" s="485">
        <v>0</v>
      </c>
      <c r="CH293" s="485">
        <v>0</v>
      </c>
      <c r="CI293" s="485">
        <v>0</v>
      </c>
      <c r="CJ293" s="485">
        <v>0</v>
      </c>
      <c r="CK293" s="485">
        <v>0</v>
      </c>
      <c r="CL293" s="485">
        <v>0</v>
      </c>
      <c r="CM293" s="486">
        <f t="shared" si="70"/>
        <v>1</v>
      </c>
    </row>
    <row r="294" spans="1:91" s="487" customFormat="1" ht="25.5" x14ac:dyDescent="0.25">
      <c r="A294" s="497" t="s">
        <v>502</v>
      </c>
      <c r="B294" s="498" t="s">
        <v>2217</v>
      </c>
      <c r="C294" s="497" t="s">
        <v>728</v>
      </c>
      <c r="D294" s="498"/>
      <c r="E294" s="497"/>
      <c r="F294" s="498"/>
      <c r="G294" s="497"/>
      <c r="H294" s="497"/>
      <c r="I294" s="497" t="s">
        <v>647</v>
      </c>
      <c r="J294" s="497" t="s">
        <v>641</v>
      </c>
      <c r="K294" s="497"/>
      <c r="L294" s="497" t="s">
        <v>107</v>
      </c>
      <c r="M294" s="497" t="s">
        <v>646</v>
      </c>
      <c r="N294" s="497" t="s">
        <v>668</v>
      </c>
      <c r="O294" s="497"/>
      <c r="P294" s="497"/>
      <c r="Q294" s="497" t="s">
        <v>656</v>
      </c>
      <c r="R294" s="497" t="s">
        <v>652</v>
      </c>
      <c r="S294" s="497"/>
      <c r="T294" s="497"/>
      <c r="U294" s="497"/>
      <c r="V294" s="497" t="s">
        <v>641</v>
      </c>
      <c r="W294" s="497" t="s">
        <v>666</v>
      </c>
      <c r="X294" s="499">
        <v>42552</v>
      </c>
      <c r="Y294" s="499">
        <v>43281</v>
      </c>
      <c r="Z294" s="500">
        <v>2018</v>
      </c>
      <c r="AA294" s="497"/>
      <c r="AB294" s="497"/>
      <c r="AC294" s="497"/>
      <c r="AD294" s="501"/>
      <c r="AE294" s="501"/>
      <c r="AF294" s="501"/>
      <c r="AG294" s="501"/>
      <c r="AH294" s="501"/>
      <c r="AI294" s="501">
        <f>13280*0</f>
        <v>0</v>
      </c>
      <c r="AJ294" s="501"/>
      <c r="AK294" s="501">
        <f>1500*0</f>
        <v>0</v>
      </c>
      <c r="AL294" s="501"/>
      <c r="AM294" s="501"/>
      <c r="AN294" s="501"/>
      <c r="AO294" s="501">
        <f>998177.819399415*0</f>
        <v>0</v>
      </c>
      <c r="AP294" s="501">
        <f>353684.500102981*0+1366642.3195024</f>
        <v>1366642.3195024</v>
      </c>
      <c r="AQ294" s="501"/>
      <c r="AR294" s="501"/>
      <c r="AS294" s="501"/>
      <c r="AT294" s="501"/>
      <c r="AU294" s="501"/>
      <c r="AV294" s="501"/>
      <c r="AW294" s="501"/>
      <c r="AX294" s="501"/>
      <c r="AY294" s="501"/>
      <c r="AZ294" s="501"/>
      <c r="BA294" s="501"/>
      <c r="BB294" s="483">
        <v>250387.15904870725</v>
      </c>
      <c r="BC294" s="483"/>
      <c r="BD294" s="483">
        <v>212696.35322774685</v>
      </c>
      <c r="BE294" s="483">
        <v>4918.2165880526281</v>
      </c>
      <c r="BF294" s="483">
        <v>0</v>
      </c>
      <c r="BG294" s="483">
        <v>584842</v>
      </c>
      <c r="BH294" s="483"/>
      <c r="BI294" s="483"/>
      <c r="BJ294" s="483"/>
      <c r="BK294" s="483"/>
      <c r="BL294" s="483"/>
      <c r="BM294" s="483"/>
      <c r="BN294" s="483">
        <v>110000</v>
      </c>
      <c r="BO294" s="483"/>
      <c r="BP294" s="483"/>
      <c r="BQ294" s="483"/>
      <c r="BR294" s="483">
        <v>2529486.0483669024</v>
      </c>
      <c r="BS294" s="484">
        <f t="shared" si="69"/>
        <v>1366642.3195024</v>
      </c>
      <c r="BT294" s="485">
        <f t="shared" ref="BT294:CC303" si="72">SUMIFS($AD294:$BA294,$AD$11:$BA$11,BT$21)/$BS294</f>
        <v>0</v>
      </c>
      <c r="BU294" s="485">
        <f t="shared" si="72"/>
        <v>0</v>
      </c>
      <c r="BV294" s="485">
        <f t="shared" si="72"/>
        <v>0</v>
      </c>
      <c r="BW294" s="485">
        <f t="shared" si="72"/>
        <v>0</v>
      </c>
      <c r="BX294" s="485">
        <f t="shared" si="72"/>
        <v>0</v>
      </c>
      <c r="BY294" s="485">
        <f t="shared" si="72"/>
        <v>0</v>
      </c>
      <c r="BZ294" s="485">
        <f t="shared" si="72"/>
        <v>0</v>
      </c>
      <c r="CA294" s="485">
        <f t="shared" si="72"/>
        <v>0</v>
      </c>
      <c r="CB294" s="485">
        <f t="shared" si="72"/>
        <v>0</v>
      </c>
      <c r="CC294" s="485">
        <f t="shared" si="72"/>
        <v>0</v>
      </c>
      <c r="CD294" s="485">
        <f t="shared" ref="CD294:CL303" si="73">SUMIFS($AD294:$BA294,$AD$11:$BA$11,CD$21)/$BS294</f>
        <v>0</v>
      </c>
      <c r="CE294" s="485">
        <f t="shared" si="73"/>
        <v>0</v>
      </c>
      <c r="CF294" s="485">
        <f t="shared" si="73"/>
        <v>0</v>
      </c>
      <c r="CG294" s="485">
        <f t="shared" si="73"/>
        <v>0</v>
      </c>
      <c r="CH294" s="485">
        <f t="shared" si="73"/>
        <v>0</v>
      </c>
      <c r="CI294" s="485">
        <f t="shared" si="73"/>
        <v>0</v>
      </c>
      <c r="CJ294" s="485">
        <f t="shared" si="73"/>
        <v>0</v>
      </c>
      <c r="CK294" s="485">
        <f t="shared" si="73"/>
        <v>0</v>
      </c>
      <c r="CL294" s="485">
        <f t="shared" si="73"/>
        <v>1</v>
      </c>
      <c r="CM294" s="486">
        <f t="shared" si="70"/>
        <v>1</v>
      </c>
    </row>
    <row r="295" spans="1:91" s="487" customFormat="1" ht="25.5" x14ac:dyDescent="0.25">
      <c r="A295" s="497" t="s">
        <v>520</v>
      </c>
      <c r="B295" s="498" t="s">
        <v>2892</v>
      </c>
      <c r="C295" s="497" t="s">
        <v>724</v>
      </c>
      <c r="D295" s="498"/>
      <c r="E295" s="497"/>
      <c r="F295" s="498"/>
      <c r="G295" s="497"/>
      <c r="H295" s="497" t="s">
        <v>654</v>
      </c>
      <c r="I295" s="497" t="s">
        <v>647</v>
      </c>
      <c r="J295" s="497" t="s">
        <v>641</v>
      </c>
      <c r="K295" s="497" t="s">
        <v>649</v>
      </c>
      <c r="L295" s="497" t="s">
        <v>55</v>
      </c>
      <c r="M295" s="497" t="s">
        <v>646</v>
      </c>
      <c r="N295" s="497" t="s">
        <v>645</v>
      </c>
      <c r="O295" s="497"/>
      <c r="P295" s="497"/>
      <c r="Q295" s="497" t="s">
        <v>656</v>
      </c>
      <c r="R295" s="497" t="s">
        <v>652</v>
      </c>
      <c r="S295" s="497"/>
      <c r="T295" s="497"/>
      <c r="U295" s="497"/>
      <c r="V295" s="497" t="s">
        <v>685</v>
      </c>
      <c r="W295" s="497" t="s">
        <v>666</v>
      </c>
      <c r="X295" s="499">
        <v>42552</v>
      </c>
      <c r="Y295" s="499">
        <v>43579</v>
      </c>
      <c r="Z295" s="500">
        <v>2019</v>
      </c>
      <c r="AA295" s="497"/>
      <c r="AB295" s="497"/>
      <c r="AC295" s="497"/>
      <c r="AD295" s="501"/>
      <c r="AE295" s="501"/>
      <c r="AF295" s="501"/>
      <c r="AG295" s="501"/>
      <c r="AH295" s="501"/>
      <c r="AI295" s="501"/>
      <c r="AJ295" s="501"/>
      <c r="AK295" s="501"/>
      <c r="AL295" s="501"/>
      <c r="AM295" s="501"/>
      <c r="AN295" s="501"/>
      <c r="AO295" s="501"/>
      <c r="AP295" s="501"/>
      <c r="AQ295" s="501"/>
      <c r="AR295" s="501"/>
      <c r="AS295" s="501"/>
      <c r="AT295" s="501"/>
      <c r="AU295" s="501"/>
      <c r="AV295" s="501">
        <v>200000.00000000035</v>
      </c>
      <c r="AW295" s="501"/>
      <c r="AX295" s="501"/>
      <c r="AY295" s="501"/>
      <c r="AZ295" s="501"/>
      <c r="BA295" s="501"/>
      <c r="BB295" s="483"/>
      <c r="BC295" s="483"/>
      <c r="BD295" s="483"/>
      <c r="BE295" s="483"/>
      <c r="BF295" s="483"/>
      <c r="BG295" s="483">
        <v>849655.24316666846</v>
      </c>
      <c r="BH295" s="483"/>
      <c r="BI295" s="483"/>
      <c r="BJ295" s="483"/>
      <c r="BK295" s="483"/>
      <c r="BL295" s="483"/>
      <c r="BM295" s="483"/>
      <c r="BN295" s="483"/>
      <c r="BO295" s="483"/>
      <c r="BP295" s="483"/>
      <c r="BQ295" s="483"/>
      <c r="BR295" s="483">
        <v>1049655.2431666688</v>
      </c>
      <c r="BS295" s="484">
        <f t="shared" si="69"/>
        <v>200000.00000000035</v>
      </c>
      <c r="BT295" s="485">
        <f t="shared" si="72"/>
        <v>0</v>
      </c>
      <c r="BU295" s="485">
        <f t="shared" si="72"/>
        <v>0</v>
      </c>
      <c r="BV295" s="485">
        <f t="shared" si="72"/>
        <v>0</v>
      </c>
      <c r="BW295" s="485">
        <f t="shared" si="72"/>
        <v>1</v>
      </c>
      <c r="BX295" s="485">
        <f t="shared" si="72"/>
        <v>0</v>
      </c>
      <c r="BY295" s="485">
        <f t="shared" si="72"/>
        <v>0</v>
      </c>
      <c r="BZ295" s="485">
        <f t="shared" si="72"/>
        <v>0</v>
      </c>
      <c r="CA295" s="485">
        <f t="shared" si="72"/>
        <v>0</v>
      </c>
      <c r="CB295" s="485">
        <f t="shared" si="72"/>
        <v>0</v>
      </c>
      <c r="CC295" s="485">
        <f t="shared" si="72"/>
        <v>0</v>
      </c>
      <c r="CD295" s="485">
        <f t="shared" si="73"/>
        <v>0</v>
      </c>
      <c r="CE295" s="485">
        <f t="shared" si="73"/>
        <v>0</v>
      </c>
      <c r="CF295" s="485">
        <f t="shared" si="73"/>
        <v>0</v>
      </c>
      <c r="CG295" s="485">
        <f t="shared" si="73"/>
        <v>0</v>
      </c>
      <c r="CH295" s="485">
        <f t="shared" si="73"/>
        <v>0</v>
      </c>
      <c r="CI295" s="485">
        <f t="shared" si="73"/>
        <v>0</v>
      </c>
      <c r="CJ295" s="485">
        <f t="shared" si="73"/>
        <v>0</v>
      </c>
      <c r="CK295" s="485">
        <f t="shared" si="73"/>
        <v>0</v>
      </c>
      <c r="CL295" s="485">
        <f t="shared" si="73"/>
        <v>0</v>
      </c>
      <c r="CM295" s="486">
        <f t="shared" si="70"/>
        <v>1</v>
      </c>
    </row>
    <row r="296" spans="1:91" s="487" customFormat="1" ht="25.5" x14ac:dyDescent="0.25">
      <c r="A296" s="497" t="s">
        <v>523</v>
      </c>
      <c r="B296" s="498" t="s">
        <v>2220</v>
      </c>
      <c r="C296" s="497" t="s">
        <v>723</v>
      </c>
      <c r="D296" s="498"/>
      <c r="E296" s="497"/>
      <c r="F296" s="498"/>
      <c r="G296" s="497" t="s">
        <v>722</v>
      </c>
      <c r="H296" s="497" t="s">
        <v>654</v>
      </c>
      <c r="I296" s="497" t="s">
        <v>647</v>
      </c>
      <c r="J296" s="497" t="s">
        <v>641</v>
      </c>
      <c r="K296" s="497" t="s">
        <v>663</v>
      </c>
      <c r="L296" s="497" t="s">
        <v>55</v>
      </c>
      <c r="M296" s="497" t="s">
        <v>646</v>
      </c>
      <c r="N296" s="497" t="s">
        <v>680</v>
      </c>
      <c r="O296" s="497" t="s">
        <v>721</v>
      </c>
      <c r="P296" s="497" t="s">
        <v>720</v>
      </c>
      <c r="Q296" s="497" t="s">
        <v>650</v>
      </c>
      <c r="R296" s="497" t="s">
        <v>652</v>
      </c>
      <c r="S296" s="497" t="s">
        <v>663</v>
      </c>
      <c r="T296" s="497" t="s">
        <v>107</v>
      </c>
      <c r="U296" s="497" t="s">
        <v>689</v>
      </c>
      <c r="V296" s="497" t="s">
        <v>683</v>
      </c>
      <c r="W296" s="497" t="s">
        <v>684</v>
      </c>
      <c r="X296" s="499">
        <v>41821</v>
      </c>
      <c r="Y296" s="499">
        <v>43281</v>
      </c>
      <c r="Z296" s="500">
        <v>2018</v>
      </c>
      <c r="AA296" s="497" t="s">
        <v>663</v>
      </c>
      <c r="AB296" s="497"/>
      <c r="AC296" s="497" t="s">
        <v>663</v>
      </c>
      <c r="AD296" s="501"/>
      <c r="AE296" s="501"/>
      <c r="AF296" s="501"/>
      <c r="AG296" s="501"/>
      <c r="AH296" s="501"/>
      <c r="AI296" s="501"/>
      <c r="AJ296" s="501"/>
      <c r="AK296" s="501"/>
      <c r="AL296" s="501"/>
      <c r="AM296" s="501"/>
      <c r="AN296" s="501"/>
      <c r="AO296" s="501"/>
      <c r="AP296" s="501"/>
      <c r="AQ296" s="501"/>
      <c r="AR296" s="501"/>
      <c r="AS296" s="501"/>
      <c r="AT296" s="501"/>
      <c r="AU296" s="501"/>
      <c r="AV296" s="501">
        <v>145691.76999999999</v>
      </c>
      <c r="AW296" s="501"/>
      <c r="AX296" s="501"/>
      <c r="AY296" s="501"/>
      <c r="AZ296" s="501"/>
      <c r="BA296" s="501"/>
      <c r="BB296" s="483"/>
      <c r="BC296" s="483"/>
      <c r="BD296" s="483"/>
      <c r="BE296" s="483"/>
      <c r="BF296" s="483"/>
      <c r="BG296" s="483">
        <v>169255.73</v>
      </c>
      <c r="BH296" s="483"/>
      <c r="BI296" s="483"/>
      <c r="BJ296" s="483"/>
      <c r="BK296" s="483"/>
      <c r="BL296" s="483"/>
      <c r="BM296" s="483"/>
      <c r="BN296" s="483"/>
      <c r="BO296" s="483"/>
      <c r="BP296" s="483"/>
      <c r="BQ296" s="483"/>
      <c r="BR296" s="483">
        <v>314947.49999999994</v>
      </c>
      <c r="BS296" s="484">
        <f t="shared" si="69"/>
        <v>145691.76999999999</v>
      </c>
      <c r="BT296" s="485">
        <f t="shared" si="72"/>
        <v>0</v>
      </c>
      <c r="BU296" s="485">
        <f t="shared" si="72"/>
        <v>0</v>
      </c>
      <c r="BV296" s="485">
        <f t="shared" si="72"/>
        <v>0</v>
      </c>
      <c r="BW296" s="485">
        <f t="shared" si="72"/>
        <v>1</v>
      </c>
      <c r="BX296" s="485">
        <f t="shared" si="72"/>
        <v>0</v>
      </c>
      <c r="BY296" s="485">
        <f t="shared" si="72"/>
        <v>0</v>
      </c>
      <c r="BZ296" s="485">
        <f t="shared" si="72"/>
        <v>0</v>
      </c>
      <c r="CA296" s="485">
        <f t="shared" si="72"/>
        <v>0</v>
      </c>
      <c r="CB296" s="485">
        <f t="shared" si="72"/>
        <v>0</v>
      </c>
      <c r="CC296" s="485">
        <f t="shared" si="72"/>
        <v>0</v>
      </c>
      <c r="CD296" s="485">
        <f t="shared" si="73"/>
        <v>0</v>
      </c>
      <c r="CE296" s="485">
        <f t="shared" si="73"/>
        <v>0</v>
      </c>
      <c r="CF296" s="485">
        <f t="shared" si="73"/>
        <v>0</v>
      </c>
      <c r="CG296" s="485">
        <f t="shared" si="73"/>
        <v>0</v>
      </c>
      <c r="CH296" s="485">
        <f t="shared" si="73"/>
        <v>0</v>
      </c>
      <c r="CI296" s="485">
        <f t="shared" si="73"/>
        <v>0</v>
      </c>
      <c r="CJ296" s="485">
        <f t="shared" si="73"/>
        <v>0</v>
      </c>
      <c r="CK296" s="485">
        <f t="shared" si="73"/>
        <v>0</v>
      </c>
      <c r="CL296" s="485">
        <f t="shared" si="73"/>
        <v>0</v>
      </c>
      <c r="CM296" s="486">
        <f t="shared" si="70"/>
        <v>1</v>
      </c>
    </row>
    <row r="297" spans="1:91" s="487" customFormat="1" ht="25.5" x14ac:dyDescent="0.25">
      <c r="A297" s="497" t="s">
        <v>528</v>
      </c>
      <c r="B297" s="498" t="s">
        <v>2894</v>
      </c>
      <c r="C297" s="497" t="s">
        <v>716</v>
      </c>
      <c r="D297" s="498"/>
      <c r="E297" s="497"/>
      <c r="F297" s="498"/>
      <c r="G297" s="497" t="s">
        <v>648</v>
      </c>
      <c r="H297" s="497" t="s">
        <v>654</v>
      </c>
      <c r="I297" s="497" t="s">
        <v>647</v>
      </c>
      <c r="J297" s="497" t="s">
        <v>671</v>
      </c>
      <c r="K297" s="497"/>
      <c r="L297" s="497" t="s">
        <v>36</v>
      </c>
      <c r="M297" s="497" t="s">
        <v>646</v>
      </c>
      <c r="N297" s="497" t="s">
        <v>645</v>
      </c>
      <c r="O297" s="497"/>
      <c r="P297" s="497"/>
      <c r="Q297" s="497" t="s">
        <v>650</v>
      </c>
      <c r="R297" s="497" t="s">
        <v>652</v>
      </c>
      <c r="S297" s="497" t="s">
        <v>649</v>
      </c>
      <c r="T297" s="497"/>
      <c r="U297" s="497"/>
      <c r="V297" s="497" t="s">
        <v>36</v>
      </c>
      <c r="W297" s="497"/>
      <c r="X297" s="499">
        <v>42552</v>
      </c>
      <c r="Y297" s="499">
        <v>42963</v>
      </c>
      <c r="Z297" s="500">
        <v>2017</v>
      </c>
      <c r="AA297" s="497" t="s">
        <v>663</v>
      </c>
      <c r="AB297" s="497"/>
      <c r="AC297" s="497"/>
      <c r="AD297" s="501"/>
      <c r="AE297" s="501"/>
      <c r="AF297" s="501"/>
      <c r="AG297" s="501"/>
      <c r="AH297" s="501"/>
      <c r="AI297" s="501"/>
      <c r="AJ297" s="501"/>
      <c r="AK297" s="501"/>
      <c r="AL297" s="501"/>
      <c r="AM297" s="501"/>
      <c r="AN297" s="501"/>
      <c r="AO297" s="501"/>
      <c r="AP297" s="501"/>
      <c r="AQ297" s="501"/>
      <c r="AR297" s="501"/>
      <c r="AS297" s="501"/>
      <c r="AT297" s="501"/>
      <c r="AU297" s="501">
        <v>200000.00000000009</v>
      </c>
      <c r="AV297" s="501"/>
      <c r="AW297" s="501"/>
      <c r="AX297" s="501">
        <v>0</v>
      </c>
      <c r="AY297" s="501"/>
      <c r="AZ297" s="501"/>
      <c r="BA297" s="501"/>
      <c r="BB297" s="483">
        <v>0</v>
      </c>
      <c r="BC297" s="483">
        <v>0</v>
      </c>
      <c r="BD297" s="483"/>
      <c r="BE297" s="483"/>
      <c r="BF297" s="483"/>
      <c r="BG297" s="483">
        <v>36066.06671281805</v>
      </c>
      <c r="BH297" s="483"/>
      <c r="BI297" s="483"/>
      <c r="BJ297" s="483"/>
      <c r="BK297" s="483"/>
      <c r="BL297" s="483"/>
      <c r="BM297" s="483"/>
      <c r="BN297" s="483"/>
      <c r="BO297" s="483"/>
      <c r="BP297" s="483"/>
      <c r="BQ297" s="483"/>
      <c r="BR297" s="483">
        <v>236066.06671281817</v>
      </c>
      <c r="BS297" s="484">
        <f t="shared" si="69"/>
        <v>200000.00000000009</v>
      </c>
      <c r="BT297" s="485">
        <f t="shared" si="72"/>
        <v>1</v>
      </c>
      <c r="BU297" s="485">
        <f t="shared" si="72"/>
        <v>0</v>
      </c>
      <c r="BV297" s="485">
        <f t="shared" si="72"/>
        <v>0</v>
      </c>
      <c r="BW297" s="485">
        <f t="shared" si="72"/>
        <v>0</v>
      </c>
      <c r="BX297" s="485">
        <f t="shared" si="72"/>
        <v>0</v>
      </c>
      <c r="BY297" s="485">
        <f t="shared" si="72"/>
        <v>0</v>
      </c>
      <c r="BZ297" s="485">
        <f t="shared" si="72"/>
        <v>0</v>
      </c>
      <c r="CA297" s="485">
        <f t="shared" si="72"/>
        <v>0</v>
      </c>
      <c r="CB297" s="485">
        <f t="shared" si="72"/>
        <v>0</v>
      </c>
      <c r="CC297" s="485">
        <f t="shared" si="72"/>
        <v>0</v>
      </c>
      <c r="CD297" s="485">
        <f t="shared" si="73"/>
        <v>0</v>
      </c>
      <c r="CE297" s="485">
        <f t="shared" si="73"/>
        <v>0</v>
      </c>
      <c r="CF297" s="485">
        <f t="shared" si="73"/>
        <v>0</v>
      </c>
      <c r="CG297" s="485">
        <f t="shared" si="73"/>
        <v>0</v>
      </c>
      <c r="CH297" s="485">
        <f t="shared" si="73"/>
        <v>0</v>
      </c>
      <c r="CI297" s="485">
        <f t="shared" si="73"/>
        <v>0</v>
      </c>
      <c r="CJ297" s="485">
        <f t="shared" si="73"/>
        <v>0</v>
      </c>
      <c r="CK297" s="485">
        <f t="shared" si="73"/>
        <v>0</v>
      </c>
      <c r="CL297" s="485">
        <f t="shared" si="73"/>
        <v>0</v>
      </c>
      <c r="CM297" s="486">
        <f t="shared" si="70"/>
        <v>1</v>
      </c>
    </row>
    <row r="298" spans="1:91" s="487" customFormat="1" ht="25.5" x14ac:dyDescent="0.25">
      <c r="A298" s="497" t="s">
        <v>530</v>
      </c>
      <c r="B298" s="498" t="s">
        <v>2214</v>
      </c>
      <c r="C298" s="497" t="s">
        <v>715</v>
      </c>
      <c r="D298" s="498"/>
      <c r="E298" s="497"/>
      <c r="F298" s="498"/>
      <c r="G298" s="497"/>
      <c r="H298" s="497" t="s">
        <v>654</v>
      </c>
      <c r="I298" s="497" t="s">
        <v>647</v>
      </c>
      <c r="J298" s="497" t="s">
        <v>671</v>
      </c>
      <c r="K298" s="497"/>
      <c r="L298" s="497" t="s">
        <v>36</v>
      </c>
      <c r="M298" s="497" t="s">
        <v>646</v>
      </c>
      <c r="N298" s="497" t="s">
        <v>645</v>
      </c>
      <c r="O298" s="497"/>
      <c r="P298" s="497"/>
      <c r="Q298" s="497" t="s">
        <v>650</v>
      </c>
      <c r="R298" s="497" t="s">
        <v>652</v>
      </c>
      <c r="S298" s="497" t="s">
        <v>649</v>
      </c>
      <c r="T298" s="497"/>
      <c r="U298" s="497"/>
      <c r="V298" s="497" t="s">
        <v>36</v>
      </c>
      <c r="W298" s="497"/>
      <c r="X298" s="499">
        <v>42186</v>
      </c>
      <c r="Y298" s="499">
        <v>42598</v>
      </c>
      <c r="Z298" s="500">
        <v>2016</v>
      </c>
      <c r="AA298" s="497" t="s">
        <v>663</v>
      </c>
      <c r="AB298" s="497"/>
      <c r="AC298" s="497"/>
      <c r="AD298" s="501"/>
      <c r="AE298" s="501"/>
      <c r="AF298" s="501"/>
      <c r="AG298" s="501"/>
      <c r="AH298" s="501"/>
      <c r="AI298" s="501"/>
      <c r="AJ298" s="501"/>
      <c r="AK298" s="501"/>
      <c r="AL298" s="501"/>
      <c r="AM298" s="501"/>
      <c r="AN298" s="501"/>
      <c r="AO298" s="501"/>
      <c r="AP298" s="501"/>
      <c r="AQ298" s="501"/>
      <c r="AR298" s="501"/>
      <c r="AS298" s="501"/>
      <c r="AT298" s="501"/>
      <c r="AU298" s="501">
        <v>119999.99999999991</v>
      </c>
      <c r="AV298" s="501"/>
      <c r="AW298" s="501"/>
      <c r="AX298" s="501">
        <v>0</v>
      </c>
      <c r="AY298" s="501"/>
      <c r="AZ298" s="501"/>
      <c r="BA298" s="501"/>
      <c r="BB298" s="483">
        <v>0</v>
      </c>
      <c r="BC298" s="483">
        <v>0</v>
      </c>
      <c r="BD298" s="483"/>
      <c r="BE298" s="483"/>
      <c r="BF298" s="483"/>
      <c r="BG298" s="483">
        <v>21639.640027690806</v>
      </c>
      <c r="BH298" s="483"/>
      <c r="BI298" s="483"/>
      <c r="BJ298" s="483"/>
      <c r="BK298" s="483"/>
      <c r="BL298" s="483"/>
      <c r="BM298" s="483"/>
      <c r="BN298" s="483"/>
      <c r="BO298" s="483"/>
      <c r="BP298" s="483"/>
      <c r="BQ298" s="483"/>
      <c r="BR298" s="483">
        <v>141639.64002769074</v>
      </c>
      <c r="BS298" s="484">
        <f t="shared" si="69"/>
        <v>119999.99999999991</v>
      </c>
      <c r="BT298" s="485">
        <f t="shared" si="72"/>
        <v>1</v>
      </c>
      <c r="BU298" s="485">
        <f t="shared" si="72"/>
        <v>0</v>
      </c>
      <c r="BV298" s="485">
        <f t="shared" si="72"/>
        <v>0</v>
      </c>
      <c r="BW298" s="485">
        <f t="shared" si="72"/>
        <v>0</v>
      </c>
      <c r="BX298" s="485">
        <f t="shared" si="72"/>
        <v>0</v>
      </c>
      <c r="BY298" s="485">
        <f t="shared" si="72"/>
        <v>0</v>
      </c>
      <c r="BZ298" s="485">
        <f t="shared" si="72"/>
        <v>0</v>
      </c>
      <c r="CA298" s="485">
        <f t="shared" si="72"/>
        <v>0</v>
      </c>
      <c r="CB298" s="485">
        <f t="shared" si="72"/>
        <v>0</v>
      </c>
      <c r="CC298" s="485">
        <f t="shared" si="72"/>
        <v>0</v>
      </c>
      <c r="CD298" s="485">
        <f t="shared" si="73"/>
        <v>0</v>
      </c>
      <c r="CE298" s="485">
        <f t="shared" si="73"/>
        <v>0</v>
      </c>
      <c r="CF298" s="485">
        <f t="shared" si="73"/>
        <v>0</v>
      </c>
      <c r="CG298" s="485">
        <f t="shared" si="73"/>
        <v>0</v>
      </c>
      <c r="CH298" s="485">
        <f t="shared" si="73"/>
        <v>0</v>
      </c>
      <c r="CI298" s="485">
        <f t="shared" si="73"/>
        <v>0</v>
      </c>
      <c r="CJ298" s="485">
        <f t="shared" si="73"/>
        <v>0</v>
      </c>
      <c r="CK298" s="485">
        <f t="shared" si="73"/>
        <v>0</v>
      </c>
      <c r="CL298" s="485">
        <f t="shared" si="73"/>
        <v>0</v>
      </c>
      <c r="CM298" s="486">
        <f t="shared" si="70"/>
        <v>1</v>
      </c>
    </row>
    <row r="299" spans="1:91" s="487" customFormat="1" ht="25.5" x14ac:dyDescent="0.25">
      <c r="A299" s="497" t="s">
        <v>545</v>
      </c>
      <c r="B299" s="498" t="s">
        <v>2833</v>
      </c>
      <c r="C299" s="497" t="s">
        <v>710</v>
      </c>
      <c r="D299" s="498"/>
      <c r="E299" s="497" t="s">
        <v>655</v>
      </c>
      <c r="F299" s="498"/>
      <c r="G299" s="497"/>
      <c r="H299" s="497" t="s">
        <v>654</v>
      </c>
      <c r="I299" s="497" t="s">
        <v>647</v>
      </c>
      <c r="J299" s="497" t="s">
        <v>641</v>
      </c>
      <c r="K299" s="497" t="s">
        <v>649</v>
      </c>
      <c r="L299" s="497" t="s">
        <v>54</v>
      </c>
      <c r="M299" s="497" t="s">
        <v>646</v>
      </c>
      <c r="N299" s="497" t="s">
        <v>645</v>
      </c>
      <c r="O299" s="497"/>
      <c r="P299" s="497"/>
      <c r="Q299" s="497" t="s">
        <v>650</v>
      </c>
      <c r="R299" s="497" t="s">
        <v>652</v>
      </c>
      <c r="S299" s="497" t="s">
        <v>649</v>
      </c>
      <c r="T299" s="497"/>
      <c r="U299" s="497"/>
      <c r="V299" s="497" t="s">
        <v>641</v>
      </c>
      <c r="W299" s="497" t="s">
        <v>677</v>
      </c>
      <c r="X299" s="499">
        <v>42552</v>
      </c>
      <c r="Y299" s="499">
        <v>43288</v>
      </c>
      <c r="Z299" s="500">
        <v>2018</v>
      </c>
      <c r="AA299" s="497"/>
      <c r="AB299" s="497"/>
      <c r="AC299" s="497"/>
      <c r="AD299" s="501"/>
      <c r="AE299" s="501"/>
      <c r="AF299" s="501"/>
      <c r="AG299" s="501"/>
      <c r="AH299" s="501"/>
      <c r="AI299" s="501"/>
      <c r="AJ299" s="501"/>
      <c r="AK299" s="501"/>
      <c r="AL299" s="501">
        <v>349700.01500794443</v>
      </c>
      <c r="AM299" s="501"/>
      <c r="AN299" s="501"/>
      <c r="AO299" s="501"/>
      <c r="AP299" s="501"/>
      <c r="AQ299" s="501">
        <v>29999.999999999996</v>
      </c>
      <c r="AR299" s="501"/>
      <c r="AS299" s="501"/>
      <c r="AT299" s="501"/>
      <c r="AU299" s="501"/>
      <c r="AV299" s="501"/>
      <c r="AW299" s="501"/>
      <c r="AX299" s="501"/>
      <c r="AY299" s="501"/>
      <c r="AZ299" s="501"/>
      <c r="BA299" s="501"/>
      <c r="BB299" s="483">
        <v>48705.002251191661</v>
      </c>
      <c r="BC299" s="483"/>
      <c r="BD299" s="483">
        <v>50409.677329983373</v>
      </c>
      <c r="BE299" s="483">
        <v>1165.4904101200789</v>
      </c>
      <c r="BF299" s="483">
        <v>0</v>
      </c>
      <c r="BG299" s="483">
        <v>137787.36563054242</v>
      </c>
      <c r="BH299" s="483"/>
      <c r="BI299" s="483"/>
      <c r="BJ299" s="483"/>
      <c r="BK299" s="483"/>
      <c r="BL299" s="483"/>
      <c r="BM299" s="483"/>
      <c r="BN299" s="483"/>
      <c r="BO299" s="483"/>
      <c r="BP299" s="483"/>
      <c r="BQ299" s="483"/>
      <c r="BR299" s="483">
        <v>617767.55062978191</v>
      </c>
      <c r="BS299" s="484">
        <f t="shared" si="69"/>
        <v>379700.01500794443</v>
      </c>
      <c r="BT299" s="485">
        <f t="shared" si="72"/>
        <v>0</v>
      </c>
      <c r="BU299" s="485">
        <f t="shared" si="72"/>
        <v>0</v>
      </c>
      <c r="BV299" s="485">
        <f t="shared" si="72"/>
        <v>7.9009741412236476E-2</v>
      </c>
      <c r="BW299" s="485">
        <f t="shared" si="72"/>
        <v>0</v>
      </c>
      <c r="BX299" s="485">
        <f t="shared" si="72"/>
        <v>0</v>
      </c>
      <c r="BY299" s="485">
        <f t="shared" si="72"/>
        <v>0</v>
      </c>
      <c r="BZ299" s="485">
        <f t="shared" si="72"/>
        <v>0</v>
      </c>
      <c r="CA299" s="485">
        <f t="shared" si="72"/>
        <v>0</v>
      </c>
      <c r="CB299" s="485">
        <f t="shared" si="72"/>
        <v>0</v>
      </c>
      <c r="CC299" s="485">
        <f t="shared" si="72"/>
        <v>0</v>
      </c>
      <c r="CD299" s="485">
        <f t="shared" si="73"/>
        <v>0</v>
      </c>
      <c r="CE299" s="485">
        <f t="shared" si="73"/>
        <v>0</v>
      </c>
      <c r="CF299" s="485">
        <f t="shared" si="73"/>
        <v>0</v>
      </c>
      <c r="CG299" s="485">
        <f t="shared" si="73"/>
        <v>0</v>
      </c>
      <c r="CH299" s="485">
        <f t="shared" si="73"/>
        <v>0.92099025858776351</v>
      </c>
      <c r="CI299" s="485">
        <f t="shared" si="73"/>
        <v>0</v>
      </c>
      <c r="CJ299" s="485">
        <f t="shared" si="73"/>
        <v>0</v>
      </c>
      <c r="CK299" s="485">
        <f t="shared" si="73"/>
        <v>0</v>
      </c>
      <c r="CL299" s="485">
        <f t="shared" si="73"/>
        <v>0</v>
      </c>
      <c r="CM299" s="486">
        <f t="shared" si="70"/>
        <v>1</v>
      </c>
    </row>
    <row r="300" spans="1:91" s="487" customFormat="1" ht="25.5" x14ac:dyDescent="0.25">
      <c r="A300" s="497" t="s">
        <v>573</v>
      </c>
      <c r="B300" s="498" t="s">
        <v>2909</v>
      </c>
      <c r="C300" s="497" t="s">
        <v>693</v>
      </c>
      <c r="D300" s="498"/>
      <c r="E300" s="497" t="s">
        <v>692</v>
      </c>
      <c r="F300" s="498"/>
      <c r="G300" s="497"/>
      <c r="H300" s="497" t="s">
        <v>654</v>
      </c>
      <c r="I300" s="497" t="s">
        <v>647</v>
      </c>
      <c r="J300" s="497" t="s">
        <v>671</v>
      </c>
      <c r="K300" s="497" t="s">
        <v>649</v>
      </c>
      <c r="L300" s="497" t="s">
        <v>55</v>
      </c>
      <c r="M300" s="497" t="s">
        <v>646</v>
      </c>
      <c r="N300" s="497" t="s">
        <v>645</v>
      </c>
      <c r="O300" s="497"/>
      <c r="P300" s="497"/>
      <c r="Q300" s="497" t="s">
        <v>650</v>
      </c>
      <c r="R300" s="497" t="s">
        <v>652</v>
      </c>
      <c r="S300" s="497" t="s">
        <v>649</v>
      </c>
      <c r="T300" s="497"/>
      <c r="U300" s="497"/>
      <c r="V300" s="497" t="s">
        <v>683</v>
      </c>
      <c r="W300" s="497"/>
      <c r="X300" s="499">
        <v>42948</v>
      </c>
      <c r="Y300" s="499">
        <v>43280</v>
      </c>
      <c r="Z300" s="500">
        <v>2018</v>
      </c>
      <c r="AA300" s="497"/>
      <c r="AB300" s="497"/>
      <c r="AC300" s="497"/>
      <c r="AD300" s="501"/>
      <c r="AE300" s="501"/>
      <c r="AF300" s="501"/>
      <c r="AG300" s="501"/>
      <c r="AH300" s="501"/>
      <c r="AI300" s="501"/>
      <c r="AJ300" s="501"/>
      <c r="AK300" s="501"/>
      <c r="AL300" s="501"/>
      <c r="AM300" s="501"/>
      <c r="AN300" s="501"/>
      <c r="AO300" s="501"/>
      <c r="AP300" s="501"/>
      <c r="AQ300" s="501"/>
      <c r="AR300" s="501"/>
      <c r="AS300" s="501"/>
      <c r="AT300" s="501"/>
      <c r="AU300" s="501"/>
      <c r="AV300" s="501">
        <v>67400.000000000015</v>
      </c>
      <c r="AW300" s="501"/>
      <c r="AX300" s="501"/>
      <c r="AY300" s="501"/>
      <c r="AZ300" s="501"/>
      <c r="BA300" s="501"/>
      <c r="BB300" s="483"/>
      <c r="BC300" s="483"/>
      <c r="BD300" s="483"/>
      <c r="BE300" s="483"/>
      <c r="BF300" s="483"/>
      <c r="BG300" s="483">
        <v>269600.00000000035</v>
      </c>
      <c r="BH300" s="483"/>
      <c r="BI300" s="483"/>
      <c r="BJ300" s="483"/>
      <c r="BK300" s="483"/>
      <c r="BL300" s="483"/>
      <c r="BM300" s="483"/>
      <c r="BN300" s="483"/>
      <c r="BO300" s="483"/>
      <c r="BP300" s="483"/>
      <c r="BQ300" s="483"/>
      <c r="BR300" s="483">
        <v>337000.00000000035</v>
      </c>
      <c r="BS300" s="484">
        <f t="shared" si="69"/>
        <v>67400.000000000015</v>
      </c>
      <c r="BT300" s="485">
        <f t="shared" si="72"/>
        <v>0</v>
      </c>
      <c r="BU300" s="485">
        <f t="shared" si="72"/>
        <v>0</v>
      </c>
      <c r="BV300" s="485">
        <f t="shared" si="72"/>
        <v>0</v>
      </c>
      <c r="BW300" s="485">
        <f t="shared" si="72"/>
        <v>1</v>
      </c>
      <c r="BX300" s="485">
        <f t="shared" si="72"/>
        <v>0</v>
      </c>
      <c r="BY300" s="485">
        <f t="shared" si="72"/>
        <v>0</v>
      </c>
      <c r="BZ300" s="485">
        <f t="shared" si="72"/>
        <v>0</v>
      </c>
      <c r="CA300" s="485">
        <f t="shared" si="72"/>
        <v>0</v>
      </c>
      <c r="CB300" s="485">
        <f t="shared" si="72"/>
        <v>0</v>
      </c>
      <c r="CC300" s="485">
        <f t="shared" si="72"/>
        <v>0</v>
      </c>
      <c r="CD300" s="485">
        <f t="shared" si="73"/>
        <v>0</v>
      </c>
      <c r="CE300" s="485">
        <f t="shared" si="73"/>
        <v>0</v>
      </c>
      <c r="CF300" s="485">
        <f t="shared" si="73"/>
        <v>0</v>
      </c>
      <c r="CG300" s="485">
        <f t="shared" si="73"/>
        <v>0</v>
      </c>
      <c r="CH300" s="485">
        <f t="shared" si="73"/>
        <v>0</v>
      </c>
      <c r="CI300" s="485">
        <f t="shared" si="73"/>
        <v>0</v>
      </c>
      <c r="CJ300" s="485">
        <f t="shared" si="73"/>
        <v>0</v>
      </c>
      <c r="CK300" s="485">
        <f t="shared" si="73"/>
        <v>0</v>
      </c>
      <c r="CL300" s="485">
        <f t="shared" si="73"/>
        <v>0</v>
      </c>
      <c r="CM300" s="486">
        <f t="shared" si="70"/>
        <v>1</v>
      </c>
    </row>
    <row r="301" spans="1:91" s="487" customFormat="1" ht="25.5" x14ac:dyDescent="0.25">
      <c r="A301" s="497" t="s">
        <v>621</v>
      </c>
      <c r="B301" s="498" t="s">
        <v>2235</v>
      </c>
      <c r="C301" s="497" t="s">
        <v>682</v>
      </c>
      <c r="D301" s="498"/>
      <c r="E301" s="497"/>
      <c r="F301" s="498"/>
      <c r="G301" s="497" t="s">
        <v>681</v>
      </c>
      <c r="H301" s="497" t="s">
        <v>654</v>
      </c>
      <c r="I301" s="497" t="s">
        <v>647</v>
      </c>
      <c r="J301" s="497" t="s">
        <v>641</v>
      </c>
      <c r="K301" s="497" t="s">
        <v>663</v>
      </c>
      <c r="L301" s="497" t="s">
        <v>54</v>
      </c>
      <c r="M301" s="497" t="s">
        <v>646</v>
      </c>
      <c r="N301" s="497" t="s">
        <v>680</v>
      </c>
      <c r="O301" s="497" t="s">
        <v>679</v>
      </c>
      <c r="P301" s="497" t="s">
        <v>643</v>
      </c>
      <c r="Q301" s="497" t="s">
        <v>650</v>
      </c>
      <c r="R301" s="497" t="s">
        <v>652</v>
      </c>
      <c r="S301" s="497" t="s">
        <v>663</v>
      </c>
      <c r="T301" s="497"/>
      <c r="U301" s="497" t="s">
        <v>678</v>
      </c>
      <c r="V301" s="497" t="s">
        <v>641</v>
      </c>
      <c r="W301" s="497" t="s">
        <v>677</v>
      </c>
      <c r="X301" s="499">
        <v>42401</v>
      </c>
      <c r="Y301" s="499">
        <v>42734</v>
      </c>
      <c r="Z301" s="500">
        <v>2016</v>
      </c>
      <c r="AA301" s="497" t="s">
        <v>676</v>
      </c>
      <c r="AB301" s="497" t="s">
        <v>675</v>
      </c>
      <c r="AC301" s="497" t="s">
        <v>649</v>
      </c>
      <c r="AD301" s="501"/>
      <c r="AE301" s="501"/>
      <c r="AF301" s="501"/>
      <c r="AG301" s="501"/>
      <c r="AH301" s="501"/>
      <c r="AI301" s="501"/>
      <c r="AJ301" s="501"/>
      <c r="AK301" s="501"/>
      <c r="AL301" s="501">
        <v>151800.00500264816</v>
      </c>
      <c r="AM301" s="501"/>
      <c r="AN301" s="501"/>
      <c r="AO301" s="501">
        <v>10000.000000000002</v>
      </c>
      <c r="AP301" s="501"/>
      <c r="AQ301" s="501"/>
      <c r="AR301" s="501"/>
      <c r="AS301" s="501"/>
      <c r="AT301" s="501"/>
      <c r="AU301" s="501"/>
      <c r="AV301" s="501"/>
      <c r="AW301" s="501"/>
      <c r="AX301" s="501"/>
      <c r="AY301" s="501"/>
      <c r="AZ301" s="501"/>
      <c r="BA301" s="501"/>
      <c r="BB301" s="483">
        <v>22770.000750397223</v>
      </c>
      <c r="BC301" s="483">
        <v>15180.000500264818</v>
      </c>
      <c r="BD301" s="483">
        <v>25616.250844196882</v>
      </c>
      <c r="BE301" s="483">
        <v>592.25720701814453</v>
      </c>
      <c r="BF301" s="483">
        <v>48540.001500794446</v>
      </c>
      <c r="BG301" s="483">
        <v>104505.97327739999</v>
      </c>
      <c r="BH301" s="483"/>
      <c r="BI301" s="483"/>
      <c r="BJ301" s="483"/>
      <c r="BK301" s="483"/>
      <c r="BL301" s="483"/>
      <c r="BM301" s="483"/>
      <c r="BN301" s="483"/>
      <c r="BO301" s="483"/>
      <c r="BP301" s="483"/>
      <c r="BQ301" s="483"/>
      <c r="BR301" s="483">
        <v>379004.48908271961</v>
      </c>
      <c r="BS301" s="484">
        <f t="shared" si="69"/>
        <v>161800.00500264816</v>
      </c>
      <c r="BT301" s="485">
        <f t="shared" si="72"/>
        <v>0</v>
      </c>
      <c r="BU301" s="485">
        <f t="shared" si="72"/>
        <v>0</v>
      </c>
      <c r="BV301" s="485">
        <f t="shared" si="72"/>
        <v>0</v>
      </c>
      <c r="BW301" s="485">
        <f t="shared" si="72"/>
        <v>0</v>
      </c>
      <c r="BX301" s="485">
        <f t="shared" si="72"/>
        <v>0</v>
      </c>
      <c r="BY301" s="485">
        <f t="shared" si="72"/>
        <v>0</v>
      </c>
      <c r="BZ301" s="485">
        <f t="shared" si="72"/>
        <v>0</v>
      </c>
      <c r="CA301" s="485">
        <f t="shared" si="72"/>
        <v>0</v>
      </c>
      <c r="CB301" s="485">
        <f t="shared" si="72"/>
        <v>0</v>
      </c>
      <c r="CC301" s="485">
        <f t="shared" si="72"/>
        <v>0</v>
      </c>
      <c r="CD301" s="485">
        <f t="shared" si="73"/>
        <v>0</v>
      </c>
      <c r="CE301" s="485">
        <f t="shared" si="73"/>
        <v>0</v>
      </c>
      <c r="CF301" s="485">
        <f t="shared" si="73"/>
        <v>0</v>
      </c>
      <c r="CG301" s="485">
        <f t="shared" si="73"/>
        <v>0</v>
      </c>
      <c r="CH301" s="485">
        <f t="shared" si="73"/>
        <v>0.93819530475393786</v>
      </c>
      <c r="CI301" s="485">
        <f t="shared" si="73"/>
        <v>6.1804695246062157E-2</v>
      </c>
      <c r="CJ301" s="485">
        <f t="shared" si="73"/>
        <v>0</v>
      </c>
      <c r="CK301" s="485">
        <f t="shared" si="73"/>
        <v>0</v>
      </c>
      <c r="CL301" s="485">
        <f t="shared" si="73"/>
        <v>0</v>
      </c>
      <c r="CM301" s="486">
        <f t="shared" si="70"/>
        <v>1</v>
      </c>
    </row>
    <row r="302" spans="1:91" s="487" customFormat="1" ht="25.5" x14ac:dyDescent="0.25">
      <c r="A302" s="497" t="s">
        <v>623</v>
      </c>
      <c r="B302" s="498" t="s">
        <v>2834</v>
      </c>
      <c r="C302" s="497" t="s">
        <v>674</v>
      </c>
      <c r="D302" s="498"/>
      <c r="E302" s="497"/>
      <c r="F302" s="498"/>
      <c r="G302" s="497"/>
      <c r="H302" s="497" t="s">
        <v>654</v>
      </c>
      <c r="I302" s="497" t="s">
        <v>647</v>
      </c>
      <c r="J302" s="497" t="s">
        <v>641</v>
      </c>
      <c r="K302" s="497" t="s">
        <v>649</v>
      </c>
      <c r="L302" s="497" t="s">
        <v>40</v>
      </c>
      <c r="M302" s="497" t="s">
        <v>646</v>
      </c>
      <c r="N302" s="497" t="s">
        <v>645</v>
      </c>
      <c r="O302" s="497"/>
      <c r="P302" s="497"/>
      <c r="Q302" s="497" t="s">
        <v>656</v>
      </c>
      <c r="R302" s="497" t="s">
        <v>652</v>
      </c>
      <c r="S302" s="497" t="s">
        <v>649</v>
      </c>
      <c r="T302" s="497"/>
      <c r="U302" s="497"/>
      <c r="V302" s="497" t="s">
        <v>641</v>
      </c>
      <c r="W302" s="497" t="s">
        <v>666</v>
      </c>
      <c r="X302" s="499">
        <v>42495</v>
      </c>
      <c r="Y302" s="499">
        <v>43282</v>
      </c>
      <c r="Z302" s="500">
        <v>2018</v>
      </c>
      <c r="AA302" s="497"/>
      <c r="AB302" s="497"/>
      <c r="AC302" s="497"/>
      <c r="AD302" s="501"/>
      <c r="AE302" s="501"/>
      <c r="AF302" s="501"/>
      <c r="AG302" s="501"/>
      <c r="AH302" s="501"/>
      <c r="AI302" s="501"/>
      <c r="AJ302" s="501"/>
      <c r="AK302" s="501"/>
      <c r="AL302" s="501">
        <v>1114310.0010009985</v>
      </c>
      <c r="AM302" s="501"/>
      <c r="AN302" s="501"/>
      <c r="AO302" s="501"/>
      <c r="AP302" s="501"/>
      <c r="AQ302" s="501"/>
      <c r="AR302" s="501"/>
      <c r="AS302" s="501"/>
      <c r="AT302" s="501"/>
      <c r="AU302" s="501"/>
      <c r="AV302" s="501"/>
      <c r="AW302" s="501"/>
      <c r="AX302" s="501"/>
      <c r="AY302" s="501"/>
      <c r="AZ302" s="501"/>
      <c r="BA302" s="501"/>
      <c r="BB302" s="483">
        <v>167146.5001501498</v>
      </c>
      <c r="BC302" s="483"/>
      <c r="BD302" s="483">
        <v>172996.62765540503</v>
      </c>
      <c r="BE302" s="483">
        <v>3999.746104218023</v>
      </c>
      <c r="BF302" s="483">
        <v>0</v>
      </c>
      <c r="BG302" s="483">
        <v>444197.43813864427</v>
      </c>
      <c r="BH302" s="483"/>
      <c r="BI302" s="483"/>
      <c r="BJ302" s="483"/>
      <c r="BK302" s="483"/>
      <c r="BL302" s="483"/>
      <c r="BM302" s="483"/>
      <c r="BN302" s="483"/>
      <c r="BO302" s="483"/>
      <c r="BP302" s="483"/>
      <c r="BQ302" s="483"/>
      <c r="BR302" s="483">
        <v>1902650.3130494158</v>
      </c>
      <c r="BS302" s="484">
        <f t="shared" si="69"/>
        <v>1114310.0010009985</v>
      </c>
      <c r="BT302" s="485">
        <f t="shared" si="72"/>
        <v>0</v>
      </c>
      <c r="BU302" s="485">
        <f t="shared" si="72"/>
        <v>0</v>
      </c>
      <c r="BV302" s="485">
        <f t="shared" si="72"/>
        <v>0</v>
      </c>
      <c r="BW302" s="485">
        <f t="shared" si="72"/>
        <v>0</v>
      </c>
      <c r="BX302" s="485">
        <f t="shared" si="72"/>
        <v>0</v>
      </c>
      <c r="BY302" s="485">
        <f t="shared" si="72"/>
        <v>0</v>
      </c>
      <c r="BZ302" s="485">
        <f t="shared" si="72"/>
        <v>0</v>
      </c>
      <c r="CA302" s="485">
        <f t="shared" si="72"/>
        <v>0</v>
      </c>
      <c r="CB302" s="485">
        <f t="shared" si="72"/>
        <v>0</v>
      </c>
      <c r="CC302" s="485">
        <f t="shared" si="72"/>
        <v>0</v>
      </c>
      <c r="CD302" s="485">
        <f t="shared" si="73"/>
        <v>0</v>
      </c>
      <c r="CE302" s="485">
        <f t="shared" si="73"/>
        <v>0</v>
      </c>
      <c r="CF302" s="485">
        <f t="shared" si="73"/>
        <v>0</v>
      </c>
      <c r="CG302" s="485">
        <f t="shared" si="73"/>
        <v>0</v>
      </c>
      <c r="CH302" s="485">
        <f t="shared" si="73"/>
        <v>1</v>
      </c>
      <c r="CI302" s="485">
        <f t="shared" si="73"/>
        <v>0</v>
      </c>
      <c r="CJ302" s="485">
        <f t="shared" si="73"/>
        <v>0</v>
      </c>
      <c r="CK302" s="485">
        <f t="shared" si="73"/>
        <v>0</v>
      </c>
      <c r="CL302" s="485">
        <f t="shared" si="73"/>
        <v>0</v>
      </c>
      <c r="CM302" s="486">
        <f t="shared" si="70"/>
        <v>1</v>
      </c>
    </row>
    <row r="303" spans="1:91" s="487" customFormat="1" ht="25.5" x14ac:dyDescent="0.25">
      <c r="A303" s="497" t="s">
        <v>625</v>
      </c>
      <c r="B303" s="498" t="s">
        <v>2835</v>
      </c>
      <c r="C303" s="497" t="s">
        <v>673</v>
      </c>
      <c r="D303" s="498"/>
      <c r="E303" s="497"/>
      <c r="F303" s="498"/>
      <c r="G303" s="497"/>
      <c r="H303" s="497" t="s">
        <v>654</v>
      </c>
      <c r="I303" s="497" t="s">
        <v>647</v>
      </c>
      <c r="J303" s="497" t="s">
        <v>641</v>
      </c>
      <c r="K303" s="497"/>
      <c r="L303" s="497" t="s">
        <v>40</v>
      </c>
      <c r="M303" s="497" t="s">
        <v>646</v>
      </c>
      <c r="N303" s="497" t="s">
        <v>645</v>
      </c>
      <c r="O303" s="497"/>
      <c r="P303" s="497"/>
      <c r="Q303" s="497" t="s">
        <v>656</v>
      </c>
      <c r="R303" s="497" t="s">
        <v>652</v>
      </c>
      <c r="S303" s="497" t="s">
        <v>649</v>
      </c>
      <c r="T303" s="497"/>
      <c r="U303" s="497"/>
      <c r="V303" s="497" t="s">
        <v>641</v>
      </c>
      <c r="W303" s="497"/>
      <c r="X303" s="499">
        <v>42552</v>
      </c>
      <c r="Y303" s="499">
        <v>43488</v>
      </c>
      <c r="Z303" s="500">
        <v>2019</v>
      </c>
      <c r="AA303" s="497" t="s">
        <v>663</v>
      </c>
      <c r="AB303" s="497"/>
      <c r="AC303" s="497"/>
      <c r="AD303" s="501"/>
      <c r="AE303" s="501"/>
      <c r="AF303" s="501"/>
      <c r="AG303" s="501"/>
      <c r="AH303" s="501"/>
      <c r="AI303" s="501"/>
      <c r="AJ303" s="501"/>
      <c r="AK303" s="501"/>
      <c r="AL303" s="501">
        <v>1489691.0000000012</v>
      </c>
      <c r="AM303" s="501"/>
      <c r="AN303" s="501"/>
      <c r="AO303" s="501"/>
      <c r="AP303" s="501"/>
      <c r="AQ303" s="501"/>
      <c r="AR303" s="501"/>
      <c r="AS303" s="501"/>
      <c r="AT303" s="501"/>
      <c r="AU303" s="501"/>
      <c r="AV303" s="501"/>
      <c r="AW303" s="501"/>
      <c r="AX303" s="501"/>
      <c r="AY303" s="501"/>
      <c r="AZ303" s="501"/>
      <c r="BA303" s="501"/>
      <c r="BB303" s="483">
        <v>223453.65000000014</v>
      </c>
      <c r="BC303" s="483"/>
      <c r="BD303" s="483">
        <v>231274.52775000018</v>
      </c>
      <c r="BE303" s="483">
        <v>5347.1527388125041</v>
      </c>
      <c r="BF303" s="483">
        <v>0</v>
      </c>
      <c r="BG303" s="483">
        <v>593050.55130135221</v>
      </c>
      <c r="BH303" s="483"/>
      <c r="BI303" s="483"/>
      <c r="BJ303" s="483"/>
      <c r="BK303" s="483"/>
      <c r="BL303" s="483"/>
      <c r="BM303" s="483"/>
      <c r="BN303" s="483"/>
      <c r="BO303" s="483"/>
      <c r="BP303" s="483"/>
      <c r="BQ303" s="483"/>
      <c r="BR303" s="483">
        <v>2542816.8817901663</v>
      </c>
      <c r="BS303" s="484">
        <f t="shared" si="69"/>
        <v>1489691.0000000012</v>
      </c>
      <c r="BT303" s="485">
        <f t="shared" si="72"/>
        <v>0</v>
      </c>
      <c r="BU303" s="485">
        <f t="shared" si="72"/>
        <v>0</v>
      </c>
      <c r="BV303" s="485">
        <f t="shared" si="72"/>
        <v>0</v>
      </c>
      <c r="BW303" s="485">
        <f t="shared" si="72"/>
        <v>0</v>
      </c>
      <c r="BX303" s="485">
        <f t="shared" si="72"/>
        <v>0</v>
      </c>
      <c r="BY303" s="485">
        <f t="shared" si="72"/>
        <v>0</v>
      </c>
      <c r="BZ303" s="485">
        <f t="shared" si="72"/>
        <v>0</v>
      </c>
      <c r="CA303" s="485">
        <f t="shared" si="72"/>
        <v>0</v>
      </c>
      <c r="CB303" s="485">
        <f t="shared" si="72"/>
        <v>0</v>
      </c>
      <c r="CC303" s="485">
        <f t="shared" si="72"/>
        <v>0</v>
      </c>
      <c r="CD303" s="485">
        <f t="shared" si="73"/>
        <v>0</v>
      </c>
      <c r="CE303" s="485">
        <f t="shared" si="73"/>
        <v>0</v>
      </c>
      <c r="CF303" s="485">
        <f t="shared" si="73"/>
        <v>0</v>
      </c>
      <c r="CG303" s="485">
        <f t="shared" si="73"/>
        <v>0</v>
      </c>
      <c r="CH303" s="485">
        <f t="shared" si="73"/>
        <v>1</v>
      </c>
      <c r="CI303" s="485">
        <f t="shared" si="73"/>
        <v>0</v>
      </c>
      <c r="CJ303" s="485">
        <f t="shared" si="73"/>
        <v>0</v>
      </c>
      <c r="CK303" s="485">
        <f t="shared" si="73"/>
        <v>0</v>
      </c>
      <c r="CL303" s="485">
        <f t="shared" si="73"/>
        <v>0</v>
      </c>
      <c r="CM303" s="486">
        <f t="shared" si="70"/>
        <v>1</v>
      </c>
    </row>
    <row r="304" spans="1:91" s="487" customFormat="1" ht="25.5" x14ac:dyDescent="0.25">
      <c r="A304" s="497" t="s">
        <v>627</v>
      </c>
      <c r="B304" s="498" t="s">
        <v>2261</v>
      </c>
      <c r="C304" s="497" t="s">
        <v>672</v>
      </c>
      <c r="D304" s="498"/>
      <c r="E304" s="497"/>
      <c r="F304" s="498"/>
      <c r="G304" s="497"/>
      <c r="H304" s="497" t="s">
        <v>654</v>
      </c>
      <c r="I304" s="497" t="s">
        <v>647</v>
      </c>
      <c r="J304" s="497" t="s">
        <v>671</v>
      </c>
      <c r="K304" s="497"/>
      <c r="L304" s="497" t="s">
        <v>107</v>
      </c>
      <c r="M304" s="497" t="s">
        <v>646</v>
      </c>
      <c r="N304" s="497" t="s">
        <v>645</v>
      </c>
      <c r="O304" s="497"/>
      <c r="P304" s="497" t="s">
        <v>643</v>
      </c>
      <c r="Q304" s="497" t="s">
        <v>650</v>
      </c>
      <c r="R304" s="497" t="s">
        <v>652</v>
      </c>
      <c r="S304" s="497" t="s">
        <v>649</v>
      </c>
      <c r="T304" s="497"/>
      <c r="U304" s="497"/>
      <c r="V304" s="497" t="s">
        <v>670</v>
      </c>
      <c r="W304" s="497" t="s">
        <v>666</v>
      </c>
      <c r="X304" s="499">
        <v>42186</v>
      </c>
      <c r="Y304" s="499">
        <v>43272</v>
      </c>
      <c r="Z304" s="500">
        <v>2018</v>
      </c>
      <c r="AA304" s="497" t="s">
        <v>663</v>
      </c>
      <c r="AB304" s="497"/>
      <c r="AC304" s="497"/>
      <c r="AD304" s="501"/>
      <c r="AE304" s="501"/>
      <c r="AF304" s="501"/>
      <c r="AG304" s="501"/>
      <c r="AH304" s="501"/>
      <c r="AI304" s="501"/>
      <c r="AJ304" s="501"/>
      <c r="AK304" s="501"/>
      <c r="AL304" s="501"/>
      <c r="AM304" s="501"/>
      <c r="AN304" s="501"/>
      <c r="AO304" s="501"/>
      <c r="AP304" s="501"/>
      <c r="AQ304" s="501"/>
      <c r="AR304" s="501"/>
      <c r="AS304" s="501"/>
      <c r="AT304" s="501"/>
      <c r="AU304" s="501"/>
      <c r="AV304" s="501"/>
      <c r="AW304" s="501"/>
      <c r="AX304" s="501"/>
      <c r="AY304" s="501"/>
      <c r="AZ304" s="501"/>
      <c r="BA304" s="501"/>
      <c r="BB304" s="483"/>
      <c r="BC304" s="483"/>
      <c r="BD304" s="483"/>
      <c r="BE304" s="483"/>
      <c r="BF304" s="483"/>
      <c r="BG304" s="483">
        <v>395102.1239999996</v>
      </c>
      <c r="BH304" s="483"/>
      <c r="BI304" s="483"/>
      <c r="BJ304" s="483"/>
      <c r="BK304" s="483"/>
      <c r="BL304" s="483"/>
      <c r="BM304" s="483"/>
      <c r="BN304" s="483"/>
      <c r="BO304" s="483"/>
      <c r="BP304" s="483"/>
      <c r="BQ304" s="483"/>
      <c r="BR304" s="483">
        <v>395102.1239999996</v>
      </c>
      <c r="BS304" s="484">
        <f t="shared" si="69"/>
        <v>0</v>
      </c>
      <c r="BT304" s="485">
        <v>0</v>
      </c>
      <c r="BU304" s="485">
        <v>0</v>
      </c>
      <c r="BV304" s="485">
        <v>0</v>
      </c>
      <c r="BW304" s="485">
        <v>0</v>
      </c>
      <c r="BX304" s="485">
        <v>0</v>
      </c>
      <c r="BY304" s="485">
        <v>0</v>
      </c>
      <c r="BZ304" s="485">
        <v>0</v>
      </c>
      <c r="CA304" s="485">
        <v>0</v>
      </c>
      <c r="CB304" s="485">
        <v>0</v>
      </c>
      <c r="CC304" s="485">
        <v>0</v>
      </c>
      <c r="CD304" s="485">
        <v>0</v>
      </c>
      <c r="CE304" s="485">
        <v>0</v>
      </c>
      <c r="CF304" s="485">
        <v>0</v>
      </c>
      <c r="CG304" s="485">
        <v>0</v>
      </c>
      <c r="CH304" s="485">
        <v>1</v>
      </c>
      <c r="CI304" s="485">
        <v>0</v>
      </c>
      <c r="CJ304" s="485">
        <v>0</v>
      </c>
      <c r="CK304" s="485">
        <v>0</v>
      </c>
      <c r="CL304" s="485">
        <v>0</v>
      </c>
      <c r="CM304" s="486">
        <f t="shared" si="70"/>
        <v>1</v>
      </c>
    </row>
    <row r="305" spans="1:91" s="487" customFormat="1" ht="25.5" x14ac:dyDescent="0.25">
      <c r="A305" s="497" t="s">
        <v>631</v>
      </c>
      <c r="B305" s="498" t="s">
        <v>2836</v>
      </c>
      <c r="C305" s="497" t="s">
        <v>669</v>
      </c>
      <c r="D305" s="498"/>
      <c r="E305" s="497"/>
      <c r="F305" s="498"/>
      <c r="G305" s="497" t="s">
        <v>648</v>
      </c>
      <c r="H305" s="497" t="s">
        <v>654</v>
      </c>
      <c r="I305" s="497" t="s">
        <v>647</v>
      </c>
      <c r="J305" s="497" t="s">
        <v>641</v>
      </c>
      <c r="K305" s="497" t="s">
        <v>649</v>
      </c>
      <c r="L305" s="497" t="s">
        <v>41</v>
      </c>
      <c r="M305" s="497" t="s">
        <v>646</v>
      </c>
      <c r="N305" s="497" t="s">
        <v>668</v>
      </c>
      <c r="O305" s="497"/>
      <c r="P305" s="497"/>
      <c r="Q305" s="497" t="s">
        <v>650</v>
      </c>
      <c r="R305" s="497" t="s">
        <v>652</v>
      </c>
      <c r="S305" s="497" t="s">
        <v>649</v>
      </c>
      <c r="T305" s="497"/>
      <c r="U305" s="497"/>
      <c r="V305" s="497"/>
      <c r="W305" s="497" t="s">
        <v>666</v>
      </c>
      <c r="X305" s="499">
        <v>42461</v>
      </c>
      <c r="Y305" s="499">
        <v>43069</v>
      </c>
      <c r="Z305" s="500">
        <v>2017</v>
      </c>
      <c r="AA305" s="497" t="s">
        <v>663</v>
      </c>
      <c r="AB305" s="497"/>
      <c r="AC305" s="497"/>
      <c r="AD305" s="501"/>
      <c r="AE305" s="501"/>
      <c r="AF305" s="501"/>
      <c r="AG305" s="501">
        <v>1320000.0000000005</v>
      </c>
      <c r="AH305" s="501"/>
      <c r="AI305" s="501"/>
      <c r="AJ305" s="501"/>
      <c r="AK305" s="501"/>
      <c r="AL305" s="501"/>
      <c r="AM305" s="501"/>
      <c r="AN305" s="501"/>
      <c r="AO305" s="501"/>
      <c r="AP305" s="501"/>
      <c r="AQ305" s="501"/>
      <c r="AR305" s="501"/>
      <c r="AS305" s="501"/>
      <c r="AT305" s="501"/>
      <c r="AU305" s="501"/>
      <c r="AV305" s="501"/>
      <c r="AW305" s="501"/>
      <c r="AX305" s="501"/>
      <c r="AY305" s="501"/>
      <c r="AZ305" s="501"/>
      <c r="BA305" s="501"/>
      <c r="BB305" s="483"/>
      <c r="BC305" s="483"/>
      <c r="BD305" s="483"/>
      <c r="BE305" s="483"/>
      <c r="BF305" s="483"/>
      <c r="BG305" s="483">
        <v>137951.37695185727</v>
      </c>
      <c r="BH305" s="483"/>
      <c r="BI305" s="483"/>
      <c r="BJ305" s="483"/>
      <c r="BK305" s="483"/>
      <c r="BL305" s="483"/>
      <c r="BM305" s="483"/>
      <c r="BN305" s="483"/>
      <c r="BO305" s="483"/>
      <c r="BP305" s="483"/>
      <c r="BQ305" s="483"/>
      <c r="BR305" s="483">
        <v>1457951.3769518575</v>
      </c>
      <c r="BS305" s="484">
        <f t="shared" si="69"/>
        <v>1320000.0000000005</v>
      </c>
      <c r="BT305" s="485">
        <f t="shared" ref="BT305:CC309" si="74">SUMIFS($AD305:$BA305,$AD$11:$BA$11,BT$21)/$BS305</f>
        <v>0</v>
      </c>
      <c r="BU305" s="485">
        <f t="shared" si="74"/>
        <v>0</v>
      </c>
      <c r="BV305" s="485">
        <f t="shared" si="74"/>
        <v>0</v>
      </c>
      <c r="BW305" s="485">
        <f t="shared" si="74"/>
        <v>0</v>
      </c>
      <c r="BX305" s="485">
        <f t="shared" si="74"/>
        <v>0</v>
      </c>
      <c r="BY305" s="485">
        <f t="shared" si="74"/>
        <v>0</v>
      </c>
      <c r="BZ305" s="485">
        <f t="shared" si="74"/>
        <v>0</v>
      </c>
      <c r="CA305" s="485">
        <f t="shared" si="74"/>
        <v>0</v>
      </c>
      <c r="CB305" s="485">
        <f t="shared" si="74"/>
        <v>0</v>
      </c>
      <c r="CC305" s="485">
        <f t="shared" si="74"/>
        <v>1</v>
      </c>
      <c r="CD305" s="485">
        <f t="shared" ref="CD305:CL309" si="75">SUMIFS($AD305:$BA305,$AD$11:$BA$11,CD$21)/$BS305</f>
        <v>0</v>
      </c>
      <c r="CE305" s="485">
        <f t="shared" si="75"/>
        <v>0</v>
      </c>
      <c r="CF305" s="485">
        <f t="shared" si="75"/>
        <v>0</v>
      </c>
      <c r="CG305" s="485">
        <f t="shared" si="75"/>
        <v>0</v>
      </c>
      <c r="CH305" s="485">
        <f t="shared" si="75"/>
        <v>0</v>
      </c>
      <c r="CI305" s="485">
        <f t="shared" si="75"/>
        <v>0</v>
      </c>
      <c r="CJ305" s="485">
        <f t="shared" si="75"/>
        <v>0</v>
      </c>
      <c r="CK305" s="485">
        <f t="shared" si="75"/>
        <v>0</v>
      </c>
      <c r="CL305" s="485">
        <f t="shared" si="75"/>
        <v>0</v>
      </c>
      <c r="CM305" s="486">
        <f t="shared" si="70"/>
        <v>1</v>
      </c>
    </row>
    <row r="306" spans="1:91" s="487" customFormat="1" ht="25.5" x14ac:dyDescent="0.25">
      <c r="A306" s="497" t="s">
        <v>633</v>
      </c>
      <c r="B306" s="498" t="s">
        <v>2621</v>
      </c>
      <c r="C306" s="497" t="s">
        <v>2800</v>
      </c>
      <c r="D306" s="498"/>
      <c r="E306" s="497"/>
      <c r="F306" s="498"/>
      <c r="G306" s="497"/>
      <c r="H306" s="497" t="s">
        <v>654</v>
      </c>
      <c r="I306" s="497" t="s">
        <v>647</v>
      </c>
      <c r="J306" s="497" t="s">
        <v>641</v>
      </c>
      <c r="K306" s="497"/>
      <c r="L306" s="497" t="s">
        <v>41</v>
      </c>
      <c r="M306" s="497" t="s">
        <v>646</v>
      </c>
      <c r="N306" s="497" t="s">
        <v>645</v>
      </c>
      <c r="O306" s="497"/>
      <c r="P306" s="497"/>
      <c r="Q306" s="497" t="s">
        <v>642</v>
      </c>
      <c r="R306" s="497" t="s">
        <v>652</v>
      </c>
      <c r="S306" s="497" t="s">
        <v>649</v>
      </c>
      <c r="T306" s="497"/>
      <c r="U306" s="497"/>
      <c r="V306" s="497" t="s">
        <v>641</v>
      </c>
      <c r="W306" s="497" t="s">
        <v>666</v>
      </c>
      <c r="X306" s="499">
        <v>42552</v>
      </c>
      <c r="Y306" s="499">
        <v>43748</v>
      </c>
      <c r="Z306" s="500">
        <v>2019</v>
      </c>
      <c r="AA306" s="497" t="s">
        <v>663</v>
      </c>
      <c r="AB306" s="497"/>
      <c r="AC306" s="497"/>
      <c r="AD306" s="501"/>
      <c r="AE306" s="501"/>
      <c r="AF306" s="501"/>
      <c r="AG306" s="501">
        <v>2838527.8379999995</v>
      </c>
      <c r="AH306" s="501"/>
      <c r="AI306" s="501">
        <v>22868.996039999998</v>
      </c>
      <c r="AJ306" s="501"/>
      <c r="AK306" s="501"/>
      <c r="AL306" s="501">
        <v>2400000</v>
      </c>
      <c r="AM306" s="501"/>
      <c r="AN306" s="501"/>
      <c r="AO306" s="501"/>
      <c r="AP306" s="501"/>
      <c r="AQ306" s="501"/>
      <c r="AR306" s="501"/>
      <c r="AS306" s="501"/>
      <c r="AT306" s="501"/>
      <c r="AU306" s="501"/>
      <c r="AV306" s="501"/>
      <c r="AW306" s="501"/>
      <c r="AX306" s="501"/>
      <c r="AY306" s="501"/>
      <c r="AZ306" s="501"/>
      <c r="BA306" s="501"/>
      <c r="BB306" s="483">
        <v>342415.77510599978</v>
      </c>
      <c r="BC306" s="483">
        <v>228277.18340399989</v>
      </c>
      <c r="BD306" s="483">
        <v>385217.74699424987</v>
      </c>
      <c r="BE306" s="483">
        <v>10497.595733746684</v>
      </c>
      <c r="BF306" s="483">
        <v>0</v>
      </c>
      <c r="BG306" s="483">
        <v>1064428.1010905164</v>
      </c>
      <c r="BH306" s="483"/>
      <c r="BI306" s="483"/>
      <c r="BJ306" s="483"/>
      <c r="BK306" s="483"/>
      <c r="BL306" s="483"/>
      <c r="BM306" s="483"/>
      <c r="BN306" s="483"/>
      <c r="BO306" s="483">
        <v>6539999.9999999991</v>
      </c>
      <c r="BP306" s="483"/>
      <c r="BQ306" s="483"/>
      <c r="BR306" s="483">
        <v>13832233.236368513</v>
      </c>
      <c r="BS306" s="484">
        <f t="shared" si="69"/>
        <v>5261396.8340399992</v>
      </c>
      <c r="BT306" s="485">
        <f t="shared" si="74"/>
        <v>0</v>
      </c>
      <c r="BU306" s="485">
        <f t="shared" si="74"/>
        <v>0</v>
      </c>
      <c r="BV306" s="485">
        <f t="shared" si="74"/>
        <v>0</v>
      </c>
      <c r="BW306" s="485">
        <f t="shared" si="74"/>
        <v>0</v>
      </c>
      <c r="BX306" s="485">
        <f t="shared" si="74"/>
        <v>0</v>
      </c>
      <c r="BY306" s="485">
        <f t="shared" si="74"/>
        <v>0</v>
      </c>
      <c r="BZ306" s="485">
        <f t="shared" si="74"/>
        <v>0</v>
      </c>
      <c r="CA306" s="485">
        <f t="shared" si="74"/>
        <v>0</v>
      </c>
      <c r="CB306" s="485">
        <f t="shared" si="74"/>
        <v>0</v>
      </c>
      <c r="CC306" s="485">
        <f t="shared" si="74"/>
        <v>0.53950080701675884</v>
      </c>
      <c r="CD306" s="485">
        <f t="shared" si="75"/>
        <v>0</v>
      </c>
      <c r="CE306" s="485">
        <f t="shared" si="75"/>
        <v>4.3465636144460681E-3</v>
      </c>
      <c r="CF306" s="485">
        <f t="shared" si="75"/>
        <v>0</v>
      </c>
      <c r="CG306" s="485">
        <f t="shared" si="75"/>
        <v>0</v>
      </c>
      <c r="CH306" s="485">
        <f t="shared" si="75"/>
        <v>0.45615262936879514</v>
      </c>
      <c r="CI306" s="485">
        <f t="shared" si="75"/>
        <v>0</v>
      </c>
      <c r="CJ306" s="485">
        <f t="shared" si="75"/>
        <v>0</v>
      </c>
      <c r="CK306" s="485">
        <f t="shared" si="75"/>
        <v>0</v>
      </c>
      <c r="CL306" s="485">
        <f t="shared" si="75"/>
        <v>0</v>
      </c>
      <c r="CM306" s="486">
        <f t="shared" si="70"/>
        <v>1</v>
      </c>
    </row>
    <row r="307" spans="1:91" s="487" customFormat="1" ht="25.5" x14ac:dyDescent="0.25">
      <c r="A307" s="497" t="s">
        <v>635</v>
      </c>
      <c r="B307" s="498" t="s">
        <v>2622</v>
      </c>
      <c r="C307" s="497" t="s">
        <v>667</v>
      </c>
      <c r="D307" s="498"/>
      <c r="E307" s="497"/>
      <c r="F307" s="498"/>
      <c r="G307" s="497"/>
      <c r="H307" s="497" t="s">
        <v>654</v>
      </c>
      <c r="I307" s="497" t="s">
        <v>647</v>
      </c>
      <c r="J307" s="497" t="s">
        <v>641</v>
      </c>
      <c r="K307" s="497"/>
      <c r="L307" s="497" t="s">
        <v>54</v>
      </c>
      <c r="M307" s="497" t="s">
        <v>646</v>
      </c>
      <c r="N307" s="497" t="s">
        <v>645</v>
      </c>
      <c r="O307" s="497"/>
      <c r="P307" s="497" t="s">
        <v>643</v>
      </c>
      <c r="Q307" s="497" t="s">
        <v>650</v>
      </c>
      <c r="R307" s="497" t="s">
        <v>652</v>
      </c>
      <c r="S307" s="497" t="s">
        <v>649</v>
      </c>
      <c r="T307" s="497"/>
      <c r="U307" s="497"/>
      <c r="V307" s="497" t="s">
        <v>641</v>
      </c>
      <c r="W307" s="497" t="s">
        <v>666</v>
      </c>
      <c r="X307" s="499">
        <v>42552</v>
      </c>
      <c r="Y307" s="499">
        <v>42836</v>
      </c>
      <c r="Z307" s="500">
        <v>2017</v>
      </c>
      <c r="AA307" s="497"/>
      <c r="AB307" s="497"/>
      <c r="AC307" s="497"/>
      <c r="AD307" s="501"/>
      <c r="AE307" s="501"/>
      <c r="AF307" s="501"/>
      <c r="AG307" s="501">
        <v>706728</v>
      </c>
      <c r="AH307" s="501"/>
      <c r="AI307" s="501"/>
      <c r="AJ307" s="501"/>
      <c r="AK307" s="501"/>
      <c r="AL307" s="501">
        <v>33359.200000000012</v>
      </c>
      <c r="AM307" s="501"/>
      <c r="AN307" s="501"/>
      <c r="AO307" s="501">
        <v>140000.00000000003</v>
      </c>
      <c r="AP307" s="501"/>
      <c r="AQ307" s="501"/>
      <c r="AR307" s="501"/>
      <c r="AS307" s="501"/>
      <c r="AT307" s="501"/>
      <c r="AU307" s="501"/>
      <c r="AV307" s="501"/>
      <c r="AW307" s="501"/>
      <c r="AX307" s="501"/>
      <c r="AY307" s="501"/>
      <c r="AZ307" s="501"/>
      <c r="BA307" s="501"/>
      <c r="BB307" s="483">
        <v>315896.7</v>
      </c>
      <c r="BC307" s="483">
        <v>101097.80000000005</v>
      </c>
      <c r="BD307" s="483">
        <v>170602.53750000006</v>
      </c>
      <c r="BE307" s="483">
        <v>4036.1316531250013</v>
      </c>
      <c r="BF307" s="483">
        <v>0</v>
      </c>
      <c r="BG307" s="483">
        <v>262756.25400880963</v>
      </c>
      <c r="BH307" s="483"/>
      <c r="BI307" s="483"/>
      <c r="BJ307" s="483"/>
      <c r="BK307" s="483"/>
      <c r="BL307" s="483"/>
      <c r="BM307" s="483"/>
      <c r="BN307" s="483"/>
      <c r="BO307" s="483"/>
      <c r="BP307" s="483"/>
      <c r="BQ307" s="483"/>
      <c r="BR307" s="483">
        <v>1734476.6231619348</v>
      </c>
      <c r="BS307" s="484">
        <f t="shared" si="69"/>
        <v>880087.2</v>
      </c>
      <c r="BT307" s="485">
        <f t="shared" si="74"/>
        <v>0</v>
      </c>
      <c r="BU307" s="485">
        <f t="shared" si="74"/>
        <v>0</v>
      </c>
      <c r="BV307" s="485">
        <f t="shared" si="74"/>
        <v>0</v>
      </c>
      <c r="BW307" s="485">
        <f t="shared" si="74"/>
        <v>0</v>
      </c>
      <c r="BX307" s="485">
        <f t="shared" si="74"/>
        <v>0</v>
      </c>
      <c r="BY307" s="485">
        <f t="shared" si="74"/>
        <v>0</v>
      </c>
      <c r="BZ307" s="485">
        <f t="shared" si="74"/>
        <v>0</v>
      </c>
      <c r="CA307" s="485">
        <f t="shared" si="74"/>
        <v>0</v>
      </c>
      <c r="CB307" s="485">
        <f t="shared" si="74"/>
        <v>0</v>
      </c>
      <c r="CC307" s="485">
        <f t="shared" si="74"/>
        <v>0.80302042797577333</v>
      </c>
      <c r="CD307" s="485">
        <f t="shared" si="75"/>
        <v>0</v>
      </c>
      <c r="CE307" s="485">
        <f t="shared" si="75"/>
        <v>0</v>
      </c>
      <c r="CF307" s="485">
        <f t="shared" si="75"/>
        <v>0</v>
      </c>
      <c r="CG307" s="485">
        <f t="shared" si="75"/>
        <v>0</v>
      </c>
      <c r="CH307" s="485">
        <f t="shared" si="75"/>
        <v>3.7904425834167359E-2</v>
      </c>
      <c r="CI307" s="485">
        <f t="shared" si="75"/>
        <v>0.15907514619005939</v>
      </c>
      <c r="CJ307" s="485">
        <f t="shared" si="75"/>
        <v>0</v>
      </c>
      <c r="CK307" s="485">
        <f t="shared" si="75"/>
        <v>0</v>
      </c>
      <c r="CL307" s="485">
        <f t="shared" si="75"/>
        <v>0</v>
      </c>
      <c r="CM307" s="486">
        <f t="shared" si="70"/>
        <v>1</v>
      </c>
    </row>
    <row r="308" spans="1:91" s="487" customFormat="1" ht="25.5" x14ac:dyDescent="0.25">
      <c r="A308" s="497" t="s">
        <v>2418</v>
      </c>
      <c r="B308" s="498" t="s">
        <v>2584</v>
      </c>
      <c r="C308" s="497" t="s">
        <v>2801</v>
      </c>
      <c r="D308" s="498"/>
      <c r="E308" s="497"/>
      <c r="F308" s="498"/>
      <c r="G308" s="497" t="s">
        <v>686</v>
      </c>
      <c r="H308" s="497" t="s">
        <v>654</v>
      </c>
      <c r="I308" s="497" t="s">
        <v>647</v>
      </c>
      <c r="J308" s="497" t="s">
        <v>641</v>
      </c>
      <c r="K308" s="497"/>
      <c r="L308" s="497" t="s">
        <v>41</v>
      </c>
      <c r="M308" s="497" t="s">
        <v>646</v>
      </c>
      <c r="N308" s="497" t="s">
        <v>668</v>
      </c>
      <c r="O308" s="497"/>
      <c r="P308" s="497"/>
      <c r="Q308" s="497" t="s">
        <v>650</v>
      </c>
      <c r="R308" s="497" t="s">
        <v>652</v>
      </c>
      <c r="S308" s="497"/>
      <c r="T308" s="497"/>
      <c r="U308" s="497"/>
      <c r="V308" s="497" t="s">
        <v>641</v>
      </c>
      <c r="W308" s="497"/>
      <c r="X308" s="499">
        <v>42828</v>
      </c>
      <c r="Y308" s="499">
        <v>43281</v>
      </c>
      <c r="Z308" s="500">
        <v>2018</v>
      </c>
      <c r="AA308" s="497" t="s">
        <v>663</v>
      </c>
      <c r="AB308" s="497"/>
      <c r="AC308" s="497"/>
      <c r="AD308" s="501"/>
      <c r="AE308" s="501"/>
      <c r="AF308" s="501"/>
      <c r="AG308" s="501">
        <v>313189.1999999999</v>
      </c>
      <c r="AH308" s="501"/>
      <c r="AI308" s="501">
        <v>21236.998919999995</v>
      </c>
      <c r="AJ308" s="501"/>
      <c r="AK308" s="501"/>
      <c r="AL308" s="501"/>
      <c r="AM308" s="501"/>
      <c r="AN308" s="501"/>
      <c r="AO308" s="501"/>
      <c r="AP308" s="501"/>
      <c r="AQ308" s="501"/>
      <c r="AR308" s="501"/>
      <c r="AS308" s="501"/>
      <c r="AT308" s="501"/>
      <c r="AU308" s="501"/>
      <c r="AV308" s="501"/>
      <c r="AW308" s="501"/>
      <c r="AX308" s="501"/>
      <c r="AY308" s="501"/>
      <c r="AZ308" s="501"/>
      <c r="BA308" s="501"/>
      <c r="BB308" s="483">
        <v>25196.029837999988</v>
      </c>
      <c r="BC308" s="483">
        <v>15264.019891999995</v>
      </c>
      <c r="BD308" s="483">
        <v>25758.033567749986</v>
      </c>
      <c r="BE308" s="483">
        <v>1101.7717760988123</v>
      </c>
      <c r="BF308" s="483">
        <v>0</v>
      </c>
      <c r="BG308" s="483">
        <v>88935.032299916755</v>
      </c>
      <c r="BH308" s="483"/>
      <c r="BI308" s="483"/>
      <c r="BJ308" s="483"/>
      <c r="BK308" s="483"/>
      <c r="BL308" s="483"/>
      <c r="BM308" s="483"/>
      <c r="BN308" s="483"/>
      <c r="BO308" s="483"/>
      <c r="BP308" s="483"/>
      <c r="BQ308" s="483"/>
      <c r="BR308" s="483">
        <v>490681.0862937654</v>
      </c>
      <c r="BS308" s="484">
        <f t="shared" si="69"/>
        <v>334426.19891999988</v>
      </c>
      <c r="BT308" s="485">
        <f t="shared" si="74"/>
        <v>0</v>
      </c>
      <c r="BU308" s="485">
        <f t="shared" si="74"/>
        <v>0</v>
      </c>
      <c r="BV308" s="485">
        <f t="shared" si="74"/>
        <v>0</v>
      </c>
      <c r="BW308" s="485">
        <f t="shared" si="74"/>
        <v>0</v>
      </c>
      <c r="BX308" s="485">
        <f t="shared" si="74"/>
        <v>0</v>
      </c>
      <c r="BY308" s="485">
        <f t="shared" si="74"/>
        <v>0</v>
      </c>
      <c r="BZ308" s="485">
        <f t="shared" si="74"/>
        <v>0</v>
      </c>
      <c r="CA308" s="485">
        <f t="shared" si="74"/>
        <v>0</v>
      </c>
      <c r="CB308" s="485">
        <f t="shared" si="74"/>
        <v>0</v>
      </c>
      <c r="CC308" s="485">
        <f t="shared" si="74"/>
        <v>0.93649720330350006</v>
      </c>
      <c r="CD308" s="485">
        <f t="shared" si="75"/>
        <v>0</v>
      </c>
      <c r="CE308" s="485">
        <f t="shared" si="75"/>
        <v>6.3502796696499927E-2</v>
      </c>
      <c r="CF308" s="485">
        <f t="shared" si="75"/>
        <v>0</v>
      </c>
      <c r="CG308" s="485">
        <f t="shared" si="75"/>
        <v>0</v>
      </c>
      <c r="CH308" s="485">
        <f t="shared" si="75"/>
        <v>0</v>
      </c>
      <c r="CI308" s="485">
        <f t="shared" si="75"/>
        <v>0</v>
      </c>
      <c r="CJ308" s="485">
        <f t="shared" si="75"/>
        <v>0</v>
      </c>
      <c r="CK308" s="485">
        <f t="shared" si="75"/>
        <v>0</v>
      </c>
      <c r="CL308" s="485">
        <f t="shared" si="75"/>
        <v>0</v>
      </c>
      <c r="CM308" s="486">
        <f t="shared" si="70"/>
        <v>1</v>
      </c>
    </row>
    <row r="309" spans="1:91" s="487" customFormat="1" ht="25.5" x14ac:dyDescent="0.25">
      <c r="A309" s="497" t="s">
        <v>2423</v>
      </c>
      <c r="B309" s="498" t="s">
        <v>2623</v>
      </c>
      <c r="C309" s="497" t="s">
        <v>2453</v>
      </c>
      <c r="D309" s="498"/>
      <c r="E309" s="497"/>
      <c r="F309" s="498"/>
      <c r="G309" s="497"/>
      <c r="H309" s="497" t="s">
        <v>654</v>
      </c>
      <c r="I309" s="497" t="s">
        <v>647</v>
      </c>
      <c r="J309" s="497" t="s">
        <v>671</v>
      </c>
      <c r="K309" s="497" t="s">
        <v>663</v>
      </c>
      <c r="L309" s="497" t="s">
        <v>60</v>
      </c>
      <c r="M309" s="497" t="s">
        <v>646</v>
      </c>
      <c r="N309" s="497" t="s">
        <v>668</v>
      </c>
      <c r="O309" s="497"/>
      <c r="P309" s="497"/>
      <c r="Q309" s="497" t="s">
        <v>656</v>
      </c>
      <c r="R309" s="497" t="s">
        <v>652</v>
      </c>
      <c r="S309" s="497" t="s">
        <v>649</v>
      </c>
      <c r="T309" s="497"/>
      <c r="U309" s="497"/>
      <c r="V309" s="497" t="s">
        <v>641</v>
      </c>
      <c r="W309" s="497" t="s">
        <v>666</v>
      </c>
      <c r="X309" s="499">
        <v>42552</v>
      </c>
      <c r="Y309" s="499">
        <v>43281</v>
      </c>
      <c r="Z309" s="500">
        <v>2018</v>
      </c>
      <c r="AA309" s="497" t="s">
        <v>663</v>
      </c>
      <c r="AB309" s="497"/>
      <c r="AC309" s="497"/>
      <c r="AD309" s="501"/>
      <c r="AE309" s="501"/>
      <c r="AF309" s="501"/>
      <c r="AG309" s="501"/>
      <c r="AH309" s="501"/>
      <c r="AI309" s="501"/>
      <c r="AJ309" s="501"/>
      <c r="AK309" s="501"/>
      <c r="AL309" s="501"/>
      <c r="AM309" s="501"/>
      <c r="AN309" s="501"/>
      <c r="AO309" s="501">
        <v>3398556.7399999956</v>
      </c>
      <c r="AP309" s="501"/>
      <c r="AQ309" s="501"/>
      <c r="AR309" s="501"/>
      <c r="AS309" s="501"/>
      <c r="AT309" s="501"/>
      <c r="AU309" s="501"/>
      <c r="AV309" s="501"/>
      <c r="AW309" s="501"/>
      <c r="AX309" s="501"/>
      <c r="AY309" s="501"/>
      <c r="AZ309" s="501"/>
      <c r="BA309" s="501"/>
      <c r="BB309" s="483"/>
      <c r="BC309" s="483"/>
      <c r="BD309" s="483"/>
      <c r="BE309" s="483"/>
      <c r="BF309" s="483"/>
      <c r="BG309" s="483">
        <v>285829.47285565705</v>
      </c>
      <c r="BH309" s="483"/>
      <c r="BI309" s="483"/>
      <c r="BJ309" s="483"/>
      <c r="BK309" s="483"/>
      <c r="BL309" s="483"/>
      <c r="BM309" s="483"/>
      <c r="BN309" s="483">
        <v>509999.9999999993</v>
      </c>
      <c r="BO309" s="483"/>
      <c r="BP309" s="483"/>
      <c r="BQ309" s="483"/>
      <c r="BR309" s="483">
        <v>4194386.212855651</v>
      </c>
      <c r="BS309" s="484">
        <f t="shared" si="69"/>
        <v>3398556.7399999956</v>
      </c>
      <c r="BT309" s="485">
        <f t="shared" si="74"/>
        <v>0</v>
      </c>
      <c r="BU309" s="485">
        <f t="shared" si="74"/>
        <v>0</v>
      </c>
      <c r="BV309" s="485">
        <f t="shared" si="74"/>
        <v>0</v>
      </c>
      <c r="BW309" s="485">
        <f t="shared" si="74"/>
        <v>0</v>
      </c>
      <c r="BX309" s="485">
        <f t="shared" si="74"/>
        <v>0</v>
      </c>
      <c r="BY309" s="485">
        <f t="shared" si="74"/>
        <v>0</v>
      </c>
      <c r="BZ309" s="485">
        <f t="shared" si="74"/>
        <v>0</v>
      </c>
      <c r="CA309" s="485">
        <f t="shared" si="74"/>
        <v>0</v>
      </c>
      <c r="CB309" s="485">
        <f t="shared" si="74"/>
        <v>0</v>
      </c>
      <c r="CC309" s="485">
        <f t="shared" si="74"/>
        <v>0</v>
      </c>
      <c r="CD309" s="485">
        <f t="shared" si="75"/>
        <v>0</v>
      </c>
      <c r="CE309" s="485">
        <f t="shared" si="75"/>
        <v>0</v>
      </c>
      <c r="CF309" s="485">
        <f t="shared" si="75"/>
        <v>0</v>
      </c>
      <c r="CG309" s="485">
        <f t="shared" si="75"/>
        <v>0</v>
      </c>
      <c r="CH309" s="485">
        <f t="shared" si="75"/>
        <v>0</v>
      </c>
      <c r="CI309" s="485">
        <f t="shared" si="75"/>
        <v>1</v>
      </c>
      <c r="CJ309" s="485">
        <f t="shared" si="75"/>
        <v>0</v>
      </c>
      <c r="CK309" s="485">
        <f t="shared" si="75"/>
        <v>0</v>
      </c>
      <c r="CL309" s="485">
        <f t="shared" si="75"/>
        <v>0</v>
      </c>
      <c r="CM309" s="486">
        <f t="shared" si="70"/>
        <v>1</v>
      </c>
    </row>
    <row r="310" spans="1:91" s="487" customFormat="1" ht="25.5" x14ac:dyDescent="0.25">
      <c r="A310" s="497" t="s">
        <v>2425</v>
      </c>
      <c r="B310" s="498" t="s">
        <v>2586</v>
      </c>
      <c r="C310" s="497" t="s">
        <v>2454</v>
      </c>
      <c r="D310" s="498"/>
      <c r="E310" s="497"/>
      <c r="F310" s="498"/>
      <c r="G310" s="497"/>
      <c r="H310" s="497" t="s">
        <v>654</v>
      </c>
      <c r="I310" s="497" t="s">
        <v>647</v>
      </c>
      <c r="J310" s="497" t="s">
        <v>671</v>
      </c>
      <c r="K310" s="497" t="s">
        <v>663</v>
      </c>
      <c r="L310" s="497" t="s">
        <v>107</v>
      </c>
      <c r="M310" s="497" t="s">
        <v>646</v>
      </c>
      <c r="N310" s="497" t="s">
        <v>645</v>
      </c>
      <c r="O310" s="497"/>
      <c r="P310" s="497"/>
      <c r="Q310" s="497" t="s">
        <v>650</v>
      </c>
      <c r="R310" s="497" t="s">
        <v>652</v>
      </c>
      <c r="S310" s="497" t="s">
        <v>663</v>
      </c>
      <c r="T310" s="497"/>
      <c r="U310" s="497"/>
      <c r="V310" s="497" t="s">
        <v>670</v>
      </c>
      <c r="W310" s="497"/>
      <c r="X310" s="499">
        <v>42705</v>
      </c>
      <c r="Y310" s="499">
        <v>43280</v>
      </c>
      <c r="Z310" s="500">
        <v>2018</v>
      </c>
      <c r="AA310" s="497"/>
      <c r="AB310" s="497"/>
      <c r="AC310" s="497"/>
      <c r="AD310" s="501"/>
      <c r="AE310" s="501"/>
      <c r="AF310" s="501"/>
      <c r="AG310" s="501"/>
      <c r="AH310" s="501"/>
      <c r="AI310" s="501"/>
      <c r="AJ310" s="501"/>
      <c r="AK310" s="501"/>
      <c r="AL310" s="501"/>
      <c r="AM310" s="501"/>
      <c r="AN310" s="501"/>
      <c r="AO310" s="501"/>
      <c r="AP310" s="501"/>
      <c r="AQ310" s="501"/>
      <c r="AR310" s="501"/>
      <c r="AS310" s="501"/>
      <c r="AT310" s="501"/>
      <c r="AU310" s="501"/>
      <c r="AV310" s="501"/>
      <c r="AW310" s="501"/>
      <c r="AX310" s="501"/>
      <c r="AY310" s="501"/>
      <c r="AZ310" s="501"/>
      <c r="BA310" s="501"/>
      <c r="BB310" s="483"/>
      <c r="BC310" s="483"/>
      <c r="BD310" s="483"/>
      <c r="BE310" s="483"/>
      <c r="BF310" s="483"/>
      <c r="BG310" s="483">
        <v>639027.19737318845</v>
      </c>
      <c r="BH310" s="483"/>
      <c r="BI310" s="483"/>
      <c r="BJ310" s="483"/>
      <c r="BK310" s="483"/>
      <c r="BL310" s="483"/>
      <c r="BM310" s="483"/>
      <c r="BN310" s="483"/>
      <c r="BO310" s="483"/>
      <c r="BP310" s="483"/>
      <c r="BQ310" s="483"/>
      <c r="BR310" s="483">
        <v>639027.19737318845</v>
      </c>
      <c r="BS310" s="484">
        <f t="shared" si="69"/>
        <v>0</v>
      </c>
      <c r="BT310" s="485">
        <v>0</v>
      </c>
      <c r="BU310" s="485">
        <v>0</v>
      </c>
      <c r="BV310" s="485">
        <v>0</v>
      </c>
      <c r="BW310" s="485">
        <v>0</v>
      </c>
      <c r="BX310" s="485">
        <v>0</v>
      </c>
      <c r="BY310" s="485">
        <v>0</v>
      </c>
      <c r="BZ310" s="485">
        <v>0</v>
      </c>
      <c r="CA310" s="485">
        <v>1</v>
      </c>
      <c r="CB310" s="485">
        <v>0</v>
      </c>
      <c r="CC310" s="485">
        <v>0</v>
      </c>
      <c r="CD310" s="485">
        <v>0</v>
      </c>
      <c r="CE310" s="485">
        <v>0</v>
      </c>
      <c r="CF310" s="485">
        <v>0</v>
      </c>
      <c r="CG310" s="485">
        <v>0</v>
      </c>
      <c r="CH310" s="485">
        <v>0</v>
      </c>
      <c r="CI310" s="485">
        <v>0</v>
      </c>
      <c r="CJ310" s="485">
        <v>0</v>
      </c>
      <c r="CK310" s="485">
        <v>0</v>
      </c>
      <c r="CL310" s="485">
        <v>0</v>
      </c>
      <c r="CM310" s="486">
        <f t="shared" si="70"/>
        <v>1</v>
      </c>
    </row>
    <row r="311" spans="1:91" s="487" customFormat="1" ht="25.5" x14ac:dyDescent="0.25">
      <c r="A311" s="497" t="s">
        <v>2439</v>
      </c>
      <c r="B311" s="498" t="s">
        <v>2591</v>
      </c>
      <c r="C311" s="497" t="s">
        <v>2802</v>
      </c>
      <c r="D311" s="498"/>
      <c r="E311" s="497"/>
      <c r="F311" s="498"/>
      <c r="G311" s="497"/>
      <c r="H311" s="497" t="s">
        <v>654</v>
      </c>
      <c r="I311" s="497" t="s">
        <v>647</v>
      </c>
      <c r="J311" s="497" t="s">
        <v>641</v>
      </c>
      <c r="K311" s="497"/>
      <c r="L311" s="497" t="s">
        <v>60</v>
      </c>
      <c r="M311" s="497" t="s">
        <v>646</v>
      </c>
      <c r="N311" s="497" t="s">
        <v>668</v>
      </c>
      <c r="O311" s="497"/>
      <c r="P311" s="497"/>
      <c r="Q311" s="497" t="s">
        <v>642</v>
      </c>
      <c r="R311" s="497" t="s">
        <v>652</v>
      </c>
      <c r="S311" s="497"/>
      <c r="T311" s="497"/>
      <c r="U311" s="497"/>
      <c r="V311" s="497"/>
      <c r="W311" s="497"/>
      <c r="X311" s="499">
        <v>42738</v>
      </c>
      <c r="Y311" s="499">
        <v>43280</v>
      </c>
      <c r="Z311" s="500"/>
      <c r="AA311" s="497"/>
      <c r="AB311" s="497"/>
      <c r="AC311" s="497"/>
      <c r="AD311" s="501"/>
      <c r="AE311" s="501"/>
      <c r="AF311" s="501"/>
      <c r="AG311" s="501"/>
      <c r="AH311" s="501"/>
      <c r="AI311" s="501"/>
      <c r="AJ311" s="501"/>
      <c r="AK311" s="501"/>
      <c r="AL311" s="501"/>
      <c r="AM311" s="501"/>
      <c r="AN311" s="501"/>
      <c r="AO311" s="501"/>
      <c r="AP311" s="501"/>
      <c r="AQ311" s="501"/>
      <c r="AR311" s="501"/>
      <c r="AS311" s="501"/>
      <c r="AT311" s="501"/>
      <c r="AU311" s="501"/>
      <c r="AV311" s="501"/>
      <c r="AW311" s="501"/>
      <c r="AX311" s="501"/>
      <c r="AY311" s="501"/>
      <c r="AZ311" s="501"/>
      <c r="BA311" s="501"/>
      <c r="BB311" s="483"/>
      <c r="BC311" s="483"/>
      <c r="BD311" s="483"/>
      <c r="BE311" s="483"/>
      <c r="BF311" s="483"/>
      <c r="BG311" s="483">
        <v>567696.55161787535</v>
      </c>
      <c r="BH311" s="483"/>
      <c r="BI311" s="483"/>
      <c r="BJ311" s="483"/>
      <c r="BK311" s="483"/>
      <c r="BL311" s="483"/>
      <c r="BM311" s="483"/>
      <c r="BN311" s="483"/>
      <c r="BO311" s="483"/>
      <c r="BP311" s="483">
        <v>6750000.0000000019</v>
      </c>
      <c r="BQ311" s="483"/>
      <c r="BR311" s="483">
        <v>7317696.5516178776</v>
      </c>
      <c r="BS311" s="484">
        <f t="shared" si="69"/>
        <v>0</v>
      </c>
      <c r="BT311" s="485">
        <v>1</v>
      </c>
      <c r="BU311" s="485">
        <v>0</v>
      </c>
      <c r="BV311" s="485">
        <v>0</v>
      </c>
      <c r="BW311" s="485">
        <v>0</v>
      </c>
      <c r="BX311" s="485">
        <v>0</v>
      </c>
      <c r="BY311" s="485">
        <v>0</v>
      </c>
      <c r="BZ311" s="485">
        <v>0</v>
      </c>
      <c r="CA311" s="485">
        <v>0</v>
      </c>
      <c r="CB311" s="485">
        <v>0</v>
      </c>
      <c r="CC311" s="485">
        <v>0</v>
      </c>
      <c r="CD311" s="485">
        <v>0</v>
      </c>
      <c r="CE311" s="485">
        <v>0</v>
      </c>
      <c r="CF311" s="485">
        <v>0</v>
      </c>
      <c r="CG311" s="485">
        <v>0</v>
      </c>
      <c r="CH311" s="485">
        <v>0</v>
      </c>
      <c r="CI311" s="485">
        <v>0</v>
      </c>
      <c r="CJ311" s="485">
        <v>0</v>
      </c>
      <c r="CK311" s="485">
        <v>0</v>
      </c>
      <c r="CL311" s="485">
        <v>0</v>
      </c>
      <c r="CM311" s="486">
        <f t="shared" si="70"/>
        <v>1</v>
      </c>
    </row>
    <row r="312" spans="1:91" s="487" customFormat="1" ht="25.5" x14ac:dyDescent="0.25">
      <c r="A312" s="497" t="s">
        <v>2607</v>
      </c>
      <c r="B312" s="498" t="e">
        <v>#N/A</v>
      </c>
      <c r="C312" s="497" t="s">
        <v>2803</v>
      </c>
      <c r="D312" s="498"/>
      <c r="E312" s="497"/>
      <c r="F312" s="498"/>
      <c r="G312" s="497"/>
      <c r="H312" s="497" t="s">
        <v>654</v>
      </c>
      <c r="I312" s="497" t="s">
        <v>647</v>
      </c>
      <c r="J312" s="497" t="s">
        <v>641</v>
      </c>
      <c r="K312" s="497"/>
      <c r="L312" s="497" t="s">
        <v>28</v>
      </c>
      <c r="M312" s="497" t="s">
        <v>646</v>
      </c>
      <c r="N312" s="497" t="s">
        <v>645</v>
      </c>
      <c r="O312" s="497"/>
      <c r="P312" s="497"/>
      <c r="Q312" s="497" t="s">
        <v>656</v>
      </c>
      <c r="R312" s="497" t="s">
        <v>652</v>
      </c>
      <c r="S312" s="497"/>
      <c r="T312" s="497"/>
      <c r="U312" s="497"/>
      <c r="V312" s="497" t="s">
        <v>685</v>
      </c>
      <c r="W312" s="497" t="s">
        <v>666</v>
      </c>
      <c r="X312" s="499">
        <v>42737</v>
      </c>
      <c r="Y312" s="499">
        <v>43371</v>
      </c>
      <c r="Z312" s="500">
        <v>2019</v>
      </c>
      <c r="AA312" s="497"/>
      <c r="AB312" s="497"/>
      <c r="AC312" s="497"/>
      <c r="AD312" s="501"/>
      <c r="AE312" s="501"/>
      <c r="AF312" s="501"/>
      <c r="AG312" s="501"/>
      <c r="AH312" s="501"/>
      <c r="AI312" s="501"/>
      <c r="AJ312" s="501"/>
      <c r="AK312" s="501"/>
      <c r="AL312" s="501"/>
      <c r="AM312" s="501"/>
      <c r="AN312" s="501"/>
      <c r="AO312" s="501"/>
      <c r="AP312" s="501"/>
      <c r="AQ312" s="501">
        <v>2100.0000000000005</v>
      </c>
      <c r="AR312" s="501">
        <v>3952601.0815000013</v>
      </c>
      <c r="AS312" s="501"/>
      <c r="AT312" s="501"/>
      <c r="AU312" s="501"/>
      <c r="AV312" s="501"/>
      <c r="AW312" s="501"/>
      <c r="AX312" s="501"/>
      <c r="AY312" s="501"/>
      <c r="AZ312" s="501"/>
      <c r="BA312" s="501"/>
      <c r="BB312" s="483"/>
      <c r="BC312" s="483"/>
      <c r="BD312" s="483"/>
      <c r="BE312" s="483"/>
      <c r="BF312" s="483">
        <v>0</v>
      </c>
      <c r="BG312" s="483">
        <v>634644.97731554101</v>
      </c>
      <c r="BH312" s="483"/>
      <c r="BI312" s="483"/>
      <c r="BJ312" s="483"/>
      <c r="BK312" s="483"/>
      <c r="BL312" s="483"/>
      <c r="BM312" s="483"/>
      <c r="BN312" s="483"/>
      <c r="BO312" s="483"/>
      <c r="BP312" s="483"/>
      <c r="BQ312" s="483"/>
      <c r="BR312" s="483">
        <v>4589346.0588155417</v>
      </c>
      <c r="BS312" s="484">
        <f t="shared" si="69"/>
        <v>3954701.0815000013</v>
      </c>
      <c r="BT312" s="485">
        <f t="shared" ref="BT312:CC321" si="76">SUMIFS($AD312:$BA312,$AD$11:$BA$11,BT$21)/$BS312</f>
        <v>0</v>
      </c>
      <c r="BU312" s="485">
        <f t="shared" si="76"/>
        <v>0.99946898641471948</v>
      </c>
      <c r="BV312" s="485">
        <f t="shared" si="76"/>
        <v>5.3101358528050353E-4</v>
      </c>
      <c r="BW312" s="485">
        <f t="shared" si="76"/>
        <v>0</v>
      </c>
      <c r="BX312" s="485">
        <f t="shared" si="76"/>
        <v>0</v>
      </c>
      <c r="BY312" s="485">
        <f t="shared" si="76"/>
        <v>0</v>
      </c>
      <c r="BZ312" s="485">
        <f t="shared" si="76"/>
        <v>0</v>
      </c>
      <c r="CA312" s="485">
        <f t="shared" si="76"/>
        <v>0</v>
      </c>
      <c r="CB312" s="485">
        <f t="shared" si="76"/>
        <v>0</v>
      </c>
      <c r="CC312" s="485">
        <f t="shared" si="76"/>
        <v>0</v>
      </c>
      <c r="CD312" s="485">
        <f t="shared" ref="CD312:CL321" si="77">SUMIFS($AD312:$BA312,$AD$11:$BA$11,CD$21)/$BS312</f>
        <v>0</v>
      </c>
      <c r="CE312" s="485">
        <f t="shared" si="77"/>
        <v>0</v>
      </c>
      <c r="CF312" s="485">
        <f t="shared" si="77"/>
        <v>0</v>
      </c>
      <c r="CG312" s="485">
        <f t="shared" si="77"/>
        <v>0</v>
      </c>
      <c r="CH312" s="485">
        <f t="shared" si="77"/>
        <v>0</v>
      </c>
      <c r="CI312" s="485">
        <f t="shared" si="77"/>
        <v>0</v>
      </c>
      <c r="CJ312" s="485">
        <f t="shared" si="77"/>
        <v>0</v>
      </c>
      <c r="CK312" s="485">
        <f t="shared" si="77"/>
        <v>0</v>
      </c>
      <c r="CL312" s="485">
        <f t="shared" si="77"/>
        <v>0</v>
      </c>
      <c r="CM312" s="486">
        <f t="shared" si="70"/>
        <v>1</v>
      </c>
    </row>
    <row r="313" spans="1:91" s="487" customFormat="1" ht="25.5" x14ac:dyDescent="0.25">
      <c r="A313" s="497" t="s">
        <v>2609</v>
      </c>
      <c r="B313" s="498" t="e">
        <v>#N/A</v>
      </c>
      <c r="C313" s="497" t="s">
        <v>2804</v>
      </c>
      <c r="D313" s="498"/>
      <c r="E313" s="497"/>
      <c r="F313" s="498"/>
      <c r="G313" s="497" t="s">
        <v>686</v>
      </c>
      <c r="H313" s="497" t="s">
        <v>654</v>
      </c>
      <c r="I313" s="497" t="s">
        <v>647</v>
      </c>
      <c r="J313" s="497" t="s">
        <v>641</v>
      </c>
      <c r="K313" s="497"/>
      <c r="L313" s="497" t="s">
        <v>28</v>
      </c>
      <c r="M313" s="497" t="s">
        <v>646</v>
      </c>
      <c r="N313" s="497" t="s">
        <v>645</v>
      </c>
      <c r="O313" s="497"/>
      <c r="P313" s="497"/>
      <c r="Q313" s="497" t="s">
        <v>642</v>
      </c>
      <c r="R313" s="497" t="s">
        <v>652</v>
      </c>
      <c r="S313" s="497"/>
      <c r="T313" s="497"/>
      <c r="U313" s="497"/>
      <c r="V313" s="497" t="s">
        <v>685</v>
      </c>
      <c r="W313" s="497"/>
      <c r="X313" s="499">
        <v>42737</v>
      </c>
      <c r="Y313" s="499">
        <v>43371</v>
      </c>
      <c r="Z313" s="500">
        <v>2019</v>
      </c>
      <c r="AA313" s="497"/>
      <c r="AB313" s="497"/>
      <c r="AC313" s="497"/>
      <c r="AD313" s="501"/>
      <c r="AE313" s="501"/>
      <c r="AF313" s="501"/>
      <c r="AG313" s="501"/>
      <c r="AH313" s="501"/>
      <c r="AI313" s="501"/>
      <c r="AJ313" s="501"/>
      <c r="AK313" s="501"/>
      <c r="AL313" s="501"/>
      <c r="AM313" s="501"/>
      <c r="AN313" s="501"/>
      <c r="AO313" s="501"/>
      <c r="AP313" s="501"/>
      <c r="AQ313" s="501">
        <v>2100.0000000000005</v>
      </c>
      <c r="AR313" s="501">
        <v>5304298.7020000014</v>
      </c>
      <c r="AS313" s="501"/>
      <c r="AT313" s="501"/>
      <c r="AU313" s="501"/>
      <c r="AV313" s="501"/>
      <c r="AW313" s="501"/>
      <c r="AX313" s="501"/>
      <c r="AY313" s="501"/>
      <c r="AZ313" s="501"/>
      <c r="BA313" s="501"/>
      <c r="BB313" s="483"/>
      <c r="BC313" s="483"/>
      <c r="BD313" s="483"/>
      <c r="BE313" s="483"/>
      <c r="BF313" s="483">
        <v>0</v>
      </c>
      <c r="BG313" s="483">
        <v>875972.75313451444</v>
      </c>
      <c r="BH313" s="483"/>
      <c r="BI313" s="483"/>
      <c r="BJ313" s="483"/>
      <c r="BK313" s="483"/>
      <c r="BL313" s="483"/>
      <c r="BM313" s="483"/>
      <c r="BN313" s="483"/>
      <c r="BO313" s="483"/>
      <c r="BP313" s="483"/>
      <c r="BQ313" s="483"/>
      <c r="BR313" s="483">
        <v>6182371.4551345157</v>
      </c>
      <c r="BS313" s="484">
        <f t="shared" si="69"/>
        <v>5306398.7020000014</v>
      </c>
      <c r="BT313" s="485">
        <f t="shared" si="76"/>
        <v>0</v>
      </c>
      <c r="BU313" s="485">
        <f t="shared" si="76"/>
        <v>0.99960425137311892</v>
      </c>
      <c r="BV313" s="485">
        <f t="shared" si="76"/>
        <v>3.9574862688107143E-4</v>
      </c>
      <c r="BW313" s="485">
        <f t="shared" si="76"/>
        <v>0</v>
      </c>
      <c r="BX313" s="485">
        <f t="shared" si="76"/>
        <v>0</v>
      </c>
      <c r="BY313" s="485">
        <f t="shared" si="76"/>
        <v>0</v>
      </c>
      <c r="BZ313" s="485">
        <f t="shared" si="76"/>
        <v>0</v>
      </c>
      <c r="CA313" s="485">
        <f t="shared" si="76"/>
        <v>0</v>
      </c>
      <c r="CB313" s="485">
        <f t="shared" si="76"/>
        <v>0</v>
      </c>
      <c r="CC313" s="485">
        <f t="shared" si="76"/>
        <v>0</v>
      </c>
      <c r="CD313" s="485">
        <f t="shared" si="77"/>
        <v>0</v>
      </c>
      <c r="CE313" s="485">
        <f t="shared" si="77"/>
        <v>0</v>
      </c>
      <c r="CF313" s="485">
        <f t="shared" si="77"/>
        <v>0</v>
      </c>
      <c r="CG313" s="485">
        <f t="shared" si="77"/>
        <v>0</v>
      </c>
      <c r="CH313" s="485">
        <f t="shared" si="77"/>
        <v>0</v>
      </c>
      <c r="CI313" s="485">
        <f t="shared" si="77"/>
        <v>0</v>
      </c>
      <c r="CJ313" s="485">
        <f t="shared" si="77"/>
        <v>0</v>
      </c>
      <c r="CK313" s="485">
        <f t="shared" si="77"/>
        <v>0</v>
      </c>
      <c r="CL313" s="485">
        <f t="shared" si="77"/>
        <v>0</v>
      </c>
      <c r="CM313" s="486">
        <f t="shared" si="70"/>
        <v>1</v>
      </c>
    </row>
    <row r="314" spans="1:91" s="487" customFormat="1" ht="25.5" x14ac:dyDescent="0.25">
      <c r="A314" s="497" t="s">
        <v>2615</v>
      </c>
      <c r="B314" s="498" t="e">
        <v>#N/A</v>
      </c>
      <c r="C314" s="497" t="s">
        <v>2805</v>
      </c>
      <c r="D314" s="498"/>
      <c r="E314" s="497"/>
      <c r="F314" s="498"/>
      <c r="G314" s="497"/>
      <c r="H314" s="497" t="s">
        <v>654</v>
      </c>
      <c r="I314" s="497" t="s">
        <v>647</v>
      </c>
      <c r="J314" s="497" t="s">
        <v>641</v>
      </c>
      <c r="K314" s="497" t="s">
        <v>649</v>
      </c>
      <c r="L314" s="497" t="s">
        <v>41</v>
      </c>
      <c r="M314" s="497" t="s">
        <v>646</v>
      </c>
      <c r="N314" s="497" t="s">
        <v>668</v>
      </c>
      <c r="O314" s="497"/>
      <c r="P314" s="497"/>
      <c r="Q314" s="497" t="s">
        <v>656</v>
      </c>
      <c r="R314" s="497" t="s">
        <v>652</v>
      </c>
      <c r="S314" s="497" t="s">
        <v>649</v>
      </c>
      <c r="T314" s="497"/>
      <c r="U314" s="497"/>
      <c r="V314" s="497" t="s">
        <v>641</v>
      </c>
      <c r="W314" s="497" t="s">
        <v>690</v>
      </c>
      <c r="X314" s="499">
        <v>42767</v>
      </c>
      <c r="Y314" s="499">
        <v>43280</v>
      </c>
      <c r="Z314" s="500"/>
      <c r="AA314" s="497" t="s">
        <v>663</v>
      </c>
      <c r="AB314" s="497"/>
      <c r="AC314" s="497"/>
      <c r="AD314" s="501"/>
      <c r="AE314" s="501"/>
      <c r="AF314" s="501"/>
      <c r="AG314" s="501"/>
      <c r="AH314" s="501"/>
      <c r="AI314" s="501">
        <v>1850929.1815088</v>
      </c>
      <c r="AJ314" s="501"/>
      <c r="AK314" s="501"/>
      <c r="AL314" s="501"/>
      <c r="AM314" s="501"/>
      <c r="AN314" s="501"/>
      <c r="AO314" s="501"/>
      <c r="AP314" s="501"/>
      <c r="AQ314" s="501"/>
      <c r="AR314" s="501">
        <v>9999.9999999999964</v>
      </c>
      <c r="AS314" s="501"/>
      <c r="AT314" s="501"/>
      <c r="AU314" s="501"/>
      <c r="AV314" s="501"/>
      <c r="AW314" s="501"/>
      <c r="AX314" s="501"/>
      <c r="AY314" s="501"/>
      <c r="AZ314" s="501"/>
      <c r="BA314" s="501"/>
      <c r="BB314" s="483">
        <v>220639.37722144491</v>
      </c>
      <c r="BC314" s="483">
        <v>147092.91814762997</v>
      </c>
      <c r="BD314" s="483">
        <v>248219.29937412561</v>
      </c>
      <c r="BE314" s="483">
        <v>5738.9221346036265</v>
      </c>
      <c r="BF314" s="483">
        <v>145482.92315166997</v>
      </c>
      <c r="BG314" s="483">
        <v>434955.916188034</v>
      </c>
      <c r="BH314" s="483"/>
      <c r="BI314" s="483"/>
      <c r="BJ314" s="483"/>
      <c r="BK314" s="483"/>
      <c r="BL314" s="483"/>
      <c r="BM314" s="483"/>
      <c r="BN314" s="483"/>
      <c r="BO314" s="483"/>
      <c r="BP314" s="483"/>
      <c r="BQ314" s="483"/>
      <c r="BR314" s="483">
        <v>3063058.5377263078</v>
      </c>
      <c r="BS314" s="484">
        <f t="shared" si="69"/>
        <v>1860929.1815088</v>
      </c>
      <c r="BT314" s="485">
        <f t="shared" si="76"/>
        <v>0</v>
      </c>
      <c r="BU314" s="485">
        <f t="shared" si="76"/>
        <v>5.373659620884777E-3</v>
      </c>
      <c r="BV314" s="485">
        <f t="shared" si="76"/>
        <v>0</v>
      </c>
      <c r="BW314" s="485">
        <f t="shared" si="76"/>
        <v>0</v>
      </c>
      <c r="BX314" s="485">
        <f t="shared" si="76"/>
        <v>0</v>
      </c>
      <c r="BY314" s="485">
        <f t="shared" si="76"/>
        <v>0</v>
      </c>
      <c r="BZ314" s="485">
        <f t="shared" si="76"/>
        <v>0</v>
      </c>
      <c r="CA314" s="485">
        <f t="shared" si="76"/>
        <v>0</v>
      </c>
      <c r="CB314" s="485">
        <f t="shared" si="76"/>
        <v>0</v>
      </c>
      <c r="CC314" s="485">
        <f t="shared" si="76"/>
        <v>0</v>
      </c>
      <c r="CD314" s="485">
        <f t="shared" si="77"/>
        <v>0</v>
      </c>
      <c r="CE314" s="485">
        <f t="shared" si="77"/>
        <v>0.99462634037911524</v>
      </c>
      <c r="CF314" s="485">
        <f t="shared" si="77"/>
        <v>0</v>
      </c>
      <c r="CG314" s="485">
        <f t="shared" si="77"/>
        <v>0</v>
      </c>
      <c r="CH314" s="485">
        <f t="shared" si="77"/>
        <v>0</v>
      </c>
      <c r="CI314" s="485">
        <f t="shared" si="77"/>
        <v>0</v>
      </c>
      <c r="CJ314" s="485">
        <f t="shared" si="77"/>
        <v>0</v>
      </c>
      <c r="CK314" s="485">
        <f t="shared" si="77"/>
        <v>0</v>
      </c>
      <c r="CL314" s="485">
        <f t="shared" si="77"/>
        <v>0</v>
      </c>
      <c r="CM314" s="486">
        <f t="shared" si="70"/>
        <v>1</v>
      </c>
    </row>
    <row r="315" spans="1:91" s="487" customFormat="1" ht="25.5" x14ac:dyDescent="0.25">
      <c r="A315" s="497" t="s">
        <v>2617</v>
      </c>
      <c r="B315" s="498" t="e">
        <v>#N/A</v>
      </c>
      <c r="C315" s="497" t="s">
        <v>2806</v>
      </c>
      <c r="D315" s="498"/>
      <c r="E315" s="497"/>
      <c r="F315" s="498"/>
      <c r="G315" s="497"/>
      <c r="H315" s="497" t="s">
        <v>654</v>
      </c>
      <c r="I315" s="497" t="s">
        <v>647</v>
      </c>
      <c r="J315" s="497" t="s">
        <v>641</v>
      </c>
      <c r="K315" s="497"/>
      <c r="L315" s="497" t="s">
        <v>54</v>
      </c>
      <c r="M315" s="497" t="s">
        <v>646</v>
      </c>
      <c r="N315" s="497" t="s">
        <v>668</v>
      </c>
      <c r="O315" s="497"/>
      <c r="P315" s="497"/>
      <c r="Q315" s="497" t="s">
        <v>656</v>
      </c>
      <c r="R315" s="497" t="s">
        <v>652</v>
      </c>
      <c r="S315" s="497"/>
      <c r="T315" s="497"/>
      <c r="U315" s="497"/>
      <c r="V315" s="497" t="s">
        <v>641</v>
      </c>
      <c r="W315" s="497" t="s">
        <v>640</v>
      </c>
      <c r="X315" s="499">
        <v>42767</v>
      </c>
      <c r="Y315" s="499">
        <v>43280</v>
      </c>
      <c r="Z315" s="500">
        <v>2018</v>
      </c>
      <c r="AA315" s="497" t="s">
        <v>663</v>
      </c>
      <c r="AB315" s="497"/>
      <c r="AC315" s="497"/>
      <c r="AD315" s="501"/>
      <c r="AE315" s="501"/>
      <c r="AF315" s="501"/>
      <c r="AG315" s="501">
        <v>1929999.9999999998</v>
      </c>
      <c r="AH315" s="501"/>
      <c r="AI315" s="501"/>
      <c r="AJ315" s="501"/>
      <c r="AK315" s="501"/>
      <c r="AL315" s="501"/>
      <c r="AM315" s="501"/>
      <c r="AN315" s="501">
        <v>116241.47999999995</v>
      </c>
      <c r="AO315" s="501"/>
      <c r="AP315" s="501"/>
      <c r="AQ315" s="501"/>
      <c r="AR315" s="501"/>
      <c r="AS315" s="501"/>
      <c r="AT315" s="501"/>
      <c r="AU315" s="501"/>
      <c r="AV315" s="501"/>
      <c r="AW315" s="501"/>
      <c r="AX315" s="501"/>
      <c r="AY315" s="501"/>
      <c r="AZ315" s="501"/>
      <c r="BA315" s="501"/>
      <c r="BB315" s="483"/>
      <c r="BC315" s="483"/>
      <c r="BD315" s="483"/>
      <c r="BE315" s="483"/>
      <c r="BF315" s="483">
        <v>0</v>
      </c>
      <c r="BG315" s="483">
        <v>406604.29443544621</v>
      </c>
      <c r="BH315" s="483"/>
      <c r="BI315" s="483"/>
      <c r="BJ315" s="483"/>
      <c r="BK315" s="483"/>
      <c r="BL315" s="483"/>
      <c r="BM315" s="483"/>
      <c r="BN315" s="483"/>
      <c r="BO315" s="483"/>
      <c r="BP315" s="483">
        <v>209999.99999999994</v>
      </c>
      <c r="BQ315" s="483"/>
      <c r="BR315" s="483">
        <v>2662845.7744354461</v>
      </c>
      <c r="BS315" s="484">
        <f t="shared" si="69"/>
        <v>2046241.4799999997</v>
      </c>
      <c r="BT315" s="485">
        <f t="shared" si="76"/>
        <v>0</v>
      </c>
      <c r="BU315" s="485">
        <f t="shared" si="76"/>
        <v>0</v>
      </c>
      <c r="BV315" s="485">
        <f t="shared" si="76"/>
        <v>0</v>
      </c>
      <c r="BW315" s="485">
        <f t="shared" si="76"/>
        <v>0</v>
      </c>
      <c r="BX315" s="485">
        <f t="shared" si="76"/>
        <v>0</v>
      </c>
      <c r="BY315" s="485">
        <f t="shared" si="76"/>
        <v>0</v>
      </c>
      <c r="BZ315" s="485">
        <f t="shared" si="76"/>
        <v>0</v>
      </c>
      <c r="CA315" s="485">
        <f t="shared" si="76"/>
        <v>0</v>
      </c>
      <c r="CB315" s="485">
        <f t="shared" si="76"/>
        <v>0</v>
      </c>
      <c r="CC315" s="485">
        <f t="shared" si="76"/>
        <v>0.94319268711139603</v>
      </c>
      <c r="CD315" s="485">
        <f t="shared" si="77"/>
        <v>0</v>
      </c>
      <c r="CE315" s="485">
        <f t="shared" si="77"/>
        <v>0</v>
      </c>
      <c r="CF315" s="485">
        <f t="shared" si="77"/>
        <v>0</v>
      </c>
      <c r="CG315" s="485">
        <f t="shared" si="77"/>
        <v>0</v>
      </c>
      <c r="CH315" s="485">
        <f t="shared" si="77"/>
        <v>0</v>
      </c>
      <c r="CI315" s="485">
        <f t="shared" si="77"/>
        <v>0</v>
      </c>
      <c r="CJ315" s="485">
        <f t="shared" si="77"/>
        <v>5.6807312888603925E-2</v>
      </c>
      <c r="CK315" s="485">
        <f t="shared" si="77"/>
        <v>0</v>
      </c>
      <c r="CL315" s="485">
        <f t="shared" si="77"/>
        <v>0</v>
      </c>
      <c r="CM315" s="486">
        <f t="shared" si="70"/>
        <v>1</v>
      </c>
    </row>
    <row r="316" spans="1:91" s="487" customFormat="1" ht="25.5" x14ac:dyDescent="0.25">
      <c r="A316" s="497" t="s">
        <v>2619</v>
      </c>
      <c r="B316" s="498" t="e">
        <v>#N/A</v>
      </c>
      <c r="C316" s="497" t="s">
        <v>2718</v>
      </c>
      <c r="D316" s="498"/>
      <c r="E316" s="497"/>
      <c r="F316" s="498"/>
      <c r="G316" s="497" t="s">
        <v>705</v>
      </c>
      <c r="H316" s="497" t="s">
        <v>654</v>
      </c>
      <c r="I316" s="497" t="s">
        <v>647</v>
      </c>
      <c r="J316" s="497" t="s">
        <v>641</v>
      </c>
      <c r="K316" s="497" t="s">
        <v>649</v>
      </c>
      <c r="L316" s="497" t="s">
        <v>54</v>
      </c>
      <c r="M316" s="497" t="s">
        <v>646</v>
      </c>
      <c r="N316" s="497" t="s">
        <v>668</v>
      </c>
      <c r="O316" s="497"/>
      <c r="P316" s="497" t="s">
        <v>643</v>
      </c>
      <c r="Q316" s="497" t="s">
        <v>656</v>
      </c>
      <c r="R316" s="497" t="s">
        <v>652</v>
      </c>
      <c r="S316" s="497"/>
      <c r="T316" s="497"/>
      <c r="U316" s="497"/>
      <c r="V316" s="497" t="s">
        <v>641</v>
      </c>
      <c r="W316" s="497" t="s">
        <v>640</v>
      </c>
      <c r="X316" s="499">
        <v>42767</v>
      </c>
      <c r="Y316" s="499">
        <v>43280</v>
      </c>
      <c r="Z316" s="500">
        <v>2018</v>
      </c>
      <c r="AA316" s="497" t="s">
        <v>663</v>
      </c>
      <c r="AB316" s="497"/>
      <c r="AC316" s="497"/>
      <c r="AD316" s="501"/>
      <c r="AE316" s="501"/>
      <c r="AF316" s="501"/>
      <c r="AG316" s="501">
        <v>413028.82589201501</v>
      </c>
      <c r="AH316" s="501"/>
      <c r="AI316" s="501">
        <v>109792.99987565499</v>
      </c>
      <c r="AJ316" s="501"/>
      <c r="AK316" s="501"/>
      <c r="AL316" s="501">
        <v>322100.00197230076</v>
      </c>
      <c r="AM316" s="501"/>
      <c r="AN316" s="501"/>
      <c r="AO316" s="501">
        <v>29999.999999999996</v>
      </c>
      <c r="AP316" s="501"/>
      <c r="AQ316" s="501"/>
      <c r="AR316" s="501"/>
      <c r="AS316" s="501"/>
      <c r="AT316" s="501"/>
      <c r="AU316" s="501"/>
      <c r="AV316" s="501"/>
      <c r="AW316" s="501"/>
      <c r="AX316" s="501"/>
      <c r="AY316" s="501"/>
      <c r="AZ316" s="501"/>
      <c r="BA316" s="501"/>
      <c r="BB316" s="483">
        <v>93602.348705995581</v>
      </c>
      <c r="BC316" s="483">
        <v>62401.565803997059</v>
      </c>
      <c r="BD316" s="483">
        <v>105302.64229424503</v>
      </c>
      <c r="BE316" s="483">
        <v>3042.1280574965726</v>
      </c>
      <c r="BF316" s="483"/>
      <c r="BG316" s="483">
        <v>198045.61429110059</v>
      </c>
      <c r="BH316" s="483"/>
      <c r="BI316" s="483"/>
      <c r="BJ316" s="483"/>
      <c r="BK316" s="483"/>
      <c r="BL316" s="483"/>
      <c r="BM316" s="483"/>
      <c r="BN316" s="483"/>
      <c r="BO316" s="483"/>
      <c r="BP316" s="483"/>
      <c r="BQ316" s="483"/>
      <c r="BR316" s="483">
        <v>1337316.1268928053</v>
      </c>
      <c r="BS316" s="484">
        <f t="shared" si="69"/>
        <v>874921.82773997076</v>
      </c>
      <c r="BT316" s="485">
        <f t="shared" si="76"/>
        <v>0</v>
      </c>
      <c r="BU316" s="485">
        <f t="shared" si="76"/>
        <v>0</v>
      </c>
      <c r="BV316" s="485">
        <f t="shared" si="76"/>
        <v>0</v>
      </c>
      <c r="BW316" s="485">
        <f t="shared" si="76"/>
        <v>0</v>
      </c>
      <c r="BX316" s="485">
        <f t="shared" si="76"/>
        <v>0</v>
      </c>
      <c r="BY316" s="485">
        <f t="shared" si="76"/>
        <v>0</v>
      </c>
      <c r="BZ316" s="485">
        <f t="shared" si="76"/>
        <v>0</v>
      </c>
      <c r="CA316" s="485">
        <f t="shared" si="76"/>
        <v>0</v>
      </c>
      <c r="CB316" s="485">
        <f t="shared" si="76"/>
        <v>0</v>
      </c>
      <c r="CC316" s="485">
        <f t="shared" si="76"/>
        <v>0.47207511893824683</v>
      </c>
      <c r="CD316" s="485">
        <f t="shared" si="77"/>
        <v>0</v>
      </c>
      <c r="CE316" s="485">
        <f t="shared" si="77"/>
        <v>0.12548892528977545</v>
      </c>
      <c r="CF316" s="485">
        <f t="shared" si="77"/>
        <v>0</v>
      </c>
      <c r="CG316" s="485">
        <f t="shared" si="77"/>
        <v>0</v>
      </c>
      <c r="CH316" s="485">
        <f t="shared" si="77"/>
        <v>0.36814717813627323</v>
      </c>
      <c r="CI316" s="485">
        <f t="shared" si="77"/>
        <v>3.4288777635704482E-2</v>
      </c>
      <c r="CJ316" s="485">
        <f t="shared" si="77"/>
        <v>0</v>
      </c>
      <c r="CK316" s="485">
        <f t="shared" si="77"/>
        <v>0</v>
      </c>
      <c r="CL316" s="485">
        <f t="shared" si="77"/>
        <v>0</v>
      </c>
      <c r="CM316" s="486">
        <f t="shared" si="70"/>
        <v>1</v>
      </c>
    </row>
    <row r="317" spans="1:91" s="487" customFormat="1" ht="25.5" x14ac:dyDescent="0.25">
      <c r="A317" s="497" t="s">
        <v>2636</v>
      </c>
      <c r="B317" s="498" t="e">
        <v>#N/A</v>
      </c>
      <c r="C317" s="497" t="s">
        <v>2662</v>
      </c>
      <c r="D317" s="498"/>
      <c r="E317" s="497"/>
      <c r="F317" s="498"/>
      <c r="G317" s="497"/>
      <c r="H317" s="497" t="s">
        <v>654</v>
      </c>
      <c r="I317" s="497" t="s">
        <v>647</v>
      </c>
      <c r="J317" s="497" t="s">
        <v>641</v>
      </c>
      <c r="K317" s="497" t="s">
        <v>649</v>
      </c>
      <c r="L317" s="497" t="s">
        <v>54</v>
      </c>
      <c r="M317" s="497" t="s">
        <v>646</v>
      </c>
      <c r="N317" s="497" t="s">
        <v>668</v>
      </c>
      <c r="O317" s="497"/>
      <c r="P317" s="497" t="s">
        <v>643</v>
      </c>
      <c r="Q317" s="497" t="s">
        <v>656</v>
      </c>
      <c r="R317" s="497" t="s">
        <v>652</v>
      </c>
      <c r="S317" s="497"/>
      <c r="T317" s="497"/>
      <c r="U317" s="497"/>
      <c r="V317" s="497" t="s">
        <v>685</v>
      </c>
      <c r="W317" s="497" t="s">
        <v>666</v>
      </c>
      <c r="X317" s="499">
        <v>42795</v>
      </c>
      <c r="Y317" s="499">
        <v>43272</v>
      </c>
      <c r="Z317" s="500">
        <v>2019</v>
      </c>
      <c r="AA317" s="497" t="s">
        <v>663</v>
      </c>
      <c r="AB317" s="497"/>
      <c r="AC317" s="497"/>
      <c r="AD317" s="501"/>
      <c r="AE317" s="501"/>
      <c r="AF317" s="501"/>
      <c r="AG317" s="501"/>
      <c r="AH317" s="501"/>
      <c r="AI317" s="501"/>
      <c r="AJ317" s="501">
        <v>200000</v>
      </c>
      <c r="AK317" s="501"/>
      <c r="AL317" s="501"/>
      <c r="AM317" s="501"/>
      <c r="AN317" s="501"/>
      <c r="AO317" s="501"/>
      <c r="AP317" s="501"/>
      <c r="AQ317" s="501">
        <v>418206.67999999988</v>
      </c>
      <c r="AR317" s="501">
        <v>44999.537230000002</v>
      </c>
      <c r="AS317" s="501"/>
      <c r="AT317" s="501"/>
      <c r="AU317" s="501"/>
      <c r="AV317" s="501"/>
      <c r="AW317" s="501"/>
      <c r="AX317" s="501"/>
      <c r="AY317" s="501"/>
      <c r="AZ317" s="501"/>
      <c r="BA317" s="501"/>
      <c r="BB317" s="483">
        <v>99480.932584499969</v>
      </c>
      <c r="BC317" s="483">
        <v>66320.621723000004</v>
      </c>
      <c r="BD317" s="483">
        <v>111916.04915756248</v>
      </c>
      <c r="BE317" s="483">
        <v>2587.5405069114213</v>
      </c>
      <c r="BF317" s="483">
        <v>0</v>
      </c>
      <c r="BG317" s="483">
        <v>241130.80858092487</v>
      </c>
      <c r="BH317" s="483"/>
      <c r="BI317" s="483"/>
      <c r="BJ317" s="483"/>
      <c r="BK317" s="483"/>
      <c r="BL317" s="483"/>
      <c r="BM317" s="483"/>
      <c r="BN317" s="483"/>
      <c r="BO317" s="483"/>
      <c r="BP317" s="483"/>
      <c r="BQ317" s="483"/>
      <c r="BR317" s="483">
        <v>1184642.1697828986</v>
      </c>
      <c r="BS317" s="484">
        <f t="shared" si="69"/>
        <v>663206.21722999995</v>
      </c>
      <c r="BT317" s="485">
        <f t="shared" si="76"/>
        <v>0</v>
      </c>
      <c r="BU317" s="485">
        <f t="shared" si="76"/>
        <v>6.7851500876980109E-2</v>
      </c>
      <c r="BV317" s="485">
        <f t="shared" si="76"/>
        <v>0.63058317177229628</v>
      </c>
      <c r="BW317" s="485">
        <f t="shared" si="76"/>
        <v>0</v>
      </c>
      <c r="BX317" s="485">
        <f t="shared" si="76"/>
        <v>0</v>
      </c>
      <c r="BY317" s="485">
        <f t="shared" si="76"/>
        <v>0</v>
      </c>
      <c r="BZ317" s="485">
        <f t="shared" si="76"/>
        <v>0</v>
      </c>
      <c r="CA317" s="485">
        <f t="shared" si="76"/>
        <v>0</v>
      </c>
      <c r="CB317" s="485">
        <f t="shared" si="76"/>
        <v>0</v>
      </c>
      <c r="CC317" s="485">
        <f t="shared" si="76"/>
        <v>0</v>
      </c>
      <c r="CD317" s="485">
        <f t="shared" si="77"/>
        <v>0.30156532735072356</v>
      </c>
      <c r="CE317" s="485">
        <f t="shared" si="77"/>
        <v>0</v>
      </c>
      <c r="CF317" s="485">
        <f t="shared" si="77"/>
        <v>0</v>
      </c>
      <c r="CG317" s="485">
        <f t="shared" si="77"/>
        <v>0</v>
      </c>
      <c r="CH317" s="485">
        <f t="shared" si="77"/>
        <v>0</v>
      </c>
      <c r="CI317" s="485">
        <f t="shared" si="77"/>
        <v>0</v>
      </c>
      <c r="CJ317" s="485">
        <f t="shared" si="77"/>
        <v>0</v>
      </c>
      <c r="CK317" s="485">
        <f t="shared" si="77"/>
        <v>0</v>
      </c>
      <c r="CL317" s="485">
        <f t="shared" si="77"/>
        <v>0</v>
      </c>
      <c r="CM317" s="486">
        <f t="shared" si="70"/>
        <v>1</v>
      </c>
    </row>
    <row r="318" spans="1:91" s="487" customFormat="1" ht="25.5" x14ac:dyDescent="0.25">
      <c r="A318" s="497" t="s">
        <v>2640</v>
      </c>
      <c r="B318" s="498" t="e">
        <v>#N/A</v>
      </c>
      <c r="C318" s="497" t="s">
        <v>2664</v>
      </c>
      <c r="D318" s="498"/>
      <c r="E318" s="497"/>
      <c r="F318" s="498"/>
      <c r="G318" s="497"/>
      <c r="H318" s="497" t="s">
        <v>654</v>
      </c>
      <c r="I318" s="497" t="s">
        <v>647</v>
      </c>
      <c r="J318" s="497" t="s">
        <v>641</v>
      </c>
      <c r="K318" s="497" t="s">
        <v>663</v>
      </c>
      <c r="L318" s="497" t="s">
        <v>54</v>
      </c>
      <c r="M318" s="497" t="s">
        <v>646</v>
      </c>
      <c r="N318" s="497" t="s">
        <v>645</v>
      </c>
      <c r="O318" s="497"/>
      <c r="P318" s="497" t="s">
        <v>643</v>
      </c>
      <c r="Q318" s="497" t="s">
        <v>656</v>
      </c>
      <c r="R318" s="497" t="s">
        <v>652</v>
      </c>
      <c r="S318" s="497" t="s">
        <v>649</v>
      </c>
      <c r="T318" s="497"/>
      <c r="U318" s="497"/>
      <c r="V318" s="497" t="s">
        <v>685</v>
      </c>
      <c r="W318" s="497"/>
      <c r="X318" s="499">
        <v>42795</v>
      </c>
      <c r="Y318" s="499">
        <v>43266</v>
      </c>
      <c r="Z318" s="500">
        <v>2020</v>
      </c>
      <c r="AA318" s="497" t="s">
        <v>663</v>
      </c>
      <c r="AB318" s="497"/>
      <c r="AC318" s="497"/>
      <c r="AD318" s="501"/>
      <c r="AE318" s="501"/>
      <c r="AF318" s="501"/>
      <c r="AG318" s="501"/>
      <c r="AH318" s="501"/>
      <c r="AI318" s="501"/>
      <c r="AJ318" s="501"/>
      <c r="AK318" s="501"/>
      <c r="AL318" s="501"/>
      <c r="AM318" s="501"/>
      <c r="AN318" s="501"/>
      <c r="AO318" s="501">
        <v>29999.999999999993</v>
      </c>
      <c r="AP318" s="501"/>
      <c r="AQ318" s="501">
        <v>564419.8193999998</v>
      </c>
      <c r="AR318" s="501">
        <v>17999.963999999993</v>
      </c>
      <c r="AS318" s="501"/>
      <c r="AT318" s="501"/>
      <c r="AU318" s="501"/>
      <c r="AV318" s="501"/>
      <c r="AW318" s="501"/>
      <c r="AX318" s="501"/>
      <c r="AY318" s="501"/>
      <c r="AZ318" s="501"/>
      <c r="BA318" s="501"/>
      <c r="BB318" s="483">
        <v>91862.967509999973</v>
      </c>
      <c r="BC318" s="483">
        <v>61241.978339999994</v>
      </c>
      <c r="BD318" s="483">
        <v>103345.83844874997</v>
      </c>
      <c r="BE318" s="483">
        <v>2389.3940611715625</v>
      </c>
      <c r="BF318" s="483">
        <v>0</v>
      </c>
      <c r="BG318" s="483">
        <v>222665.70144499073</v>
      </c>
      <c r="BH318" s="483"/>
      <c r="BI318" s="483"/>
      <c r="BJ318" s="483"/>
      <c r="BK318" s="483"/>
      <c r="BL318" s="483"/>
      <c r="BM318" s="483"/>
      <c r="BN318" s="483"/>
      <c r="BO318" s="483"/>
      <c r="BP318" s="483"/>
      <c r="BQ318" s="483"/>
      <c r="BR318" s="483">
        <v>1093925.6632049121</v>
      </c>
      <c r="BS318" s="484">
        <f t="shared" si="69"/>
        <v>612419.78339999984</v>
      </c>
      <c r="BT318" s="485">
        <f t="shared" si="76"/>
        <v>0</v>
      </c>
      <c r="BU318" s="485">
        <f t="shared" si="76"/>
        <v>2.9391545616094802E-2</v>
      </c>
      <c r="BV318" s="485">
        <f t="shared" si="76"/>
        <v>0.92162244705173246</v>
      </c>
      <c r="BW318" s="485">
        <f t="shared" si="76"/>
        <v>0</v>
      </c>
      <c r="BX318" s="485">
        <f t="shared" si="76"/>
        <v>0</v>
      </c>
      <c r="BY318" s="485">
        <f t="shared" si="76"/>
        <v>0</v>
      </c>
      <c r="BZ318" s="485">
        <f t="shared" si="76"/>
        <v>0</v>
      </c>
      <c r="CA318" s="485">
        <f t="shared" si="76"/>
        <v>0</v>
      </c>
      <c r="CB318" s="485">
        <f t="shared" si="76"/>
        <v>0</v>
      </c>
      <c r="CC318" s="485">
        <f t="shared" si="76"/>
        <v>0</v>
      </c>
      <c r="CD318" s="485">
        <f t="shared" si="77"/>
        <v>0</v>
      </c>
      <c r="CE318" s="485">
        <f t="shared" si="77"/>
        <v>0</v>
      </c>
      <c r="CF318" s="485">
        <f t="shared" si="77"/>
        <v>0</v>
      </c>
      <c r="CG318" s="485">
        <f t="shared" si="77"/>
        <v>0</v>
      </c>
      <c r="CH318" s="485">
        <f t="shared" si="77"/>
        <v>0</v>
      </c>
      <c r="CI318" s="485">
        <f t="shared" si="77"/>
        <v>4.8986007332172676E-2</v>
      </c>
      <c r="CJ318" s="485">
        <f t="shared" si="77"/>
        <v>0</v>
      </c>
      <c r="CK318" s="485">
        <f t="shared" si="77"/>
        <v>0</v>
      </c>
      <c r="CL318" s="485">
        <f t="shared" si="77"/>
        <v>0</v>
      </c>
      <c r="CM318" s="486">
        <f t="shared" si="70"/>
        <v>1</v>
      </c>
    </row>
    <row r="319" spans="1:91" s="487" customFormat="1" ht="25.5" x14ac:dyDescent="0.25">
      <c r="A319" s="497" t="s">
        <v>2644</v>
      </c>
      <c r="B319" s="498" t="e">
        <v>#N/A</v>
      </c>
      <c r="C319" s="497" t="s">
        <v>2719</v>
      </c>
      <c r="D319" s="498"/>
      <c r="E319" s="497"/>
      <c r="F319" s="498"/>
      <c r="G319" s="497"/>
      <c r="H319" s="497" t="s">
        <v>654</v>
      </c>
      <c r="I319" s="497" t="s">
        <v>647</v>
      </c>
      <c r="J319" s="497" t="s">
        <v>671</v>
      </c>
      <c r="K319" s="497" t="s">
        <v>649</v>
      </c>
      <c r="L319" s="497" t="s">
        <v>54</v>
      </c>
      <c r="M319" s="497" t="s">
        <v>646</v>
      </c>
      <c r="N319" s="497" t="s">
        <v>645</v>
      </c>
      <c r="O319" s="497"/>
      <c r="P319" s="497"/>
      <c r="Q319" s="497" t="s">
        <v>650</v>
      </c>
      <c r="R319" s="497" t="s">
        <v>652</v>
      </c>
      <c r="S319" s="497" t="s">
        <v>649</v>
      </c>
      <c r="T319" s="497"/>
      <c r="U319" s="497"/>
      <c r="V319" s="497" t="s">
        <v>670</v>
      </c>
      <c r="W319" s="497"/>
      <c r="X319" s="499">
        <v>42921</v>
      </c>
      <c r="Y319" s="499">
        <v>43281</v>
      </c>
      <c r="Z319" s="500">
        <v>2018</v>
      </c>
      <c r="AA319" s="497"/>
      <c r="AB319" s="497"/>
      <c r="AC319" s="497"/>
      <c r="AD319" s="501"/>
      <c r="AE319" s="501"/>
      <c r="AF319" s="501"/>
      <c r="AG319" s="501"/>
      <c r="AH319" s="501"/>
      <c r="AI319" s="501"/>
      <c r="AJ319" s="501"/>
      <c r="AK319" s="501"/>
      <c r="AL319" s="501"/>
      <c r="AM319" s="501"/>
      <c r="AN319" s="501"/>
      <c r="AO319" s="501"/>
      <c r="AP319" s="501"/>
      <c r="AQ319" s="501"/>
      <c r="AR319" s="501"/>
      <c r="AS319" s="501"/>
      <c r="AT319" s="501"/>
      <c r="AU319" s="501"/>
      <c r="AV319" s="501"/>
      <c r="AW319" s="501"/>
      <c r="AX319" s="501"/>
      <c r="AY319" s="501"/>
      <c r="AZ319" s="501">
        <v>95000.000000000044</v>
      </c>
      <c r="BA319" s="501"/>
      <c r="BB319" s="483"/>
      <c r="BC319" s="483"/>
      <c r="BD319" s="483"/>
      <c r="BE319" s="483"/>
      <c r="BF319" s="483"/>
      <c r="BG319" s="483">
        <v>97302.559260768001</v>
      </c>
      <c r="BH319" s="483"/>
      <c r="BI319" s="483"/>
      <c r="BJ319" s="483"/>
      <c r="BK319" s="483"/>
      <c r="BL319" s="483"/>
      <c r="BM319" s="483"/>
      <c r="BN319" s="483"/>
      <c r="BO319" s="483"/>
      <c r="BP319" s="483">
        <v>450000.00000000023</v>
      </c>
      <c r="BQ319" s="483"/>
      <c r="BR319" s="483">
        <v>642302.55926076823</v>
      </c>
      <c r="BS319" s="484">
        <f t="shared" si="69"/>
        <v>95000.000000000044</v>
      </c>
      <c r="BT319" s="485">
        <f t="shared" si="76"/>
        <v>0</v>
      </c>
      <c r="BU319" s="485">
        <f t="shared" si="76"/>
        <v>0</v>
      </c>
      <c r="BV319" s="485">
        <f t="shared" si="76"/>
        <v>0</v>
      </c>
      <c r="BW319" s="485">
        <f t="shared" si="76"/>
        <v>0</v>
      </c>
      <c r="BX319" s="485">
        <f t="shared" si="76"/>
        <v>0</v>
      </c>
      <c r="BY319" s="485">
        <f t="shared" si="76"/>
        <v>0</v>
      </c>
      <c r="BZ319" s="485">
        <f t="shared" si="76"/>
        <v>0</v>
      </c>
      <c r="CA319" s="485">
        <f t="shared" si="76"/>
        <v>1</v>
      </c>
      <c r="CB319" s="485">
        <f t="shared" si="76"/>
        <v>0</v>
      </c>
      <c r="CC319" s="485">
        <f t="shared" si="76"/>
        <v>0</v>
      </c>
      <c r="CD319" s="485">
        <f t="shared" si="77"/>
        <v>0</v>
      </c>
      <c r="CE319" s="485">
        <f t="shared" si="77"/>
        <v>0</v>
      </c>
      <c r="CF319" s="485">
        <f t="shared" si="77"/>
        <v>0</v>
      </c>
      <c r="CG319" s="485">
        <f t="shared" si="77"/>
        <v>0</v>
      </c>
      <c r="CH319" s="485">
        <f t="shared" si="77"/>
        <v>0</v>
      </c>
      <c r="CI319" s="485">
        <f t="shared" si="77"/>
        <v>0</v>
      </c>
      <c r="CJ319" s="485">
        <f t="shared" si="77"/>
        <v>0</v>
      </c>
      <c r="CK319" s="485">
        <f t="shared" si="77"/>
        <v>0</v>
      </c>
      <c r="CL319" s="485">
        <f t="shared" si="77"/>
        <v>0</v>
      </c>
      <c r="CM319" s="486">
        <f t="shared" si="70"/>
        <v>1</v>
      </c>
    </row>
    <row r="320" spans="1:91" s="487" customFormat="1" ht="25.5" x14ac:dyDescent="0.25">
      <c r="A320" s="497" t="s">
        <v>2646</v>
      </c>
      <c r="B320" s="498" t="e">
        <v>#N/A</v>
      </c>
      <c r="C320" s="497" t="s">
        <v>2720</v>
      </c>
      <c r="D320" s="498"/>
      <c r="E320" s="497"/>
      <c r="F320" s="498"/>
      <c r="G320" s="497"/>
      <c r="H320" s="497" t="s">
        <v>654</v>
      </c>
      <c r="I320" s="497" t="s">
        <v>647</v>
      </c>
      <c r="J320" s="497" t="s">
        <v>641</v>
      </c>
      <c r="K320" s="497" t="s">
        <v>649</v>
      </c>
      <c r="L320" s="497" t="s">
        <v>54</v>
      </c>
      <c r="M320" s="497" t="s">
        <v>646</v>
      </c>
      <c r="N320" s="497" t="s">
        <v>645</v>
      </c>
      <c r="O320" s="497"/>
      <c r="P320" s="497" t="s">
        <v>643</v>
      </c>
      <c r="Q320" s="497" t="s">
        <v>656</v>
      </c>
      <c r="R320" s="497" t="s">
        <v>652</v>
      </c>
      <c r="S320" s="497"/>
      <c r="T320" s="497"/>
      <c r="U320" s="497"/>
      <c r="V320" s="497" t="s">
        <v>641</v>
      </c>
      <c r="W320" s="497"/>
      <c r="X320" s="499">
        <v>42795</v>
      </c>
      <c r="Y320" s="499">
        <v>43993</v>
      </c>
      <c r="Z320" s="500">
        <v>2018</v>
      </c>
      <c r="AA320" s="497"/>
      <c r="AB320" s="497"/>
      <c r="AC320" s="497"/>
      <c r="AD320" s="501"/>
      <c r="AE320" s="501"/>
      <c r="AF320" s="501"/>
      <c r="AG320" s="501"/>
      <c r="AH320" s="501"/>
      <c r="AI320" s="501"/>
      <c r="AJ320" s="501"/>
      <c r="AK320" s="501"/>
      <c r="AL320" s="501">
        <v>3209200.1200036025</v>
      </c>
      <c r="AM320" s="501"/>
      <c r="AN320" s="501"/>
      <c r="AO320" s="501"/>
      <c r="AP320" s="501"/>
      <c r="AQ320" s="501">
        <v>73120.000000000058</v>
      </c>
      <c r="AR320" s="501"/>
      <c r="AS320" s="501"/>
      <c r="AT320" s="501"/>
      <c r="AU320" s="501"/>
      <c r="AV320" s="501"/>
      <c r="AW320" s="501"/>
      <c r="AX320" s="501"/>
      <c r="AY320" s="501"/>
      <c r="AZ320" s="501"/>
      <c r="BA320" s="501"/>
      <c r="BB320" s="483">
        <v>483348.01800054032</v>
      </c>
      <c r="BC320" s="483"/>
      <c r="BD320" s="483">
        <v>500265.19863055926</v>
      </c>
      <c r="BE320" s="483">
        <v>11731.316675745431</v>
      </c>
      <c r="BF320" s="483"/>
      <c r="BG320" s="483">
        <v>753008.37590969948</v>
      </c>
      <c r="BH320" s="483"/>
      <c r="BI320" s="483"/>
      <c r="BJ320" s="483"/>
      <c r="BK320" s="483"/>
      <c r="BL320" s="483"/>
      <c r="BM320" s="483"/>
      <c r="BN320" s="483"/>
      <c r="BO320" s="483"/>
      <c r="BP320" s="483"/>
      <c r="BQ320" s="483"/>
      <c r="BR320" s="483">
        <v>5030673.0292201471</v>
      </c>
      <c r="BS320" s="484">
        <f t="shared" si="69"/>
        <v>3282320.1200036025</v>
      </c>
      <c r="BT320" s="485">
        <f t="shared" si="76"/>
        <v>0</v>
      </c>
      <c r="BU320" s="485">
        <f t="shared" si="76"/>
        <v>0</v>
      </c>
      <c r="BV320" s="485">
        <f t="shared" si="76"/>
        <v>2.2276925262219641E-2</v>
      </c>
      <c r="BW320" s="485">
        <f t="shared" si="76"/>
        <v>0</v>
      </c>
      <c r="BX320" s="485">
        <f t="shared" si="76"/>
        <v>0</v>
      </c>
      <c r="BY320" s="485">
        <f t="shared" si="76"/>
        <v>0</v>
      </c>
      <c r="BZ320" s="485">
        <f t="shared" si="76"/>
        <v>0</v>
      </c>
      <c r="CA320" s="485">
        <f t="shared" si="76"/>
        <v>0</v>
      </c>
      <c r="CB320" s="485">
        <f t="shared" si="76"/>
        <v>0</v>
      </c>
      <c r="CC320" s="485">
        <f t="shared" si="76"/>
        <v>0</v>
      </c>
      <c r="CD320" s="485">
        <f t="shared" si="77"/>
        <v>0</v>
      </c>
      <c r="CE320" s="485">
        <f t="shared" si="77"/>
        <v>0</v>
      </c>
      <c r="CF320" s="485">
        <f t="shared" si="77"/>
        <v>0</v>
      </c>
      <c r="CG320" s="485">
        <f t="shared" si="77"/>
        <v>0</v>
      </c>
      <c r="CH320" s="485">
        <f t="shared" si="77"/>
        <v>0.97772307473778042</v>
      </c>
      <c r="CI320" s="485">
        <f t="shared" si="77"/>
        <v>0</v>
      </c>
      <c r="CJ320" s="485">
        <f t="shared" si="77"/>
        <v>0</v>
      </c>
      <c r="CK320" s="485">
        <f t="shared" si="77"/>
        <v>0</v>
      </c>
      <c r="CL320" s="485">
        <f t="shared" si="77"/>
        <v>0</v>
      </c>
      <c r="CM320" s="486">
        <f t="shared" si="70"/>
        <v>1</v>
      </c>
    </row>
    <row r="321" spans="1:91" s="487" customFormat="1" ht="25.5" x14ac:dyDescent="0.25">
      <c r="A321" s="497" t="s">
        <v>2650</v>
      </c>
      <c r="B321" s="498" t="e">
        <v>#N/A</v>
      </c>
      <c r="C321" s="497" t="s">
        <v>2721</v>
      </c>
      <c r="D321" s="498"/>
      <c r="E321" s="497"/>
      <c r="F321" s="498"/>
      <c r="G321" s="497"/>
      <c r="H321" s="497" t="s">
        <v>654</v>
      </c>
      <c r="I321" s="497" t="s">
        <v>647</v>
      </c>
      <c r="J321" s="497" t="s">
        <v>641</v>
      </c>
      <c r="K321" s="497" t="s">
        <v>649</v>
      </c>
      <c r="L321" s="497" t="s">
        <v>54</v>
      </c>
      <c r="M321" s="497" t="s">
        <v>646</v>
      </c>
      <c r="N321" s="497" t="s">
        <v>668</v>
      </c>
      <c r="O321" s="497"/>
      <c r="P321" s="497" t="s">
        <v>643</v>
      </c>
      <c r="Q321" s="497" t="s">
        <v>656</v>
      </c>
      <c r="R321" s="497" t="s">
        <v>652</v>
      </c>
      <c r="S321" s="497"/>
      <c r="T321" s="497"/>
      <c r="U321" s="497"/>
      <c r="V321" s="497" t="s">
        <v>641</v>
      </c>
      <c r="W321" s="497" t="s">
        <v>666</v>
      </c>
      <c r="X321" s="499">
        <v>42795</v>
      </c>
      <c r="Y321" s="499">
        <v>43237</v>
      </c>
      <c r="Z321" s="500">
        <v>2018</v>
      </c>
      <c r="AA321" s="497" t="s">
        <v>663</v>
      </c>
      <c r="AB321" s="497"/>
      <c r="AC321" s="497"/>
      <c r="AD321" s="501"/>
      <c r="AE321" s="501"/>
      <c r="AF321" s="501"/>
      <c r="AG321" s="501">
        <v>960000.00000000047</v>
      </c>
      <c r="AH321" s="501"/>
      <c r="AI321" s="501">
        <v>150000.00000000003</v>
      </c>
      <c r="AJ321" s="501"/>
      <c r="AK321" s="501"/>
      <c r="AL321" s="501"/>
      <c r="AM321" s="501"/>
      <c r="AN321" s="501"/>
      <c r="AO321" s="501"/>
      <c r="AP321" s="501"/>
      <c r="AQ321" s="501"/>
      <c r="AR321" s="501"/>
      <c r="AS321" s="501"/>
      <c r="AT321" s="501"/>
      <c r="AU321" s="501"/>
      <c r="AV321" s="501"/>
      <c r="AW321" s="501"/>
      <c r="AX321" s="501"/>
      <c r="AY321" s="501"/>
      <c r="AZ321" s="501"/>
      <c r="BA321" s="501"/>
      <c r="BB321" s="483">
        <v>177260.00000000009</v>
      </c>
      <c r="BC321" s="483"/>
      <c r="BD321" s="483">
        <v>160280.10000000006</v>
      </c>
      <c r="BE321" s="483">
        <v>5534.4852750000036</v>
      </c>
      <c r="BF321" s="483">
        <v>116720.00000000003</v>
      </c>
      <c r="BG321" s="483">
        <v>381139.4066849309</v>
      </c>
      <c r="BH321" s="483"/>
      <c r="BI321" s="483"/>
      <c r="BJ321" s="483"/>
      <c r="BK321" s="483"/>
      <c r="BL321" s="483"/>
      <c r="BM321" s="483"/>
      <c r="BN321" s="483"/>
      <c r="BO321" s="483"/>
      <c r="BP321" s="483">
        <v>665000.00000000012</v>
      </c>
      <c r="BQ321" s="483"/>
      <c r="BR321" s="483">
        <v>2615933.9919599313</v>
      </c>
      <c r="BS321" s="484">
        <f t="shared" si="69"/>
        <v>1110000.0000000005</v>
      </c>
      <c r="BT321" s="485">
        <f t="shared" si="76"/>
        <v>0</v>
      </c>
      <c r="BU321" s="485">
        <f t="shared" si="76"/>
        <v>0</v>
      </c>
      <c r="BV321" s="485">
        <f t="shared" si="76"/>
        <v>0</v>
      </c>
      <c r="BW321" s="485">
        <f t="shared" si="76"/>
        <v>0</v>
      </c>
      <c r="BX321" s="485">
        <f t="shared" si="76"/>
        <v>0</v>
      </c>
      <c r="BY321" s="485">
        <f t="shared" si="76"/>
        <v>0</v>
      </c>
      <c r="BZ321" s="485">
        <f t="shared" si="76"/>
        <v>0</v>
      </c>
      <c r="CA321" s="485">
        <f t="shared" si="76"/>
        <v>0</v>
      </c>
      <c r="CB321" s="485">
        <f t="shared" si="76"/>
        <v>0</v>
      </c>
      <c r="CC321" s="485">
        <f t="shared" si="76"/>
        <v>0.86486486486486491</v>
      </c>
      <c r="CD321" s="485">
        <f t="shared" si="77"/>
        <v>0</v>
      </c>
      <c r="CE321" s="485">
        <f t="shared" si="77"/>
        <v>0.13513513513513511</v>
      </c>
      <c r="CF321" s="485">
        <f t="shared" si="77"/>
        <v>0</v>
      </c>
      <c r="CG321" s="485">
        <f t="shared" si="77"/>
        <v>0</v>
      </c>
      <c r="CH321" s="485">
        <f t="shared" si="77"/>
        <v>0</v>
      </c>
      <c r="CI321" s="485">
        <f t="shared" si="77"/>
        <v>0</v>
      </c>
      <c r="CJ321" s="485">
        <f t="shared" si="77"/>
        <v>0</v>
      </c>
      <c r="CK321" s="485">
        <f t="shared" si="77"/>
        <v>0</v>
      </c>
      <c r="CL321" s="485">
        <f t="shared" si="77"/>
        <v>0</v>
      </c>
      <c r="CM321" s="486">
        <f t="shared" si="70"/>
        <v>1</v>
      </c>
    </row>
    <row r="322" spans="1:91" s="487" customFormat="1" ht="25.5" x14ac:dyDescent="0.25">
      <c r="A322" s="497" t="s">
        <v>2778</v>
      </c>
      <c r="B322" s="498" t="e">
        <v>#N/A</v>
      </c>
      <c r="C322" s="497" t="s">
        <v>2807</v>
      </c>
      <c r="D322" s="498"/>
      <c r="E322" s="497"/>
      <c r="F322" s="498"/>
      <c r="G322" s="497"/>
      <c r="H322" s="497" t="s">
        <v>654</v>
      </c>
      <c r="I322" s="497" t="s">
        <v>647</v>
      </c>
      <c r="J322" s="497" t="s">
        <v>641</v>
      </c>
      <c r="K322" s="497" t="s">
        <v>663</v>
      </c>
      <c r="L322" s="497" t="s">
        <v>54</v>
      </c>
      <c r="M322" s="497" t="s">
        <v>646</v>
      </c>
      <c r="N322" s="497" t="s">
        <v>699</v>
      </c>
      <c r="O322" s="497"/>
      <c r="P322" s="497"/>
      <c r="Q322" s="497" t="s">
        <v>642</v>
      </c>
      <c r="R322" s="497" t="s">
        <v>652</v>
      </c>
      <c r="S322" s="497" t="s">
        <v>663</v>
      </c>
      <c r="T322" s="497"/>
      <c r="U322" s="497"/>
      <c r="V322" s="497" t="s">
        <v>641</v>
      </c>
      <c r="W322" s="497"/>
      <c r="X322" s="499">
        <v>42826</v>
      </c>
      <c r="Y322" s="499">
        <v>43373</v>
      </c>
      <c r="Z322" s="500">
        <v>2019</v>
      </c>
      <c r="AA322" s="497"/>
      <c r="AB322" s="497"/>
      <c r="AC322" s="497"/>
      <c r="AD322" s="501"/>
      <c r="AE322" s="501"/>
      <c r="AF322" s="501"/>
      <c r="AG322" s="501"/>
      <c r="AH322" s="501"/>
      <c r="AI322" s="501"/>
      <c r="AJ322" s="501"/>
      <c r="AK322" s="501"/>
      <c r="AL322" s="501">
        <v>29999.999999999989</v>
      </c>
      <c r="AM322" s="501"/>
      <c r="AN322" s="501"/>
      <c r="AO322" s="501">
        <v>2652824.998441956</v>
      </c>
      <c r="AP322" s="501"/>
      <c r="AQ322" s="501"/>
      <c r="AR322" s="501"/>
      <c r="AS322" s="501"/>
      <c r="AT322" s="501"/>
      <c r="AU322" s="501"/>
      <c r="AV322" s="501"/>
      <c r="AW322" s="501"/>
      <c r="AX322" s="501"/>
      <c r="AY322" s="501"/>
      <c r="AZ322" s="501"/>
      <c r="BA322" s="501"/>
      <c r="BB322" s="483"/>
      <c r="BC322" s="483"/>
      <c r="BD322" s="483">
        <v>277496.62483640539</v>
      </c>
      <c r="BE322" s="483">
        <v>8140.8844640154921</v>
      </c>
      <c r="BF322" s="483">
        <v>0</v>
      </c>
      <c r="BG322" s="483">
        <v>353969.94532812864</v>
      </c>
      <c r="BH322" s="483"/>
      <c r="BI322" s="483"/>
      <c r="BJ322" s="483"/>
      <c r="BK322" s="483"/>
      <c r="BL322" s="483"/>
      <c r="BM322" s="483"/>
      <c r="BN322" s="483"/>
      <c r="BO322" s="483"/>
      <c r="BP322" s="483"/>
      <c r="BQ322" s="483"/>
      <c r="BR322" s="483">
        <v>3322432.4530705055</v>
      </c>
      <c r="BS322" s="484">
        <f t="shared" si="69"/>
        <v>2682824.998441956</v>
      </c>
      <c r="BT322" s="485">
        <f t="shared" ref="BT322:CC325" si="78">SUMIFS($AD322:$BA322,$AD$11:$BA$11,BT$21)/$BS322</f>
        <v>0</v>
      </c>
      <c r="BU322" s="485">
        <f t="shared" si="78"/>
        <v>0</v>
      </c>
      <c r="BV322" s="485">
        <f t="shared" si="78"/>
        <v>0</v>
      </c>
      <c r="BW322" s="485">
        <f t="shared" si="78"/>
        <v>0</v>
      </c>
      <c r="BX322" s="485">
        <f t="shared" si="78"/>
        <v>0</v>
      </c>
      <c r="BY322" s="485">
        <f t="shared" si="78"/>
        <v>0</v>
      </c>
      <c r="BZ322" s="485">
        <f t="shared" si="78"/>
        <v>0</v>
      </c>
      <c r="CA322" s="485">
        <f t="shared" si="78"/>
        <v>0</v>
      </c>
      <c r="CB322" s="485">
        <f t="shared" si="78"/>
        <v>0</v>
      </c>
      <c r="CC322" s="485">
        <f t="shared" si="78"/>
        <v>0</v>
      </c>
      <c r="CD322" s="485">
        <f t="shared" ref="CD322:CL325" si="79">SUMIFS($AD322:$BA322,$AD$11:$BA$11,CD$21)/$BS322</f>
        <v>0</v>
      </c>
      <c r="CE322" s="485">
        <f t="shared" si="79"/>
        <v>0</v>
      </c>
      <c r="CF322" s="485">
        <f t="shared" si="79"/>
        <v>0</v>
      </c>
      <c r="CG322" s="485">
        <f t="shared" si="79"/>
        <v>0</v>
      </c>
      <c r="CH322" s="485">
        <f t="shared" si="79"/>
        <v>1.1182242605247236E-2</v>
      </c>
      <c r="CI322" s="485">
        <f t="shared" si="79"/>
        <v>0.98881775739475275</v>
      </c>
      <c r="CJ322" s="485">
        <f t="shared" si="79"/>
        <v>0</v>
      </c>
      <c r="CK322" s="485">
        <f t="shared" si="79"/>
        <v>0</v>
      </c>
      <c r="CL322" s="485">
        <f t="shared" si="79"/>
        <v>0</v>
      </c>
      <c r="CM322" s="486">
        <f t="shared" si="70"/>
        <v>1</v>
      </c>
    </row>
    <row r="323" spans="1:91" s="487" customFormat="1" ht="25.5" x14ac:dyDescent="0.25">
      <c r="A323" s="503" t="s">
        <v>2296</v>
      </c>
      <c r="B323" s="504" t="s">
        <v>2336</v>
      </c>
      <c r="C323" s="503" t="s">
        <v>2808</v>
      </c>
      <c r="D323" s="504"/>
      <c r="E323" s="503" t="s">
        <v>2449</v>
      </c>
      <c r="F323" s="504"/>
      <c r="G323" s="503" t="s">
        <v>686</v>
      </c>
      <c r="H323" s="503" t="s">
        <v>2455</v>
      </c>
      <c r="I323" s="503" t="s">
        <v>647</v>
      </c>
      <c r="J323" s="503" t="s">
        <v>641</v>
      </c>
      <c r="K323" s="503" t="s">
        <v>649</v>
      </c>
      <c r="L323" s="503" t="s">
        <v>107</v>
      </c>
      <c r="M323" s="503" t="s">
        <v>646</v>
      </c>
      <c r="N323" s="503" t="s">
        <v>699</v>
      </c>
      <c r="O323" s="503" t="s">
        <v>2450</v>
      </c>
      <c r="P323" s="503" t="s">
        <v>971</v>
      </c>
      <c r="Q323" s="503" t="s">
        <v>642</v>
      </c>
      <c r="R323" s="503" t="s">
        <v>652</v>
      </c>
      <c r="S323" s="503" t="s">
        <v>649</v>
      </c>
      <c r="T323" s="503"/>
      <c r="U323" s="503"/>
      <c r="V323" s="503" t="s">
        <v>641</v>
      </c>
      <c r="W323" s="503" t="s">
        <v>2809</v>
      </c>
      <c r="X323" s="505">
        <v>42717</v>
      </c>
      <c r="Y323" s="505">
        <v>43508</v>
      </c>
      <c r="Z323" s="506">
        <v>2019</v>
      </c>
      <c r="AA323" s="503"/>
      <c r="AB323" s="503"/>
      <c r="AC323" s="503"/>
      <c r="AD323" s="507"/>
      <c r="AE323" s="507"/>
      <c r="AF323" s="507"/>
      <c r="AG323" s="508">
        <v>397183.95873134065</v>
      </c>
      <c r="AH323" s="508"/>
      <c r="AI323" s="508">
        <v>849747.34025145555</v>
      </c>
      <c r="AJ323" s="508"/>
      <c r="AK323" s="508">
        <v>141499.99998389996</v>
      </c>
      <c r="AL323" s="508">
        <v>1266899.9897641679</v>
      </c>
      <c r="AM323" s="508">
        <v>13376274.999999994</v>
      </c>
      <c r="AN323" s="508">
        <v>75649.999999999956</v>
      </c>
      <c r="AO323" s="508">
        <v>14999.999999999993</v>
      </c>
      <c r="AP323" s="508"/>
      <c r="AQ323" s="508">
        <v>95124.918499999942</v>
      </c>
      <c r="AR323" s="508">
        <v>5799.9992099999981</v>
      </c>
      <c r="AS323" s="508">
        <v>379999.99999999983</v>
      </c>
      <c r="AT323" s="508"/>
      <c r="AU323" s="508"/>
      <c r="AV323" s="508"/>
      <c r="AW323" s="508"/>
      <c r="AX323" s="508"/>
      <c r="AY323" s="508"/>
      <c r="AZ323" s="508"/>
      <c r="BA323" s="508"/>
      <c r="BB323" s="488">
        <v>287526.71230929071</v>
      </c>
      <c r="BC323" s="488">
        <v>164300.97846245184</v>
      </c>
      <c r="BD323" s="488">
        <v>277257.9011553874</v>
      </c>
      <c r="BE323" s="488">
        <v>69313.379076223486</v>
      </c>
      <c r="BF323" s="488">
        <v>77810.688935358034</v>
      </c>
      <c r="BG323" s="488">
        <v>2840778.7989067058</v>
      </c>
      <c r="BH323" s="488"/>
      <c r="BI323" s="488"/>
      <c r="BJ323" s="488"/>
      <c r="BK323" s="488"/>
      <c r="BL323" s="488"/>
      <c r="BM323" s="488"/>
      <c r="BN323" s="488"/>
      <c r="BO323" s="488"/>
      <c r="BP323" s="488"/>
      <c r="BQ323" s="488">
        <v>589999.99999999977</v>
      </c>
      <c r="BR323" s="488">
        <v>20910169.665286269</v>
      </c>
      <c r="BS323" s="484">
        <f t="shared" si="69"/>
        <v>16603181.20644086</v>
      </c>
      <c r="BT323" s="485">
        <f t="shared" si="78"/>
        <v>0</v>
      </c>
      <c r="BU323" s="485">
        <f t="shared" si="78"/>
        <v>3.4933059742490844E-4</v>
      </c>
      <c r="BV323" s="485">
        <f t="shared" si="78"/>
        <v>5.7293188165107901E-3</v>
      </c>
      <c r="BW323" s="485">
        <f t="shared" si="78"/>
        <v>0</v>
      </c>
      <c r="BX323" s="485">
        <f t="shared" si="78"/>
        <v>0</v>
      </c>
      <c r="BY323" s="485">
        <f t="shared" si="78"/>
        <v>2.2887180190058198E-2</v>
      </c>
      <c r="BZ323" s="485">
        <f t="shared" si="78"/>
        <v>0</v>
      </c>
      <c r="CA323" s="485">
        <f t="shared" si="78"/>
        <v>0</v>
      </c>
      <c r="CB323" s="485">
        <f t="shared" si="78"/>
        <v>0</v>
      </c>
      <c r="CC323" s="485">
        <f t="shared" si="78"/>
        <v>2.3922160084433781E-2</v>
      </c>
      <c r="CD323" s="485">
        <f t="shared" si="79"/>
        <v>0</v>
      </c>
      <c r="CE323" s="485">
        <f t="shared" si="79"/>
        <v>5.1179790769362542E-2</v>
      </c>
      <c r="CF323" s="485">
        <f t="shared" si="79"/>
        <v>8.5224631487493471E-3</v>
      </c>
      <c r="CG323" s="485">
        <f t="shared" si="79"/>
        <v>0</v>
      </c>
      <c r="CH323" s="485">
        <f t="shared" si="79"/>
        <v>0.88194995932970033</v>
      </c>
      <c r="CI323" s="485">
        <f t="shared" si="79"/>
        <v>9.034413232917709E-4</v>
      </c>
      <c r="CJ323" s="485">
        <f t="shared" si="79"/>
        <v>4.556355740468164E-3</v>
      </c>
      <c r="CK323" s="485">
        <f t="shared" si="79"/>
        <v>0</v>
      </c>
      <c r="CL323" s="485">
        <f t="shared" si="79"/>
        <v>0</v>
      </c>
      <c r="CM323" s="486">
        <f t="shared" si="70"/>
        <v>0.99999999999999989</v>
      </c>
    </row>
    <row r="324" spans="1:91" s="487" customFormat="1" ht="25.5" customHeight="1" x14ac:dyDescent="0.25">
      <c r="A324" s="509" t="s">
        <v>1067</v>
      </c>
      <c r="B324" s="510" t="s">
        <v>1674</v>
      </c>
      <c r="C324" s="509" t="s">
        <v>2810</v>
      </c>
      <c r="D324" s="509"/>
      <c r="E324" s="509" t="s">
        <v>655</v>
      </c>
      <c r="F324" s="509"/>
      <c r="G324" s="509"/>
      <c r="H324" s="509" t="s">
        <v>2360</v>
      </c>
      <c r="I324" s="509" t="s">
        <v>647</v>
      </c>
      <c r="J324" s="509" t="s">
        <v>641</v>
      </c>
      <c r="K324" s="509" t="s">
        <v>649</v>
      </c>
      <c r="L324" s="509" t="s">
        <v>28</v>
      </c>
      <c r="M324" s="509" t="s">
        <v>653</v>
      </c>
      <c r="N324" s="509" t="s">
        <v>645</v>
      </c>
      <c r="O324" s="509"/>
      <c r="P324" s="509"/>
      <c r="Q324" s="509" t="s">
        <v>656</v>
      </c>
      <c r="R324" s="509" t="s">
        <v>652</v>
      </c>
      <c r="S324" s="509" t="s">
        <v>649</v>
      </c>
      <c r="T324" s="509"/>
      <c r="U324" s="509"/>
      <c r="V324" s="509" t="s">
        <v>641</v>
      </c>
      <c r="W324" s="509" t="s">
        <v>2792</v>
      </c>
      <c r="X324" s="511">
        <v>43282</v>
      </c>
      <c r="Y324" s="511">
        <v>44447</v>
      </c>
      <c r="Z324" s="512">
        <v>2022</v>
      </c>
      <c r="AA324" s="509"/>
      <c r="AB324" s="509"/>
      <c r="AC324" s="509"/>
      <c r="AD324" s="513"/>
      <c r="AE324" s="513"/>
      <c r="AF324" s="513"/>
      <c r="AG324" s="513">
        <v>2410111.6818727357</v>
      </c>
      <c r="AH324" s="513"/>
      <c r="AI324" s="513">
        <v>161789.99421125019</v>
      </c>
      <c r="AJ324" s="513"/>
      <c r="AK324" s="513"/>
      <c r="AL324" s="513">
        <v>573400.01499594084</v>
      </c>
      <c r="AM324" s="513"/>
      <c r="AN324" s="513"/>
      <c r="AO324" s="513"/>
      <c r="AP324" s="513"/>
      <c r="AQ324" s="513">
        <v>144001.00408000016</v>
      </c>
      <c r="AR324" s="513">
        <v>35999.980500000049</v>
      </c>
      <c r="AS324" s="513">
        <v>30000.000000000033</v>
      </c>
      <c r="AT324" s="513"/>
      <c r="AU324" s="513"/>
      <c r="AV324" s="513"/>
      <c r="AW324" s="513"/>
      <c r="AX324" s="513"/>
      <c r="AY324" s="513"/>
      <c r="AZ324" s="513"/>
      <c r="BA324" s="513"/>
      <c r="BB324" s="489">
        <v>278157.92530819541</v>
      </c>
      <c r="BC324" s="489">
        <v>185438.61687213034</v>
      </c>
      <c r="BD324" s="489">
        <v>312927.66597172001</v>
      </c>
      <c r="BE324" s="489">
        <v>10785.021222887921</v>
      </c>
      <c r="BF324" s="489">
        <v>0</v>
      </c>
      <c r="BG324" s="489">
        <v>734252.59377283347</v>
      </c>
      <c r="BH324" s="489"/>
      <c r="BI324" s="489"/>
      <c r="BJ324" s="489"/>
      <c r="BK324" s="489"/>
      <c r="BL324" s="489"/>
      <c r="BM324" s="489"/>
      <c r="BN324" s="489"/>
      <c r="BO324" s="489"/>
      <c r="BP324" s="489"/>
      <c r="BQ324" s="489"/>
      <c r="BR324" s="489">
        <v>4876864.4988076948</v>
      </c>
      <c r="BS324" s="484">
        <f t="shared" si="69"/>
        <v>3355302.6756599271</v>
      </c>
      <c r="BT324" s="485">
        <f t="shared" si="78"/>
        <v>0</v>
      </c>
      <c r="BU324" s="485">
        <f t="shared" si="78"/>
        <v>1.0729279585162762E-2</v>
      </c>
      <c r="BV324" s="485">
        <f t="shared" si="78"/>
        <v>4.2917440839127213E-2</v>
      </c>
      <c r="BW324" s="485">
        <f t="shared" si="78"/>
        <v>0</v>
      </c>
      <c r="BX324" s="485">
        <f t="shared" si="78"/>
        <v>0</v>
      </c>
      <c r="BY324" s="485">
        <f t="shared" si="78"/>
        <v>8.9410711640491806E-3</v>
      </c>
      <c r="BZ324" s="485">
        <f t="shared" si="78"/>
        <v>0</v>
      </c>
      <c r="CA324" s="485">
        <f t="shared" si="78"/>
        <v>0</v>
      </c>
      <c r="CB324" s="485">
        <f t="shared" si="78"/>
        <v>0</v>
      </c>
      <c r="CC324" s="485">
        <f t="shared" si="78"/>
        <v>0.71829933536434554</v>
      </c>
      <c r="CD324" s="485">
        <f t="shared" si="79"/>
        <v>0</v>
      </c>
      <c r="CE324" s="485">
        <f t="shared" si="79"/>
        <v>4.8219195062463041E-2</v>
      </c>
      <c r="CF324" s="485">
        <f t="shared" si="79"/>
        <v>0</v>
      </c>
      <c r="CG324" s="485">
        <f t="shared" si="79"/>
        <v>0</v>
      </c>
      <c r="CH324" s="485">
        <f t="shared" si="79"/>
        <v>0.17089367798485228</v>
      </c>
      <c r="CI324" s="485">
        <f t="shared" si="79"/>
        <v>0</v>
      </c>
      <c r="CJ324" s="485">
        <f t="shared" si="79"/>
        <v>0</v>
      </c>
      <c r="CK324" s="485">
        <f t="shared" si="79"/>
        <v>0</v>
      </c>
      <c r="CL324" s="485">
        <f t="shared" si="79"/>
        <v>0</v>
      </c>
      <c r="CM324" s="486">
        <f t="shared" si="70"/>
        <v>1</v>
      </c>
    </row>
    <row r="325" spans="1:91" s="487" customFormat="1" ht="25.5" customHeight="1" x14ac:dyDescent="0.25">
      <c r="A325" s="509" t="s">
        <v>69</v>
      </c>
      <c r="B325" s="510" t="s">
        <v>1686</v>
      </c>
      <c r="C325" s="509" t="s">
        <v>2444</v>
      </c>
      <c r="D325" s="509"/>
      <c r="E325" s="509" t="s">
        <v>779</v>
      </c>
      <c r="F325" s="509"/>
      <c r="G325" s="509" t="s">
        <v>722</v>
      </c>
      <c r="H325" s="509" t="s">
        <v>30</v>
      </c>
      <c r="I325" s="509" t="s">
        <v>647</v>
      </c>
      <c r="J325" s="509" t="s">
        <v>641</v>
      </c>
      <c r="K325" s="509" t="s">
        <v>649</v>
      </c>
      <c r="L325" s="509" t="s">
        <v>28</v>
      </c>
      <c r="M325" s="509" t="s">
        <v>646</v>
      </c>
      <c r="N325" s="509"/>
      <c r="O325" s="509"/>
      <c r="P325" s="509" t="s">
        <v>643</v>
      </c>
      <c r="Q325" s="509" t="s">
        <v>642</v>
      </c>
      <c r="R325" s="509" t="s">
        <v>652</v>
      </c>
      <c r="S325" s="509" t="s">
        <v>649</v>
      </c>
      <c r="T325" s="509"/>
      <c r="U325" s="509"/>
      <c r="V325" s="509" t="s">
        <v>641</v>
      </c>
      <c r="W325" s="509" t="s">
        <v>973</v>
      </c>
      <c r="X325" s="511">
        <v>41760</v>
      </c>
      <c r="Y325" s="511">
        <v>43277</v>
      </c>
      <c r="Z325" s="512">
        <v>2017</v>
      </c>
      <c r="AA325" s="509" t="s">
        <v>663</v>
      </c>
      <c r="AB325" s="509" t="s">
        <v>697</v>
      </c>
      <c r="AC325" s="509" t="s">
        <v>649</v>
      </c>
      <c r="AD325" s="513"/>
      <c r="AE325" s="513"/>
      <c r="AF325" s="513"/>
      <c r="AG325" s="513">
        <v>1251590.7439221647</v>
      </c>
      <c r="AH325" s="513">
        <v>949911.06250000582</v>
      </c>
      <c r="AI325" s="513">
        <v>379050.00000182004</v>
      </c>
      <c r="AJ325" s="513"/>
      <c r="AK325" s="513">
        <v>55339.99999945001</v>
      </c>
      <c r="AL325" s="513">
        <v>237800.00500314686</v>
      </c>
      <c r="AM325" s="513"/>
      <c r="AN325" s="513"/>
      <c r="AO325" s="513"/>
      <c r="AP325" s="513"/>
      <c r="AQ325" s="513"/>
      <c r="AR325" s="513"/>
      <c r="AS325" s="513"/>
      <c r="AT325" s="513"/>
      <c r="AU325" s="513"/>
      <c r="AV325" s="513"/>
      <c r="AW325" s="513"/>
      <c r="AX325" s="513"/>
      <c r="AY325" s="513"/>
      <c r="AZ325" s="513"/>
      <c r="BA325" s="513"/>
      <c r="BB325" s="489">
        <v>234255.15336918182</v>
      </c>
      <c r="BC325" s="489">
        <v>156170.10224612124</v>
      </c>
      <c r="BD325" s="489">
        <v>263537.04754032957</v>
      </c>
      <c r="BE325" s="489">
        <v>9411.0640670261018</v>
      </c>
      <c r="BF325" s="489">
        <v>500145.00652836397</v>
      </c>
      <c r="BG325" s="489">
        <v>98294.029646940224</v>
      </c>
      <c r="BH325" s="489">
        <v>78635.223717552173</v>
      </c>
      <c r="BI325" s="489">
        <v>39317.611858776087</v>
      </c>
      <c r="BJ325" s="489">
        <v>117952.83557632826</v>
      </c>
      <c r="BK325" s="489">
        <v>58976.417788164137</v>
      </c>
      <c r="BL325" s="489">
        <v>117952.83557632827</v>
      </c>
      <c r="BM325" s="489">
        <v>78635.223717552173</v>
      </c>
      <c r="BN325" s="489"/>
      <c r="BO325" s="489"/>
      <c r="BP325" s="489"/>
      <c r="BQ325" s="489"/>
      <c r="BR325" s="489">
        <v>4626974.3630592516</v>
      </c>
      <c r="BS325" s="484">
        <f t="shared" si="69"/>
        <v>2873691.8114265869</v>
      </c>
      <c r="BT325" s="485">
        <f t="shared" si="78"/>
        <v>0</v>
      </c>
      <c r="BU325" s="485">
        <f t="shared" si="78"/>
        <v>0</v>
      </c>
      <c r="BV325" s="485">
        <f t="shared" si="78"/>
        <v>0</v>
      </c>
      <c r="BW325" s="485">
        <f t="shared" si="78"/>
        <v>0</v>
      </c>
      <c r="BX325" s="485">
        <f t="shared" si="78"/>
        <v>0</v>
      </c>
      <c r="BY325" s="485">
        <f t="shared" si="78"/>
        <v>0</v>
      </c>
      <c r="BZ325" s="485">
        <f t="shared" si="78"/>
        <v>0</v>
      </c>
      <c r="CA325" s="485">
        <f t="shared" si="78"/>
        <v>0</v>
      </c>
      <c r="CB325" s="485">
        <f t="shared" si="78"/>
        <v>0</v>
      </c>
      <c r="CC325" s="485">
        <f t="shared" si="78"/>
        <v>0.76608834589304087</v>
      </c>
      <c r="CD325" s="485">
        <f t="shared" si="79"/>
        <v>0</v>
      </c>
      <c r="CE325" s="485">
        <f t="shared" si="79"/>
        <v>0.1319034972694752</v>
      </c>
      <c r="CF325" s="485">
        <f t="shared" si="79"/>
        <v>1.9257458221303685E-2</v>
      </c>
      <c r="CG325" s="485">
        <f t="shared" si="79"/>
        <v>0</v>
      </c>
      <c r="CH325" s="485">
        <f t="shared" si="79"/>
        <v>8.275069861618034E-2</v>
      </c>
      <c r="CI325" s="485">
        <f t="shared" si="79"/>
        <v>0</v>
      </c>
      <c r="CJ325" s="485">
        <f t="shared" si="79"/>
        <v>0</v>
      </c>
      <c r="CK325" s="485">
        <f t="shared" si="79"/>
        <v>0</v>
      </c>
      <c r="CL325" s="485">
        <f t="shared" si="79"/>
        <v>0</v>
      </c>
      <c r="CM325" s="486">
        <f t="shared" si="70"/>
        <v>1</v>
      </c>
    </row>
    <row r="326" spans="1:91" x14ac:dyDescent="0.2">
      <c r="X326" s="140"/>
      <c r="Y326" s="140"/>
    </row>
    <row r="327" spans="1:91" x14ac:dyDescent="0.2">
      <c r="X327" s="140"/>
      <c r="Y327" s="140"/>
    </row>
    <row r="328" spans="1:91" x14ac:dyDescent="0.2">
      <c r="X328" s="140"/>
      <c r="Y328" s="140"/>
    </row>
    <row r="329" spans="1:91" x14ac:dyDescent="0.2">
      <c r="X329" s="140"/>
      <c r="Y329" s="140"/>
    </row>
    <row r="330" spans="1:91" x14ac:dyDescent="0.2">
      <c r="X330" s="140"/>
      <c r="Y330" s="140"/>
    </row>
    <row r="331" spans="1:91" x14ac:dyDescent="0.2">
      <c r="X331" s="140"/>
      <c r="Y331" s="140"/>
    </row>
    <row r="332" spans="1:91" x14ac:dyDescent="0.2">
      <c r="X332" s="140"/>
      <c r="Y332" s="140"/>
    </row>
    <row r="333" spans="1:91" x14ac:dyDescent="0.2">
      <c r="X333" s="140"/>
      <c r="Y333" s="140"/>
    </row>
    <row r="334" spans="1:91" x14ac:dyDescent="0.2">
      <c r="X334" s="140"/>
      <c r="Y334" s="140"/>
    </row>
    <row r="335" spans="1:91" x14ac:dyDescent="0.2">
      <c r="X335" s="140"/>
      <c r="Y335" s="140"/>
    </row>
    <row r="336" spans="1:91" x14ac:dyDescent="0.2">
      <c r="X336" s="140"/>
      <c r="Y336" s="140"/>
      <c r="AP336" s="74"/>
    </row>
    <row r="337" spans="24:42" x14ac:dyDescent="0.2">
      <c r="X337" s="140"/>
      <c r="Y337" s="140"/>
      <c r="AP337" s="74"/>
    </row>
    <row r="338" spans="24:42" x14ac:dyDescent="0.2">
      <c r="X338" s="140"/>
      <c r="Y338" s="140"/>
      <c r="AP338" s="74"/>
    </row>
    <row r="339" spans="24:42" x14ac:dyDescent="0.2">
      <c r="X339" s="140"/>
      <c r="Y339" s="140"/>
      <c r="AP339" s="74"/>
    </row>
    <row r="340" spans="24:42" x14ac:dyDescent="0.2">
      <c r="X340" s="140"/>
      <c r="Y340" s="140"/>
      <c r="AP340" s="74"/>
    </row>
    <row r="341" spans="24:42" x14ac:dyDescent="0.2">
      <c r="X341" s="140"/>
      <c r="Y341" s="140"/>
    </row>
    <row r="342" spans="24:42" x14ac:dyDescent="0.2">
      <c r="X342" s="140"/>
      <c r="Y342" s="140"/>
    </row>
    <row r="343" spans="24:42" x14ac:dyDescent="0.2">
      <c r="X343" s="140"/>
      <c r="Y343" s="140"/>
    </row>
    <row r="344" spans="24:42" x14ac:dyDescent="0.2">
      <c r="X344" s="140"/>
      <c r="Y344" s="140"/>
    </row>
    <row r="345" spans="24:42" x14ac:dyDescent="0.2">
      <c r="X345" s="140"/>
      <c r="Y345" s="140"/>
    </row>
    <row r="346" spans="24:42" x14ac:dyDescent="0.2">
      <c r="X346" s="140"/>
      <c r="Y346" s="140"/>
    </row>
    <row r="347" spans="24:42" x14ac:dyDescent="0.2">
      <c r="X347" s="140"/>
      <c r="Y347" s="140"/>
    </row>
    <row r="348" spans="24:42" x14ac:dyDescent="0.2">
      <c r="X348" s="140"/>
      <c r="Y348" s="140"/>
    </row>
    <row r="349" spans="24:42" x14ac:dyDescent="0.2">
      <c r="X349" s="140"/>
      <c r="Y349" s="140"/>
    </row>
    <row r="350" spans="24:42" x14ac:dyDescent="0.2">
      <c r="X350" s="140"/>
      <c r="Y350" s="140"/>
    </row>
    <row r="351" spans="24:42" x14ac:dyDescent="0.2">
      <c r="X351" s="140"/>
      <c r="Y351" s="140"/>
    </row>
    <row r="352" spans="24:42" x14ac:dyDescent="0.2">
      <c r="X352" s="140"/>
      <c r="Y352" s="140"/>
    </row>
    <row r="353" spans="24:25" x14ac:dyDescent="0.2">
      <c r="X353" s="140"/>
      <c r="Y353" s="140"/>
    </row>
    <row r="354" spans="24:25" x14ac:dyDescent="0.2">
      <c r="X354" s="140"/>
      <c r="Y354" s="140"/>
    </row>
    <row r="355" spans="24:25" x14ac:dyDescent="0.2">
      <c r="X355" s="140"/>
      <c r="Y355" s="140"/>
    </row>
    <row r="356" spans="24:25" x14ac:dyDescent="0.2">
      <c r="X356" s="140"/>
      <c r="Y356" s="140"/>
    </row>
    <row r="357" spans="24:25" x14ac:dyDescent="0.2">
      <c r="X357" s="140"/>
      <c r="Y357" s="140"/>
    </row>
    <row r="358" spans="24:25" x14ac:dyDescent="0.2">
      <c r="X358" s="140"/>
      <c r="Y358" s="140"/>
    </row>
    <row r="359" spans="24:25" x14ac:dyDescent="0.2">
      <c r="X359" s="140"/>
      <c r="Y359" s="140"/>
    </row>
    <row r="360" spans="24:25" x14ac:dyDescent="0.2">
      <c r="X360" s="140"/>
      <c r="Y360" s="140"/>
    </row>
    <row r="361" spans="24:25" x14ac:dyDescent="0.2">
      <c r="X361" s="140"/>
      <c r="Y361" s="140"/>
    </row>
    <row r="362" spans="24:25" x14ac:dyDescent="0.2">
      <c r="X362" s="140"/>
      <c r="Y362" s="140"/>
    </row>
    <row r="363" spans="24:25" x14ac:dyDescent="0.2">
      <c r="X363" s="140"/>
      <c r="Y363" s="140"/>
    </row>
    <row r="364" spans="24:25" x14ac:dyDescent="0.2">
      <c r="X364" s="140"/>
      <c r="Y364" s="140"/>
    </row>
    <row r="365" spans="24:25" x14ac:dyDescent="0.2">
      <c r="X365" s="140"/>
      <c r="Y365" s="140"/>
    </row>
    <row r="366" spans="24:25" x14ac:dyDescent="0.2">
      <c r="X366" s="140"/>
      <c r="Y366" s="140"/>
    </row>
    <row r="367" spans="24:25" x14ac:dyDescent="0.2">
      <c r="X367" s="140"/>
      <c r="Y367" s="140"/>
    </row>
    <row r="368" spans="24:25" x14ac:dyDescent="0.2">
      <c r="X368" s="140"/>
      <c r="Y368" s="140"/>
    </row>
    <row r="369" spans="24:25" x14ac:dyDescent="0.2">
      <c r="X369" s="140"/>
      <c r="Y369" s="140"/>
    </row>
    <row r="370" spans="24:25" x14ac:dyDescent="0.2">
      <c r="X370" s="140"/>
      <c r="Y370" s="140"/>
    </row>
    <row r="371" spans="24:25" x14ac:dyDescent="0.2">
      <c r="X371" s="140"/>
      <c r="Y371" s="140"/>
    </row>
    <row r="372" spans="24:25" x14ac:dyDescent="0.2">
      <c r="X372" s="140"/>
      <c r="Y372" s="140"/>
    </row>
    <row r="373" spans="24:25" x14ac:dyDescent="0.2">
      <c r="X373" s="140"/>
      <c r="Y373" s="140"/>
    </row>
    <row r="374" spans="24:25" x14ac:dyDescent="0.2">
      <c r="X374" s="140"/>
      <c r="Y374" s="140"/>
    </row>
    <row r="375" spans="24:25" x14ac:dyDescent="0.2">
      <c r="X375" s="140"/>
      <c r="Y375" s="140"/>
    </row>
    <row r="376" spans="24:25" x14ac:dyDescent="0.2">
      <c r="X376" s="140"/>
      <c r="Y376" s="140"/>
    </row>
    <row r="377" spans="24:25" x14ac:dyDescent="0.2">
      <c r="X377" s="140"/>
      <c r="Y377" s="140"/>
    </row>
    <row r="378" spans="24:25" x14ac:dyDescent="0.2">
      <c r="X378" s="140"/>
      <c r="Y378" s="140"/>
    </row>
    <row r="379" spans="24:25" x14ac:dyDescent="0.2">
      <c r="X379" s="140"/>
      <c r="Y379" s="140"/>
    </row>
    <row r="380" spans="24:25" x14ac:dyDescent="0.2">
      <c r="X380" s="140"/>
      <c r="Y380" s="140"/>
    </row>
    <row r="381" spans="24:25" x14ac:dyDescent="0.2">
      <c r="X381" s="140"/>
      <c r="Y381" s="140"/>
    </row>
    <row r="382" spans="24:25" x14ac:dyDescent="0.2">
      <c r="X382" s="140"/>
      <c r="Y382" s="140"/>
    </row>
    <row r="383" spans="24:25" x14ac:dyDescent="0.2">
      <c r="X383" s="140"/>
      <c r="Y383" s="140"/>
    </row>
    <row r="384" spans="24:25" x14ac:dyDescent="0.2">
      <c r="X384" s="140"/>
      <c r="Y384" s="140"/>
    </row>
    <row r="385" spans="24:25" x14ac:dyDescent="0.2">
      <c r="X385" s="140"/>
      <c r="Y385" s="140"/>
    </row>
    <row r="386" spans="24:25" x14ac:dyDescent="0.2">
      <c r="X386" s="140"/>
      <c r="Y386" s="140"/>
    </row>
    <row r="387" spans="24:25" x14ac:dyDescent="0.2">
      <c r="X387" s="140"/>
      <c r="Y387" s="140"/>
    </row>
    <row r="388" spans="24:25" x14ac:dyDescent="0.2">
      <c r="X388" s="140"/>
      <c r="Y388" s="140"/>
    </row>
    <row r="389" spans="24:25" x14ac:dyDescent="0.2">
      <c r="X389" s="140"/>
      <c r="Y389" s="140"/>
    </row>
    <row r="390" spans="24:25" x14ac:dyDescent="0.2">
      <c r="X390" s="140"/>
      <c r="Y390" s="140"/>
    </row>
    <row r="391" spans="24:25" x14ac:dyDescent="0.2">
      <c r="X391" s="140"/>
      <c r="Y391" s="140"/>
    </row>
    <row r="392" spans="24:25" x14ac:dyDescent="0.2">
      <c r="X392" s="140"/>
      <c r="Y392" s="140"/>
    </row>
    <row r="393" spans="24:25" x14ac:dyDescent="0.2">
      <c r="X393" s="140"/>
      <c r="Y393" s="140"/>
    </row>
    <row r="394" spans="24:25" x14ac:dyDescent="0.2">
      <c r="X394" s="140"/>
      <c r="Y394" s="140"/>
    </row>
    <row r="395" spans="24:25" x14ac:dyDescent="0.2">
      <c r="X395" s="140"/>
      <c r="Y395" s="140"/>
    </row>
    <row r="396" spans="24:25" x14ac:dyDescent="0.2">
      <c r="X396" s="140"/>
      <c r="Y396" s="140"/>
    </row>
    <row r="397" spans="24:25" x14ac:dyDescent="0.2">
      <c r="X397" s="140"/>
      <c r="Y397" s="140"/>
    </row>
    <row r="398" spans="24:25" x14ac:dyDescent="0.2">
      <c r="X398" s="140"/>
      <c r="Y398" s="140"/>
    </row>
    <row r="399" spans="24:25" x14ac:dyDescent="0.2">
      <c r="X399" s="140"/>
      <c r="Y399" s="140"/>
    </row>
    <row r="400" spans="24:25" x14ac:dyDescent="0.2">
      <c r="X400" s="140"/>
      <c r="Y400" s="140"/>
    </row>
    <row r="401" spans="24:25" x14ac:dyDescent="0.2">
      <c r="X401" s="140"/>
      <c r="Y401" s="140"/>
    </row>
    <row r="402" spans="24:25" x14ac:dyDescent="0.2">
      <c r="X402" s="140"/>
      <c r="Y402" s="140"/>
    </row>
    <row r="403" spans="24:25" x14ac:dyDescent="0.2">
      <c r="X403" s="140"/>
      <c r="Y403" s="140"/>
    </row>
    <row r="404" spans="24:25" x14ac:dyDescent="0.2">
      <c r="X404" s="140"/>
      <c r="Y404" s="140"/>
    </row>
    <row r="405" spans="24:25" x14ac:dyDescent="0.2">
      <c r="X405" s="140"/>
      <c r="Y405" s="140"/>
    </row>
    <row r="406" spans="24:25" x14ac:dyDescent="0.2">
      <c r="X406" s="140"/>
      <c r="Y406" s="140"/>
    </row>
    <row r="407" spans="24:25" x14ac:dyDescent="0.2">
      <c r="X407" s="140"/>
      <c r="Y407" s="140"/>
    </row>
    <row r="408" spans="24:25" x14ac:dyDescent="0.2">
      <c r="X408" s="140"/>
      <c r="Y408" s="140"/>
    </row>
    <row r="409" spans="24:25" x14ac:dyDescent="0.2">
      <c r="X409" s="140"/>
      <c r="Y409" s="140"/>
    </row>
    <row r="410" spans="24:25" x14ac:dyDescent="0.2">
      <c r="X410" s="140"/>
      <c r="Y410" s="140"/>
    </row>
    <row r="411" spans="24:25" x14ac:dyDescent="0.2">
      <c r="X411" s="140"/>
      <c r="Y411" s="140"/>
    </row>
    <row r="412" spans="24:25" x14ac:dyDescent="0.2">
      <c r="X412" s="140"/>
      <c r="Y412" s="140"/>
    </row>
    <row r="413" spans="24:25" x14ac:dyDescent="0.2">
      <c r="X413" s="140"/>
      <c r="Y413" s="140"/>
    </row>
    <row r="414" spans="24:25" x14ac:dyDescent="0.2">
      <c r="X414" s="140"/>
      <c r="Y414" s="140"/>
    </row>
    <row r="415" spans="24:25" x14ac:dyDescent="0.2">
      <c r="X415" s="140"/>
      <c r="Y415" s="140"/>
    </row>
    <row r="416" spans="24:25" x14ac:dyDescent="0.2">
      <c r="X416" s="140"/>
      <c r="Y416" s="140"/>
    </row>
    <row r="417" spans="24:25" x14ac:dyDescent="0.2">
      <c r="X417" s="140"/>
      <c r="Y417" s="140"/>
    </row>
    <row r="418" spans="24:25" x14ac:dyDescent="0.2">
      <c r="X418" s="140"/>
      <c r="Y418" s="140"/>
    </row>
    <row r="419" spans="24:25" x14ac:dyDescent="0.2">
      <c r="X419" s="140"/>
      <c r="Y419" s="140"/>
    </row>
    <row r="420" spans="24:25" x14ac:dyDescent="0.2">
      <c r="X420" s="140"/>
      <c r="Y420" s="140"/>
    </row>
    <row r="421" spans="24:25" x14ac:dyDescent="0.2">
      <c r="X421" s="140"/>
      <c r="Y421" s="140"/>
    </row>
    <row r="422" spans="24:25" x14ac:dyDescent="0.2">
      <c r="X422" s="140"/>
      <c r="Y422" s="140"/>
    </row>
    <row r="423" spans="24:25" x14ac:dyDescent="0.2">
      <c r="X423" s="140"/>
      <c r="Y423" s="140"/>
    </row>
    <row r="424" spans="24:25" x14ac:dyDescent="0.2">
      <c r="X424" s="140"/>
      <c r="Y424" s="140"/>
    </row>
    <row r="425" spans="24:25" x14ac:dyDescent="0.2">
      <c r="X425" s="140"/>
      <c r="Y425" s="140"/>
    </row>
    <row r="426" spans="24:25" x14ac:dyDescent="0.2">
      <c r="X426" s="140"/>
      <c r="Y426" s="140"/>
    </row>
    <row r="427" spans="24:25" x14ac:dyDescent="0.2">
      <c r="X427" s="140"/>
      <c r="Y427" s="140"/>
    </row>
    <row r="428" spans="24:25" x14ac:dyDescent="0.2">
      <c r="X428" s="140"/>
      <c r="Y428" s="140"/>
    </row>
    <row r="429" spans="24:25" x14ac:dyDescent="0.2">
      <c r="X429" s="140"/>
      <c r="Y429" s="140"/>
    </row>
    <row r="430" spans="24:25" x14ac:dyDescent="0.2">
      <c r="X430" s="140"/>
      <c r="Y430" s="140"/>
    </row>
    <row r="431" spans="24:25" x14ac:dyDescent="0.2">
      <c r="X431" s="140"/>
      <c r="Y431" s="140"/>
    </row>
    <row r="432" spans="24:25" x14ac:dyDescent="0.2">
      <c r="X432" s="140"/>
      <c r="Y432" s="140"/>
    </row>
    <row r="433" spans="24:25" x14ac:dyDescent="0.2">
      <c r="X433" s="140"/>
      <c r="Y433" s="140"/>
    </row>
    <row r="434" spans="24:25" x14ac:dyDescent="0.2">
      <c r="X434" s="140"/>
      <c r="Y434" s="140"/>
    </row>
    <row r="435" spans="24:25" x14ac:dyDescent="0.2">
      <c r="X435" s="140"/>
      <c r="Y435" s="140"/>
    </row>
    <row r="436" spans="24:25" x14ac:dyDescent="0.2">
      <c r="X436" s="140"/>
      <c r="Y436" s="140"/>
    </row>
    <row r="437" spans="24:25" x14ac:dyDescent="0.2">
      <c r="X437" s="140"/>
      <c r="Y437" s="140"/>
    </row>
    <row r="438" spans="24:25" x14ac:dyDescent="0.2">
      <c r="X438" s="140"/>
      <c r="Y438" s="140"/>
    </row>
    <row r="439" spans="24:25" x14ac:dyDescent="0.2">
      <c r="X439" s="140"/>
      <c r="Y439" s="140"/>
    </row>
    <row r="440" spans="24:25" x14ac:dyDescent="0.2">
      <c r="X440" s="140"/>
      <c r="Y440" s="140"/>
    </row>
    <row r="441" spans="24:25" x14ac:dyDescent="0.2">
      <c r="X441" s="140"/>
      <c r="Y441" s="140"/>
    </row>
    <row r="442" spans="24:25" x14ac:dyDescent="0.2">
      <c r="X442" s="140"/>
      <c r="Y442" s="140"/>
    </row>
    <row r="443" spans="24:25" x14ac:dyDescent="0.2">
      <c r="X443" s="140"/>
      <c r="Y443" s="140"/>
    </row>
    <row r="444" spans="24:25" x14ac:dyDescent="0.2">
      <c r="X444" s="140"/>
      <c r="Y444" s="140"/>
    </row>
    <row r="445" spans="24:25" x14ac:dyDescent="0.2">
      <c r="X445" s="140"/>
      <c r="Y445" s="140"/>
    </row>
    <row r="446" spans="24:25" x14ac:dyDescent="0.2">
      <c r="X446" s="140"/>
      <c r="Y446" s="140"/>
    </row>
    <row r="447" spans="24:25" x14ac:dyDescent="0.2">
      <c r="X447" s="140"/>
      <c r="Y447" s="140"/>
    </row>
    <row r="448" spans="24:25" x14ac:dyDescent="0.2">
      <c r="X448" s="140"/>
      <c r="Y448" s="140"/>
    </row>
    <row r="449" spans="24:25" x14ac:dyDescent="0.2">
      <c r="X449" s="140"/>
      <c r="Y449" s="140"/>
    </row>
    <row r="450" spans="24:25" x14ac:dyDescent="0.2">
      <c r="X450" s="140"/>
      <c r="Y450" s="140"/>
    </row>
    <row r="451" spans="24:25" x14ac:dyDescent="0.2">
      <c r="X451" s="140"/>
      <c r="Y451" s="140"/>
    </row>
    <row r="452" spans="24:25" x14ac:dyDescent="0.2">
      <c r="X452" s="140"/>
      <c r="Y452" s="140"/>
    </row>
    <row r="453" spans="24:25" x14ac:dyDescent="0.2">
      <c r="X453" s="140"/>
      <c r="Y453" s="140"/>
    </row>
    <row r="454" spans="24:25" x14ac:dyDescent="0.2">
      <c r="X454" s="140"/>
      <c r="Y454" s="140"/>
    </row>
    <row r="455" spans="24:25" x14ac:dyDescent="0.2">
      <c r="X455" s="140"/>
      <c r="Y455" s="140"/>
    </row>
    <row r="456" spans="24:25" x14ac:dyDescent="0.2">
      <c r="X456" s="140"/>
      <c r="Y456" s="140"/>
    </row>
    <row r="457" spans="24:25" x14ac:dyDescent="0.2">
      <c r="X457" s="140"/>
      <c r="Y457" s="140"/>
    </row>
    <row r="458" spans="24:25" x14ac:dyDescent="0.2">
      <c r="X458" s="140"/>
      <c r="Y458" s="140"/>
    </row>
    <row r="459" spans="24:25" x14ac:dyDescent="0.2">
      <c r="X459" s="140"/>
      <c r="Y459" s="140"/>
    </row>
    <row r="460" spans="24:25" x14ac:dyDescent="0.2">
      <c r="X460" s="140"/>
      <c r="Y460" s="140"/>
    </row>
    <row r="461" spans="24:25" x14ac:dyDescent="0.2">
      <c r="X461" s="140"/>
      <c r="Y461" s="140"/>
    </row>
    <row r="462" spans="24:25" x14ac:dyDescent="0.2">
      <c r="X462" s="140"/>
      <c r="Y462" s="140"/>
    </row>
    <row r="463" spans="24:25" x14ac:dyDescent="0.2">
      <c r="X463" s="140"/>
      <c r="Y463" s="140"/>
    </row>
    <row r="464" spans="24:25" x14ac:dyDescent="0.2">
      <c r="X464" s="140"/>
      <c r="Y464" s="140"/>
    </row>
    <row r="465" spans="24:25" x14ac:dyDescent="0.2">
      <c r="X465" s="140"/>
      <c r="Y465" s="140"/>
    </row>
    <row r="466" spans="24:25" x14ac:dyDescent="0.2">
      <c r="X466" s="140"/>
      <c r="Y466" s="140"/>
    </row>
    <row r="467" spans="24:25" x14ac:dyDescent="0.2">
      <c r="X467" s="140"/>
      <c r="Y467" s="140"/>
    </row>
    <row r="468" spans="24:25" x14ac:dyDescent="0.2">
      <c r="X468" s="140"/>
      <c r="Y468" s="140"/>
    </row>
    <row r="469" spans="24:25" x14ac:dyDescent="0.2">
      <c r="X469" s="140"/>
      <c r="Y469" s="140"/>
    </row>
    <row r="470" spans="24:25" x14ac:dyDescent="0.2">
      <c r="X470" s="140"/>
      <c r="Y470" s="140"/>
    </row>
    <row r="471" spans="24:25" x14ac:dyDescent="0.2">
      <c r="X471" s="140"/>
      <c r="Y471" s="140"/>
    </row>
    <row r="472" spans="24:25" x14ac:dyDescent="0.2">
      <c r="X472" s="140"/>
      <c r="Y472" s="140"/>
    </row>
    <row r="473" spans="24:25" x14ac:dyDescent="0.2">
      <c r="X473" s="140"/>
      <c r="Y473" s="140"/>
    </row>
    <row r="474" spans="24:25" x14ac:dyDescent="0.2">
      <c r="X474" s="140"/>
      <c r="Y474" s="140"/>
    </row>
    <row r="475" spans="24:25" x14ac:dyDescent="0.2">
      <c r="X475" s="140"/>
      <c r="Y475" s="140"/>
    </row>
    <row r="476" spans="24:25" x14ac:dyDescent="0.2">
      <c r="X476" s="140"/>
      <c r="Y476" s="140"/>
    </row>
    <row r="477" spans="24:25" x14ac:dyDescent="0.2">
      <c r="X477" s="140"/>
      <c r="Y477" s="140"/>
    </row>
    <row r="478" spans="24:25" x14ac:dyDescent="0.2">
      <c r="X478" s="140"/>
      <c r="Y478" s="140"/>
    </row>
    <row r="479" spans="24:25" x14ac:dyDescent="0.2">
      <c r="X479" s="140"/>
      <c r="Y479" s="140"/>
    </row>
    <row r="480" spans="24:25" x14ac:dyDescent="0.2">
      <c r="X480" s="140"/>
      <c r="Y480" s="140"/>
    </row>
    <row r="481" spans="24:25" x14ac:dyDescent="0.2">
      <c r="X481" s="140"/>
      <c r="Y481" s="140"/>
    </row>
    <row r="482" spans="24:25" x14ac:dyDescent="0.2">
      <c r="X482" s="140"/>
      <c r="Y482" s="140"/>
    </row>
    <row r="483" spans="24:25" x14ac:dyDescent="0.2">
      <c r="X483" s="140"/>
      <c r="Y483" s="140"/>
    </row>
    <row r="484" spans="24:25" x14ac:dyDescent="0.2">
      <c r="X484" s="140"/>
      <c r="Y484" s="140"/>
    </row>
    <row r="485" spans="24:25" x14ac:dyDescent="0.2">
      <c r="X485" s="140"/>
      <c r="Y485" s="140"/>
    </row>
    <row r="486" spans="24:25" x14ac:dyDescent="0.2">
      <c r="X486" s="140"/>
      <c r="Y486" s="140"/>
    </row>
    <row r="487" spans="24:25" x14ac:dyDescent="0.2">
      <c r="X487" s="140"/>
      <c r="Y487" s="140"/>
    </row>
    <row r="488" spans="24:25" x14ac:dyDescent="0.2">
      <c r="X488" s="140"/>
      <c r="Y488" s="140"/>
    </row>
    <row r="489" spans="24:25" x14ac:dyDescent="0.2">
      <c r="X489" s="140"/>
      <c r="Y489" s="140"/>
    </row>
    <row r="490" spans="24:25" x14ac:dyDescent="0.2">
      <c r="X490" s="140"/>
      <c r="Y490" s="140"/>
    </row>
    <row r="491" spans="24:25" x14ac:dyDescent="0.2">
      <c r="X491" s="140"/>
      <c r="Y491" s="140"/>
    </row>
    <row r="492" spans="24:25" x14ac:dyDescent="0.2">
      <c r="X492" s="140"/>
      <c r="Y492" s="140"/>
    </row>
    <row r="493" spans="24:25" x14ac:dyDescent="0.2">
      <c r="X493" s="140"/>
      <c r="Y493" s="140"/>
    </row>
    <row r="494" spans="24:25" x14ac:dyDescent="0.2">
      <c r="X494" s="140"/>
      <c r="Y494" s="140"/>
    </row>
    <row r="495" spans="24:25" x14ac:dyDescent="0.2">
      <c r="X495" s="140"/>
      <c r="Y495" s="140"/>
    </row>
    <row r="496" spans="24:25" x14ac:dyDescent="0.2">
      <c r="X496" s="140"/>
      <c r="Y496" s="140"/>
    </row>
    <row r="497" spans="24:25" x14ac:dyDescent="0.2">
      <c r="X497" s="140"/>
      <c r="Y497" s="140"/>
    </row>
    <row r="498" spans="24:25" x14ac:dyDescent="0.2">
      <c r="X498" s="140"/>
      <c r="Y498" s="140"/>
    </row>
    <row r="499" spans="24:25" x14ac:dyDescent="0.2">
      <c r="X499" s="140"/>
      <c r="Y499" s="140"/>
    </row>
    <row r="500" spans="24:25" x14ac:dyDescent="0.2">
      <c r="X500" s="140"/>
      <c r="Y500" s="140"/>
    </row>
    <row r="501" spans="24:25" x14ac:dyDescent="0.2">
      <c r="X501" s="140"/>
      <c r="Y501" s="140"/>
    </row>
    <row r="502" spans="24:25" x14ac:dyDescent="0.2">
      <c r="X502" s="140"/>
      <c r="Y502" s="140"/>
    </row>
    <row r="503" spans="24:25" x14ac:dyDescent="0.2">
      <c r="X503" s="140"/>
      <c r="Y503" s="140"/>
    </row>
    <row r="504" spans="24:25" x14ac:dyDescent="0.2">
      <c r="X504" s="140"/>
      <c r="Y504" s="140"/>
    </row>
    <row r="505" spans="24:25" x14ac:dyDescent="0.2">
      <c r="X505" s="140"/>
      <c r="Y505" s="140"/>
    </row>
    <row r="506" spans="24:25" x14ac:dyDescent="0.2">
      <c r="X506" s="140"/>
      <c r="Y506" s="140"/>
    </row>
    <row r="507" spans="24:25" x14ac:dyDescent="0.2">
      <c r="X507" s="140"/>
      <c r="Y507" s="140"/>
    </row>
    <row r="508" spans="24:25" x14ac:dyDescent="0.2">
      <c r="X508" s="140"/>
      <c r="Y508" s="140"/>
    </row>
    <row r="509" spans="24:25" x14ac:dyDescent="0.2">
      <c r="X509" s="140"/>
      <c r="Y509" s="140"/>
    </row>
    <row r="510" spans="24:25" x14ac:dyDescent="0.2">
      <c r="X510" s="140"/>
      <c r="Y510" s="140"/>
    </row>
    <row r="511" spans="24:25" x14ac:dyDescent="0.2">
      <c r="X511" s="140"/>
      <c r="Y511" s="140"/>
    </row>
    <row r="512" spans="24:25" x14ac:dyDescent="0.2">
      <c r="X512" s="140"/>
      <c r="Y512" s="140"/>
    </row>
    <row r="513" spans="24:25" x14ac:dyDescent="0.2">
      <c r="X513" s="140"/>
      <c r="Y513" s="140"/>
    </row>
    <row r="514" spans="24:25" x14ac:dyDescent="0.2">
      <c r="X514" s="140"/>
      <c r="Y514" s="140"/>
    </row>
    <row r="515" spans="24:25" x14ac:dyDescent="0.2">
      <c r="X515" s="140"/>
      <c r="Y515" s="140"/>
    </row>
    <row r="516" spans="24:25" x14ac:dyDescent="0.2">
      <c r="X516" s="140"/>
      <c r="Y516" s="140"/>
    </row>
    <row r="517" spans="24:25" x14ac:dyDescent="0.2">
      <c r="X517" s="140"/>
      <c r="Y517" s="140"/>
    </row>
    <row r="518" spans="24:25" x14ac:dyDescent="0.2">
      <c r="X518" s="140"/>
      <c r="Y518" s="140"/>
    </row>
    <row r="519" spans="24:25" x14ac:dyDescent="0.2">
      <c r="X519" s="140"/>
      <c r="Y519" s="140"/>
    </row>
    <row r="520" spans="24:25" x14ac:dyDescent="0.2">
      <c r="X520" s="140"/>
      <c r="Y520" s="140"/>
    </row>
    <row r="521" spans="24:25" x14ac:dyDescent="0.2">
      <c r="X521" s="140"/>
      <c r="Y521" s="140"/>
    </row>
    <row r="522" spans="24:25" x14ac:dyDescent="0.2">
      <c r="X522" s="140"/>
      <c r="Y522" s="140"/>
    </row>
    <row r="523" spans="24:25" x14ac:dyDescent="0.2">
      <c r="X523" s="140"/>
      <c r="Y523" s="140"/>
    </row>
    <row r="524" spans="24:25" x14ac:dyDescent="0.2">
      <c r="X524" s="140"/>
      <c r="Y524" s="140"/>
    </row>
    <row r="525" spans="24:25" x14ac:dyDescent="0.2">
      <c r="X525" s="140"/>
      <c r="Y525" s="140"/>
    </row>
    <row r="526" spans="24:25" x14ac:dyDescent="0.2">
      <c r="X526" s="140"/>
      <c r="Y526" s="140"/>
    </row>
    <row r="527" spans="24:25" x14ac:dyDescent="0.2">
      <c r="X527" s="140"/>
      <c r="Y527" s="140"/>
    </row>
    <row r="528" spans="24:25" x14ac:dyDescent="0.2">
      <c r="X528" s="140"/>
      <c r="Y528" s="140"/>
    </row>
    <row r="529" spans="24:25" x14ac:dyDescent="0.2">
      <c r="X529" s="140"/>
      <c r="Y529" s="140"/>
    </row>
    <row r="530" spans="24:25" x14ac:dyDescent="0.2">
      <c r="X530" s="140"/>
      <c r="Y530" s="140"/>
    </row>
    <row r="531" spans="24:25" x14ac:dyDescent="0.2">
      <c r="X531" s="140"/>
      <c r="Y531" s="140"/>
    </row>
    <row r="532" spans="24:25" x14ac:dyDescent="0.2">
      <c r="X532" s="140"/>
      <c r="Y532" s="140"/>
    </row>
    <row r="533" spans="24:25" x14ac:dyDescent="0.2">
      <c r="X533" s="140"/>
      <c r="Y533" s="140"/>
    </row>
    <row r="534" spans="24:25" x14ac:dyDescent="0.2">
      <c r="X534" s="140"/>
      <c r="Y534" s="140"/>
    </row>
    <row r="535" spans="24:25" x14ac:dyDescent="0.2">
      <c r="X535" s="140"/>
      <c r="Y535" s="140"/>
    </row>
    <row r="536" spans="24:25" x14ac:dyDescent="0.2">
      <c r="X536" s="140"/>
      <c r="Y536" s="140"/>
    </row>
    <row r="537" spans="24:25" x14ac:dyDescent="0.2">
      <c r="X537" s="140"/>
      <c r="Y537" s="140"/>
    </row>
    <row r="538" spans="24:25" x14ac:dyDescent="0.2">
      <c r="X538" s="140"/>
      <c r="Y538" s="140"/>
    </row>
    <row r="539" spans="24:25" x14ac:dyDescent="0.2">
      <c r="X539" s="140"/>
      <c r="Y539" s="140"/>
    </row>
    <row r="540" spans="24:25" x14ac:dyDescent="0.2">
      <c r="X540" s="140"/>
      <c r="Y540" s="140"/>
    </row>
    <row r="541" spans="24:25" x14ac:dyDescent="0.2">
      <c r="X541" s="140"/>
      <c r="Y541" s="140"/>
    </row>
    <row r="542" spans="24:25" x14ac:dyDescent="0.2">
      <c r="X542" s="140"/>
      <c r="Y542" s="140"/>
    </row>
    <row r="543" spans="24:25" x14ac:dyDescent="0.2">
      <c r="X543" s="140"/>
      <c r="Y543" s="140"/>
    </row>
    <row r="544" spans="24:25" x14ac:dyDescent="0.2">
      <c r="X544" s="140"/>
      <c r="Y544" s="140"/>
    </row>
    <row r="545" spans="24:25" x14ac:dyDescent="0.2">
      <c r="X545" s="140"/>
      <c r="Y545" s="140"/>
    </row>
    <row r="546" spans="24:25" x14ac:dyDescent="0.2">
      <c r="X546" s="140"/>
      <c r="Y546" s="140"/>
    </row>
    <row r="547" spans="24:25" x14ac:dyDescent="0.2">
      <c r="X547" s="140"/>
      <c r="Y547" s="140"/>
    </row>
    <row r="548" spans="24:25" x14ac:dyDescent="0.2">
      <c r="X548" s="140"/>
      <c r="Y548" s="140"/>
    </row>
    <row r="549" spans="24:25" x14ac:dyDescent="0.2">
      <c r="X549" s="140"/>
      <c r="Y549" s="140"/>
    </row>
    <row r="550" spans="24:25" x14ac:dyDescent="0.2">
      <c r="X550" s="140"/>
      <c r="Y550" s="140"/>
    </row>
    <row r="551" spans="24:25" x14ac:dyDescent="0.2">
      <c r="X551" s="140"/>
      <c r="Y551" s="140"/>
    </row>
    <row r="552" spans="24:25" x14ac:dyDescent="0.2">
      <c r="X552" s="140"/>
      <c r="Y552" s="140"/>
    </row>
    <row r="553" spans="24:25" x14ac:dyDescent="0.2">
      <c r="X553" s="140"/>
      <c r="Y553" s="140"/>
    </row>
    <row r="554" spans="24:25" x14ac:dyDescent="0.2">
      <c r="X554" s="140"/>
      <c r="Y554" s="140"/>
    </row>
    <row r="555" spans="24:25" x14ac:dyDescent="0.2">
      <c r="X555" s="140"/>
      <c r="Y555" s="140"/>
    </row>
    <row r="556" spans="24:25" x14ac:dyDescent="0.2">
      <c r="X556" s="140"/>
      <c r="Y556" s="140"/>
    </row>
    <row r="557" spans="24:25" x14ac:dyDescent="0.2">
      <c r="X557" s="140"/>
      <c r="Y557" s="140"/>
    </row>
    <row r="558" spans="24:25" x14ac:dyDescent="0.2">
      <c r="X558" s="140"/>
      <c r="Y558" s="140"/>
    </row>
    <row r="559" spans="24:25" x14ac:dyDescent="0.2">
      <c r="X559" s="140"/>
      <c r="Y559" s="140"/>
    </row>
    <row r="560" spans="24:25" x14ac:dyDescent="0.2">
      <c r="X560" s="140"/>
      <c r="Y560" s="140"/>
    </row>
    <row r="561" spans="24:25" x14ac:dyDescent="0.2">
      <c r="X561" s="140"/>
      <c r="Y561" s="140"/>
    </row>
    <row r="562" spans="24:25" x14ac:dyDescent="0.2">
      <c r="X562" s="140"/>
      <c r="Y562" s="140"/>
    </row>
    <row r="563" spans="24:25" x14ac:dyDescent="0.2">
      <c r="X563" s="140"/>
      <c r="Y563" s="140"/>
    </row>
    <row r="564" spans="24:25" x14ac:dyDescent="0.2">
      <c r="X564" s="140"/>
      <c r="Y564" s="140"/>
    </row>
    <row r="565" spans="24:25" x14ac:dyDescent="0.2">
      <c r="X565" s="140"/>
      <c r="Y565" s="140"/>
    </row>
    <row r="566" spans="24:25" x14ac:dyDescent="0.2">
      <c r="X566" s="140"/>
      <c r="Y566" s="140"/>
    </row>
    <row r="567" spans="24:25" x14ac:dyDescent="0.2">
      <c r="X567" s="140"/>
      <c r="Y567" s="140"/>
    </row>
    <row r="568" spans="24:25" x14ac:dyDescent="0.2">
      <c r="X568" s="140"/>
      <c r="Y568" s="140"/>
    </row>
    <row r="569" spans="24:25" x14ac:dyDescent="0.2">
      <c r="X569" s="140"/>
      <c r="Y569" s="140"/>
    </row>
    <row r="570" spans="24:25" x14ac:dyDescent="0.2">
      <c r="X570" s="140"/>
      <c r="Y570" s="140"/>
    </row>
    <row r="571" spans="24:25" x14ac:dyDescent="0.2">
      <c r="X571" s="140"/>
      <c r="Y571" s="140"/>
    </row>
    <row r="572" spans="24:25" x14ac:dyDescent="0.2">
      <c r="X572" s="140"/>
      <c r="Y572" s="140"/>
    </row>
    <row r="573" spans="24:25" x14ac:dyDescent="0.2">
      <c r="X573" s="140"/>
      <c r="Y573" s="140"/>
    </row>
    <row r="574" spans="24:25" x14ac:dyDescent="0.2">
      <c r="X574" s="140"/>
      <c r="Y574" s="140"/>
    </row>
    <row r="575" spans="24:25" x14ac:dyDescent="0.2">
      <c r="X575" s="140"/>
      <c r="Y575" s="140"/>
    </row>
    <row r="576" spans="24:25" x14ac:dyDescent="0.2">
      <c r="X576" s="140"/>
      <c r="Y576" s="140"/>
    </row>
    <row r="577" spans="24:25" x14ac:dyDescent="0.2">
      <c r="X577" s="140"/>
      <c r="Y577" s="140"/>
    </row>
    <row r="578" spans="24:25" x14ac:dyDescent="0.2">
      <c r="X578" s="140"/>
      <c r="Y578" s="140"/>
    </row>
    <row r="579" spans="24:25" x14ac:dyDescent="0.2">
      <c r="X579" s="140"/>
      <c r="Y579" s="140"/>
    </row>
    <row r="580" spans="24:25" x14ac:dyDescent="0.2">
      <c r="X580" s="140"/>
      <c r="Y580" s="140"/>
    </row>
    <row r="581" spans="24:25" x14ac:dyDescent="0.2">
      <c r="X581" s="140"/>
      <c r="Y581" s="140"/>
    </row>
    <row r="582" spans="24:25" x14ac:dyDescent="0.2">
      <c r="X582" s="140"/>
      <c r="Y582" s="140"/>
    </row>
    <row r="583" spans="24:25" x14ac:dyDescent="0.2">
      <c r="X583" s="140"/>
      <c r="Y583" s="140"/>
    </row>
    <row r="584" spans="24:25" x14ac:dyDescent="0.2">
      <c r="X584" s="140"/>
      <c r="Y584" s="140"/>
    </row>
    <row r="585" spans="24:25" x14ac:dyDescent="0.2">
      <c r="X585" s="140"/>
      <c r="Y585" s="140"/>
    </row>
    <row r="586" spans="24:25" x14ac:dyDescent="0.2">
      <c r="X586" s="140"/>
      <c r="Y586" s="140"/>
    </row>
    <row r="587" spans="24:25" x14ac:dyDescent="0.2">
      <c r="X587" s="140"/>
      <c r="Y587" s="140"/>
    </row>
    <row r="588" spans="24:25" x14ac:dyDescent="0.2">
      <c r="X588" s="140"/>
      <c r="Y588" s="140"/>
    </row>
    <row r="589" spans="24:25" x14ac:dyDescent="0.2">
      <c r="X589" s="140"/>
      <c r="Y589" s="140"/>
    </row>
    <row r="590" spans="24:25" x14ac:dyDescent="0.2">
      <c r="X590" s="140"/>
      <c r="Y590" s="140"/>
    </row>
    <row r="591" spans="24:25" x14ac:dyDescent="0.2">
      <c r="X591" s="140"/>
      <c r="Y591" s="140"/>
    </row>
    <row r="592" spans="24:25" x14ac:dyDescent="0.2">
      <c r="X592" s="140"/>
      <c r="Y592" s="140"/>
    </row>
    <row r="593" spans="24:25" x14ac:dyDescent="0.2">
      <c r="X593" s="140"/>
      <c r="Y593" s="140"/>
    </row>
    <row r="594" spans="24:25" x14ac:dyDescent="0.2">
      <c r="X594" s="140"/>
      <c r="Y594" s="140"/>
    </row>
    <row r="595" spans="24:25" x14ac:dyDescent="0.2">
      <c r="X595" s="140"/>
      <c r="Y595" s="140"/>
    </row>
    <row r="596" spans="24:25" x14ac:dyDescent="0.2">
      <c r="X596" s="140"/>
      <c r="Y596" s="140"/>
    </row>
    <row r="597" spans="24:25" x14ac:dyDescent="0.2">
      <c r="X597" s="140"/>
      <c r="Y597" s="140"/>
    </row>
    <row r="598" spans="24:25" x14ac:dyDescent="0.2">
      <c r="X598" s="140"/>
      <c r="Y598" s="140"/>
    </row>
    <row r="599" spans="24:25" x14ac:dyDescent="0.2">
      <c r="X599" s="140"/>
      <c r="Y599" s="140"/>
    </row>
    <row r="600" spans="24:25" x14ac:dyDescent="0.2">
      <c r="X600" s="140"/>
      <c r="Y600" s="140"/>
    </row>
    <row r="601" spans="24:25" x14ac:dyDescent="0.2">
      <c r="X601" s="140"/>
      <c r="Y601" s="140"/>
    </row>
    <row r="602" spans="24:25" x14ac:dyDescent="0.2">
      <c r="X602" s="140"/>
      <c r="Y602" s="140"/>
    </row>
    <row r="603" spans="24:25" x14ac:dyDescent="0.2">
      <c r="X603" s="140"/>
      <c r="Y603" s="140"/>
    </row>
    <row r="604" spans="24:25" x14ac:dyDescent="0.2">
      <c r="X604" s="140"/>
      <c r="Y604" s="140"/>
    </row>
    <row r="605" spans="24:25" x14ac:dyDescent="0.2">
      <c r="X605" s="140"/>
      <c r="Y605" s="140"/>
    </row>
    <row r="606" spans="24:25" x14ac:dyDescent="0.2">
      <c r="X606" s="140"/>
      <c r="Y606" s="140"/>
    </row>
    <row r="607" spans="24:25" x14ac:dyDescent="0.2">
      <c r="X607" s="140"/>
      <c r="Y607" s="140"/>
    </row>
    <row r="608" spans="24:25" x14ac:dyDescent="0.2">
      <c r="X608" s="140"/>
      <c r="Y608" s="140"/>
    </row>
    <row r="609" spans="24:25" x14ac:dyDescent="0.2">
      <c r="X609" s="140"/>
      <c r="Y609" s="140"/>
    </row>
    <row r="610" spans="24:25" x14ac:dyDescent="0.2">
      <c r="X610" s="140"/>
      <c r="Y610" s="140"/>
    </row>
    <row r="611" spans="24:25" x14ac:dyDescent="0.2">
      <c r="X611" s="140"/>
      <c r="Y611" s="140"/>
    </row>
    <row r="612" spans="24:25" x14ac:dyDescent="0.2">
      <c r="X612" s="140"/>
      <c r="Y612" s="140"/>
    </row>
    <row r="613" spans="24:25" x14ac:dyDescent="0.2">
      <c r="X613" s="140"/>
      <c r="Y613" s="140"/>
    </row>
    <row r="614" spans="24:25" x14ac:dyDescent="0.2">
      <c r="X614" s="140"/>
      <c r="Y614" s="140"/>
    </row>
    <row r="615" spans="24:25" x14ac:dyDescent="0.2">
      <c r="X615" s="140"/>
      <c r="Y615" s="140"/>
    </row>
    <row r="616" spans="24:25" x14ac:dyDescent="0.2">
      <c r="X616" s="140"/>
      <c r="Y616" s="140"/>
    </row>
    <row r="617" spans="24:25" x14ac:dyDescent="0.2">
      <c r="X617" s="140"/>
      <c r="Y617" s="140"/>
    </row>
    <row r="618" spans="24:25" x14ac:dyDescent="0.2">
      <c r="X618" s="140"/>
      <c r="Y618" s="140"/>
    </row>
    <row r="619" spans="24:25" x14ac:dyDescent="0.2">
      <c r="X619" s="140"/>
      <c r="Y619" s="140"/>
    </row>
    <row r="620" spans="24:25" x14ac:dyDescent="0.2">
      <c r="X620" s="140"/>
      <c r="Y620" s="140"/>
    </row>
    <row r="621" spans="24:25" x14ac:dyDescent="0.2">
      <c r="X621" s="140"/>
      <c r="Y621" s="140"/>
    </row>
    <row r="622" spans="24:25" x14ac:dyDescent="0.2">
      <c r="X622" s="140"/>
      <c r="Y622" s="140"/>
    </row>
    <row r="623" spans="24:25" x14ac:dyDescent="0.2">
      <c r="X623" s="140"/>
      <c r="Y623" s="140"/>
    </row>
    <row r="624" spans="24:25" x14ac:dyDescent="0.2">
      <c r="X624" s="140"/>
      <c r="Y624" s="140"/>
    </row>
    <row r="625" spans="24:25" x14ac:dyDescent="0.2">
      <c r="X625" s="140"/>
      <c r="Y625" s="140"/>
    </row>
    <row r="626" spans="24:25" x14ac:dyDescent="0.2">
      <c r="X626" s="140"/>
      <c r="Y626" s="140"/>
    </row>
    <row r="627" spans="24:25" x14ac:dyDescent="0.2">
      <c r="X627" s="140"/>
      <c r="Y627" s="140"/>
    </row>
    <row r="628" spans="24:25" x14ac:dyDescent="0.2">
      <c r="X628" s="140"/>
      <c r="Y628" s="140"/>
    </row>
    <row r="629" spans="24:25" x14ac:dyDescent="0.2">
      <c r="X629" s="140"/>
      <c r="Y629" s="140"/>
    </row>
    <row r="630" spans="24:25" x14ac:dyDescent="0.2">
      <c r="X630" s="140"/>
      <c r="Y630" s="140"/>
    </row>
    <row r="631" spans="24:25" x14ac:dyDescent="0.2">
      <c r="X631" s="140"/>
      <c r="Y631" s="140"/>
    </row>
    <row r="632" spans="24:25" x14ac:dyDescent="0.2">
      <c r="X632" s="140"/>
      <c r="Y632" s="140"/>
    </row>
    <row r="633" spans="24:25" x14ac:dyDescent="0.2">
      <c r="X633" s="140"/>
      <c r="Y633" s="140"/>
    </row>
    <row r="634" spans="24:25" x14ac:dyDescent="0.2">
      <c r="X634" s="140"/>
      <c r="Y634" s="140"/>
    </row>
    <row r="635" spans="24:25" x14ac:dyDescent="0.2">
      <c r="X635" s="140"/>
      <c r="Y635" s="140"/>
    </row>
    <row r="636" spans="24:25" x14ac:dyDescent="0.2">
      <c r="X636" s="140"/>
      <c r="Y636" s="140"/>
    </row>
    <row r="637" spans="24:25" x14ac:dyDescent="0.2">
      <c r="X637" s="140"/>
      <c r="Y637" s="140"/>
    </row>
    <row r="638" spans="24:25" x14ac:dyDescent="0.2">
      <c r="X638" s="140"/>
      <c r="Y638" s="140"/>
    </row>
    <row r="639" spans="24:25" x14ac:dyDescent="0.2">
      <c r="X639" s="140"/>
      <c r="Y639" s="140"/>
    </row>
    <row r="640" spans="24:25" x14ac:dyDescent="0.2">
      <c r="X640" s="140"/>
      <c r="Y640" s="140"/>
    </row>
    <row r="641" spans="24:25" x14ac:dyDescent="0.2">
      <c r="X641" s="140"/>
      <c r="Y641" s="140"/>
    </row>
    <row r="642" spans="24:25" x14ac:dyDescent="0.2">
      <c r="X642" s="140"/>
      <c r="Y642" s="140"/>
    </row>
    <row r="643" spans="24:25" x14ac:dyDescent="0.2">
      <c r="X643" s="140"/>
      <c r="Y643" s="140"/>
    </row>
    <row r="644" spans="24:25" x14ac:dyDescent="0.2">
      <c r="X644" s="140"/>
      <c r="Y644" s="140"/>
    </row>
    <row r="645" spans="24:25" x14ac:dyDescent="0.2">
      <c r="X645" s="140"/>
      <c r="Y645" s="140"/>
    </row>
    <row r="646" spans="24:25" x14ac:dyDescent="0.2">
      <c r="X646" s="140"/>
      <c r="Y646" s="140"/>
    </row>
    <row r="647" spans="24:25" x14ac:dyDescent="0.2">
      <c r="X647" s="140"/>
      <c r="Y647" s="140"/>
    </row>
    <row r="648" spans="24:25" x14ac:dyDescent="0.2">
      <c r="X648" s="140"/>
      <c r="Y648" s="140"/>
    </row>
    <row r="649" spans="24:25" x14ac:dyDescent="0.2">
      <c r="X649" s="140"/>
      <c r="Y649" s="140"/>
    </row>
    <row r="650" spans="24:25" x14ac:dyDescent="0.2">
      <c r="X650" s="140"/>
      <c r="Y650" s="140"/>
    </row>
    <row r="651" spans="24:25" x14ac:dyDescent="0.2">
      <c r="X651" s="140"/>
      <c r="Y651" s="140"/>
    </row>
    <row r="652" spans="24:25" x14ac:dyDescent="0.2">
      <c r="X652" s="140"/>
      <c r="Y652" s="140"/>
    </row>
    <row r="653" spans="24:25" x14ac:dyDescent="0.2">
      <c r="X653" s="140"/>
      <c r="Y653" s="140"/>
    </row>
    <row r="654" spans="24:25" x14ac:dyDescent="0.2">
      <c r="X654" s="140"/>
      <c r="Y654" s="140"/>
    </row>
    <row r="655" spans="24:25" x14ac:dyDescent="0.2">
      <c r="X655" s="140"/>
      <c r="Y655" s="140"/>
    </row>
    <row r="656" spans="24:25" x14ac:dyDescent="0.2">
      <c r="X656" s="140"/>
      <c r="Y656" s="140"/>
    </row>
    <row r="657" spans="24:25" x14ac:dyDescent="0.2">
      <c r="X657" s="140"/>
      <c r="Y657" s="140"/>
    </row>
    <row r="658" spans="24:25" x14ac:dyDescent="0.2">
      <c r="X658" s="140"/>
      <c r="Y658" s="140"/>
    </row>
    <row r="659" spans="24:25" x14ac:dyDescent="0.2">
      <c r="X659" s="140"/>
      <c r="Y659" s="140"/>
    </row>
    <row r="660" spans="24:25" x14ac:dyDescent="0.2">
      <c r="X660" s="140"/>
      <c r="Y660" s="140"/>
    </row>
    <row r="661" spans="24:25" x14ac:dyDescent="0.2">
      <c r="X661" s="140"/>
      <c r="Y661" s="140"/>
    </row>
    <row r="662" spans="24:25" x14ac:dyDescent="0.2">
      <c r="X662" s="140"/>
      <c r="Y662" s="140"/>
    </row>
    <row r="663" spans="24:25" x14ac:dyDescent="0.2">
      <c r="X663" s="140"/>
      <c r="Y663" s="140"/>
    </row>
    <row r="664" spans="24:25" x14ac:dyDescent="0.2">
      <c r="X664" s="140"/>
      <c r="Y664" s="140"/>
    </row>
    <row r="665" spans="24:25" x14ac:dyDescent="0.2">
      <c r="X665" s="140"/>
      <c r="Y665" s="140"/>
    </row>
    <row r="666" spans="24:25" x14ac:dyDescent="0.2">
      <c r="X666" s="140"/>
      <c r="Y666" s="140"/>
    </row>
    <row r="667" spans="24:25" x14ac:dyDescent="0.2">
      <c r="X667" s="140"/>
      <c r="Y667" s="140"/>
    </row>
    <row r="668" spans="24:25" x14ac:dyDescent="0.2">
      <c r="X668" s="140"/>
      <c r="Y668" s="140"/>
    </row>
    <row r="669" spans="24:25" x14ac:dyDescent="0.2">
      <c r="X669" s="140"/>
      <c r="Y669" s="140"/>
    </row>
    <row r="670" spans="24:25" x14ac:dyDescent="0.2">
      <c r="X670" s="140"/>
      <c r="Y670" s="140"/>
    </row>
    <row r="671" spans="24:25" x14ac:dyDescent="0.2">
      <c r="X671" s="140"/>
      <c r="Y671" s="140"/>
    </row>
    <row r="672" spans="24:25" x14ac:dyDescent="0.2">
      <c r="X672" s="140"/>
      <c r="Y672" s="140"/>
    </row>
    <row r="673" spans="24:25" x14ac:dyDescent="0.2">
      <c r="X673" s="140"/>
      <c r="Y673" s="140"/>
    </row>
    <row r="674" spans="24:25" x14ac:dyDescent="0.2">
      <c r="X674" s="140"/>
      <c r="Y674" s="140"/>
    </row>
    <row r="675" spans="24:25" x14ac:dyDescent="0.2">
      <c r="X675" s="140"/>
      <c r="Y675" s="140"/>
    </row>
    <row r="676" spans="24:25" x14ac:dyDescent="0.2">
      <c r="X676" s="140"/>
      <c r="Y676" s="140"/>
    </row>
    <row r="677" spans="24:25" x14ac:dyDescent="0.2">
      <c r="X677" s="140"/>
      <c r="Y677" s="140"/>
    </row>
    <row r="678" spans="24:25" x14ac:dyDescent="0.2">
      <c r="X678" s="140"/>
      <c r="Y678" s="140"/>
    </row>
    <row r="679" spans="24:25" x14ac:dyDescent="0.2">
      <c r="X679" s="140"/>
      <c r="Y679" s="140"/>
    </row>
    <row r="680" spans="24:25" x14ac:dyDescent="0.2">
      <c r="X680" s="140"/>
      <c r="Y680" s="140"/>
    </row>
    <row r="681" spans="24:25" x14ac:dyDescent="0.2">
      <c r="X681" s="140"/>
      <c r="Y681" s="140"/>
    </row>
    <row r="682" spans="24:25" x14ac:dyDescent="0.2">
      <c r="X682" s="140"/>
      <c r="Y682" s="140"/>
    </row>
    <row r="683" spans="24:25" x14ac:dyDescent="0.2">
      <c r="X683" s="140"/>
      <c r="Y683" s="140"/>
    </row>
    <row r="684" spans="24:25" x14ac:dyDescent="0.2">
      <c r="X684" s="140"/>
      <c r="Y684" s="140"/>
    </row>
    <row r="685" spans="24:25" x14ac:dyDescent="0.2">
      <c r="X685" s="140"/>
      <c r="Y685" s="140"/>
    </row>
    <row r="686" spans="24:25" x14ac:dyDescent="0.2">
      <c r="X686" s="140"/>
      <c r="Y686" s="140"/>
    </row>
    <row r="687" spans="24:25" x14ac:dyDescent="0.2">
      <c r="X687" s="140"/>
      <c r="Y687" s="140"/>
    </row>
    <row r="688" spans="24:25" x14ac:dyDescent="0.2">
      <c r="X688" s="140"/>
      <c r="Y688" s="140"/>
    </row>
    <row r="689" spans="24:25" x14ac:dyDescent="0.2">
      <c r="X689" s="140"/>
      <c r="Y689" s="140"/>
    </row>
    <row r="690" spans="24:25" x14ac:dyDescent="0.2">
      <c r="X690" s="140"/>
      <c r="Y690" s="140"/>
    </row>
    <row r="691" spans="24:25" x14ac:dyDescent="0.2">
      <c r="X691" s="140"/>
      <c r="Y691" s="140"/>
    </row>
    <row r="692" spans="24:25" x14ac:dyDescent="0.2">
      <c r="X692" s="140"/>
      <c r="Y692" s="140"/>
    </row>
    <row r="693" spans="24:25" x14ac:dyDescent="0.2">
      <c r="X693" s="140"/>
      <c r="Y693" s="140"/>
    </row>
    <row r="694" spans="24:25" x14ac:dyDescent="0.2">
      <c r="X694" s="140"/>
      <c r="Y694" s="140"/>
    </row>
    <row r="695" spans="24:25" x14ac:dyDescent="0.2">
      <c r="X695" s="140"/>
      <c r="Y695" s="140"/>
    </row>
    <row r="696" spans="24:25" x14ac:dyDescent="0.2">
      <c r="X696" s="140"/>
      <c r="Y696" s="140"/>
    </row>
    <row r="697" spans="24:25" x14ac:dyDescent="0.2">
      <c r="X697" s="140"/>
      <c r="Y697" s="140"/>
    </row>
    <row r="698" spans="24:25" x14ac:dyDescent="0.2">
      <c r="X698" s="140"/>
      <c r="Y698" s="140"/>
    </row>
    <row r="699" spans="24:25" x14ac:dyDescent="0.2">
      <c r="X699" s="140"/>
      <c r="Y699" s="140"/>
    </row>
    <row r="700" spans="24:25" x14ac:dyDescent="0.2">
      <c r="X700" s="140"/>
      <c r="Y700" s="140"/>
    </row>
    <row r="701" spans="24:25" x14ac:dyDescent="0.2">
      <c r="X701" s="140"/>
      <c r="Y701" s="140"/>
    </row>
    <row r="702" spans="24:25" x14ac:dyDescent="0.2">
      <c r="X702" s="140"/>
      <c r="Y702" s="140"/>
    </row>
    <row r="703" spans="24:25" x14ac:dyDescent="0.2">
      <c r="X703" s="140"/>
      <c r="Y703" s="140"/>
    </row>
    <row r="704" spans="24:25" x14ac:dyDescent="0.2">
      <c r="X704" s="140"/>
      <c r="Y704" s="140"/>
    </row>
    <row r="705" spans="24:25" x14ac:dyDescent="0.2">
      <c r="X705" s="140"/>
      <c r="Y705" s="140"/>
    </row>
    <row r="706" spans="24:25" x14ac:dyDescent="0.2">
      <c r="X706" s="140"/>
      <c r="Y706" s="140"/>
    </row>
    <row r="707" spans="24:25" x14ac:dyDescent="0.2">
      <c r="X707" s="140"/>
      <c r="Y707" s="140"/>
    </row>
    <row r="708" spans="24:25" x14ac:dyDescent="0.2">
      <c r="X708" s="140"/>
      <c r="Y708" s="140"/>
    </row>
    <row r="709" spans="24:25" x14ac:dyDescent="0.2">
      <c r="X709" s="140"/>
      <c r="Y709" s="140"/>
    </row>
    <row r="710" spans="24:25" x14ac:dyDescent="0.2">
      <c r="X710" s="140"/>
      <c r="Y710" s="140"/>
    </row>
    <row r="711" spans="24:25" x14ac:dyDescent="0.2">
      <c r="X711" s="140"/>
      <c r="Y711" s="140"/>
    </row>
    <row r="712" spans="24:25" x14ac:dyDescent="0.2">
      <c r="X712" s="140"/>
      <c r="Y712" s="140"/>
    </row>
    <row r="713" spans="24:25" x14ac:dyDescent="0.2">
      <c r="X713" s="140"/>
      <c r="Y713" s="140"/>
    </row>
    <row r="714" spans="24:25" x14ac:dyDescent="0.2">
      <c r="X714" s="140"/>
      <c r="Y714" s="140"/>
    </row>
    <row r="715" spans="24:25" x14ac:dyDescent="0.2">
      <c r="X715" s="140"/>
      <c r="Y715" s="140"/>
    </row>
    <row r="716" spans="24:25" x14ac:dyDescent="0.2">
      <c r="X716" s="140"/>
      <c r="Y716" s="140"/>
    </row>
    <row r="717" spans="24:25" x14ac:dyDescent="0.2">
      <c r="X717" s="140"/>
      <c r="Y717" s="140"/>
    </row>
    <row r="718" spans="24:25" x14ac:dyDescent="0.2">
      <c r="X718" s="140"/>
      <c r="Y718" s="140"/>
    </row>
    <row r="719" spans="24:25" x14ac:dyDescent="0.2">
      <c r="X719" s="140"/>
      <c r="Y719" s="140"/>
    </row>
    <row r="720" spans="24:25" x14ac:dyDescent="0.2">
      <c r="X720" s="140"/>
      <c r="Y720" s="140"/>
    </row>
    <row r="721" spans="24:25" x14ac:dyDescent="0.2">
      <c r="X721" s="140"/>
      <c r="Y721" s="140"/>
    </row>
    <row r="722" spans="24:25" x14ac:dyDescent="0.2">
      <c r="X722" s="140"/>
      <c r="Y722" s="140"/>
    </row>
    <row r="723" spans="24:25" x14ac:dyDescent="0.2">
      <c r="X723" s="140"/>
      <c r="Y723" s="140"/>
    </row>
    <row r="724" spans="24:25" x14ac:dyDescent="0.2">
      <c r="X724" s="140"/>
      <c r="Y724" s="140"/>
    </row>
    <row r="725" spans="24:25" x14ac:dyDescent="0.2">
      <c r="X725" s="140"/>
      <c r="Y725" s="140"/>
    </row>
    <row r="726" spans="24:25" x14ac:dyDescent="0.2">
      <c r="X726" s="140"/>
      <c r="Y726" s="140"/>
    </row>
    <row r="727" spans="24:25" x14ac:dyDescent="0.2">
      <c r="X727" s="140"/>
      <c r="Y727" s="140"/>
    </row>
    <row r="728" spans="24:25" x14ac:dyDescent="0.2">
      <c r="X728" s="140"/>
      <c r="Y728" s="140"/>
    </row>
    <row r="729" spans="24:25" x14ac:dyDescent="0.2">
      <c r="X729" s="140"/>
      <c r="Y729" s="140"/>
    </row>
    <row r="730" spans="24:25" x14ac:dyDescent="0.2">
      <c r="X730" s="140"/>
      <c r="Y730" s="140"/>
    </row>
    <row r="731" spans="24:25" x14ac:dyDescent="0.2">
      <c r="X731" s="140"/>
      <c r="Y731" s="140"/>
    </row>
    <row r="732" spans="24:25" x14ac:dyDescent="0.2">
      <c r="X732" s="140"/>
      <c r="Y732" s="140"/>
    </row>
    <row r="733" spans="24:25" x14ac:dyDescent="0.2">
      <c r="X733" s="140"/>
      <c r="Y733" s="140"/>
    </row>
    <row r="734" spans="24:25" x14ac:dyDescent="0.2">
      <c r="X734" s="140"/>
      <c r="Y734" s="140"/>
    </row>
    <row r="735" spans="24:25" x14ac:dyDescent="0.2">
      <c r="X735" s="140"/>
      <c r="Y735" s="140"/>
    </row>
    <row r="736" spans="24:25" x14ac:dyDescent="0.2">
      <c r="X736" s="140"/>
      <c r="Y736" s="140"/>
    </row>
    <row r="737" spans="24:25" x14ac:dyDescent="0.2">
      <c r="X737" s="140"/>
      <c r="Y737" s="140"/>
    </row>
    <row r="738" spans="24:25" x14ac:dyDescent="0.2">
      <c r="X738" s="140"/>
      <c r="Y738" s="140"/>
    </row>
    <row r="739" spans="24:25" x14ac:dyDescent="0.2">
      <c r="X739" s="140"/>
      <c r="Y739" s="140"/>
    </row>
    <row r="740" spans="24:25" x14ac:dyDescent="0.2">
      <c r="X740" s="140"/>
      <c r="Y740" s="140"/>
    </row>
    <row r="741" spans="24:25" x14ac:dyDescent="0.2">
      <c r="X741" s="140"/>
      <c r="Y741" s="140"/>
    </row>
    <row r="742" spans="24:25" x14ac:dyDescent="0.2">
      <c r="X742" s="140"/>
      <c r="Y742" s="140"/>
    </row>
    <row r="743" spans="24:25" x14ac:dyDescent="0.2">
      <c r="X743" s="140"/>
      <c r="Y743" s="140"/>
    </row>
    <row r="744" spans="24:25" x14ac:dyDescent="0.2">
      <c r="X744" s="140"/>
      <c r="Y744" s="140"/>
    </row>
    <row r="745" spans="24:25" x14ac:dyDescent="0.2">
      <c r="X745" s="140"/>
      <c r="Y745" s="140"/>
    </row>
    <row r="746" spans="24:25" x14ac:dyDescent="0.2">
      <c r="X746" s="140"/>
      <c r="Y746" s="140"/>
    </row>
    <row r="747" spans="24:25" x14ac:dyDescent="0.2">
      <c r="X747" s="140"/>
      <c r="Y747" s="140"/>
    </row>
    <row r="748" spans="24:25" x14ac:dyDescent="0.2">
      <c r="X748" s="140"/>
      <c r="Y748" s="140"/>
    </row>
    <row r="749" spans="24:25" x14ac:dyDescent="0.2">
      <c r="X749" s="140"/>
      <c r="Y749" s="140"/>
    </row>
    <row r="750" spans="24:25" x14ac:dyDescent="0.2">
      <c r="X750" s="140"/>
      <c r="Y750" s="140"/>
    </row>
    <row r="751" spans="24:25" x14ac:dyDescent="0.2">
      <c r="X751" s="140"/>
      <c r="Y751" s="140"/>
    </row>
    <row r="752" spans="24:25" x14ac:dyDescent="0.2">
      <c r="X752" s="140"/>
      <c r="Y752" s="140"/>
    </row>
    <row r="753" spans="24:25" x14ac:dyDescent="0.2">
      <c r="X753" s="140"/>
      <c r="Y753" s="140"/>
    </row>
    <row r="754" spans="24:25" x14ac:dyDescent="0.2">
      <c r="X754" s="140"/>
      <c r="Y754" s="140"/>
    </row>
    <row r="755" spans="24:25" x14ac:dyDescent="0.2">
      <c r="X755" s="140"/>
      <c r="Y755" s="140"/>
    </row>
    <row r="756" spans="24:25" x14ac:dyDescent="0.2">
      <c r="X756" s="140"/>
      <c r="Y756" s="140"/>
    </row>
    <row r="757" spans="24:25" x14ac:dyDescent="0.2">
      <c r="X757" s="140"/>
      <c r="Y757" s="140"/>
    </row>
    <row r="758" spans="24:25" x14ac:dyDescent="0.2">
      <c r="X758" s="140"/>
      <c r="Y758" s="140"/>
    </row>
    <row r="759" spans="24:25" x14ac:dyDescent="0.2">
      <c r="X759" s="140"/>
      <c r="Y759" s="140"/>
    </row>
    <row r="760" spans="24:25" x14ac:dyDescent="0.2">
      <c r="X760" s="140"/>
      <c r="Y760" s="140"/>
    </row>
    <row r="761" spans="24:25" x14ac:dyDescent="0.2">
      <c r="X761" s="140"/>
      <c r="Y761" s="140"/>
    </row>
    <row r="762" spans="24:25" x14ac:dyDescent="0.2">
      <c r="X762" s="140"/>
      <c r="Y762" s="140"/>
    </row>
    <row r="763" spans="24:25" x14ac:dyDescent="0.2">
      <c r="X763" s="140"/>
      <c r="Y763" s="140"/>
    </row>
    <row r="764" spans="24:25" x14ac:dyDescent="0.2">
      <c r="X764" s="140"/>
      <c r="Y764" s="140"/>
    </row>
    <row r="765" spans="24:25" x14ac:dyDescent="0.2">
      <c r="X765" s="140"/>
      <c r="Y765" s="140"/>
    </row>
    <row r="766" spans="24:25" x14ac:dyDescent="0.2">
      <c r="X766" s="140"/>
      <c r="Y766" s="140"/>
    </row>
    <row r="767" spans="24:25" x14ac:dyDescent="0.2">
      <c r="X767" s="140"/>
      <c r="Y767" s="140"/>
    </row>
    <row r="768" spans="24:25" x14ac:dyDescent="0.2">
      <c r="X768" s="140"/>
      <c r="Y768" s="140"/>
    </row>
    <row r="769" spans="24:25" x14ac:dyDescent="0.2">
      <c r="X769" s="140"/>
      <c r="Y769" s="140"/>
    </row>
    <row r="770" spans="24:25" x14ac:dyDescent="0.2">
      <c r="X770" s="140"/>
      <c r="Y770" s="140"/>
    </row>
    <row r="771" spans="24:25" x14ac:dyDescent="0.2">
      <c r="X771" s="140"/>
      <c r="Y771" s="140"/>
    </row>
    <row r="772" spans="24:25" x14ac:dyDescent="0.2">
      <c r="X772" s="140"/>
      <c r="Y772" s="140"/>
    </row>
    <row r="773" spans="24:25" x14ac:dyDescent="0.2">
      <c r="X773" s="140"/>
      <c r="Y773" s="140"/>
    </row>
    <row r="774" spans="24:25" x14ac:dyDescent="0.2">
      <c r="X774" s="140"/>
      <c r="Y774" s="140"/>
    </row>
    <row r="775" spans="24:25" x14ac:dyDescent="0.2">
      <c r="X775" s="140"/>
      <c r="Y775" s="140"/>
    </row>
    <row r="776" spans="24:25" x14ac:dyDescent="0.2">
      <c r="X776" s="140"/>
      <c r="Y776" s="140"/>
    </row>
    <row r="777" spans="24:25" x14ac:dyDescent="0.2">
      <c r="X777" s="140"/>
      <c r="Y777" s="140"/>
    </row>
    <row r="778" spans="24:25" x14ac:dyDescent="0.2">
      <c r="X778" s="140"/>
      <c r="Y778" s="140"/>
    </row>
    <row r="779" spans="24:25" x14ac:dyDescent="0.2">
      <c r="X779" s="140"/>
      <c r="Y779" s="140"/>
    </row>
    <row r="780" spans="24:25" x14ac:dyDescent="0.2">
      <c r="X780" s="140"/>
      <c r="Y780" s="140"/>
    </row>
    <row r="781" spans="24:25" x14ac:dyDescent="0.2">
      <c r="X781" s="140"/>
      <c r="Y781" s="140"/>
    </row>
    <row r="782" spans="24:25" x14ac:dyDescent="0.2">
      <c r="X782" s="140"/>
      <c r="Y782" s="140"/>
    </row>
    <row r="783" spans="24:25" x14ac:dyDescent="0.2">
      <c r="X783" s="140"/>
      <c r="Y783" s="140"/>
    </row>
    <row r="784" spans="24:25" x14ac:dyDescent="0.2">
      <c r="X784" s="140"/>
      <c r="Y784" s="140"/>
    </row>
    <row r="785" spans="24:25" x14ac:dyDescent="0.2">
      <c r="X785" s="140"/>
      <c r="Y785" s="140"/>
    </row>
    <row r="786" spans="24:25" x14ac:dyDescent="0.2">
      <c r="X786" s="140"/>
      <c r="Y786" s="140"/>
    </row>
    <row r="787" spans="24:25" x14ac:dyDescent="0.2">
      <c r="X787" s="140"/>
      <c r="Y787" s="140"/>
    </row>
    <row r="788" spans="24:25" x14ac:dyDescent="0.2">
      <c r="X788" s="140"/>
      <c r="Y788" s="140"/>
    </row>
    <row r="789" spans="24:25" x14ac:dyDescent="0.2">
      <c r="X789" s="140"/>
      <c r="Y789" s="140"/>
    </row>
    <row r="790" spans="24:25" x14ac:dyDescent="0.2">
      <c r="X790" s="140"/>
      <c r="Y790" s="140"/>
    </row>
    <row r="791" spans="24:25" x14ac:dyDescent="0.2">
      <c r="X791" s="140"/>
      <c r="Y791" s="140"/>
    </row>
    <row r="792" spans="24:25" x14ac:dyDescent="0.2">
      <c r="X792" s="140"/>
      <c r="Y792" s="140"/>
    </row>
    <row r="793" spans="24:25" x14ac:dyDescent="0.2">
      <c r="X793" s="140"/>
      <c r="Y793" s="140"/>
    </row>
    <row r="794" spans="24:25" x14ac:dyDescent="0.2">
      <c r="X794" s="140"/>
      <c r="Y794" s="140"/>
    </row>
    <row r="795" spans="24:25" x14ac:dyDescent="0.2">
      <c r="X795" s="140"/>
      <c r="Y795" s="140"/>
    </row>
    <row r="796" spans="24:25" x14ac:dyDescent="0.2">
      <c r="X796" s="140"/>
      <c r="Y796" s="140"/>
    </row>
    <row r="797" spans="24:25" x14ac:dyDescent="0.2">
      <c r="X797" s="140"/>
      <c r="Y797" s="140"/>
    </row>
    <row r="798" spans="24:25" x14ac:dyDescent="0.2">
      <c r="X798" s="140"/>
      <c r="Y798" s="140"/>
    </row>
    <row r="799" spans="24:25" x14ac:dyDescent="0.2">
      <c r="X799" s="140"/>
      <c r="Y799" s="140"/>
    </row>
    <row r="800" spans="24:25" x14ac:dyDescent="0.2">
      <c r="X800" s="140"/>
      <c r="Y800" s="140"/>
    </row>
    <row r="801" spans="24:25" x14ac:dyDescent="0.2">
      <c r="X801" s="140"/>
      <c r="Y801" s="140"/>
    </row>
    <row r="802" spans="24:25" x14ac:dyDescent="0.2">
      <c r="X802" s="140"/>
      <c r="Y802" s="140"/>
    </row>
    <row r="803" spans="24:25" x14ac:dyDescent="0.2">
      <c r="X803" s="140"/>
      <c r="Y803" s="140"/>
    </row>
    <row r="804" spans="24:25" x14ac:dyDescent="0.2">
      <c r="X804" s="140"/>
      <c r="Y804" s="140"/>
    </row>
    <row r="805" spans="24:25" x14ac:dyDescent="0.2">
      <c r="X805" s="140"/>
      <c r="Y805" s="140"/>
    </row>
    <row r="806" spans="24:25" x14ac:dyDescent="0.2">
      <c r="X806" s="140"/>
      <c r="Y806" s="140"/>
    </row>
    <row r="807" spans="24:25" x14ac:dyDescent="0.2">
      <c r="X807" s="140"/>
      <c r="Y807" s="140"/>
    </row>
    <row r="808" spans="24:25" x14ac:dyDescent="0.2">
      <c r="X808" s="140"/>
      <c r="Y808" s="140"/>
    </row>
    <row r="809" spans="24:25" x14ac:dyDescent="0.2">
      <c r="X809" s="140"/>
      <c r="Y809" s="140"/>
    </row>
    <row r="810" spans="24:25" x14ac:dyDescent="0.2">
      <c r="X810" s="140"/>
      <c r="Y810" s="140"/>
    </row>
    <row r="811" spans="24:25" x14ac:dyDescent="0.2">
      <c r="X811" s="140"/>
      <c r="Y811" s="140"/>
    </row>
    <row r="812" spans="24:25" x14ac:dyDescent="0.2">
      <c r="X812" s="140"/>
      <c r="Y812" s="140"/>
    </row>
    <row r="813" spans="24:25" x14ac:dyDescent="0.2">
      <c r="X813" s="140"/>
      <c r="Y813" s="140"/>
    </row>
    <row r="814" spans="24:25" x14ac:dyDescent="0.2">
      <c r="X814" s="140"/>
      <c r="Y814" s="140"/>
    </row>
    <row r="815" spans="24:25" x14ac:dyDescent="0.2">
      <c r="X815" s="140"/>
      <c r="Y815" s="140"/>
    </row>
    <row r="816" spans="24:25" x14ac:dyDescent="0.2">
      <c r="X816" s="140"/>
      <c r="Y816" s="140"/>
    </row>
    <row r="817" spans="24:25" x14ac:dyDescent="0.2">
      <c r="X817" s="140"/>
      <c r="Y817" s="140"/>
    </row>
    <row r="818" spans="24:25" x14ac:dyDescent="0.2">
      <c r="X818" s="140"/>
      <c r="Y818" s="140"/>
    </row>
    <row r="819" spans="24:25" x14ac:dyDescent="0.2">
      <c r="X819" s="140"/>
      <c r="Y819" s="140"/>
    </row>
    <row r="820" spans="24:25" x14ac:dyDescent="0.2">
      <c r="X820" s="140"/>
      <c r="Y820" s="140"/>
    </row>
    <row r="821" spans="24:25" x14ac:dyDescent="0.2">
      <c r="X821" s="140"/>
      <c r="Y821" s="140"/>
    </row>
    <row r="822" spans="24:25" x14ac:dyDescent="0.2">
      <c r="X822" s="140"/>
      <c r="Y822" s="140"/>
    </row>
    <row r="823" spans="24:25" x14ac:dyDescent="0.2">
      <c r="X823" s="140"/>
      <c r="Y823" s="140"/>
    </row>
    <row r="824" spans="24:25" x14ac:dyDescent="0.2">
      <c r="X824" s="140"/>
      <c r="Y824" s="140"/>
    </row>
    <row r="825" spans="24:25" x14ac:dyDescent="0.2">
      <c r="X825" s="140"/>
      <c r="Y825" s="140"/>
    </row>
    <row r="826" spans="24:25" x14ac:dyDescent="0.2">
      <c r="X826" s="140"/>
      <c r="Y826" s="140"/>
    </row>
    <row r="827" spans="24:25" x14ac:dyDescent="0.2">
      <c r="X827" s="140"/>
      <c r="Y827" s="140"/>
    </row>
    <row r="828" spans="24:25" x14ac:dyDescent="0.2">
      <c r="X828" s="140"/>
      <c r="Y828" s="140"/>
    </row>
    <row r="829" spans="24:25" x14ac:dyDescent="0.2">
      <c r="X829" s="140"/>
      <c r="Y829" s="140"/>
    </row>
    <row r="830" spans="24:25" x14ac:dyDescent="0.2">
      <c r="X830" s="140"/>
      <c r="Y830" s="140"/>
    </row>
    <row r="831" spans="24:25" x14ac:dyDescent="0.2">
      <c r="X831" s="140"/>
      <c r="Y831" s="140"/>
    </row>
    <row r="832" spans="24:25" x14ac:dyDescent="0.2">
      <c r="X832" s="140"/>
      <c r="Y832" s="140"/>
    </row>
    <row r="833" spans="24:25" x14ac:dyDescent="0.2">
      <c r="X833" s="140"/>
      <c r="Y833" s="140"/>
    </row>
    <row r="834" spans="24:25" x14ac:dyDescent="0.2">
      <c r="X834" s="140"/>
      <c r="Y834" s="140"/>
    </row>
    <row r="835" spans="24:25" x14ac:dyDescent="0.2">
      <c r="X835" s="140"/>
      <c r="Y835" s="140"/>
    </row>
    <row r="836" spans="24:25" x14ac:dyDescent="0.2">
      <c r="X836" s="140"/>
      <c r="Y836" s="140"/>
    </row>
    <row r="837" spans="24:25" x14ac:dyDescent="0.2">
      <c r="X837" s="140"/>
      <c r="Y837" s="140"/>
    </row>
    <row r="838" spans="24:25" x14ac:dyDescent="0.2">
      <c r="X838" s="140"/>
      <c r="Y838" s="140"/>
    </row>
    <row r="839" spans="24:25" x14ac:dyDescent="0.2">
      <c r="X839" s="140"/>
      <c r="Y839" s="140"/>
    </row>
    <row r="840" spans="24:25" x14ac:dyDescent="0.2">
      <c r="X840" s="140"/>
      <c r="Y840" s="140"/>
    </row>
    <row r="841" spans="24:25" x14ac:dyDescent="0.2">
      <c r="X841" s="140"/>
      <c r="Y841" s="140"/>
    </row>
    <row r="842" spans="24:25" x14ac:dyDescent="0.2">
      <c r="X842" s="140"/>
      <c r="Y842" s="140"/>
    </row>
    <row r="843" spans="24:25" x14ac:dyDescent="0.2">
      <c r="X843" s="140"/>
      <c r="Y843" s="140"/>
    </row>
    <row r="844" spans="24:25" x14ac:dyDescent="0.2">
      <c r="X844" s="140"/>
      <c r="Y844" s="140"/>
    </row>
    <row r="845" spans="24:25" x14ac:dyDescent="0.2">
      <c r="X845" s="140"/>
      <c r="Y845" s="140"/>
    </row>
    <row r="846" spans="24:25" x14ac:dyDescent="0.2">
      <c r="X846" s="140"/>
      <c r="Y846" s="140"/>
    </row>
    <row r="847" spans="24:25" x14ac:dyDescent="0.2">
      <c r="X847" s="140"/>
      <c r="Y847" s="140"/>
    </row>
    <row r="848" spans="24:25" x14ac:dyDescent="0.2">
      <c r="X848" s="140"/>
      <c r="Y848" s="140"/>
    </row>
    <row r="849" spans="24:25" x14ac:dyDescent="0.2">
      <c r="X849" s="140"/>
      <c r="Y849" s="140"/>
    </row>
    <row r="850" spans="24:25" x14ac:dyDescent="0.2">
      <c r="X850" s="140"/>
      <c r="Y850" s="140"/>
    </row>
    <row r="851" spans="24:25" x14ac:dyDescent="0.2">
      <c r="X851" s="140"/>
      <c r="Y851" s="140"/>
    </row>
    <row r="852" spans="24:25" x14ac:dyDescent="0.2">
      <c r="X852" s="140"/>
      <c r="Y852" s="140"/>
    </row>
    <row r="853" spans="24:25" x14ac:dyDescent="0.2">
      <c r="X853" s="140"/>
      <c r="Y853" s="140"/>
    </row>
    <row r="854" spans="24:25" x14ac:dyDescent="0.2">
      <c r="X854" s="140"/>
      <c r="Y854" s="140"/>
    </row>
    <row r="855" spans="24:25" x14ac:dyDescent="0.2">
      <c r="X855" s="140"/>
      <c r="Y855" s="140"/>
    </row>
    <row r="856" spans="24:25" x14ac:dyDescent="0.2">
      <c r="X856" s="140"/>
      <c r="Y856" s="140"/>
    </row>
    <row r="857" spans="24:25" x14ac:dyDescent="0.2">
      <c r="X857" s="140"/>
      <c r="Y857" s="140"/>
    </row>
    <row r="858" spans="24:25" x14ac:dyDescent="0.2">
      <c r="X858" s="140"/>
      <c r="Y858" s="140"/>
    </row>
    <row r="859" spans="24:25" x14ac:dyDescent="0.2">
      <c r="X859" s="140"/>
      <c r="Y859" s="140"/>
    </row>
    <row r="860" spans="24:25" x14ac:dyDescent="0.2">
      <c r="X860" s="140"/>
      <c r="Y860" s="140"/>
    </row>
    <row r="861" spans="24:25" x14ac:dyDescent="0.2">
      <c r="X861" s="140"/>
      <c r="Y861" s="140"/>
    </row>
    <row r="862" spans="24:25" x14ac:dyDescent="0.2">
      <c r="X862" s="140"/>
      <c r="Y862" s="140"/>
    </row>
  </sheetData>
  <mergeCells count="17">
    <mergeCell ref="B9:C9"/>
    <mergeCell ref="D9:E9"/>
    <mergeCell ref="B10:C10"/>
    <mergeCell ref="D10:E10"/>
    <mergeCell ref="D12:E12"/>
    <mergeCell ref="B6:C6"/>
    <mergeCell ref="D6:E6"/>
    <mergeCell ref="B7:C7"/>
    <mergeCell ref="D7:E7"/>
    <mergeCell ref="B8:C8"/>
    <mergeCell ref="D8:E8"/>
    <mergeCell ref="C1:D1"/>
    <mergeCell ref="E1:F1"/>
    <mergeCell ref="B4:C4"/>
    <mergeCell ref="D4:E4"/>
    <mergeCell ref="B5:C5"/>
    <mergeCell ref="D5:E5"/>
  </mergeCells>
  <pageMargins left="0.5" right="0.5" top="0.5" bottom="0.5" header="0.5" footer="0.5"/>
  <pageSetup orientation="landscape" r:id="rId1"/>
  <headerFooter alignWithMargins="0">
    <oddFooter>&amp;L&amp;C&amp;R</oddFooter>
  </headerFooter>
  <customProperties>
    <customPr name="_pios_id" r:id="rId2"/>
  </customProperties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CBA205C749DD7429D4F5482BA6ACD28" ma:contentTypeVersion="0" ma:contentTypeDescription="Create a new document." ma:contentTypeScope="" ma:versionID="9014fae918f9517ff58679934614429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2a104d2cdace7c17b37904835911dd2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 ma:index="8" ma:displayName="Category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641E7F1-7644-413A-82A8-E49CC4C3B245}"/>
</file>

<file path=customXml/itemProps2.xml><?xml version="1.0" encoding="utf-8"?>
<ds:datastoreItem xmlns:ds="http://schemas.openxmlformats.org/officeDocument/2006/customXml" ds:itemID="{926E6192-8BC6-40F6-BF6A-D40063255EA9}"/>
</file>

<file path=customXml/itemProps3.xml><?xml version="1.0" encoding="utf-8"?>
<ds:datastoreItem xmlns:ds="http://schemas.openxmlformats.org/officeDocument/2006/customXml" ds:itemID="{033E5382-266C-4A39-81D4-BC0E58EB97B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23</vt:i4>
      </vt:variant>
    </vt:vector>
  </HeadingPairs>
  <TitlesOfParts>
    <vt:vector size="35" baseType="lpstr">
      <vt:lpstr>Table of Contents</vt:lpstr>
      <vt:lpstr>PTRM</vt:lpstr>
      <vt:lpstr>RFM</vt:lpstr>
      <vt:lpstr>For RFM &amp; PTRM</vt:lpstr>
      <vt:lpstr>Incurred</vt:lpstr>
      <vt:lpstr>Incurred 2.5% cpi</vt:lpstr>
      <vt:lpstr>Commissioned</vt:lpstr>
      <vt:lpstr>Commissioned Extra</vt:lpstr>
      <vt:lpstr>Success Asset Classes</vt:lpstr>
      <vt:lpstr>Project splits</vt:lpstr>
      <vt:lpstr>Project labour content</vt:lpstr>
      <vt:lpstr>Capex 15yr View</vt:lpstr>
      <vt:lpstr>CatLabEsc</vt:lpstr>
      <vt:lpstr>Commissioned_Extra</vt:lpstr>
      <vt:lpstr>CommissionedByClass</vt:lpstr>
      <vt:lpstr>ContractorRate</vt:lpstr>
      <vt:lpstr>Estimates</vt:lpstr>
      <vt:lpstr>IncurredByClass</vt:lpstr>
      <vt:lpstr>Labesc18</vt:lpstr>
      <vt:lpstr>LabEsc19</vt:lpstr>
      <vt:lpstr>LabEsc20</vt:lpstr>
      <vt:lpstr>LabEsc21</vt:lpstr>
      <vt:lpstr>LabEsc22</vt:lpstr>
      <vt:lpstr>LabEsc23</vt:lpstr>
      <vt:lpstr>LabEsc24</vt:lpstr>
      <vt:lpstr>LabIn</vt:lpstr>
      <vt:lpstr>Commissioned!Print_Area</vt:lpstr>
      <vt:lpstr>'Commissioned Extra'!Print_Area</vt:lpstr>
      <vt:lpstr>Incurred!Print_Area</vt:lpstr>
      <vt:lpstr>'Project labour content'!Print_Area</vt:lpstr>
      <vt:lpstr>'Project splits'!Print_Area</vt:lpstr>
      <vt:lpstr>PTRM!Print_Area</vt:lpstr>
      <vt:lpstr>ProjectSplits</vt:lpstr>
      <vt:lpstr>ProjLabEsc</vt:lpstr>
      <vt:lpstr>'Project splits'!SplitHeaders</vt:lpstr>
    </vt:vector>
  </TitlesOfParts>
  <Company>ElectraNet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Robertson, Ian (ENet)</dc:creator>
  <cp:lastModifiedBy>Robertson, Ian (ENet)</cp:lastModifiedBy>
  <cp:lastPrinted>2017-03-07T03:02:19Z</cp:lastPrinted>
  <dcterms:created xsi:type="dcterms:W3CDTF">2016-06-22T05:38:17Z</dcterms:created>
  <dcterms:modified xsi:type="dcterms:W3CDTF">2017-03-28T00:39:36Z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0x0101004CBA205C749DD7429D4F5482BA6ACD28</vt:lpwstr>
  </property>
</Properties>
</file>